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нные по месяцам " sheetId="1" r:id="rId4"/>
    <sheet state="visible" name="583" sheetId="2" r:id="rId5"/>
    <sheet state="visible" name="915" sheetId="3" r:id="rId6"/>
    <sheet state="visible" name="436" sheetId="4" r:id="rId7"/>
    <sheet state="visible" name="374" sheetId="5" r:id="rId8"/>
    <sheet state="visible" name="701" sheetId="6" r:id="rId9"/>
    <sheet state="visible" name="708" sheetId="7" r:id="rId10"/>
    <sheet state="visible" name="258" sheetId="8" r:id="rId11"/>
    <sheet state="visible" name="089" sheetId="9" r:id="rId12"/>
    <sheet state="visible" name="869" sheetId="10" r:id="rId13"/>
    <sheet state="visible" name="646" sheetId="11" r:id="rId14"/>
    <sheet state="visible" name="879" sheetId="12" r:id="rId15"/>
    <sheet state="visible" name="203" sheetId="13" r:id="rId16"/>
    <sheet state="visible" name="758" sheetId="14" r:id="rId17"/>
    <sheet state="visible" name="497" sheetId="15" r:id="rId18"/>
    <sheet state="visible" name="128" sheetId="16" r:id="rId19"/>
    <sheet state="visible" name="378" sheetId="17" r:id="rId20"/>
    <sheet state="visible" name="093" sheetId="18" r:id="rId21"/>
    <sheet state="visible" name="370" sheetId="19" r:id="rId22"/>
    <sheet state="visible" name="210" sheetId="20" r:id="rId23"/>
    <sheet state="visible" name="149" sheetId="21" r:id="rId24"/>
    <sheet state="visible" name="750" sheetId="22" r:id="rId25"/>
    <sheet state="visible" name="453" sheetId="23" r:id="rId26"/>
    <sheet state="visible" name="048" sheetId="24" r:id="rId27"/>
    <sheet state="visible" name="892" sheetId="25" r:id="rId28"/>
    <sheet state="visible" name="910" sheetId="26" r:id="rId29"/>
    <sheet state="visible" name="формулы" sheetId="27" r:id="rId3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3">
      <text>
        <t xml:space="preserve">100 литров в реф 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241">
      <text>
        <t xml:space="preserve">везде одинаковый расход тк с 26.02 по 25.04 не показывался пробег 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42">
      <text>
        <t xml:space="preserve">100 литров в реф 
</t>
      </text>
    </comment>
    <comment authorId="0" ref="Q156">
      <text>
        <t xml:space="preserve">высчитал такой эталонный расход при условии, что было всего 14 заправок и из них 2 для городских перевозок 
</t>
      </text>
    </comment>
    <comment authorId="0" ref="A229">
      <text>
        <t xml:space="preserve">два дня машина была на городе
</t>
      </text>
    </comment>
    <comment authorId="0" ref="D229">
      <text>
        <t xml:space="preserve">до этого Коновалов ездил 2 дня на ФМ регион
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12">
      <text>
        <t xml:space="preserve">реф заправка 100 литорв</t>
      </text>
    </comment>
    <comment authorId="0" ref="Z180">
      <text>
        <t xml:space="preserve">10 литров</t>
      </text>
    </comment>
    <comment authorId="0" ref="I224">
      <text>
        <t xml:space="preserve">заправка по виртуальный карте
</t>
      </text>
    </comment>
    <comment authorId="0" ref="I125">
      <text>
        <t xml:space="preserve">сложил за 1.07 (209,52 литра) и за 2.07 (419,52 литра) чтобы посчитать расход, тк глонасс не работал
	-Михаил</t>
      </text>
    </comment>
    <comment authorId="0" ref="H125">
      <text>
        <t xml:space="preserve">сложил за 1.07 (211 литров) и за 2.07 (417 литров) чтобы посчитать расход, тк глонасс не работал
	-Михаил</t>
      </text>
    </comment>
    <comment authorId="0" ref="H133">
      <text>
        <t xml:space="preserve">сложил за 10.07 и 11.07, чтобы посчитать расход и погрешность т.к. 10-го глонасс не показывает пробег нормально. 10.07 – 226; 11.07 –213
	-Михаил</t>
      </text>
    </comment>
    <comment authorId="0" ref="I133">
      <text>
        <t xml:space="preserve">сложил за 10.07 и 11.07, чтобы посчитать расход т.к. 10-го глонасс не показывает пробег нормально. 10.07 – 226,83; 11.07 –210
	-Михаил</t>
      </text>
    </comment>
    <comment authorId="0" ref="O116">
      <text>
        <t xml:space="preserve">пробег, потраченное топливо и расход за аномальные дни в июне.
	-Михаил</t>
      </text>
    </comment>
    <comment authorId="0" ref="F132">
      <text>
        <t xml:space="preserve">косяк по глонассу
	-Михаил</t>
      </text>
    </comment>
    <comment authorId="0" ref="F124">
      <text>
        <t xml:space="preserve">косяк по глонассу
	-Михаил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0">
      <text>
        <t xml:space="preserve">67</t>
      </text>
    </comment>
    <comment authorId="0" ref="I30">
      <text>
        <t xml:space="preserve">122,9</t>
      </text>
    </comment>
    <comment authorId="0" ref="A87">
      <text>
        <t xml:space="preserve">взял карту из 258 когда сломался 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Z23">
      <text>
        <t xml:space="preserve">538,23</t>
      </text>
    </comment>
    <comment authorId="0" ref="Z24">
      <text>
        <t xml:space="preserve">461,71</t>
      </text>
    </comment>
    <comment authorId="0" ref="Z25">
      <text>
        <t xml:space="preserve">460,23</t>
      </text>
    </comment>
    <comment authorId="0" ref="Z26">
      <text>
        <t xml:space="preserve">150</t>
      </text>
    </comment>
    <comment authorId="0" ref="Z27">
      <text>
        <t xml:space="preserve">сумма с 21.02 по 28.02 (чтобы посчитать расход)
28 – 370,31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40">
      <text>
        <t xml:space="preserve">тк нет в ГЛОНАСС"е то пробег с 22.04 по 08.05 разделил на 5 дней
</t>
      </text>
    </comment>
    <comment authorId="0" ref="I59">
      <text>
        <t xml:space="preserve">340 литров
</t>
      </text>
    </comment>
    <comment authorId="0" ref="I60">
      <text>
        <t xml:space="preserve">сложил за 28.06 (340 литров) и за 29.06 (151,8 литра) тк 28.06 нет заправки в системе
</t>
      </text>
    </comment>
    <comment authorId="0" ref="I92">
      <text>
        <t xml:space="preserve">300л нет в Глонасс</t>
      </text>
    </comment>
    <comment authorId="0" ref="I93">
      <text>
        <t xml:space="preserve">300л, но прибавил ещё и за 18.08 тк за тот день в нет заправки в Глонасс
</t>
      </text>
    </comment>
    <comment authorId="0" ref="B36">
      <text>
        <t xml:space="preserve">нет в глонассе
	-Михаил</t>
      </text>
    </comment>
    <comment authorId="0" ref="B35">
      <text>
        <t xml:space="preserve">нет в глонассе
	-Михаил</t>
      </text>
    </comment>
    <comment authorId="0" ref="B47">
      <text>
        <t xml:space="preserve">нет в глонассе
	-Михаил</t>
      </text>
    </comment>
    <comment authorId="0" ref="B39">
      <text>
        <t xml:space="preserve">нет в глонассе
	-Михаил</t>
      </text>
    </comment>
    <comment authorId="0" ref="B38">
      <text>
        <t xml:space="preserve">нет в глонассе
	-Михаил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54">
      <text>
        <t xml:space="preserve">241,12 нет в гланасс</t>
      </text>
    </comment>
    <comment authorId="0" ref="I155">
      <text>
        <t xml:space="preserve">253,33
нет в глонасс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19,18</t>
      </text>
    </comment>
    <comment authorId="0" ref="I8">
      <text>
        <t xml:space="preserve">20</t>
      </text>
    </comment>
    <comment authorId="0" ref="I11">
      <text>
        <t xml:space="preserve">18,78</t>
      </text>
    </comment>
    <comment authorId="0" ref="I13">
      <text>
        <t xml:space="preserve">20
</t>
      </text>
    </comment>
    <comment authorId="0" ref="I33">
      <text>
        <t xml:space="preserve">20 литров
</t>
      </text>
    </comment>
    <comment authorId="0" ref="I130">
      <text>
        <t xml:space="preserve">100</t>
      </text>
    </comment>
    <comment authorId="0" ref="I131">
      <text>
        <t xml:space="preserve">280, но прибавил ещё 100л за 08.06, тк за тот день в Глонасс нет заправки</t>
      </text>
    </comment>
    <comment authorId="0" ref="I133">
      <text>
        <t xml:space="preserve">100
</t>
      </text>
    </comment>
    <comment authorId="0" ref="I134">
      <text>
        <t xml:space="preserve">268,4, но прибавил ещё 100л за 11.06, тк за тот день в Глонасс нет заправки</t>
      </text>
    </comment>
    <comment authorId="0" ref="I221">
      <text>
        <t xml:space="preserve">200л</t>
      </text>
    </comment>
    <comment authorId="0" ref="I222">
      <text>
        <t xml:space="preserve">300,57
</t>
      </text>
    </comment>
    <comment authorId="0" ref="I246">
      <text>
        <t xml:space="preserve">заправка по виртуальный карте 3980
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9">
      <text>
        <t xml:space="preserve">этих заправок нет в красулле</t>
      </text>
    </comment>
    <comment authorId="0" ref="F124">
      <text>
        <t xml:space="preserve">не работал глонасс
	-Михаил</t>
      </text>
    </comment>
    <comment authorId="0" ref="I7">
      <text>
        <t xml:space="preserve">заправил 30 литров, удалил чтобы нормально посчитать расход
	-Михаил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до июля 2025 
была ещё 7115</t>
      </text>
    </comment>
    <comment authorId="0" ref="I111">
      <text>
        <t xml:space="preserve">заправлялся за наличку 
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5">
      <text>
        <t xml:space="preserve">63,06
</t>
      </text>
    </comment>
    <comment authorId="0" ref="I48">
      <text>
        <t xml:space="preserve">88,93
</t>
      </text>
    </comment>
    <comment authorId="0" ref="A92">
      <text>
        <t xml:space="preserve">карта из 258
	-Михаил</t>
      </text>
    </comment>
    <comment authorId="0" ref="A99">
      <text>
        <t xml:space="preserve">карта из 149
	-Михаил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195">
      <text>
        <t xml:space="preserve">с 27.05 до этого дня не работал глонасс
	-Михаил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72">
      <text>
        <t xml:space="preserve">без разрешения 
взял карту из 048 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45">
      <text>
        <t xml:space="preserve">эти три заправки использовал карту 0139		</t>
      </text>
    </comment>
    <comment authorId="0" ref="I94">
      <text>
        <t xml:space="preserve">заправлял Быков со своей карты</t>
      </text>
    </comment>
    <comment authorId="0" ref="B95">
      <text>
        <t xml:space="preserve">Ватыкин заправился картой 0249 из 370
</t>
      </text>
    </comment>
    <comment authorId="0" ref="J1">
      <text>
        <t xml:space="preserve">погрешность расчитана правильно только с 26.07.2023
	-Михаил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334">
      <text>
        <t xml:space="preserve">заправлялась 143 машина
</t>
      </text>
    </comment>
  </commentList>
</comments>
</file>

<file path=xl/sharedStrings.xml><?xml version="1.0" encoding="utf-8"?>
<sst xmlns="http://schemas.openxmlformats.org/spreadsheetml/2006/main" count="7389" uniqueCount="512">
  <si>
    <t>Х758ВМ-799</t>
  </si>
  <si>
    <t>Н203ЕК-799</t>
  </si>
  <si>
    <t>С093ВС-797</t>
  </si>
  <si>
    <t>У583ЕМ-797</t>
  </si>
  <si>
    <t>В374АУ-797</t>
  </si>
  <si>
    <t>С869АР-797</t>
  </si>
  <si>
    <t>С879АХ-797</t>
  </si>
  <si>
    <t>Т497ЕС-797</t>
  </si>
  <si>
    <t>Х915КУ-799</t>
  </si>
  <si>
    <t>А258АХ-797</t>
  </si>
  <si>
    <t>О646АЕ-799</t>
  </si>
  <si>
    <t>Н089СА-799</t>
  </si>
  <si>
    <t>Р378ТВ-777</t>
  </si>
  <si>
    <t>С128ВС-797</t>
  </si>
  <si>
    <t>У210ОУ-797</t>
  </si>
  <si>
    <t>У048НУ-797</t>
  </si>
  <si>
    <t>М436СХ-799</t>
  </si>
  <si>
    <t>С750ТР-799</t>
  </si>
  <si>
    <t>В370АУ-797</t>
  </si>
  <si>
    <t>У149ОУ-797</t>
  </si>
  <si>
    <t>М453СХ-799</t>
  </si>
  <si>
    <t>Т701УН-797</t>
  </si>
  <si>
    <t>Т708УН-797</t>
  </si>
  <si>
    <t>ИТОГО</t>
  </si>
  <si>
    <t>октябрь 2024</t>
  </si>
  <si>
    <t>красные ячейки можно менять</t>
  </si>
  <si>
    <t>калькуляция шин</t>
  </si>
  <si>
    <t>расход</t>
  </si>
  <si>
    <t>перерасход (л)</t>
  </si>
  <si>
    <t>пробег за период (км)</t>
  </si>
  <si>
    <t>ноябрь 2024</t>
  </si>
  <si>
    <t>тарировалось как:</t>
  </si>
  <si>
    <t>фактически:</t>
  </si>
  <si>
    <t>ширина шины</t>
  </si>
  <si>
    <t>высота шины</t>
  </si>
  <si>
    <t>диаметр шины (дюймы)</t>
  </si>
  <si>
    <t>декабрь 2024</t>
  </si>
  <si>
    <t>длина окружности (км)</t>
  </si>
  <si>
    <t xml:space="preserve">количество оборотов колеса </t>
  </si>
  <si>
    <t>фактический пробег (км)</t>
  </si>
  <si>
    <t>январь 2025</t>
  </si>
  <si>
    <t>ЕСЛИ:</t>
  </si>
  <si>
    <t>норма</t>
  </si>
  <si>
    <t xml:space="preserve">заправки по системе </t>
  </si>
  <si>
    <t>фактический расход</t>
  </si>
  <si>
    <t>февраль 2025</t>
  </si>
  <si>
    <t>перерасход</t>
  </si>
  <si>
    <t>фактический перерасход</t>
  </si>
  <si>
    <t>март 2025</t>
  </si>
  <si>
    <t>апрель 2025</t>
  </si>
  <si>
    <t>май 2025</t>
  </si>
  <si>
    <t>июнь 2025</t>
  </si>
  <si>
    <t>июль 2025</t>
  </si>
  <si>
    <t>август 2025</t>
  </si>
  <si>
    <t xml:space="preserve"> № карты</t>
  </si>
  <si>
    <t>Дата</t>
  </si>
  <si>
    <t>маршрут</t>
  </si>
  <si>
    <t>Водитель</t>
  </si>
  <si>
    <t>Одометр</t>
  </si>
  <si>
    <t>Пробег</t>
  </si>
  <si>
    <t>Бак</t>
  </si>
  <si>
    <t>Датчик</t>
  </si>
  <si>
    <t xml:space="preserve"> Заправка в системе</t>
  </si>
  <si>
    <t>Погрешность</t>
  </si>
  <si>
    <t>Расход</t>
  </si>
  <si>
    <t>&lt;–– данные за всё время</t>
  </si>
  <si>
    <t>ЯНВАРЬ</t>
  </si>
  <si>
    <t>Шишков</t>
  </si>
  <si>
    <t>ФЕВРАЛЬ</t>
  </si>
  <si>
    <t>тотал февраль</t>
  </si>
  <si>
    <t>пробег</t>
  </si>
  <si>
    <t>система</t>
  </si>
  <si>
    <t>МАРТ</t>
  </si>
  <si>
    <t>тотал март</t>
  </si>
  <si>
    <t>АПРЕЛЬ</t>
  </si>
  <si>
    <t>МАЙ</t>
  </si>
  <si>
    <t>16.май</t>
  </si>
  <si>
    <t xml:space="preserve"> </t>
  </si>
  <si>
    <t>норма расхода</t>
  </si>
  <si>
    <t>итс лс</t>
  </si>
  <si>
    <t>Московская область, Подольский р-н, вблизи д. Александровка38 км</t>
  </si>
  <si>
    <t xml:space="preserve">                                                                   </t>
  </si>
  <si>
    <t>7051 8163</t>
  </si>
  <si>
    <t>первая половина  – Шестаков, 
вторая половина – Кузнецов</t>
  </si>
  <si>
    <t>REF</t>
  </si>
  <si>
    <t>Кузнецов</t>
  </si>
  <si>
    <t>Шестаков</t>
  </si>
  <si>
    <t>реф</t>
  </si>
  <si>
    <t>05.май</t>
  </si>
  <si>
    <t>18.май</t>
  </si>
  <si>
    <t>ИЮНЬ</t>
  </si>
  <si>
    <t>тотал июнь</t>
  </si>
  <si>
    <t>ИЮЛЬ</t>
  </si>
  <si>
    <t>06.июль</t>
  </si>
  <si>
    <t>тотал за июль</t>
  </si>
  <si>
    <t>АВГУСТ</t>
  </si>
  <si>
    <t>ОКТЯБРЬ</t>
  </si>
  <si>
    <t>НОЯБРЬ</t>
  </si>
  <si>
    <t>ДЕКАБРЬ</t>
  </si>
  <si>
    <t>ФМ город</t>
  </si>
  <si>
    <t>Коновалов</t>
  </si>
  <si>
    <t>Елесин</t>
  </si>
  <si>
    <t>"0238</t>
  </si>
  <si>
    <t>&lt;–– данные за всё время (с декабря 2021)</t>
  </si>
  <si>
    <t>СЕНТЯБРЬ</t>
  </si>
  <si>
    <t>Долгатов</t>
  </si>
  <si>
    <t>Колесников</t>
  </si>
  <si>
    <t>Голосовский</t>
  </si>
  <si>
    <t>Балахонов</t>
  </si>
  <si>
    <t>СТОЯЛ</t>
  </si>
  <si>
    <t>Кочетков И</t>
  </si>
  <si>
    <t>Кочетков</t>
  </si>
  <si>
    <t>Логинов</t>
  </si>
  <si>
    <t>Киреев</t>
  </si>
  <si>
    <t>Лавреньтьев</t>
  </si>
  <si>
    <t>Крыскин</t>
  </si>
  <si>
    <t>Захаров</t>
  </si>
  <si>
    <t>БЫКОВ</t>
  </si>
  <si>
    <t>тотал июль</t>
  </si>
  <si>
    <t xml:space="preserve">система </t>
  </si>
  <si>
    <t>ДПД Балашиха</t>
  </si>
  <si>
    <t>МЭК Воронеж</t>
  </si>
  <si>
    <t>Яйцев</t>
  </si>
  <si>
    <t>КСЕ Питер</t>
  </si>
  <si>
    <t>Аликин</t>
  </si>
  <si>
    <t>Москва город</t>
  </si>
  <si>
    <t>КСЕ Шарик</t>
  </si>
  <si>
    <t>КСЕ Казань</t>
  </si>
  <si>
    <t xml:space="preserve">норма </t>
  </si>
  <si>
    <t>цена за литр ДТ</t>
  </si>
  <si>
    <t>"0089 4875</t>
  </si>
  <si>
    <t>Кручко</t>
  </si>
  <si>
    <t>03.май</t>
  </si>
  <si>
    <t>04.май</t>
  </si>
  <si>
    <t>07.май</t>
  </si>
  <si>
    <t>08.май</t>
  </si>
  <si>
    <t>14.май</t>
  </si>
  <si>
    <t>15.май</t>
  </si>
  <si>
    <t>17.май</t>
  </si>
  <si>
    <t>22.май</t>
  </si>
  <si>
    <t>#ДЕЛ/0!</t>
  </si>
  <si>
    <t>09.июль</t>
  </si>
  <si>
    <t>ФМ регион</t>
  </si>
  <si>
    <t xml:space="preserve">ПДК Южный </t>
  </si>
  <si>
    <t>Ганжур</t>
  </si>
  <si>
    <t>в реф</t>
  </si>
  <si>
    <t>7123 9172</t>
  </si>
  <si>
    <t>КСЕ Рязань</t>
  </si>
  <si>
    <t>Орлов</t>
  </si>
  <si>
    <t>КСЕ Липецк</t>
  </si>
  <si>
    <t>КСЕ Саранск</t>
  </si>
  <si>
    <t>Быков</t>
  </si>
  <si>
    <t>КСЕ Саратов</t>
  </si>
  <si>
    <t>7115 9164</t>
  </si>
  <si>
    <t>делал cпальник</t>
  </si>
  <si>
    <t>Пиленко</t>
  </si>
  <si>
    <t>^2023^</t>
  </si>
  <si>
    <t>норма 28</t>
  </si>
  <si>
    <t>2033 3468 9313 0196</t>
  </si>
  <si>
    <t>8352 0249</t>
  </si>
  <si>
    <t>&lt;–– данные за весь 2023</t>
  </si>
  <si>
    <t>Суходолов</t>
  </si>
  <si>
    <t>тотал данные за январь</t>
  </si>
  <si>
    <t>датчик</t>
  </si>
  <si>
    <t>погрешность</t>
  </si>
  <si>
    <t>Бобровник</t>
  </si>
  <si>
    <t>423.76</t>
  </si>
  <si>
    <t>430.55</t>
  </si>
  <si>
    <t>487.59</t>
  </si>
  <si>
    <t>488.12</t>
  </si>
  <si>
    <t>482.17</t>
  </si>
  <si>
    <t>490.94</t>
  </si>
  <si>
    <t>423.21</t>
  </si>
  <si>
    <t>420.23</t>
  </si>
  <si>
    <t>488.08</t>
  </si>
  <si>
    <t>487.92</t>
  </si>
  <si>
    <t>488.00</t>
  </si>
  <si>
    <t>Рассказов</t>
  </si>
  <si>
    <t>483.78</t>
  </si>
  <si>
    <t>482.79</t>
  </si>
  <si>
    <t>461.21</t>
  </si>
  <si>
    <t>456.68</t>
  </si>
  <si>
    <t>485.68</t>
  </si>
  <si>
    <t>тотал данные за февраль</t>
  </si>
  <si>
    <t>461.96</t>
  </si>
  <si>
    <t>489.94</t>
  </si>
  <si>
    <t>481.79</t>
  </si>
  <si>
    <t>483.70</t>
  </si>
  <si>
    <t>480.72</t>
  </si>
  <si>
    <t>483.49</t>
  </si>
  <si>
    <t>483.28</t>
  </si>
  <si>
    <t>481.83</t>
  </si>
  <si>
    <t>482.25</t>
  </si>
  <si>
    <t>482.99</t>
  </si>
  <si>
    <t>482.29</t>
  </si>
  <si>
    <t>459.03</t>
  </si>
  <si>
    <t>484.52</t>
  </si>
  <si>
    <t>483.24</t>
  </si>
  <si>
    <t>484.44</t>
  </si>
  <si>
    <t>483.94</t>
  </si>
  <si>
    <t>480.88</t>
  </si>
  <si>
    <t>487.88</t>
  </si>
  <si>
    <t>487.50</t>
  </si>
  <si>
    <t>489.24</t>
  </si>
  <si>
    <t>485.14</t>
  </si>
  <si>
    <t>487.26</t>
  </si>
  <si>
    <t>тотал данные за март</t>
  </si>
  <si>
    <t>493.01</t>
  </si>
  <si>
    <t>490.86</t>
  </si>
  <si>
    <t>186.12</t>
  </si>
  <si>
    <t>492.39</t>
  </si>
  <si>
    <t>493.17</t>
  </si>
  <si>
    <t>489.41</t>
  </si>
  <si>
    <t>492.97</t>
  </si>
  <si>
    <t>494.46</t>
  </si>
  <si>
    <t>496.11</t>
  </si>
  <si>
    <t>492.88</t>
  </si>
  <si>
    <t>491.48</t>
  </si>
  <si>
    <t>493.34</t>
  </si>
  <si>
    <t>491.72</t>
  </si>
  <si>
    <t>490.32</t>
  </si>
  <si>
    <t>490.98</t>
  </si>
  <si>
    <t>491.43</t>
  </si>
  <si>
    <t>492.01</t>
  </si>
  <si>
    <t>491.52</t>
  </si>
  <si>
    <t>490.28</t>
  </si>
  <si>
    <t>492.26</t>
  </si>
  <si>
    <t>494.25</t>
  </si>
  <si>
    <t>491.31</t>
  </si>
  <si>
    <t>491.85</t>
  </si>
  <si>
    <t>491.10</t>
  </si>
  <si>
    <t>490.19</t>
  </si>
  <si>
    <t>490.36</t>
  </si>
  <si>
    <t>491.19</t>
  </si>
  <si>
    <t>493.05</t>
  </si>
  <si>
    <t>492.59</t>
  </si>
  <si>
    <t>489.70</t>
  </si>
  <si>
    <t>490.61</t>
  </si>
  <si>
    <t>491.27</t>
  </si>
  <si>
    <t>488.37</t>
  </si>
  <si>
    <t>492.84</t>
  </si>
  <si>
    <t>493.88</t>
  </si>
  <si>
    <t>492.68</t>
  </si>
  <si>
    <t>496.48</t>
  </si>
  <si>
    <t>491.81</t>
  </si>
  <si>
    <t>491.93</t>
  </si>
  <si>
    <t>489.78</t>
  </si>
  <si>
    <t>489.32</t>
  </si>
  <si>
    <t>493.75</t>
  </si>
  <si>
    <t>494.21</t>
  </si>
  <si>
    <t>492.55</t>
  </si>
  <si>
    <t>490.48</t>
  </si>
  <si>
    <t>487.34</t>
  </si>
  <si>
    <t>488.58</t>
  </si>
  <si>
    <t>тотал данные за июнь</t>
  </si>
  <si>
    <t>489.20</t>
  </si>
  <si>
    <t>493.71</t>
  </si>
  <si>
    <t>487.79</t>
  </si>
  <si>
    <t>484.48</t>
  </si>
  <si>
    <t>506.19</t>
  </si>
  <si>
    <t>508.87</t>
  </si>
  <si>
    <t>496.19</t>
  </si>
  <si>
    <t>тотал данные за июль</t>
  </si>
  <si>
    <t>раход</t>
  </si>
  <si>
    <t>С 25.07 по 10.08 пересел 
на 370 и взял с собой карту 8352</t>
  </si>
  <si>
    <t>АИ-92</t>
  </si>
  <si>
    <t>С 29.10 по ..... пересел с 258
на 370 и взял с собой карту 8352</t>
  </si>
  <si>
    <t>Залыгин</t>
  </si>
  <si>
    <t>14.01 заправлялся картой 3468 на 089, тк сломался и забрал с собой карту. 
22.01 заправлялся картой 3468 на 374, тк сломался и забрал с собой карту</t>
  </si>
  <si>
    <t>ФМ Казань</t>
  </si>
  <si>
    <t>Морозов</t>
  </si>
  <si>
    <t>Мачуло</t>
  </si>
  <si>
    <t>Казань почта</t>
  </si>
  <si>
    <t>Тютюнник</t>
  </si>
  <si>
    <t>Кудрявцев</t>
  </si>
  <si>
    <t>Панкратов</t>
  </si>
  <si>
    <t>Почта Казань</t>
  </si>
  <si>
    <t>Силичев</t>
  </si>
  <si>
    <t>0121 4883 9396</t>
  </si>
  <si>
    <t>Боженов</t>
  </si>
  <si>
    <t>Ватыкин</t>
  </si>
  <si>
    <t xml:space="preserve">пробег </t>
  </si>
  <si>
    <t>тотал данные за май</t>
  </si>
  <si>
    <t>10.май</t>
  </si>
  <si>
    <t>средний расход за май</t>
  </si>
  <si>
    <t>Дерепаско</t>
  </si>
  <si>
    <t>Кишкар</t>
  </si>
  <si>
    <t>"0105 9255</t>
  </si>
  <si>
    <t xml:space="preserve">Мазерати </t>
  </si>
  <si>
    <t>Мозурайтис</t>
  </si>
  <si>
    <t>Шаравин</t>
  </si>
  <si>
    <t>Пронин</t>
  </si>
  <si>
    <t>Виноградов</t>
  </si>
  <si>
    <t>8352 0196 9370</t>
  </si>
  <si>
    <t>2033 8360 3468</t>
  </si>
  <si>
    <t>&lt;–– данные за всё время (2023)</t>
  </si>
  <si>
    <t>Ахметов</t>
  </si>
  <si>
    <t>тотал январь</t>
  </si>
  <si>
    <t>600.00</t>
  </si>
  <si>
    <t>597.02</t>
  </si>
  <si>
    <t>595.70</t>
  </si>
  <si>
    <t>Ахмедов</t>
  </si>
  <si>
    <t>481.48</t>
  </si>
  <si>
    <t>492.10</t>
  </si>
  <si>
    <t>514.70</t>
  </si>
  <si>
    <t>521.38</t>
  </si>
  <si>
    <t>599.34</t>
  </si>
  <si>
    <t>571.89</t>
  </si>
  <si>
    <t>517.03</t>
  </si>
  <si>
    <t>02.июль</t>
  </si>
  <si>
    <t>594.71</t>
  </si>
  <si>
    <t>605.00</t>
  </si>
  <si>
    <t>ОКЯТБРЬ</t>
  </si>
  <si>
    <t>марщрут</t>
  </si>
  <si>
    <t>0055 8386 9362</t>
  </si>
  <si>
    <t>Логутов</t>
  </si>
  <si>
    <t>0055</t>
  </si>
  <si>
    <t>Босяк</t>
  </si>
  <si>
    <t>620.22</t>
  </si>
  <si>
    <t>Пиминов</t>
  </si>
  <si>
    <t>526.83</t>
  </si>
  <si>
    <t>618.18</t>
  </si>
  <si>
    <t>551.44</t>
  </si>
  <si>
    <t>616.47</t>
  </si>
  <si>
    <t>619.36</t>
  </si>
  <si>
    <t>620.04</t>
  </si>
  <si>
    <t>619.33</t>
  </si>
  <si>
    <t>615.86</t>
  </si>
  <si>
    <t>Рогинский</t>
  </si>
  <si>
    <t>595.04</t>
  </si>
  <si>
    <t>621.74</t>
  </si>
  <si>
    <t>619.92</t>
  </si>
  <si>
    <t>604.29</t>
  </si>
  <si>
    <t>618.34</t>
  </si>
  <si>
    <t>621.54</t>
  </si>
  <si>
    <t>622.64</t>
  </si>
  <si>
    <t>622.87</t>
  </si>
  <si>
    <t>624.34</t>
  </si>
  <si>
    <t>624.78</t>
  </si>
  <si>
    <t>624.64</t>
  </si>
  <si>
    <t>624.30</t>
  </si>
  <si>
    <t>332.83</t>
  </si>
  <si>
    <t>623.33</t>
  </si>
  <si>
    <t>619.60</t>
  </si>
  <si>
    <t>1069.38</t>
  </si>
  <si>
    <t>927.07</t>
  </si>
  <si>
    <t>746.54</t>
  </si>
  <si>
    <t>910.68</t>
  </si>
  <si>
    <t>905.00</t>
  </si>
  <si>
    <t>863.48</t>
  </si>
  <si>
    <t>931.08</t>
  </si>
  <si>
    <t>888.19</t>
  </si>
  <si>
    <t>931.26</t>
  </si>
  <si>
    <t>905.01</t>
  </si>
  <si>
    <t>930.00</t>
  </si>
  <si>
    <t>842.80</t>
  </si>
  <si>
    <t>896.24</t>
  </si>
  <si>
    <t>930.04</t>
  </si>
  <si>
    <t>931.79</t>
  </si>
  <si>
    <t>915.74</t>
  </si>
  <si>
    <t>907.46</t>
  </si>
  <si>
    <t>929.27</t>
  </si>
  <si>
    <t>898.35</t>
  </si>
  <si>
    <t>864.15</t>
  </si>
  <si>
    <t>850.71</t>
  </si>
  <si>
    <t>897.38</t>
  </si>
  <si>
    <t>927.14</t>
  </si>
  <si>
    <t>931.60</t>
  </si>
  <si>
    <t>932.81</t>
  </si>
  <si>
    <t>934.33</t>
  </si>
  <si>
    <t>890.96</t>
  </si>
  <si>
    <t>933.39</t>
  </si>
  <si>
    <t>933.94</t>
  </si>
  <si>
    <t>934.29</t>
  </si>
  <si>
    <t>932.22</t>
  </si>
  <si>
    <t>934.94</t>
  </si>
  <si>
    <t>853.78</t>
  </si>
  <si>
    <t>933.52</t>
  </si>
  <si>
    <t>884.79</t>
  </si>
  <si>
    <t>932.39</t>
  </si>
  <si>
    <t>902.42</t>
  </si>
  <si>
    <t>881.09</t>
  </si>
  <si>
    <t>933.46</t>
  </si>
  <si>
    <t>827.76</t>
  </si>
  <si>
    <t>918.99</t>
  </si>
  <si>
    <t>929.96</t>
  </si>
  <si>
    <t>931.93</t>
  </si>
  <si>
    <t>903.24</t>
  </si>
  <si>
    <t>931.02</t>
  </si>
  <si>
    <t>932.17</t>
  </si>
  <si>
    <t>КСЕ шарик</t>
  </si>
  <si>
    <t>"0147 9271</t>
  </si>
  <si>
    <t>тотал апрель</t>
  </si>
  <si>
    <t>средний расход за июнь</t>
  </si>
  <si>
    <t>05.июль</t>
  </si>
  <si>
    <t>07.июль</t>
  </si>
  <si>
    <t>08.июль</t>
  </si>
  <si>
    <t>10.июль</t>
  </si>
  <si>
    <t xml:space="preserve">Кудрявцев </t>
  </si>
  <si>
    <t>ремонт Казань</t>
  </si>
  <si>
    <t>Казаченко</t>
  </si>
  <si>
    <t>Аи-92</t>
  </si>
  <si>
    <t>тотал за февраль</t>
  </si>
  <si>
    <t>01.май</t>
  </si>
  <si>
    <t>02.май</t>
  </si>
  <si>
    <t>06.май</t>
  </si>
  <si>
    <t>09.май</t>
  </si>
  <si>
    <t>11.май</t>
  </si>
  <si>
    <t>12.май</t>
  </si>
  <si>
    <t>13.май</t>
  </si>
  <si>
    <t>19.май</t>
  </si>
  <si>
    <t>20.май</t>
  </si>
  <si>
    <t>21.май</t>
  </si>
  <si>
    <t>03.июль</t>
  </si>
  <si>
    <t>норма 24</t>
  </si>
  <si>
    <t>Маршрут</t>
  </si>
  <si>
    <t>"0139  4792 9263</t>
  </si>
  <si>
    <t>Захаров old</t>
  </si>
  <si>
    <t>Захаров свч</t>
  </si>
  <si>
    <t xml:space="preserve">три заправки, которые есть в системе, но нет в таблице, ездил на МАЗ 048 </t>
  </si>
  <si>
    <t>тотал июнь-июль</t>
  </si>
  <si>
    <t>01.июль</t>
  </si>
  <si>
    <t>Мачулло</t>
  </si>
  <si>
    <t>1977 9339</t>
  </si>
  <si>
    <t>Понкратов</t>
  </si>
  <si>
    <t>тотал данные июнь</t>
  </si>
  <si>
    <t>04.июль</t>
  </si>
  <si>
    <t>тотал данные июль</t>
  </si>
  <si>
    <t>1951 9347</t>
  </si>
  <si>
    <t>Казазаев</t>
  </si>
  <si>
    <t>0287</t>
  </si>
  <si>
    <t>Деникин</t>
  </si>
  <si>
    <t>ФМ регионы</t>
  </si>
  <si>
    <t>Фейгин</t>
  </si>
  <si>
    <t xml:space="preserve">3484 8378 0287 </t>
  </si>
  <si>
    <t>24.май</t>
  </si>
  <si>
    <t>Давыдов Дмитрий</t>
  </si>
  <si>
    <t>заправки в 378</t>
  </si>
  <si>
    <t>фактические данные (посчитаны исходя из другой размерности колес)</t>
  </si>
  <si>
    <t>номинальные данные за август</t>
  </si>
  <si>
    <t>КСЕ Нижний</t>
  </si>
  <si>
    <t xml:space="preserve">наличные </t>
  </si>
  <si>
    <t>фактические данные за август</t>
  </si>
  <si>
    <t>0249 9305</t>
  </si>
  <si>
    <t>С 25.07 пересел с 258 и взял с собой карту 8352</t>
  </si>
  <si>
    <t>Сходолов</t>
  </si>
  <si>
    <t>0249</t>
  </si>
  <si>
    <t>7131 4909 9354 1501</t>
  </si>
  <si>
    <t>тотал май</t>
  </si>
  <si>
    <t>4826 9297</t>
  </si>
  <si>
    <t xml:space="preserve">   </t>
  </si>
  <si>
    <t>0204 7107 9388</t>
  </si>
  <si>
    <t xml:space="preserve">СЕНТЯБРЬ </t>
  </si>
  <si>
    <t>Харченко</t>
  </si>
  <si>
    <t>#ССЫЛКА!</t>
  </si>
  <si>
    <t>Пшинык</t>
  </si>
  <si>
    <t>Будылин</t>
  </si>
  <si>
    <t>Пелешенко</t>
  </si>
  <si>
    <t>Панов</t>
  </si>
  <si>
    <t xml:space="preserve">ЯНВАРЬ </t>
  </si>
  <si>
    <t>НЕ БЫЛО ЗАПРАВОК</t>
  </si>
  <si>
    <t>Мазерати</t>
  </si>
  <si>
    <t>0246 9289</t>
  </si>
  <si>
    <t>Карапка</t>
  </si>
  <si>
    <t>Николаев</t>
  </si>
  <si>
    <t>Жомер</t>
  </si>
  <si>
    <t>Астапов</t>
  </si>
  <si>
    <t>Макаров</t>
  </si>
  <si>
    <t>Громов</t>
  </si>
  <si>
    <t>Мкртчян</t>
  </si>
  <si>
    <t>Давыдов</t>
  </si>
  <si>
    <t>Тютюнинк</t>
  </si>
  <si>
    <t>ДПД Волгоградка</t>
  </si>
  <si>
    <t>Диникин</t>
  </si>
  <si>
    <t>Дерпаско</t>
  </si>
  <si>
    <t>8394</t>
  </si>
  <si>
    <t>Загайнов</t>
  </si>
  <si>
    <t>Кудрявце</t>
  </si>
  <si>
    <t>0139</t>
  </si>
  <si>
    <t>Быкова</t>
  </si>
  <si>
    <t>2009</t>
  </si>
  <si>
    <t>Чарыков</t>
  </si>
  <si>
    <t>Сентябрь</t>
  </si>
  <si>
    <t>2025</t>
  </si>
  <si>
    <t>Васильев</t>
  </si>
  <si>
    <t>Деткин</t>
  </si>
  <si>
    <t>котельник</t>
  </si>
  <si>
    <t>Котельник</t>
  </si>
  <si>
    <t>АИ-92 50 литров</t>
  </si>
  <si>
    <t>Ноябрь</t>
  </si>
  <si>
    <t>Декабрь</t>
  </si>
  <si>
    <t>Январь</t>
  </si>
  <si>
    <r>
      <rPr>
        <rFont val="Arial"/>
        <color theme="1"/>
      </rPr>
      <t xml:space="preserve">На данном листе формулы, которые потенциально могут пригодитья. </t>
    </r>
    <r>
      <rPr>
        <rFont val="Arial"/>
        <b/>
        <color theme="1"/>
      </rPr>
      <t>НЕ УДАЛЯТЬ!!!</t>
    </r>
  </si>
  <si>
    <t>адреса заправок</t>
  </si>
  <si>
    <t>адрес заправки из крассулы</t>
  </si>
  <si>
    <t>ссылка на адрес в Яндекс картах</t>
  </si>
  <si>
    <t>красные ячейки можно менять, зелёные считаются автоматически!!!</t>
  </si>
  <si>
    <t>Московская область, Чеховский р-н70 км</t>
  </si>
  <si>
    <t>Владимирская область, Гороховец332 км</t>
  </si>
  <si>
    <t>Московская область, Павлово-Посадский район, д. Кузнецы69 км</t>
  </si>
  <si>
    <t>Московская область, Павловский Посад51 км</t>
  </si>
  <si>
    <t>Пензенская область, г. Мокшан, ул. Строителей земельный участок 14х</t>
  </si>
  <si>
    <t>ширина шины (мм)</t>
  </si>
  <si>
    <t>Нижегородская область, д. Новоликеево, трасса М7, 443 км, справа443 км</t>
  </si>
  <si>
    <t>высота шины (в % от ширины)</t>
  </si>
  <si>
    <t>56.071694,46.97941</t>
  </si>
  <si>
    <t>Россия, Невский район, г. Санкт-Петербург, ул. Запорожская, 33А</t>
  </si>
  <si>
    <t>Пример формулы, забитой  в правый столбец, внизу. В ней "I5" (выделено красным), это ячейка с адресом из крассулы и это единственный параметр, который будет меняться, всё остальное будет одинаковым</t>
  </si>
  <si>
    <r>
      <rPr>
        <rFont val="Arial"/>
        <color theme="1"/>
      </rPr>
      <t>= IMPORTDATA(СЦЕПИТЬ("https://clck.ru/--?url=";REGEXREPLACE(ГИПЕРССЫЛКА("http://maps.yandex.ru?text="&amp;</t>
    </r>
    <r>
      <rPr>
        <rFont val="Arial"/>
        <color rgb="FFFF0000"/>
      </rPr>
      <t>I5</t>
    </r>
    <r>
      <rPr>
        <rFont val="Arial"/>
        <color theme="1"/>
      </rPr>
      <t>&amp;"%20");"&amp;";"%26")))</t>
    </r>
  </si>
  <si>
    <t xml:space="preserve">заправки по красулле </t>
  </si>
  <si>
    <t>номинальный расход</t>
  </si>
  <si>
    <t>номинальный перерасход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</si>
</sst>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0.0000000000"/>
    <numFmt numFmtId="165" formatCode="dd.MM.yyyy"/>
    <numFmt numFmtId="166" formatCode="dd.mm."/>
    <numFmt numFmtId="167" formatCode="dd.mm"/>
    <numFmt numFmtId="168" formatCode="d.m"/>
    <numFmt numFmtId="169" formatCode="dd.mm.yy"/>
    <numFmt numFmtId="170" formatCode="dd.mm.yyyy"/>
    <numFmt numFmtId="171" formatCode="d.m.yyyy"/>
    <numFmt numFmtId="172" formatCode="d.m.yy"/>
    <numFmt numFmtId="173" formatCode="d.mmm"/>
    <numFmt numFmtId="174" formatCode="d.m."/>
    <numFmt numFmtId="175" formatCode="dd.mm.yyyy h:mm:ss"/>
  </numFmts>
  <fonts count="51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/>
    <font>
      <sz val="10.0"/>
      <color theme="1"/>
      <name val="Arial"/>
      <scheme val="minor"/>
    </font>
    <font>
      <sz val="10.0"/>
      <color rgb="FF000000"/>
      <name val="Arial"/>
    </font>
    <font>
      <sz val="10.0"/>
      <color rgb="FFFF0000"/>
      <name val="Arial"/>
      <scheme val="minor"/>
    </font>
    <font>
      <sz val="10.0"/>
      <color theme="1"/>
      <name val="Arial"/>
    </font>
    <font>
      <sz val="9.0"/>
      <color theme="1"/>
      <name val="Google Sans Mono"/>
    </font>
    <font>
      <color rgb="FFFF0000"/>
      <name val="Arial"/>
    </font>
    <font>
      <color rgb="FFD9D2E9"/>
      <name val="Arial"/>
    </font>
    <font>
      <sz val="10.0"/>
      <color rgb="FF172336"/>
      <name val="Arial"/>
      <scheme val="minor"/>
    </font>
    <font>
      <sz val="10.0"/>
      <color rgb="FF172336"/>
      <name val="Arial"/>
    </font>
    <font>
      <sz val="11.0"/>
      <color rgb="FF212121"/>
      <name val="&quot;Roboto Condensed&quot;"/>
    </font>
    <font>
      <sz val="11.0"/>
      <color rgb="FFFFFFFF"/>
      <name val="&quot;Roboto Condensed&quot;"/>
    </font>
    <font>
      <sz val="11.0"/>
      <color theme="1"/>
      <name val="&quot;Yandex Sans Text&quot;"/>
    </font>
    <font>
      <sz val="11.0"/>
      <color rgb="FF000000"/>
      <name val="&quot;Yandex Sans Text&quot;"/>
    </font>
    <font>
      <sz val="10.0"/>
      <color rgb="FF172336"/>
      <name val="Roboto"/>
    </font>
    <font>
      <sz val="12.0"/>
      <color rgb="FFFF0000"/>
      <name val="Arial"/>
    </font>
    <font>
      <sz val="12.0"/>
      <color rgb="FFFF0000"/>
      <name val="Arial"/>
      <scheme val="minor"/>
    </font>
    <font>
      <sz val="10.0"/>
      <color theme="1"/>
      <name val="Google Sans Mono"/>
    </font>
    <font>
      <sz val="11.0"/>
      <color rgb="FF172336"/>
      <name val="Roboto"/>
    </font>
    <font>
      <sz val="10.0"/>
      <color theme="1"/>
      <name val="Times New Roman"/>
    </font>
    <font>
      <b/>
      <sz val="10.0"/>
      <color theme="1"/>
      <name val="Arial"/>
    </font>
    <font>
      <sz val="16.0"/>
      <color theme="1"/>
      <name val="Arial"/>
      <scheme val="minor"/>
    </font>
    <font>
      <color rgb="FF000000"/>
      <name val="Arial"/>
    </font>
    <font>
      <sz val="5.0"/>
      <color theme="1"/>
      <name val="Arial"/>
      <scheme val="minor"/>
    </font>
    <font>
      <color rgb="FFFF0000"/>
      <name val="Arial"/>
      <scheme val="minor"/>
    </font>
    <font>
      <color rgb="FFD9D9D9"/>
      <name val="Arial"/>
    </font>
    <font>
      <sz val="10.0"/>
      <color rgb="FF212121"/>
      <name val="Arial"/>
      <scheme val="minor"/>
    </font>
    <font>
      <sz val="9.0"/>
      <color theme="1"/>
      <name val="Arial"/>
      <scheme val="minor"/>
    </font>
    <font>
      <sz val="9.0"/>
      <color rgb="FF000000"/>
      <name val="&quot;Google Sans Mono&quot;"/>
    </font>
    <font>
      <sz val="42.0"/>
      <color theme="1"/>
      <name val="Arial"/>
      <scheme val="minor"/>
    </font>
    <font>
      <sz val="10.0"/>
      <color rgb="FF0070C0"/>
      <name val="Arial"/>
      <scheme val="minor"/>
    </font>
    <font>
      <sz val="10.0"/>
      <color rgb="FFFF0000"/>
      <name val="Calibri"/>
    </font>
    <font>
      <sz val="10.0"/>
      <color rgb="FF000000"/>
      <name val="Calibri"/>
    </font>
    <font>
      <sz val="11.0"/>
      <color rgb="FF000000"/>
      <name val="Calibri"/>
    </font>
    <font>
      <sz val="10.0"/>
      <color rgb="FFFF0000"/>
      <name val="Arial"/>
    </font>
    <font>
      <sz val="10.0"/>
      <color rgb="FF464646"/>
      <name val="Arial"/>
    </font>
    <font>
      <color theme="1"/>
      <name val="Google Sans Mono"/>
    </font>
    <font>
      <sz val="15.0"/>
      <color rgb="FFFF0000"/>
      <name val="Arial"/>
      <scheme val="minor"/>
    </font>
    <font>
      <sz val="8.0"/>
      <color rgb="FF000000"/>
      <name val="Arial"/>
      <scheme val="minor"/>
    </font>
    <font>
      <sz val="11.0"/>
      <color rgb="FF000000"/>
      <name val="Arial"/>
      <scheme val="minor"/>
    </font>
    <font>
      <sz val="8.0"/>
      <color theme="1"/>
      <name val="Arial"/>
      <scheme val="minor"/>
    </font>
    <font>
      <color theme="1"/>
      <name val="Times New Roman"/>
    </font>
    <font>
      <sz val="11.0"/>
      <color theme="1"/>
      <name val="Calibri"/>
    </font>
    <font>
      <sz val="11.0"/>
      <color rgb="FF0070C0"/>
      <name val="Calibri"/>
    </font>
    <font>
      <b/>
      <color theme="1"/>
      <name val="Arial"/>
      <scheme val="minor"/>
    </font>
    <font>
      <i/>
      <color theme="1"/>
      <name val="Arial"/>
      <scheme val="minor"/>
    </font>
    <font>
      <u/>
      <sz val="10.0"/>
      <color rgb="FF0000FF"/>
    </font>
    <font>
      <u/>
      <color rgb="FF0000FF"/>
    </font>
  </fonts>
  <fills count="25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4A86E8"/>
        <bgColor rgb="FF4A86E8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C9DAF8"/>
        <bgColor rgb="FFC9DAF8"/>
      </patternFill>
    </fill>
    <fill>
      <patternFill patternType="solid">
        <fgColor rgb="FFB7E1CD"/>
        <bgColor rgb="FFB7E1CD"/>
      </patternFill>
    </fill>
    <fill>
      <patternFill patternType="solid">
        <fgColor rgb="FF6AA84F"/>
        <bgColor rgb="FF6AA84F"/>
      </patternFill>
    </fill>
    <fill>
      <patternFill patternType="solid">
        <fgColor rgb="FFCCCCCC"/>
        <bgColor rgb="FFCCCCCC"/>
      </patternFill>
    </fill>
    <fill>
      <patternFill patternType="solid">
        <fgColor rgb="FFDD7E6B"/>
        <bgColor rgb="FFDD7E6B"/>
      </patternFill>
    </fill>
    <fill>
      <patternFill patternType="solid">
        <fgColor rgb="FFB4A7D6"/>
        <bgColor rgb="FFB4A7D6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theme="0"/>
        <bgColor theme="0"/>
      </patternFill>
    </fill>
    <fill>
      <patternFill patternType="solid">
        <fgColor rgb="FFE06666"/>
        <bgColor rgb="FFE06666"/>
      </patternFill>
    </fill>
  </fills>
  <borders count="5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</border>
    <border>
      <right style="thin">
        <color rgb="FF2F75B5"/>
      </right>
      <top style="thin">
        <color rgb="FF2F75B5"/>
      </top>
      <bottom style="thin">
        <color rgb="FF2F75B5"/>
      </bottom>
    </border>
    <border>
      <left style="thin">
        <color rgb="FF2F75B5"/>
      </left>
      <right style="thin">
        <color rgb="FF2F75B5"/>
      </right>
      <bottom style="thin">
        <color rgb="FF2F75B5"/>
      </bottom>
    </border>
    <border>
      <right style="thin">
        <color rgb="FF2F75B5"/>
      </right>
      <bottom style="thin">
        <color rgb="FF2F75B5"/>
      </bottom>
    </border>
    <border>
      <left style="thin">
        <color rgb="FF2F75B5"/>
      </left>
      <right style="thin">
        <color rgb="FF595959"/>
      </right>
      <top style="thin">
        <color rgb="FF2F75B5"/>
      </top>
      <bottom style="thin">
        <color rgb="FF2F75B5"/>
      </bottom>
    </border>
    <border>
      <top style="thin">
        <color rgb="FF2F75B5"/>
      </top>
      <bottom style="thin">
        <color rgb="FF2F75B5"/>
      </bottom>
    </border>
    <border>
      <left style="thin">
        <color rgb="FF2F75B5"/>
      </left>
      <right style="thin">
        <color rgb="FF595959"/>
      </right>
      <bottom style="thin">
        <color rgb="FF2F75B5"/>
      </bottom>
    </border>
    <border>
      <bottom style="thin">
        <color rgb="FF2F75B5"/>
      </bottom>
    </border>
    <border>
      <left style="thin">
        <color rgb="FF2F75B5"/>
      </left>
      <right style="thin">
        <color rgb="FF2F75B5"/>
      </right>
    </border>
    <border>
      <left style="thin">
        <color rgb="FF2F75B5"/>
      </left>
      <top style="thin">
        <color rgb="FF2F75B5"/>
      </top>
      <bottom style="thin">
        <color rgb="FF2F75B5"/>
      </bottom>
    </border>
    <border>
      <left style="thin">
        <color rgb="FF595959"/>
      </left>
      <right style="thin">
        <color rgb="FF595959"/>
      </right>
      <bottom style="thin">
        <color rgb="FF2F75B5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366092"/>
      </left>
      <right style="thin">
        <color rgb="FF366092"/>
      </right>
      <top style="thin">
        <color rgb="FF366092"/>
      </top>
      <bottom style="thin">
        <color rgb="FF366092"/>
      </bottom>
    </border>
    <border>
      <left style="thin">
        <color rgb="FF366092"/>
      </left>
      <right style="thin">
        <color rgb="FF366092"/>
      </right>
      <bottom style="thin">
        <color rgb="FF366092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688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1" fillId="0" fontId="2" numFmtId="0" xfId="0" applyAlignment="1" applyBorder="1" applyFont="1">
      <alignment vertical="bottom"/>
    </xf>
    <xf borderId="1" fillId="0" fontId="1" numFmtId="0" xfId="0" applyAlignment="1" applyBorder="1" applyFont="1">
      <alignment readingOrder="0"/>
    </xf>
    <xf borderId="0" fillId="0" fontId="1" numFmtId="0" xfId="0" applyAlignment="1" applyFont="1">
      <alignment horizontal="center" readingOrder="0"/>
    </xf>
    <xf borderId="3" fillId="2" fontId="1" numFmtId="0" xfId="0" applyAlignment="1" applyBorder="1" applyFill="1" applyFont="1">
      <alignment horizontal="center" readingOrder="0"/>
    </xf>
    <xf borderId="3" fillId="0" fontId="3" numFmtId="0" xfId="0" applyBorder="1" applyFont="1"/>
    <xf borderId="4" fillId="0" fontId="3" numFmtId="0" xfId="0" applyBorder="1" applyFont="1"/>
    <xf borderId="0" fillId="0" fontId="1" numFmtId="0" xfId="0" applyAlignment="1" applyFont="1">
      <alignment readingOrder="0"/>
    </xf>
    <xf borderId="5" fillId="0" fontId="1" numFmtId="0" xfId="0" applyAlignment="1" applyBorder="1" applyFont="1">
      <alignment readingOrder="0"/>
    </xf>
    <xf borderId="6" fillId="0" fontId="1" numFmtId="0" xfId="0" applyBorder="1" applyFont="1"/>
    <xf borderId="7" fillId="0" fontId="1" numFmtId="0" xfId="0" applyAlignment="1" applyBorder="1" applyFont="1">
      <alignment readingOrder="0"/>
    </xf>
    <xf borderId="7" fillId="0" fontId="1" numFmtId="0" xfId="0" applyBorder="1" applyFont="1"/>
    <xf borderId="8" fillId="0" fontId="2" numFmtId="0" xfId="0" applyAlignment="1" applyBorder="1" applyFont="1">
      <alignment readingOrder="0" vertical="bottom"/>
    </xf>
    <xf borderId="0" fillId="3" fontId="1" numFmtId="4" xfId="0" applyFill="1" applyFont="1" applyNumberFormat="1"/>
    <xf borderId="0" fillId="4" fontId="1" numFmtId="0" xfId="0" applyAlignment="1" applyFill="1" applyFont="1">
      <alignment horizontal="center" readingOrder="0"/>
    </xf>
    <xf borderId="6" fillId="0" fontId="1" numFmtId="2" xfId="0" applyBorder="1" applyFont="1" applyNumberFormat="1"/>
    <xf borderId="7" fillId="0" fontId="1" numFmtId="2" xfId="0" applyBorder="1" applyFont="1" applyNumberFormat="1"/>
    <xf borderId="7" fillId="0" fontId="1" numFmtId="2" xfId="0" applyAlignment="1" applyBorder="1" applyFont="1" applyNumberFormat="1">
      <alignment readingOrder="0"/>
    </xf>
    <xf borderId="6" fillId="0" fontId="1" numFmtId="0" xfId="0" applyAlignment="1" applyBorder="1" applyFont="1">
      <alignment readingOrder="0"/>
    </xf>
    <xf borderId="0" fillId="5" fontId="1" numFmtId="0" xfId="0" applyAlignment="1" applyFill="1" applyFont="1">
      <alignment readingOrder="0"/>
    </xf>
    <xf borderId="7" fillId="5" fontId="2" numFmtId="0" xfId="0" applyAlignment="1" applyBorder="1" applyFont="1">
      <alignment horizontal="center" readingOrder="0" vertical="bottom"/>
    </xf>
    <xf borderId="2" fillId="0" fontId="1" numFmtId="0" xfId="0" applyAlignment="1" applyBorder="1" applyFont="1">
      <alignment horizontal="center" readingOrder="0"/>
    </xf>
    <xf borderId="9" fillId="0" fontId="3" numFmtId="0" xfId="0" applyBorder="1" applyFont="1"/>
    <xf borderId="10" fillId="0" fontId="1" numFmtId="0" xfId="0" applyAlignment="1" applyBorder="1" applyFont="1">
      <alignment horizontal="center" readingOrder="0"/>
    </xf>
    <xf borderId="8" fillId="0" fontId="2" numFmtId="0" xfId="0" applyAlignment="1" applyBorder="1" applyFont="1">
      <alignment vertical="bottom"/>
    </xf>
    <xf borderId="11" fillId="5" fontId="1" numFmtId="0" xfId="0" applyAlignment="1" applyBorder="1" applyFont="1">
      <alignment readingOrder="0"/>
    </xf>
    <xf borderId="12" fillId="5" fontId="1" numFmtId="0" xfId="0" applyAlignment="1" applyBorder="1" applyFont="1">
      <alignment readingOrder="0"/>
    </xf>
    <xf borderId="13" fillId="5" fontId="1" numFmtId="0" xfId="0" applyAlignment="1" applyBorder="1" applyFont="1">
      <alignment readingOrder="0"/>
    </xf>
    <xf borderId="14" fillId="5" fontId="1" numFmtId="0" xfId="0" applyAlignment="1" applyBorder="1" applyFont="1">
      <alignment readingOrder="0"/>
    </xf>
    <xf borderId="15" fillId="5" fontId="1" numFmtId="0" xfId="0" applyAlignment="1" applyBorder="1" applyFont="1">
      <alignment readingOrder="0"/>
    </xf>
    <xf borderId="16" fillId="5" fontId="1" numFmtId="0" xfId="0" applyAlignment="1" applyBorder="1" applyFont="1">
      <alignment readingOrder="0"/>
    </xf>
    <xf borderId="17" fillId="5" fontId="1" numFmtId="0" xfId="0" applyAlignment="1" applyBorder="1" applyFont="1">
      <alignment readingOrder="0"/>
    </xf>
    <xf borderId="18" fillId="5" fontId="1" numFmtId="0" xfId="0" applyAlignment="1" applyBorder="1" applyFont="1">
      <alignment readingOrder="0"/>
    </xf>
    <xf borderId="0" fillId="0" fontId="1" numFmtId="2" xfId="0" applyFont="1" applyNumberFormat="1"/>
    <xf borderId="19" fillId="0" fontId="1" numFmtId="0" xfId="0" applyAlignment="1" applyBorder="1" applyFont="1">
      <alignment readingOrder="0"/>
    </xf>
    <xf borderId="19" fillId="0" fontId="1" numFmtId="164" xfId="0" applyBorder="1" applyFont="1" applyNumberFormat="1"/>
    <xf borderId="19" fillId="0" fontId="1" numFmtId="2" xfId="0" applyAlignment="1" applyBorder="1" applyFont="1" applyNumberFormat="1">
      <alignment readingOrder="0"/>
    </xf>
    <xf borderId="20" fillId="0" fontId="1" numFmtId="0" xfId="0" applyBorder="1" applyFont="1"/>
    <xf borderId="20" fillId="0" fontId="1" numFmtId="0" xfId="0" applyAlignment="1" applyBorder="1" applyFont="1">
      <alignment readingOrder="0"/>
    </xf>
    <xf borderId="21" fillId="0" fontId="1" numFmtId="0" xfId="0" applyAlignment="1" applyBorder="1" applyFont="1">
      <alignment horizontal="center" readingOrder="0"/>
    </xf>
    <xf borderId="22" fillId="0" fontId="3" numFmtId="0" xfId="0" applyBorder="1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/>
    </xf>
    <xf borderId="23" fillId="0" fontId="1" numFmtId="2" xfId="0" applyAlignment="1" applyBorder="1" applyFont="1" applyNumberFormat="1">
      <alignment horizontal="center"/>
    </xf>
    <xf borderId="24" fillId="0" fontId="3" numFmtId="0" xfId="0" applyBorder="1" applyFont="1"/>
    <xf borderId="0" fillId="0" fontId="1" numFmtId="2" xfId="0" applyAlignment="1" applyFont="1" applyNumberFormat="1">
      <alignment horizontal="center"/>
    </xf>
    <xf borderId="11" fillId="0" fontId="1" numFmtId="0" xfId="0" applyAlignment="1" applyBorder="1" applyFont="1">
      <alignment horizontal="center" readingOrder="0" vertical="center"/>
    </xf>
    <xf borderId="13" fillId="0" fontId="3" numFmtId="0" xfId="0" applyBorder="1" applyFont="1"/>
    <xf borderId="12" fillId="0" fontId="3" numFmtId="0" xfId="0" applyBorder="1" applyFont="1"/>
    <xf borderId="16" fillId="0" fontId="3" numFmtId="0" xfId="0" applyBorder="1" applyFont="1"/>
    <xf borderId="18" fillId="0" fontId="3" numFmtId="0" xfId="0" applyBorder="1" applyFont="1"/>
    <xf borderId="17" fillId="0" fontId="3" numFmtId="0" xfId="0" applyBorder="1" applyFont="1"/>
    <xf borderId="0" fillId="0" fontId="4" numFmtId="0" xfId="0" applyFont="1"/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2" xfId="0" applyAlignment="1" applyFont="1" applyNumberFormat="1">
      <alignment vertical="bottom"/>
    </xf>
    <xf borderId="0" fillId="0" fontId="4" numFmtId="0" xfId="0" applyAlignment="1" applyFont="1">
      <alignment horizontal="right" readingOrder="0"/>
    </xf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4" numFmtId="2" xfId="0" applyAlignment="1" applyFont="1" applyNumberFormat="1">
      <alignment readingOrder="0"/>
    </xf>
    <xf borderId="0" fillId="0" fontId="5" numFmtId="4" xfId="0" applyAlignment="1" applyFont="1" applyNumberFormat="1">
      <alignment horizontal="right" readingOrder="0" textRotation="0" vertical="bottom"/>
    </xf>
    <xf borderId="0" fillId="0" fontId="4" numFmtId="2" xfId="0" applyFont="1" applyNumberFormat="1"/>
    <xf borderId="0" fillId="5" fontId="4" numFmtId="0" xfId="0" applyAlignment="1" applyFont="1">
      <alignment readingOrder="0"/>
    </xf>
    <xf borderId="0" fillId="5" fontId="4" numFmtId="0" xfId="0" applyFont="1"/>
    <xf borderId="0" fillId="2" fontId="4" numFmtId="0" xfId="0" applyFont="1"/>
    <xf borderId="0" fillId="2" fontId="6" numFmtId="0" xfId="0" applyAlignment="1" applyFont="1">
      <alignment horizontal="center" readingOrder="0"/>
    </xf>
    <xf borderId="0" fillId="2" fontId="1" numFmtId="0" xfId="0" applyFont="1"/>
    <xf borderId="0" fillId="2" fontId="1" numFmtId="0" xfId="0" applyAlignment="1" applyFont="1">
      <alignment horizontal="center"/>
    </xf>
    <xf borderId="7" fillId="0" fontId="7" numFmtId="166" xfId="0" applyAlignment="1" applyBorder="1" applyFont="1" applyNumberFormat="1">
      <alignment horizontal="left" readingOrder="0" vertical="bottom"/>
    </xf>
    <xf borderId="7" fillId="0" fontId="7" numFmtId="0" xfId="0" applyAlignment="1" applyBorder="1" applyFont="1">
      <alignment horizontal="left" readingOrder="0" vertical="bottom"/>
    </xf>
    <xf borderId="7" fillId="0" fontId="7" numFmtId="0" xfId="0" applyAlignment="1" applyBorder="1" applyFont="1">
      <alignment horizontal="right" readingOrder="0" vertical="bottom"/>
    </xf>
    <xf borderId="7" fillId="0" fontId="7" numFmtId="0" xfId="0" applyAlignment="1" applyBorder="1" applyFont="1">
      <alignment horizontal="left" vertical="bottom"/>
    </xf>
    <xf borderId="8" fillId="5" fontId="4" numFmtId="0" xfId="0" applyAlignment="1" applyBorder="1" applyFont="1">
      <alignment horizontal="center" readingOrder="0"/>
    </xf>
    <xf borderId="25" fillId="0" fontId="3" numFmtId="0" xfId="0" applyBorder="1" applyFont="1"/>
    <xf borderId="6" fillId="0" fontId="3" numFmtId="0" xfId="0" applyBorder="1" applyFont="1"/>
    <xf borderId="7" fillId="0" fontId="4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/>
    </xf>
    <xf borderId="7" fillId="0" fontId="1" numFmtId="0" xfId="0" applyAlignment="1" applyBorder="1" applyFont="1">
      <alignment horizontal="center"/>
    </xf>
    <xf borderId="7" fillId="0" fontId="1" numFmtId="2" xfId="0" applyAlignment="1" applyBorder="1" applyFont="1" applyNumberFormat="1">
      <alignment horizontal="center"/>
    </xf>
    <xf borderId="8" fillId="5" fontId="8" numFmtId="0" xfId="0" applyAlignment="1" applyBorder="1" applyFont="1">
      <alignment horizontal="center" vertical="bottom"/>
    </xf>
    <xf borderId="7" fillId="0" fontId="2" numFmtId="0" xfId="0" applyAlignment="1" applyBorder="1" applyFont="1">
      <alignment horizontal="center" vertical="bottom"/>
    </xf>
    <xf borderId="7" fillId="0" fontId="2" numFmtId="0" xfId="0" applyAlignment="1" applyBorder="1" applyFont="1">
      <alignment horizontal="center" vertical="bottom"/>
    </xf>
    <xf borderId="7" fillId="0" fontId="2" numFmtId="2" xfId="0" applyAlignment="1" applyBorder="1" applyFont="1" applyNumberFormat="1">
      <alignment horizontal="center" vertical="bottom"/>
    </xf>
    <xf borderId="0" fillId="0" fontId="4" numFmtId="0" xfId="0" applyAlignment="1" applyFont="1">
      <alignment horizontal="center"/>
    </xf>
    <xf borderId="0" fillId="2" fontId="2" numFmtId="0" xfId="0" applyAlignment="1" applyFont="1">
      <alignment readingOrder="0" vertical="bottom"/>
    </xf>
    <xf borderId="0" fillId="2" fontId="9" numFmtId="0" xfId="0" applyAlignment="1" applyFont="1">
      <alignment horizontal="center" vertical="bottom"/>
    </xf>
    <xf borderId="0" fillId="2" fontId="2" numFmtId="0" xfId="0" applyAlignment="1" applyFont="1">
      <alignment vertical="bottom"/>
    </xf>
    <xf borderId="0" fillId="2" fontId="2" numFmtId="2" xfId="0" applyAlignment="1" applyFont="1" applyNumberFormat="1">
      <alignment vertical="bottom"/>
    </xf>
    <xf borderId="0" fillId="2" fontId="10" numFmtId="0" xfId="0" applyAlignment="1" applyFont="1">
      <alignment horizontal="right" vertical="bottom"/>
    </xf>
    <xf borderId="0" fillId="2" fontId="10" numFmtId="0" xfId="0" applyAlignment="1" applyFont="1">
      <alignment vertical="bottom"/>
    </xf>
    <xf borderId="0" fillId="2" fontId="2" numFmtId="0" xfId="0" applyAlignment="1" applyFont="1">
      <alignment horizontal="center" vertical="bottom"/>
    </xf>
    <xf borderId="7" fillId="0" fontId="4" numFmtId="166" xfId="0" applyAlignment="1" applyBorder="1" applyFont="1" applyNumberFormat="1">
      <alignment horizontal="left" readingOrder="0" vertical="bottom"/>
    </xf>
    <xf borderId="7" fillId="0" fontId="4" numFmtId="0" xfId="0" applyAlignment="1" applyBorder="1" applyFont="1">
      <alignment horizontal="left" vertical="bottom"/>
    </xf>
    <xf borderId="7" fillId="0" fontId="4" numFmtId="0" xfId="0" applyAlignment="1" applyBorder="1" applyFont="1">
      <alignment horizontal="left" readingOrder="0" vertical="bottom"/>
    </xf>
    <xf borderId="7" fillId="0" fontId="4" numFmtId="0" xfId="0" applyAlignment="1" applyBorder="1" applyFont="1">
      <alignment horizontal="right" readingOrder="0" vertical="bottom"/>
    </xf>
    <xf borderId="7" fillId="0" fontId="4" numFmtId="167" xfId="0" applyAlignment="1" applyBorder="1" applyFont="1" applyNumberFormat="1">
      <alignment horizontal="left" readingOrder="0"/>
    </xf>
    <xf borderId="7" fillId="0" fontId="4" numFmtId="0" xfId="0" applyAlignment="1" applyBorder="1" applyFont="1">
      <alignment horizontal="left"/>
    </xf>
    <xf borderId="7" fillId="0" fontId="4" numFmtId="0" xfId="0" applyAlignment="1" applyBorder="1" applyFont="1">
      <alignment horizontal="left" readingOrder="0"/>
    </xf>
    <xf borderId="7" fillId="0" fontId="4" numFmtId="0" xfId="0" applyAlignment="1" applyBorder="1" applyFont="1">
      <alignment readingOrder="0"/>
    </xf>
    <xf borderId="7" fillId="0" fontId="4" numFmtId="0" xfId="0" applyBorder="1" applyFont="1"/>
    <xf borderId="7" fillId="0" fontId="4" numFmtId="2" xfId="0" applyBorder="1" applyFont="1" applyNumberFormat="1"/>
    <xf borderId="7" fillId="0" fontId="11" numFmtId="0" xfId="0" applyAlignment="1" applyBorder="1" applyFont="1">
      <alignment horizontal="left" readingOrder="0"/>
    </xf>
    <xf borderId="7" fillId="0" fontId="7" numFmtId="0" xfId="0" applyAlignment="1" applyBorder="1" applyFont="1">
      <alignment horizontal="left" readingOrder="0"/>
    </xf>
    <xf borderId="0" fillId="0" fontId="12" numFmtId="0" xfId="0" applyAlignment="1" applyFont="1">
      <alignment horizontal="left" readingOrder="0"/>
    </xf>
    <xf borderId="7" fillId="0" fontId="7" numFmtId="167" xfId="0" applyAlignment="1" applyBorder="1" applyFont="1" applyNumberFormat="1">
      <alignment horizontal="left" readingOrder="0"/>
    </xf>
    <xf borderId="7" fillId="0" fontId="7" numFmtId="0" xfId="0" applyAlignment="1" applyBorder="1" applyFont="1">
      <alignment horizontal="left"/>
    </xf>
    <xf borderId="7" fillId="0" fontId="12" numFmtId="0" xfId="0" applyAlignment="1" applyBorder="1" applyFont="1">
      <alignment horizontal="left" readingOrder="0"/>
    </xf>
    <xf borderId="7" fillId="0" fontId="4" numFmtId="168" xfId="0" applyAlignment="1" applyBorder="1" applyFont="1" applyNumberFormat="1">
      <alignment horizontal="left" readingOrder="0"/>
    </xf>
    <xf borderId="0" fillId="0" fontId="11" numFmtId="0" xfId="0" applyAlignment="1" applyFont="1">
      <alignment horizontal="left" readingOrder="0" shrinkToFit="0" wrapText="0"/>
    </xf>
    <xf borderId="0" fillId="2" fontId="9" numFmtId="0" xfId="0" applyAlignment="1" applyFont="1">
      <alignment horizontal="center" readingOrder="0" vertical="bottom"/>
    </xf>
    <xf borderId="0" fillId="2" fontId="4" numFmtId="0" xfId="0" applyAlignment="1" applyFont="1">
      <alignment horizontal="center"/>
    </xf>
    <xf borderId="0" fillId="0" fontId="4" numFmtId="0" xfId="0" applyAlignment="1" applyFont="1">
      <alignment horizontal="left"/>
    </xf>
    <xf borderId="0" fillId="0" fontId="13" numFmtId="0" xfId="0" applyAlignment="1" applyFont="1">
      <alignment horizontal="left" readingOrder="0"/>
    </xf>
    <xf borderId="0" fillId="0" fontId="14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15" numFmtId="0" xfId="0" applyAlignment="1" applyFont="1">
      <alignment readingOrder="0" shrinkToFit="0" wrapText="1"/>
    </xf>
    <xf borderId="0" fillId="0" fontId="16" numFmtId="0" xfId="0" applyAlignment="1" applyFont="1">
      <alignment shrinkToFit="0" wrapText="1"/>
    </xf>
    <xf borderId="0" fillId="0" fontId="4" numFmtId="0" xfId="0" applyAlignment="1" applyFont="1">
      <alignment horizontal="center" readingOrder="0"/>
    </xf>
    <xf borderId="0" fillId="0" fontId="0" numFmtId="0" xfId="0" applyAlignment="1" applyFont="1">
      <alignment horizontal="right" readingOrder="0" vertical="bottom"/>
    </xf>
    <xf borderId="0" fillId="6" fontId="1" numFmtId="0" xfId="0" applyAlignment="1" applyFill="1" applyFont="1">
      <alignment horizontal="center" readingOrder="0"/>
    </xf>
    <xf borderId="7" fillId="0" fontId="4" numFmtId="166" xfId="0" applyAlignment="1" applyBorder="1" applyFont="1" applyNumberFormat="1">
      <alignment horizontal="center" readingOrder="0" vertical="bottom"/>
    </xf>
    <xf borderId="8" fillId="6" fontId="4" numFmtId="0" xfId="0" applyAlignment="1" applyBorder="1" applyFont="1">
      <alignment horizontal="center" readingOrder="0"/>
    </xf>
    <xf borderId="7" fillId="0" fontId="4" numFmtId="169" xfId="0" applyAlignment="1" applyBorder="1" applyFont="1" applyNumberFormat="1">
      <alignment horizontal="left" readingOrder="0" vertical="bottom"/>
    </xf>
    <xf borderId="7" fillId="0" fontId="4" numFmtId="16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horizontal="center" readingOrder="0" vertical="bottom"/>
    </xf>
    <xf borderId="7" fillId="0" fontId="11" numFmtId="0" xfId="0" applyAlignment="1" applyBorder="1" applyFont="1">
      <alignment horizontal="left" readingOrder="0" vertical="bottom"/>
    </xf>
    <xf borderId="7" fillId="0" fontId="4" numFmtId="167" xfId="0" applyAlignment="1" applyBorder="1" applyFont="1" applyNumberFormat="1">
      <alignment horizontal="center" readingOrder="0"/>
    </xf>
    <xf borderId="7" fillId="0" fontId="17" numFmtId="0" xfId="0" applyAlignment="1" applyBorder="1" applyFont="1">
      <alignment horizontal="left" readingOrder="0"/>
    </xf>
    <xf borderId="0" fillId="0" fontId="11" numFmtId="0" xfId="0" applyAlignment="1" applyFont="1">
      <alignment horizontal="left" readingOrder="0"/>
    </xf>
    <xf borderId="8" fillId="5" fontId="8" numFmtId="0" xfId="0" applyAlignment="1" applyBorder="1" applyFont="1">
      <alignment horizontal="center" vertical="bottom"/>
    </xf>
    <xf borderId="7" fillId="0" fontId="4" numFmtId="168" xfId="0" applyAlignment="1" applyBorder="1" applyFont="1" applyNumberFormat="1">
      <alignment horizontal="center" readingOrder="0"/>
    </xf>
    <xf borderId="0" fillId="2" fontId="18" numFmtId="0" xfId="0" applyAlignment="1" applyFont="1">
      <alignment horizontal="center" readingOrder="0" vertical="bottom"/>
    </xf>
    <xf borderId="7" fillId="7" fontId="4" numFmtId="0" xfId="0" applyAlignment="1" applyBorder="1" applyFill="1" applyFont="1">
      <alignment horizontal="left" readingOrder="0"/>
    </xf>
    <xf borderId="0" fillId="0" fontId="4" numFmtId="165" xfId="0" applyAlignment="1" applyFont="1" applyNumberFormat="1">
      <alignment horizontal="center" readingOrder="0"/>
    </xf>
    <xf borderId="0" fillId="0" fontId="0" numFmtId="0" xfId="0" applyAlignment="1" applyFont="1">
      <alignment horizontal="center" readingOrder="0"/>
    </xf>
    <xf borderId="0" fillId="0" fontId="4" numFmtId="2" xfId="0" applyAlignment="1" applyFont="1" applyNumberFormat="1">
      <alignment horizontal="center" readingOrder="0"/>
    </xf>
    <xf borderId="0" fillId="0" fontId="0" numFmtId="0" xfId="0" applyAlignment="1" applyFont="1">
      <alignment horizontal="right" readingOrder="0" textRotation="0" vertical="bottom"/>
    </xf>
    <xf borderId="0" fillId="0" fontId="4" numFmtId="0" xfId="0" applyAlignment="1" applyFont="1">
      <alignment horizontal="right"/>
    </xf>
    <xf borderId="0" fillId="0" fontId="0" numFmtId="0" xfId="0" applyFont="1"/>
    <xf borderId="0" fillId="2" fontId="0" numFmtId="0" xfId="0" applyAlignment="1" applyFont="1">
      <alignment horizontal="right" readingOrder="0" vertical="bottom"/>
    </xf>
    <xf borderId="19" fillId="2" fontId="0" numFmtId="2" xfId="0" applyAlignment="1" applyBorder="1" applyFont="1" applyNumberFormat="1">
      <alignment vertical="bottom"/>
    </xf>
    <xf borderId="0" fillId="2" fontId="0" numFmtId="0" xfId="0" applyAlignment="1" applyFont="1">
      <alignment vertical="bottom"/>
    </xf>
    <xf borderId="7" fillId="0" fontId="0" numFmtId="170" xfId="0" applyAlignment="1" applyBorder="1" applyFont="1" applyNumberFormat="1">
      <alignment horizontal="right" readingOrder="0" vertical="bottom"/>
    </xf>
    <xf borderId="6" fillId="0" fontId="0" numFmtId="170" xfId="0" applyAlignment="1" applyBorder="1" applyFont="1" applyNumberFormat="1">
      <alignment horizontal="right" readingOrder="0" vertical="bottom"/>
    </xf>
    <xf borderId="6" fillId="0" fontId="0" numFmtId="0" xfId="0" applyAlignment="1" applyBorder="1" applyFont="1">
      <alignment readingOrder="0" vertical="bottom"/>
    </xf>
    <xf borderId="7" fillId="0" fontId="0" numFmtId="0" xfId="0" applyAlignment="1" applyBorder="1" applyFont="1">
      <alignment horizontal="right" readingOrder="0" vertical="bottom"/>
    </xf>
    <xf borderId="7" fillId="0" fontId="0" numFmtId="0" xfId="0" applyAlignment="1" applyBorder="1" applyFont="1">
      <alignment vertical="bottom"/>
    </xf>
    <xf borderId="19" fillId="0" fontId="0" numFmtId="170" xfId="0" applyAlignment="1" applyBorder="1" applyFont="1" applyNumberFormat="1">
      <alignment horizontal="right" readingOrder="0" vertical="bottom"/>
    </xf>
    <xf borderId="4" fillId="0" fontId="0" numFmtId="170" xfId="0" applyAlignment="1" applyBorder="1" applyFont="1" applyNumberFormat="1">
      <alignment horizontal="right" readingOrder="0" vertical="bottom"/>
    </xf>
    <xf borderId="4" fillId="0" fontId="0" numFmtId="0" xfId="0" applyAlignment="1" applyBorder="1" applyFont="1">
      <alignment readingOrder="0" vertical="bottom"/>
    </xf>
    <xf borderId="19" fillId="0" fontId="0" numFmtId="0" xfId="0" applyAlignment="1" applyBorder="1" applyFont="1">
      <alignment horizontal="right" readingOrder="0" vertical="bottom"/>
    </xf>
    <xf borderId="19" fillId="0" fontId="4" numFmtId="0" xfId="0" applyAlignment="1" applyBorder="1" applyFont="1">
      <alignment horizontal="right" readingOrder="0" vertical="bottom"/>
    </xf>
    <xf borderId="19" fillId="0" fontId="0" numFmtId="171" xfId="0" applyAlignment="1" applyBorder="1" applyFont="1" applyNumberFormat="1">
      <alignment horizontal="right" readingOrder="0" vertical="bottom"/>
    </xf>
    <xf borderId="4" fillId="0" fontId="0" numFmtId="171" xfId="0" applyAlignment="1" applyBorder="1" applyFont="1" applyNumberFormat="1">
      <alignment horizontal="right" readingOrder="0" vertical="bottom"/>
    </xf>
    <xf borderId="19" fillId="0" fontId="4" numFmtId="172" xfId="0" applyAlignment="1" applyBorder="1" applyFont="1" applyNumberFormat="1">
      <alignment horizontal="right" readingOrder="0"/>
    </xf>
    <xf borderId="4" fillId="0" fontId="4" numFmtId="172" xfId="0" applyAlignment="1" applyBorder="1" applyFont="1" applyNumberFormat="1">
      <alignment horizontal="right" readingOrder="0"/>
    </xf>
    <xf borderId="4" fillId="0" fontId="4" numFmtId="0" xfId="0" applyAlignment="1" applyBorder="1" applyFont="1">
      <alignment horizontal="left" readingOrder="0"/>
    </xf>
    <xf borderId="19" fillId="0" fontId="0" numFmtId="0" xfId="0" applyAlignment="1" applyBorder="1" applyFont="1">
      <alignment horizontal="right" readingOrder="0"/>
    </xf>
    <xf borderId="19" fillId="0" fontId="4" numFmtId="0" xfId="0" applyAlignment="1" applyBorder="1" applyFont="1">
      <alignment horizontal="right" readingOrder="0"/>
    </xf>
    <xf borderId="19" fillId="0" fontId="4" numFmtId="169" xfId="0" applyAlignment="1" applyBorder="1" applyFont="1" applyNumberFormat="1">
      <alignment horizontal="right" readingOrder="0"/>
    </xf>
    <xf borderId="4" fillId="0" fontId="4" numFmtId="169" xfId="0" applyAlignment="1" applyBorder="1" applyFont="1" applyNumberFormat="1">
      <alignment horizontal="right" readingOrder="0"/>
    </xf>
    <xf borderId="8" fillId="8" fontId="4" numFmtId="0" xfId="0" applyAlignment="1" applyBorder="1" applyFill="1" applyFont="1">
      <alignment horizontal="center" readingOrder="0"/>
    </xf>
    <xf borderId="4" fillId="0" fontId="4" numFmtId="0" xfId="0" applyAlignment="1" applyBorder="1" applyFont="1">
      <alignment horizontal="left"/>
    </xf>
    <xf borderId="19" fillId="0" fontId="0" numFmtId="0" xfId="0" applyBorder="1" applyFont="1"/>
    <xf borderId="4" fillId="0" fontId="0" numFmtId="0" xfId="0" applyAlignment="1" applyBorder="1" applyFont="1">
      <alignment vertical="bottom"/>
    </xf>
    <xf borderId="19" fillId="0" fontId="4" numFmtId="0" xfId="0" applyBorder="1" applyFont="1"/>
    <xf borderId="20" fillId="0" fontId="4" numFmtId="2" xfId="0" applyBorder="1" applyFont="1" applyNumberFormat="1"/>
    <xf borderId="19" fillId="0" fontId="4" numFmtId="2" xfId="0" applyBorder="1" applyFont="1" applyNumberFormat="1"/>
    <xf borderId="26" fillId="0" fontId="4" numFmtId="2" xfId="0" applyBorder="1" applyFont="1" applyNumberFormat="1"/>
    <xf borderId="26" fillId="0" fontId="4" numFmtId="0" xfId="0" applyBorder="1" applyFont="1"/>
    <xf borderId="19" fillId="7" fontId="0" numFmtId="0" xfId="0" applyAlignment="1" applyBorder="1" applyFont="1">
      <alignment readingOrder="0"/>
    </xf>
    <xf borderId="19" fillId="7" fontId="0" numFmtId="0" xfId="0" applyAlignment="1" applyBorder="1" applyFont="1">
      <alignment horizontal="right" readingOrder="0"/>
    </xf>
    <xf borderId="7" fillId="0" fontId="4" numFmtId="169" xfId="0" applyAlignment="1" applyBorder="1" applyFont="1" applyNumberFormat="1">
      <alignment horizontal="right" readingOrder="0"/>
    </xf>
    <xf borderId="7" fillId="0" fontId="0" numFmtId="0" xfId="0" applyAlignment="1" applyBorder="1" applyFont="1">
      <alignment horizontal="right" readingOrder="0"/>
    </xf>
    <xf borderId="7" fillId="0" fontId="0" numFmtId="0" xfId="0" applyBorder="1" applyFont="1"/>
    <xf borderId="7" fillId="0" fontId="4" numFmtId="0" xfId="0" applyAlignment="1" applyBorder="1" applyFont="1">
      <alignment horizontal="right" readingOrder="0"/>
    </xf>
    <xf borderId="7" fillId="9" fontId="4" numFmtId="169" xfId="0" applyAlignment="1" applyBorder="1" applyFill="1" applyFont="1" applyNumberFormat="1">
      <alignment horizontal="right" readingOrder="0"/>
    </xf>
    <xf borderId="7" fillId="9" fontId="4" numFmtId="0" xfId="0" applyAlignment="1" applyBorder="1" applyFont="1">
      <alignment horizontal="left" readingOrder="0"/>
    </xf>
    <xf borderId="7" fillId="9" fontId="0" numFmtId="0" xfId="0" applyAlignment="1" applyBorder="1" applyFont="1">
      <alignment horizontal="right" readingOrder="0"/>
    </xf>
    <xf borderId="7" fillId="9" fontId="4" numFmtId="0" xfId="0" applyAlignment="1" applyBorder="1" applyFont="1">
      <alignment horizontal="right" readingOrder="0"/>
    </xf>
    <xf borderId="7" fillId="9" fontId="4" numFmtId="0" xfId="0" applyBorder="1" applyFont="1"/>
    <xf borderId="7" fillId="9" fontId="4" numFmtId="2" xfId="0" applyBorder="1" applyFont="1" applyNumberFormat="1"/>
    <xf borderId="7" fillId="0" fontId="4" numFmtId="167" xfId="0" applyAlignment="1" applyBorder="1" applyFont="1" applyNumberFormat="1">
      <alignment horizontal="right" readingOrder="0"/>
    </xf>
    <xf borderId="7" fillId="0" fontId="0" numFmtId="0" xfId="0" applyAlignment="1" applyBorder="1" applyFont="1">
      <alignment readingOrder="0"/>
    </xf>
    <xf borderId="7" fillId="0" fontId="4" numFmtId="167" xfId="0" applyAlignment="1" applyBorder="1" applyFont="1" applyNumberFormat="1">
      <alignment readingOrder="0"/>
    </xf>
    <xf borderId="7" fillId="0" fontId="11" numFmtId="0" xfId="0" applyAlignment="1" applyBorder="1" applyFont="1">
      <alignment readingOrder="0"/>
    </xf>
    <xf borderId="7" fillId="0" fontId="4" numFmtId="168" xfId="0" applyAlignment="1" applyBorder="1" applyFont="1" applyNumberFormat="1">
      <alignment readingOrder="0"/>
    </xf>
    <xf borderId="0" fillId="0" fontId="11" numFmtId="0" xfId="0" applyAlignment="1" applyFont="1">
      <alignment readingOrder="0" shrinkToFit="0" wrapText="0"/>
    </xf>
    <xf borderId="0" fillId="2" fontId="19" numFmtId="0" xfId="0" applyAlignment="1" applyFont="1">
      <alignment horizontal="center" readingOrder="0"/>
    </xf>
    <xf borderId="7" fillId="0" fontId="4" numFmtId="2" xfId="0" applyAlignment="1" applyBorder="1" applyFont="1" applyNumberFormat="1">
      <alignment readingOrder="0"/>
    </xf>
    <xf borderId="0" fillId="2" fontId="8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10" fontId="4" numFmtId="0" xfId="0" applyAlignment="1" applyFill="1" applyFont="1">
      <alignment readingOrder="0"/>
    </xf>
    <xf borderId="0" fillId="0" fontId="0" numFmtId="4" xfId="0" applyAlignment="1" applyFont="1" applyNumberFormat="1">
      <alignment horizontal="right" readingOrder="0" textRotation="0" vertical="bottom"/>
    </xf>
    <xf borderId="8" fillId="5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7" fillId="0" fontId="4" numFmtId="173" xfId="0" applyAlignment="1" applyBorder="1" applyFont="1" applyNumberFormat="1">
      <alignment horizontal="left" readingOrder="0" vertical="bottom"/>
    </xf>
    <xf borderId="7" fillId="0" fontId="4" numFmtId="170" xfId="0" applyAlignment="1" applyBorder="1" applyFont="1" applyNumberFormat="1">
      <alignment horizontal="left" readingOrder="0" vertical="bottom"/>
    </xf>
    <xf borderId="7" fillId="0" fontId="4" numFmtId="2" xfId="0" applyAlignment="1" applyBorder="1" applyFont="1" applyNumberFormat="1">
      <alignment horizontal="right" readingOrder="0" vertical="bottom"/>
    </xf>
    <xf borderId="0" fillId="2" fontId="9" numFmtId="167" xfId="0" applyAlignment="1" applyFont="1" applyNumberFormat="1">
      <alignment horizontal="center" vertical="bottom"/>
    </xf>
    <xf borderId="0" fillId="2" fontId="4" numFmtId="2" xfId="0" applyFont="1" applyNumberFormat="1"/>
    <xf borderId="8" fillId="5" fontId="20" numFmtId="0" xfId="0" applyAlignment="1" applyBorder="1" applyFont="1">
      <alignment horizontal="center" vertical="bottom"/>
    </xf>
    <xf borderId="7" fillId="0" fontId="11" numFmtId="0" xfId="0" applyAlignment="1" applyBorder="1" applyFont="1">
      <alignment horizontal="left" readingOrder="0" shrinkToFit="0" wrapText="0"/>
    </xf>
    <xf borderId="7" fillId="0" fontId="2" numFmtId="167" xfId="0" applyAlignment="1" applyBorder="1" applyFont="1" applyNumberFormat="1">
      <alignment horizontal="left" vertical="bottom"/>
    </xf>
    <xf borderId="7" fillId="0" fontId="2" numFmtId="0" xfId="0" applyAlignment="1" applyBorder="1" applyFont="1">
      <alignment horizontal="left" vertical="bottom"/>
    </xf>
    <xf borderId="7" fillId="0" fontId="2" numFmtId="0" xfId="0" applyAlignment="1" applyBorder="1" applyFont="1">
      <alignment horizontal="left" readingOrder="0" vertical="bottom"/>
    </xf>
    <xf borderId="7" fillId="0" fontId="2" numFmtId="0" xfId="0" applyAlignment="1" applyBorder="1" applyFont="1">
      <alignment horizontal="right" readingOrder="0" vertical="bottom"/>
    </xf>
    <xf borderId="7" fillId="0" fontId="2" numFmtId="0" xfId="0" applyAlignment="1" applyBorder="1" applyFont="1">
      <alignment horizontal="right" vertical="bottom"/>
    </xf>
    <xf borderId="7" fillId="0" fontId="2" numFmtId="167" xfId="0" applyAlignment="1" applyBorder="1" applyFont="1" applyNumberFormat="1">
      <alignment horizontal="left" readingOrder="0" vertical="bottom"/>
    </xf>
    <xf borderId="7" fillId="10" fontId="4" numFmtId="0" xfId="0" applyAlignment="1" applyBorder="1" applyFont="1">
      <alignment horizontal="left" readingOrder="0"/>
    </xf>
    <xf borderId="7" fillId="0" fontId="4" numFmtId="2" xfId="0" applyAlignment="1" applyBorder="1" applyFont="1" applyNumberFormat="1">
      <alignment horizontal="center"/>
    </xf>
    <xf borderId="0" fillId="7" fontId="4" numFmtId="0" xfId="0" applyFont="1"/>
    <xf borderId="0" fillId="0" fontId="5" numFmtId="0" xfId="0" applyAlignment="1" applyFont="1">
      <alignment horizontal="right" readingOrder="0" textRotation="0" vertical="bottom"/>
    </xf>
    <xf borderId="0" fillId="11" fontId="21" numFmtId="0" xfId="0" applyAlignment="1" applyFill="1" applyFont="1">
      <alignment horizontal="left" readingOrder="0"/>
    </xf>
    <xf borderId="7" fillId="0" fontId="1" numFmtId="167" xfId="0" applyAlignment="1" applyBorder="1" applyFont="1" applyNumberFormat="1">
      <alignment readingOrder="0"/>
    </xf>
    <xf borderId="7" fillId="0" fontId="1" numFmtId="166" xfId="0" applyAlignment="1" applyBorder="1" applyFont="1" applyNumberFormat="1">
      <alignment readingOrder="0"/>
    </xf>
    <xf borderId="7" fillId="4" fontId="1" numFmtId="0" xfId="0" applyBorder="1" applyFont="1"/>
    <xf borderId="7" fillId="4" fontId="1" numFmtId="0" xfId="0" applyAlignment="1" applyBorder="1" applyFont="1">
      <alignment readingOrder="0"/>
    </xf>
    <xf borderId="7" fillId="11" fontId="11" numFmtId="0" xfId="0" applyAlignment="1" applyBorder="1" applyFont="1">
      <alignment horizontal="right" readingOrder="0"/>
    </xf>
    <xf borderId="0" fillId="0" fontId="1" numFmtId="21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7" fillId="0" fontId="4" numFmtId="165" xfId="0" applyAlignment="1" applyBorder="1" applyFont="1" applyNumberFormat="1">
      <alignment readingOrder="0"/>
    </xf>
    <xf borderId="0" fillId="12" fontId="1" numFmtId="0" xfId="0" applyAlignment="1" applyFill="1" applyFont="1">
      <alignment readingOrder="0" textRotation="180"/>
    </xf>
    <xf borderId="0" fillId="0" fontId="22" numFmtId="0" xfId="0" applyAlignment="1" applyFont="1">
      <alignment horizontal="right" readingOrder="0"/>
    </xf>
    <xf borderId="0" fillId="0" fontId="22" numFmtId="165" xfId="0" applyAlignment="1" applyFont="1" applyNumberFormat="1">
      <alignment readingOrder="0"/>
    </xf>
    <xf borderId="0" fillId="0" fontId="22" numFmtId="0" xfId="0" applyAlignment="1" applyFont="1">
      <alignment readingOrder="0"/>
    </xf>
    <xf borderId="0" fillId="0" fontId="22" numFmtId="4" xfId="0" applyAlignment="1" applyFont="1" applyNumberFormat="1">
      <alignment readingOrder="0"/>
    </xf>
    <xf borderId="0" fillId="10" fontId="22" numFmtId="0" xfId="0" applyAlignment="1" applyFont="1">
      <alignment readingOrder="0"/>
    </xf>
    <xf borderId="0" fillId="0" fontId="22" numFmtId="0" xfId="0" applyFont="1"/>
    <xf borderId="0" fillId="0" fontId="22" numFmtId="2" xfId="0" applyFont="1" applyNumberFormat="1"/>
    <xf borderId="0" fillId="0" fontId="22" numFmtId="4" xfId="0" applyFont="1" applyNumberFormat="1"/>
    <xf borderId="0" fillId="5" fontId="22" numFmtId="0" xfId="0" applyAlignment="1" applyFont="1">
      <alignment readingOrder="0"/>
    </xf>
    <xf borderId="0" fillId="5" fontId="22" numFmtId="0" xfId="0" applyFont="1"/>
    <xf borderId="0" fillId="2" fontId="4" numFmtId="0" xfId="0" applyAlignment="1" applyFont="1">
      <alignment vertical="bottom"/>
    </xf>
    <xf borderId="0" fillId="2" fontId="6" numFmtId="0" xfId="0" applyAlignment="1" applyFont="1">
      <alignment horizontal="center" vertical="bottom"/>
    </xf>
    <xf borderId="0" fillId="2" fontId="6" numFmtId="0" xfId="0" applyAlignment="1" applyFont="1">
      <alignment horizontal="center" readingOrder="0" vertical="bottom"/>
    </xf>
    <xf borderId="0" fillId="2" fontId="4" numFmtId="0" xfId="0" applyAlignment="1" applyFont="1">
      <alignment vertical="bottom"/>
    </xf>
    <xf borderId="0" fillId="12" fontId="2" numFmtId="0" xfId="0" applyAlignment="1" applyFont="1">
      <alignment vertical="bottom"/>
    </xf>
    <xf borderId="0" fillId="2" fontId="4" numFmtId="4" xfId="0" applyFont="1" applyNumberFormat="1"/>
    <xf borderId="7" fillId="0" fontId="4" numFmtId="165" xfId="0" applyAlignment="1" applyBorder="1" applyFont="1" applyNumberFormat="1">
      <alignment horizontal="left" readingOrder="0" vertical="bottom"/>
    </xf>
    <xf borderId="6" fillId="0" fontId="4" numFmtId="165" xfId="0" applyAlignment="1" applyBorder="1" applyFont="1" applyNumberFormat="1">
      <alignment horizontal="left" readingOrder="0" vertical="bottom"/>
    </xf>
    <xf borderId="6" fillId="0" fontId="4" numFmtId="0" xfId="0" applyAlignment="1" applyBorder="1" applyFont="1">
      <alignment horizontal="left" readingOrder="0" vertical="bottom"/>
    </xf>
    <xf borderId="6" fillId="0" fontId="4" numFmtId="0" xfId="0" applyAlignment="1" applyBorder="1" applyFont="1">
      <alignment horizontal="right" readingOrder="0" vertical="bottom"/>
    </xf>
    <xf borderId="7" fillId="0" fontId="4" numFmtId="2" xfId="0" applyAlignment="1" applyBorder="1" applyFont="1" applyNumberForma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12" fontId="1" numFmtId="0" xfId="0" applyFont="1"/>
    <xf borderId="19" fillId="0" fontId="4" numFmtId="165" xfId="0" applyAlignment="1" applyBorder="1" applyFont="1" applyNumberFormat="1">
      <alignment horizontal="left" readingOrder="0" vertical="bottom"/>
    </xf>
    <xf borderId="4" fillId="0" fontId="4" numFmtId="165" xfId="0" applyAlignment="1" applyBorder="1" applyFont="1" applyNumberFormat="1">
      <alignment horizontal="left" readingOrder="0" vertical="bottom"/>
    </xf>
    <xf borderId="4" fillId="0" fontId="4" numFmtId="0" xfId="0" applyAlignment="1" applyBorder="1" applyFont="1">
      <alignment horizontal="left" readingOrder="0" vertical="bottom"/>
    </xf>
    <xf borderId="4" fillId="0" fontId="4" numFmtId="0" xfId="0" applyAlignment="1" applyBorder="1" applyFont="1">
      <alignment horizontal="right" readingOrder="0" vertical="bottom"/>
    </xf>
    <xf borderId="7" fillId="0" fontId="4" numFmtId="4" xfId="0" applyBorder="1" applyFont="1" applyNumberFormat="1"/>
    <xf borderId="7" fillId="0" fontId="23" numFmtId="0" xfId="0" applyAlignment="1" applyBorder="1" applyFont="1">
      <alignment horizontal="left" readingOrder="0" vertical="bottom"/>
    </xf>
    <xf borderId="7" fillId="0" fontId="7" numFmtId="0" xfId="0" applyAlignment="1" applyBorder="1" applyFont="1">
      <alignment horizontal="right" vertical="bottom"/>
    </xf>
    <xf borderId="0" fillId="0" fontId="4" numFmtId="0" xfId="0" applyAlignment="1" applyFont="1">
      <alignment textRotation="255"/>
    </xf>
    <xf borderId="6" fillId="0" fontId="4" numFmtId="0" xfId="0" applyAlignment="1" applyBorder="1" applyFont="1">
      <alignment horizontal="left" vertical="bottom"/>
    </xf>
    <xf borderId="4" fillId="0" fontId="4" numFmtId="0" xfId="0" applyAlignment="1" applyBorder="1" applyFont="1">
      <alignment horizontal="left" vertical="bottom"/>
    </xf>
    <xf borderId="6" fillId="0" fontId="7" numFmtId="0" xfId="0" applyAlignment="1" applyBorder="1" applyFont="1">
      <alignment horizontal="left" readingOrder="0" vertical="bottom"/>
    </xf>
    <xf borderId="6" fillId="0" fontId="7" numFmtId="0" xfId="0" applyAlignment="1" applyBorder="1" applyFont="1">
      <alignment horizontal="right" readingOrder="0" vertical="bottom"/>
    </xf>
    <xf borderId="19" fillId="0" fontId="7" numFmtId="166" xfId="0" applyAlignment="1" applyBorder="1" applyFont="1" applyNumberFormat="1">
      <alignment horizontal="left" readingOrder="0" vertical="bottom"/>
    </xf>
    <xf borderId="4" fillId="0" fontId="7" numFmtId="0" xfId="0" applyAlignment="1" applyBorder="1" applyFont="1">
      <alignment horizontal="lef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8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2" numFmtId="2" xfId="0" applyAlignment="1" applyFont="1" applyNumberFormat="1">
      <alignment horizontal="center" vertical="bottom"/>
    </xf>
    <xf borderId="0" fillId="7" fontId="4" numFmtId="2" xfId="0" applyFont="1" applyNumberFormat="1"/>
    <xf borderId="0" fillId="0" fontId="11" numFmtId="0" xfId="0" applyAlignment="1" applyFont="1">
      <alignment horizontal="left" readingOrder="0" vertical="bottom"/>
    </xf>
    <xf borderId="8" fillId="5" fontId="4" numFmtId="0" xfId="0" applyAlignment="1" applyBorder="1" applyFont="1">
      <alignment horizontal="center" readingOrder="0" shrinkToFit="0" textRotation="0" vertical="bottom" wrapText="1"/>
    </xf>
    <xf borderId="19" fillId="0" fontId="4" numFmtId="0" xfId="0" applyAlignment="1" applyBorder="1" applyFont="1">
      <alignment horizontal="left" readingOrder="0" vertical="bottom"/>
    </xf>
    <xf borderId="7" fillId="0" fontId="4" numFmtId="0" xfId="0" applyAlignment="1" applyBorder="1" applyFont="1">
      <alignment horizontal="center" readingOrder="0" shrinkToFit="0" textRotation="0" vertical="bottom" wrapText="1"/>
    </xf>
    <xf borderId="7" fillId="0" fontId="4" numFmtId="0" xfId="0" applyAlignment="1" applyBorder="1" applyFont="1">
      <alignment horizontal="center" shrinkToFit="0" textRotation="0" vertical="bottom" wrapText="1"/>
    </xf>
    <xf borderId="7" fillId="0" fontId="4" numFmtId="2" xfId="0" applyAlignment="1" applyBorder="1" applyFont="1" applyNumberFormat="1">
      <alignment horizontal="center" shrinkToFit="0" textRotation="0" vertical="bottom" wrapText="1"/>
    </xf>
    <xf borderId="7" fillId="0" fontId="7" numFmtId="174" xfId="0" applyAlignment="1" applyBorder="1" applyFont="1" applyNumberFormat="1">
      <alignment horizontal="left" readingOrder="0" vertical="bottom"/>
    </xf>
    <xf borderId="7" fillId="0" fontId="4" numFmtId="1" xfId="0" applyAlignment="1" applyBorder="1" applyFont="1" applyNumberFormat="1">
      <alignment readingOrder="0"/>
    </xf>
    <xf borderId="7" fillId="0" fontId="4" numFmtId="1" xfId="0" applyBorder="1" applyFont="1" applyNumberFormat="1"/>
    <xf borderId="7" fillId="0" fontId="4" numFmtId="165" xfId="0" applyAlignment="1" applyBorder="1" applyFont="1" applyNumberFormat="1">
      <alignment horizontal="left" readingOrder="0"/>
    </xf>
    <xf borderId="0" fillId="13" fontId="24" numFmtId="0" xfId="0" applyAlignment="1" applyFill="1" applyFont="1">
      <alignment readingOrder="0"/>
    </xf>
    <xf borderId="7" fillId="0" fontId="21" numFmtId="0" xfId="0" applyAlignment="1" applyBorder="1" applyFont="1">
      <alignment horizontal="left" readingOrder="0"/>
    </xf>
    <xf borderId="0" fillId="0" fontId="21" numFmtId="0" xfId="0" applyAlignment="1" applyFont="1">
      <alignment horizontal="left" readingOrder="0"/>
    </xf>
    <xf borderId="7" fillId="0" fontId="0" numFmtId="0" xfId="0" applyAlignment="1" applyBorder="1" applyFont="1">
      <alignment horizontal="left" vertical="bottom"/>
    </xf>
    <xf borderId="7" fillId="0" fontId="0" numFmtId="0" xfId="0" applyAlignment="1" applyBorder="1" applyFont="1">
      <alignment horizontal="left" readingOrder="0" vertical="bottom"/>
    </xf>
    <xf borderId="7" fillId="0" fontId="0" numFmtId="2" xfId="0" applyAlignment="1" applyBorder="1" applyFont="1" applyNumberFormat="1">
      <alignment horizontal="right" readingOrder="0" vertical="bottom"/>
    </xf>
    <xf borderId="19" fillId="0" fontId="7" numFmtId="174" xfId="0" applyAlignment="1" applyBorder="1" applyFont="1" applyNumberFormat="1">
      <alignment horizontal="left" readingOrder="0" vertical="bottom"/>
    </xf>
    <xf borderId="4" fillId="0" fontId="7" numFmtId="0" xfId="0" applyAlignment="1" applyBorder="1" applyFont="1">
      <alignment horizontal="right" vertical="bottom"/>
    </xf>
    <xf borderId="0" fillId="0" fontId="4" numFmtId="4" xfId="0" applyFont="1" applyNumberFormat="1"/>
    <xf borderId="0" fillId="0" fontId="7" numFmtId="166" xfId="0" applyAlignment="1" applyFont="1" applyNumberFormat="1">
      <alignment horizontal="left" readingOrder="0" vertical="bottom"/>
    </xf>
    <xf borderId="0" fillId="0" fontId="7" numFmtId="0" xfId="0" applyAlignment="1" applyFont="1">
      <alignment horizontal="left" readingOrder="0" vertical="bottom"/>
    </xf>
    <xf borderId="0" fillId="0" fontId="7" numFmtId="0" xfId="0" applyAlignment="1" applyFont="1">
      <alignment horizontal="right" readingOrder="0" vertical="bottom"/>
    </xf>
    <xf borderId="7" fillId="11" fontId="11" numFmtId="0" xfId="0" applyAlignment="1" applyBorder="1" applyFont="1">
      <alignment horizontal="left" readingOrder="0"/>
    </xf>
    <xf borderId="7" fillId="0" fontId="0" numFmtId="167" xfId="0" applyAlignment="1" applyBorder="1" applyFont="1" applyNumberFormat="1">
      <alignment horizontal="left" readingOrder="0"/>
    </xf>
    <xf borderId="7" fillId="0" fontId="25" numFmtId="167" xfId="0" applyAlignment="1" applyBorder="1" applyFont="1" applyNumberFormat="1">
      <alignment horizontal="left" vertical="bottom"/>
    </xf>
    <xf borderId="7" fillId="0" fontId="25" numFmtId="0" xfId="0" applyAlignment="1" applyBorder="1" applyFont="1">
      <alignment horizontal="left" readingOrder="0" vertical="bottom"/>
    </xf>
    <xf borderId="7" fillId="0" fontId="25" numFmtId="0" xfId="0" applyAlignment="1" applyBorder="1" applyFont="1">
      <alignment horizontal="right" readingOrder="0" vertical="bottom"/>
    </xf>
    <xf borderId="0" fillId="0" fontId="10" numFmtId="0" xfId="0" applyAlignment="1" applyFont="1">
      <alignment horizontal="right" vertical="bottom"/>
    </xf>
    <xf borderId="7" fillId="0" fontId="0" numFmtId="0" xfId="0" applyAlignment="1" applyBorder="1" applyFont="1">
      <alignment horizontal="left"/>
    </xf>
    <xf borderId="7" fillId="0" fontId="0" numFmtId="0" xfId="0" applyAlignment="1" applyBorder="1" applyFont="1">
      <alignment horizontal="left" readingOrder="0"/>
    </xf>
    <xf borderId="0" fillId="2" fontId="10" numFmtId="0" xfId="0" applyAlignment="1" applyFont="1">
      <alignment horizontal="right" readingOrder="0" vertical="bottom"/>
    </xf>
    <xf borderId="0" fillId="0" fontId="2" numFmtId="166" xfId="0" applyAlignment="1" applyFont="1" applyNumberFormat="1">
      <alignment vertical="bottom"/>
    </xf>
    <xf borderId="0" fillId="0" fontId="2" numFmtId="4" xfId="0" applyAlignment="1" applyFont="1" applyNumberFormat="1">
      <alignment vertical="bottom"/>
    </xf>
    <xf borderId="0" fillId="7" fontId="26" numFmtId="0" xfId="0" applyAlignment="1" applyFont="1">
      <alignment readingOrder="0"/>
    </xf>
    <xf borderId="7" fillId="14" fontId="4" numFmtId="0" xfId="0" applyAlignment="1" applyBorder="1" applyFill="1" applyFont="1">
      <alignment horizontal="left"/>
    </xf>
    <xf borderId="20" fillId="0" fontId="0" numFmtId="167" xfId="0" applyAlignment="1" applyBorder="1" applyFont="1" applyNumberFormat="1">
      <alignment horizontal="left" readingOrder="0"/>
    </xf>
    <xf borderId="20" fillId="0" fontId="4" numFmtId="0" xfId="0" applyAlignment="1" applyBorder="1" applyFont="1">
      <alignment horizontal="left" readingOrder="0"/>
    </xf>
    <xf borderId="20" fillId="0" fontId="4" numFmtId="0" xfId="0" applyAlignment="1" applyBorder="1" applyFont="1">
      <alignment horizontal="left"/>
    </xf>
    <xf borderId="20" fillId="0" fontId="4" numFmtId="0" xfId="0" applyAlignment="1" applyBorder="1" applyFont="1">
      <alignment readingOrder="0"/>
    </xf>
    <xf borderId="20" fillId="0" fontId="4" numFmtId="0" xfId="0" applyBorder="1" applyFont="1"/>
    <xf borderId="7" fillId="15" fontId="4" numFmtId="0" xfId="0" applyAlignment="1" applyBorder="1" applyFill="1" applyFont="1">
      <alignment horizontal="left" readingOrder="0"/>
    </xf>
    <xf borderId="7" fillId="0" fontId="4" numFmtId="165" xfId="0" applyAlignment="1" applyBorder="1" applyFont="1" applyNumberFormat="1">
      <alignment horizontal="left"/>
    </xf>
    <xf borderId="7" fillId="0" fontId="4" numFmtId="165" xfId="0" applyBorder="1" applyFont="1" applyNumberFormat="1"/>
    <xf borderId="0" fillId="0" fontId="4" numFmtId="165" xfId="0" applyFont="1" applyNumberFormat="1"/>
    <xf borderId="6" fillId="0" fontId="7" numFmtId="166" xfId="0" applyAlignment="1" applyBorder="1" applyFont="1" applyNumberFormat="1">
      <alignment horizontal="left" readingOrder="0" vertical="bottom"/>
    </xf>
    <xf borderId="4" fillId="0" fontId="7" numFmtId="166" xfId="0" applyAlignment="1" applyBorder="1" applyFont="1" applyNumberFormat="1">
      <alignment horizontal="left" readingOrder="0" vertical="bottom"/>
    </xf>
    <xf borderId="6" fillId="0" fontId="7" numFmtId="0" xfId="0" applyAlignment="1" applyBorder="1" applyFont="1">
      <alignment horizontal="left" vertical="bottom"/>
    </xf>
    <xf borderId="4" fillId="0" fontId="7" numFmtId="0" xfId="0" applyAlignment="1" applyBorder="1" applyFont="1">
      <alignment horizontal="left" vertical="bottom"/>
    </xf>
    <xf borderId="19" fillId="0" fontId="7" numFmtId="0" xfId="0" applyAlignment="1" applyBorder="1" applyFont="1">
      <alignment horizontal="left" readingOrder="0" vertical="bottom"/>
    </xf>
    <xf borderId="0" fillId="0" fontId="7" numFmtId="2" xfId="0" applyAlignment="1" applyFont="1" applyNumberFormat="1">
      <alignment horizontal="right" readingOrder="0" vertical="bottom"/>
    </xf>
    <xf borderId="8" fillId="0" fontId="4" numFmtId="0" xfId="0" applyAlignment="1" applyBorder="1" applyFont="1">
      <alignment horizontal="center"/>
    </xf>
    <xf borderId="7" fillId="0" fontId="7" numFmtId="0" xfId="0" applyAlignment="1" applyBorder="1" applyFont="1">
      <alignment horizontal="right" readingOrder="0"/>
    </xf>
    <xf borderId="7" fillId="0" fontId="2" numFmtId="0" xfId="0" applyAlignment="1" applyBorder="1" applyFont="1">
      <alignment vertical="bottom"/>
    </xf>
    <xf borderId="27" fillId="0" fontId="4" numFmtId="166" xfId="0" applyAlignment="1" applyBorder="1" applyFont="1" applyNumberFormat="1">
      <alignment horizontal="left" readingOrder="0" vertical="bottom"/>
    </xf>
    <xf borderId="28" fillId="0" fontId="4" numFmtId="166" xfId="0" applyAlignment="1" applyBorder="1" applyFont="1" applyNumberFormat="1">
      <alignment horizontal="left" readingOrder="0" vertical="bottom"/>
    </xf>
    <xf borderId="28" fillId="0" fontId="4" numFmtId="0" xfId="0" applyAlignment="1" applyBorder="1" applyFont="1">
      <alignment horizontal="left" readingOrder="0" vertical="bottom"/>
    </xf>
    <xf borderId="28" fillId="0" fontId="4" numFmtId="0" xfId="0" applyAlignment="1" applyBorder="1" applyFont="1">
      <alignment horizontal="right" readingOrder="0" vertical="bottom"/>
    </xf>
    <xf borderId="29" fillId="0" fontId="4" numFmtId="166" xfId="0" applyAlignment="1" applyBorder="1" applyFont="1" applyNumberFormat="1">
      <alignment horizontal="left" readingOrder="0" vertical="bottom"/>
    </xf>
    <xf borderId="30" fillId="0" fontId="4" numFmtId="166" xfId="0" applyAlignment="1" applyBorder="1" applyFont="1" applyNumberFormat="1">
      <alignment horizontal="left" readingOrder="0" vertical="bottom"/>
    </xf>
    <xf borderId="30" fillId="0" fontId="4" numFmtId="0" xfId="0" applyAlignment="1" applyBorder="1" applyFont="1">
      <alignment horizontal="left" readingOrder="0" vertical="bottom"/>
    </xf>
    <xf borderId="30" fillId="0" fontId="4" numFmtId="0" xfId="0" applyAlignment="1" applyBorder="1" applyFont="1">
      <alignment horizontal="right" readingOrder="0" vertical="bottom"/>
    </xf>
    <xf borderId="30" fillId="0" fontId="4" numFmtId="0" xfId="0" applyAlignment="1" applyBorder="1" applyFont="1">
      <alignment horizontal="right" vertical="bottom"/>
    </xf>
    <xf borderId="30" fillId="0" fontId="4" numFmtId="0" xfId="0" applyAlignment="1" applyBorder="1" applyFont="1">
      <alignment horizontal="left" vertical="bottom"/>
    </xf>
    <xf borderId="28" fillId="0" fontId="4" numFmtId="0" xfId="0" applyAlignment="1" applyBorder="1" applyFont="1">
      <alignment horizontal="left" vertical="bottom"/>
    </xf>
    <xf borderId="0" fillId="2" fontId="6" numFmtId="0" xfId="0" applyAlignment="1" applyFont="1">
      <alignment horizontal="center"/>
    </xf>
    <xf borderId="0" fillId="2" fontId="27" numFmtId="0" xfId="0" applyAlignment="1" applyFont="1">
      <alignment horizontal="center"/>
    </xf>
    <xf borderId="7" fillId="0" fontId="17" numFmtId="0" xfId="0" applyAlignment="1" applyBorder="1" applyFont="1">
      <alignment horizontal="left" readingOrder="0" shrinkToFit="0" wrapText="0"/>
    </xf>
    <xf borderId="0" fillId="13" fontId="4" numFmtId="0" xfId="0" applyAlignment="1" applyFont="1">
      <alignment readingOrder="0"/>
    </xf>
    <xf borderId="7" fillId="0" fontId="2" numFmtId="168" xfId="0" applyAlignment="1" applyBorder="1" applyFont="1" applyNumberFormat="1">
      <alignment horizontal="left" vertical="bottom"/>
    </xf>
    <xf borderId="7" fillId="0" fontId="2" numFmtId="0" xfId="0" applyAlignment="1" applyBorder="1" applyFont="1">
      <alignment readingOrder="0" vertical="bottom"/>
    </xf>
    <xf borderId="7" fillId="16" fontId="2" numFmtId="0" xfId="0" applyAlignment="1" applyBorder="1" applyFill="1" applyFont="1">
      <alignment horizontal="right" vertical="bottom"/>
    </xf>
    <xf borderId="7" fillId="0" fontId="2" numFmtId="2" xfId="0" applyAlignment="1" applyBorder="1" applyFont="1" applyNumberFormat="1">
      <alignment horizontal="right" vertical="bottom"/>
    </xf>
    <xf borderId="7" fillId="0" fontId="2" numFmtId="168" xfId="0" applyAlignment="1" applyBorder="1" applyFont="1" applyNumberFormat="1">
      <alignment horizontal="left" readingOrder="0" vertical="bottom"/>
    </xf>
    <xf borderId="0" fillId="0" fontId="1" numFmtId="0" xfId="0" applyAlignment="1" applyFont="1">
      <alignment readingOrder="0" textRotation="180"/>
    </xf>
    <xf borderId="6" fillId="0" fontId="4" numFmtId="166" xfId="0" applyAlignment="1" applyBorder="1" applyFont="1" applyNumberFormat="1">
      <alignment horizontal="left" readingOrder="0" vertical="bottom"/>
    </xf>
    <xf borderId="19" fillId="0" fontId="4" numFmtId="166" xfId="0" applyAlignment="1" applyBorder="1" applyFont="1" applyNumberFormat="1">
      <alignment horizontal="left" readingOrder="0" vertical="bottom"/>
    </xf>
    <xf borderId="4" fillId="0" fontId="4" numFmtId="166" xfId="0" applyAlignment="1" applyBorder="1" applyFont="1" applyNumberFormat="1">
      <alignment horizontal="left" readingOrder="0" vertical="bottom"/>
    </xf>
    <xf borderId="6" fillId="0" fontId="4" numFmtId="169" xfId="0" applyAlignment="1" applyBorder="1" applyFont="1" applyNumberFormat="1">
      <alignment horizontal="left" readingOrder="0" vertical="bottom"/>
    </xf>
    <xf borderId="19" fillId="0" fontId="4" numFmtId="169" xfId="0" applyAlignment="1" applyBorder="1" applyFont="1" applyNumberFormat="1">
      <alignment horizontal="left" readingOrder="0" vertical="bottom"/>
    </xf>
    <xf borderId="4" fillId="0" fontId="4" numFmtId="169" xfId="0" applyAlignment="1" applyBorder="1" applyFont="1" applyNumberFormat="1">
      <alignment horizontal="left" readingOrder="0" vertical="bottom"/>
    </xf>
    <xf borderId="7" fillId="0" fontId="1" numFmtId="0" xfId="0" applyAlignment="1" applyBorder="1" applyFont="1">
      <alignment horizontal="left" readingOrder="0"/>
    </xf>
    <xf borderId="7" fillId="0" fontId="4" numFmtId="0" xfId="0" applyAlignment="1" applyBorder="1" applyFont="1">
      <alignment horizontal="right"/>
    </xf>
    <xf borderId="7" fillId="0" fontId="4" numFmtId="2" xfId="0" applyAlignment="1" applyBorder="1" applyFont="1" applyNumberFormat="1">
      <alignment horizontal="right"/>
    </xf>
    <xf borderId="0" fillId="0" fontId="1" numFmtId="0" xfId="0" applyAlignment="1" applyFont="1">
      <alignment horizontal="right" readingOrder="0"/>
    </xf>
    <xf borderId="20" fillId="0" fontId="4" numFmtId="0" xfId="0" applyAlignment="1" applyBorder="1" applyFont="1">
      <alignment horizontal="right"/>
    </xf>
    <xf borderId="20" fillId="0" fontId="4" numFmtId="2" xfId="0" applyAlignment="1" applyBorder="1" applyFont="1" applyNumberFormat="1">
      <alignment horizontal="right"/>
    </xf>
    <xf borderId="25" fillId="2" fontId="4" numFmtId="0" xfId="0" applyAlignment="1" applyBorder="1" applyFont="1">
      <alignment horizontal="right"/>
    </xf>
    <xf borderId="25" fillId="2" fontId="4" numFmtId="2" xfId="0" applyAlignment="1" applyBorder="1" applyFont="1" applyNumberFormat="1">
      <alignment horizontal="right"/>
    </xf>
    <xf borderId="19" fillId="0" fontId="4" numFmtId="0" xfId="0" applyAlignment="1" applyBorder="1" applyFont="1">
      <alignment horizontal="right"/>
    </xf>
    <xf borderId="19" fillId="0" fontId="4" numFmtId="2" xfId="0" applyAlignment="1" applyBorder="1" applyFont="1" applyNumberFormat="1">
      <alignment horizontal="right"/>
    </xf>
    <xf borderId="0" fillId="12" fontId="28" numFmtId="0" xfId="0" applyAlignment="1" applyFont="1">
      <alignment vertical="bottom"/>
    </xf>
    <xf borderId="0" fillId="5" fontId="8" numFmtId="0" xfId="0" applyAlignment="1" applyFont="1">
      <alignment horizontal="center" vertical="bottom"/>
    </xf>
    <xf borderId="0" fillId="0" fontId="4" numFmtId="0" xfId="0" applyAlignment="1" applyFont="1">
      <alignment readingOrder="0" textRotation="180"/>
    </xf>
    <xf borderId="0" fillId="12" fontId="4" numFmtId="0" xfId="0" applyAlignment="1" applyFont="1">
      <alignment readingOrder="0" textRotation="180"/>
    </xf>
    <xf borderId="0" fillId="0" fontId="4" numFmtId="49" xfId="0" applyAlignment="1" applyFont="1" applyNumberFormat="1">
      <alignment horizontal="right" vertical="bottom"/>
    </xf>
    <xf borderId="0" fillId="0" fontId="4" numFmtId="165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4" numFmtId="4" xfId="0" applyAlignment="1" applyFont="1" applyNumberFormat="1">
      <alignment vertical="bottom"/>
    </xf>
    <xf borderId="0" fillId="0" fontId="4" numFmtId="49" xfId="0" applyAlignment="1" applyFont="1" applyNumberForma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16" fontId="4" numFmtId="0" xfId="0" applyAlignment="1" applyFont="1">
      <alignment horizontal="right" vertical="bottom"/>
    </xf>
    <xf borderId="0" fillId="15" fontId="4" numFmtId="4" xfId="0" applyAlignment="1" applyFont="1" applyNumberFormat="1">
      <alignment horizontal="right" vertical="bottom"/>
    </xf>
    <xf borderId="0" fillId="12" fontId="4" numFmtId="0" xfId="0" applyAlignment="1" applyFont="1">
      <alignment vertical="bottom"/>
    </xf>
    <xf borderId="0" fillId="2" fontId="4" numFmtId="49" xfId="0" applyFont="1" applyNumberFormat="1"/>
    <xf borderId="31" fillId="0" fontId="4" numFmtId="166" xfId="0" applyAlignment="1" applyBorder="1" applyFont="1" applyNumberFormat="1">
      <alignment horizontal="left" readingOrder="0" vertical="bottom"/>
    </xf>
    <xf borderId="32" fillId="0" fontId="4" numFmtId="166" xfId="0" applyAlignment="1" applyBorder="1" applyFont="1" applyNumberFormat="1">
      <alignment horizontal="left" readingOrder="0" vertical="bottom"/>
    </xf>
    <xf borderId="32" fillId="0" fontId="4" numFmtId="0" xfId="0" applyAlignment="1" applyBorder="1" applyFont="1">
      <alignment horizontal="left" readingOrder="0" vertical="bottom"/>
    </xf>
    <xf borderId="27" fillId="0" fontId="4" numFmtId="0" xfId="0" applyAlignment="1" applyBorder="1" applyFont="1">
      <alignment horizontal="left" readingOrder="0" vertical="bottom"/>
    </xf>
    <xf borderId="0" fillId="0" fontId="4" numFmtId="49" xfId="0" applyFont="1" applyNumberFormat="1"/>
    <xf borderId="33" fillId="0" fontId="4" numFmtId="166" xfId="0" applyAlignment="1" applyBorder="1" applyFont="1" applyNumberFormat="1">
      <alignment horizontal="left" readingOrder="0" vertical="bottom"/>
    </xf>
    <xf borderId="34" fillId="0" fontId="4" numFmtId="166" xfId="0" applyAlignment="1" applyBorder="1" applyFont="1" applyNumberFormat="1">
      <alignment horizontal="left" readingOrder="0" vertical="bottom"/>
    </xf>
    <xf borderId="34" fillId="0" fontId="4" numFmtId="0" xfId="0" applyAlignment="1" applyBorder="1" applyFont="1">
      <alignment horizontal="left" readingOrder="0" vertical="bottom"/>
    </xf>
    <xf borderId="29" fillId="0" fontId="4" numFmtId="0" xfId="0" applyAlignment="1" applyBorder="1" applyFont="1">
      <alignment horizontal="left" readingOrder="0" vertical="bottom"/>
    </xf>
    <xf borderId="0" fillId="12" fontId="4" numFmtId="0" xfId="0" applyFont="1"/>
    <xf borderId="7" fillId="17" fontId="4" numFmtId="0" xfId="0" applyAlignment="1" applyBorder="1" applyFill="1" applyFont="1">
      <alignment horizontal="left" readingOrder="0" vertical="bottom"/>
    </xf>
    <xf borderId="7" fillId="0" fontId="4" numFmtId="0" xfId="0" applyAlignment="1" applyBorder="1" applyFont="1">
      <alignment horizontal="right" vertical="bottom"/>
    </xf>
    <xf borderId="32" fillId="0" fontId="4" numFmtId="0" xfId="0" applyAlignment="1" applyBorder="1" applyFont="1">
      <alignment horizontal="left" vertical="bottom"/>
    </xf>
    <xf borderId="34" fillId="0" fontId="4" numFmtId="0" xfId="0" applyAlignment="1" applyBorder="1" applyFont="1">
      <alignment horizontal="left" vertical="bottom"/>
    </xf>
    <xf borderId="35" fillId="0" fontId="4" numFmtId="0" xfId="0" applyAlignment="1" applyBorder="1" applyFont="1">
      <alignment horizontal="left" readingOrder="0" vertical="bottom"/>
    </xf>
    <xf borderId="0" fillId="0" fontId="4" numFmtId="2" xfId="0" applyAlignment="1" applyFont="1" applyNumberFormat="1">
      <alignment horizontal="right" readingOrder="0" vertical="bottom"/>
    </xf>
    <xf borderId="7" fillId="0" fontId="4" numFmtId="167" xfId="0" applyAlignment="1" applyBorder="1" applyFont="1" applyNumberFormat="1">
      <alignment horizontal="left" readingOrder="0" vertical="bottom"/>
    </xf>
    <xf borderId="7" fillId="7" fontId="4" numFmtId="0" xfId="0" applyAlignment="1" applyBorder="1" applyFont="1">
      <alignment horizontal="left" readingOrder="0" vertical="bottom"/>
    </xf>
    <xf borderId="32" fillId="0" fontId="4" numFmtId="0" xfId="0" applyAlignment="1" applyBorder="1" applyFont="1">
      <alignment horizontal="right" readingOrder="0" vertical="bottom"/>
    </xf>
    <xf borderId="34" fillId="0" fontId="4" numFmtId="0" xfId="0" applyAlignment="1" applyBorder="1" applyFont="1">
      <alignment horizontal="right" readingOrder="0" vertical="bottom"/>
    </xf>
    <xf borderId="0" fillId="0" fontId="4" numFmtId="167" xfId="0" applyAlignment="1" applyFont="1" applyNumberFormat="1">
      <alignment horizontal="left" readingOrder="0"/>
    </xf>
    <xf borderId="0" fillId="18" fontId="4" numFmtId="0" xfId="0" applyFill="1" applyFont="1"/>
    <xf borderId="7" fillId="0" fontId="4" numFmtId="174" xfId="0" applyAlignment="1" applyBorder="1" applyFont="1" applyNumberFormat="1">
      <alignment horizontal="left" readingOrder="0" vertical="bottom"/>
    </xf>
    <xf borderId="7" fillId="2" fontId="4" numFmtId="0" xfId="0" applyBorder="1" applyFont="1"/>
    <xf borderId="7" fillId="2" fontId="4" numFmtId="2" xfId="0" applyBorder="1" applyFont="1" applyNumberFormat="1"/>
    <xf borderId="20" fillId="0" fontId="4" numFmtId="168" xfId="0" applyAlignment="1" applyBorder="1" applyFont="1" applyNumberFormat="1">
      <alignment horizontal="left" readingOrder="0"/>
    </xf>
    <xf borderId="7" fillId="0" fontId="29" numFmtId="0" xfId="0" applyAlignment="1" applyBorder="1" applyFont="1">
      <alignment horizontal="right" readingOrder="0"/>
    </xf>
    <xf borderId="20" fillId="0" fontId="2" numFmtId="0" xfId="0" applyAlignment="1" applyBorder="1" applyFont="1">
      <alignment vertical="bottom"/>
    </xf>
    <xf borderId="31" fillId="0" fontId="7" numFmtId="166" xfId="0" applyAlignment="1" applyBorder="1" applyFont="1" applyNumberFormat="1">
      <alignment horizontal="left" readingOrder="0" vertical="bottom"/>
    </xf>
    <xf borderId="32" fillId="0" fontId="7" numFmtId="166" xfId="0" applyAlignment="1" applyBorder="1" applyFont="1" applyNumberFormat="1">
      <alignment horizontal="left" readingOrder="0" vertical="bottom"/>
    </xf>
    <xf borderId="32" fillId="0" fontId="7" numFmtId="0" xfId="0" applyAlignment="1" applyBorder="1" applyFont="1">
      <alignment horizontal="left" readingOrder="0" vertical="bottom"/>
    </xf>
    <xf borderId="27" fillId="0" fontId="7" numFmtId="0" xfId="0" applyAlignment="1" applyBorder="1" applyFont="1">
      <alignment horizontal="left" readingOrder="0" vertical="bottom"/>
    </xf>
    <xf borderId="28" fillId="0" fontId="7" numFmtId="0" xfId="0" applyAlignment="1" applyBorder="1" applyFont="1">
      <alignment horizontal="left" readingOrder="0" vertical="bottom"/>
    </xf>
    <xf borderId="28" fillId="0" fontId="7" numFmtId="0" xfId="0" applyAlignment="1" applyBorder="1" applyFont="1">
      <alignment horizontal="right" readingOrder="0" vertical="bottom"/>
    </xf>
    <xf borderId="32" fillId="0" fontId="7" numFmtId="0" xfId="0" applyAlignment="1" applyBorder="1" applyFont="1">
      <alignment horizontal="right" readingOrder="0" vertical="bottom"/>
    </xf>
    <xf borderId="33" fillId="0" fontId="7" numFmtId="166" xfId="0" applyAlignment="1" applyBorder="1" applyFont="1" applyNumberFormat="1">
      <alignment horizontal="left" readingOrder="0" vertical="bottom"/>
    </xf>
    <xf borderId="34" fillId="0" fontId="7" numFmtId="166" xfId="0" applyAlignment="1" applyBorder="1" applyFont="1" applyNumberFormat="1">
      <alignment horizontal="left" readingOrder="0" vertical="bottom"/>
    </xf>
    <xf borderId="34" fillId="0" fontId="7" numFmtId="0" xfId="0" applyAlignment="1" applyBorder="1" applyFont="1">
      <alignment horizontal="left" readingOrder="0" vertical="bottom"/>
    </xf>
    <xf borderId="29" fillId="0" fontId="7" numFmtId="0" xfId="0" applyAlignment="1" applyBorder="1" applyFont="1">
      <alignment horizontal="left" readingOrder="0" vertical="bottom"/>
    </xf>
    <xf borderId="30" fillId="0" fontId="7" numFmtId="0" xfId="0" applyAlignment="1" applyBorder="1" applyFont="1">
      <alignment horizontal="left" readingOrder="0" vertical="bottom"/>
    </xf>
    <xf borderId="30" fillId="0" fontId="7" numFmtId="0" xfId="0" applyAlignment="1" applyBorder="1" applyFont="1">
      <alignment horizontal="right" readingOrder="0" vertical="bottom"/>
    </xf>
    <xf borderId="34" fillId="0" fontId="7" numFmtId="0" xfId="0" applyAlignment="1" applyBorder="1" applyFont="1">
      <alignment horizontal="right" readingOrder="0" vertical="bottom"/>
    </xf>
    <xf borderId="30" fillId="0" fontId="7" numFmtId="0" xfId="0" applyAlignment="1" applyBorder="1" applyFont="1">
      <alignment horizontal="right" vertical="bottom"/>
    </xf>
    <xf borderId="0" fillId="2" fontId="6" numFmtId="0" xfId="0" applyFont="1"/>
    <xf borderId="0" fillId="2" fontId="27" numFmtId="0" xfId="0" applyFont="1"/>
    <xf borderId="32" fillId="0" fontId="7" numFmtId="0" xfId="0" applyAlignment="1" applyBorder="1" applyFont="1">
      <alignment horizontal="left" vertical="bottom"/>
    </xf>
    <xf borderId="34" fillId="0" fontId="7" numFmtId="0" xfId="0" applyAlignment="1" applyBorder="1" applyFont="1">
      <alignment horizontal="left" vertical="bottom"/>
    </xf>
    <xf borderId="7" fillId="0" fontId="5" numFmtId="0" xfId="0" applyAlignment="1" applyBorder="1" applyFont="1">
      <alignment horizontal="right" readingOrder="0" vertical="bottom"/>
    </xf>
    <xf borderId="31" fillId="0" fontId="7" numFmtId="0" xfId="0" applyAlignment="1" applyBorder="1" applyFont="1">
      <alignment horizontal="left" readingOrder="0" vertical="bottom"/>
    </xf>
    <xf borderId="33" fillId="0" fontId="7" numFmtId="0" xfId="0" applyAlignment="1" applyBorder="1" applyFont="1">
      <alignment horizontal="left" readingOrder="0" vertical="bottom"/>
    </xf>
    <xf borderId="8" fillId="0" fontId="4" numFmtId="2" xfId="0" applyAlignment="1" applyBorder="1" applyFont="1" applyNumberFormat="1">
      <alignment horizontal="center"/>
    </xf>
    <xf borderId="7" fillId="0" fontId="7" numFmtId="170" xfId="0" applyAlignment="1" applyBorder="1" applyFont="1" applyNumberFormat="1">
      <alignment horizontal="left" readingOrder="0" vertical="bottom"/>
    </xf>
    <xf borderId="7" fillId="0" fontId="12" numFmtId="0" xfId="0" applyAlignment="1" applyBorder="1" applyFont="1">
      <alignment horizontal="left" readingOrder="0" vertical="bottom"/>
    </xf>
    <xf borderId="7" fillId="0" fontId="7" numFmtId="2" xfId="0" applyAlignment="1" applyBorder="1" applyFont="1" applyNumberFormat="1">
      <alignment horizontal="right" readingOrder="0" vertical="bottom"/>
    </xf>
    <xf borderId="0" fillId="0" fontId="30" numFmtId="0" xfId="0" applyFont="1"/>
    <xf borderId="7" fillId="0" fontId="4" numFmtId="2" xfId="0" applyAlignment="1" applyBorder="1" applyFont="1" applyNumberFormat="1">
      <alignment horizontal="center" vertical="bottom"/>
    </xf>
    <xf borderId="36" fillId="0" fontId="7" numFmtId="166" xfId="0" applyAlignment="1" applyBorder="1" applyFont="1" applyNumberFormat="1">
      <alignment horizontal="left" readingOrder="0" vertical="bottom"/>
    </xf>
    <xf borderId="37" fillId="0" fontId="7" numFmtId="166" xfId="0" applyAlignment="1" applyBorder="1" applyFont="1" applyNumberFormat="1">
      <alignment horizontal="left" readingOrder="0" vertical="bottom"/>
    </xf>
    <xf borderId="30" fillId="0" fontId="7" numFmtId="0" xfId="0" applyAlignment="1" applyBorder="1" applyFont="1">
      <alignment horizontal="left" vertical="bottom"/>
    </xf>
    <xf borderId="27" fillId="0" fontId="7" numFmtId="0" xfId="0" applyAlignment="1" applyBorder="1" applyFont="1">
      <alignment horizontal="left" vertical="bottom"/>
    </xf>
    <xf borderId="29" fillId="0" fontId="7" numFmtId="0" xfId="0" applyAlignment="1" applyBorder="1" applyFont="1">
      <alignment horizontal="left" vertical="bottom"/>
    </xf>
    <xf borderId="0" fillId="0" fontId="5" numFmtId="0" xfId="0" applyAlignment="1" applyFont="1">
      <alignment horizontal="right" readingOrder="0" vertical="bottom"/>
    </xf>
    <xf borderId="8" fillId="5" fontId="31" numFmtId="0" xfId="0" applyAlignment="1" applyBorder="1" applyFont="1">
      <alignment horizontal="center" readingOrder="0"/>
    </xf>
    <xf borderId="37" fillId="0" fontId="7" numFmtId="0" xfId="0" applyAlignment="1" applyBorder="1" applyFont="1">
      <alignment horizontal="left" readingOrder="0" vertical="bottom"/>
    </xf>
    <xf borderId="25" fillId="2" fontId="4" numFmtId="0" xfId="0" applyBorder="1" applyFont="1"/>
    <xf borderId="25" fillId="2" fontId="4" numFmtId="2" xfId="0" applyBorder="1" applyFont="1" applyNumberFormat="1"/>
    <xf borderId="7" fillId="5" fontId="4" numFmtId="0" xfId="0" applyAlignment="1" applyBorder="1" applyFont="1">
      <alignment readingOrder="0"/>
    </xf>
    <xf borderId="7" fillId="5" fontId="1" numFmtId="0" xfId="0" applyAlignment="1" applyBorder="1" applyFont="1">
      <alignment readingOrder="0"/>
    </xf>
    <xf borderId="7" fillId="0" fontId="11" numFmtId="0" xfId="0" applyAlignment="1" applyBorder="1" applyFont="1">
      <alignment readingOrder="0" shrinkToFit="0" wrapText="0"/>
    </xf>
    <xf borderId="27" fillId="0" fontId="7" numFmtId="166" xfId="0" applyAlignment="1" applyBorder="1" applyFont="1" applyNumberFormat="1">
      <alignment horizontal="left" readingOrder="0" vertical="bottom"/>
    </xf>
    <xf borderId="28" fillId="0" fontId="7" numFmtId="166" xfId="0" applyAlignment="1" applyBorder="1" applyFont="1" applyNumberFormat="1">
      <alignment horizontal="left" readingOrder="0" vertical="bottom"/>
    </xf>
    <xf borderId="29" fillId="0" fontId="7" numFmtId="166" xfId="0" applyAlignment="1" applyBorder="1" applyFont="1" applyNumberFormat="1">
      <alignment horizontal="left" readingOrder="0" vertical="bottom"/>
    </xf>
    <xf borderId="30" fillId="0" fontId="7" numFmtId="166" xfId="0" applyAlignment="1" applyBorder="1" applyFont="1" applyNumberFormat="1">
      <alignment horizontal="left" readingOrder="0" vertical="bottom"/>
    </xf>
    <xf borderId="28" fillId="0" fontId="7" numFmtId="0" xfId="0" applyAlignment="1" applyBorder="1" applyFont="1">
      <alignment horizontal="left" vertical="bottom"/>
    </xf>
    <xf borderId="0" fillId="0" fontId="7" numFmtId="0" xfId="0" applyAlignment="1" applyFont="1">
      <alignment horizontal="right" vertical="bottom"/>
    </xf>
    <xf borderId="0" fillId="0" fontId="7" numFmtId="2" xfId="0" applyAlignment="1" applyFont="1" applyNumberFormat="1">
      <alignment horizontal="right" vertical="bottom"/>
    </xf>
    <xf borderId="29" fillId="0" fontId="7" numFmtId="173" xfId="0" applyAlignment="1" applyBorder="1" applyFont="1" applyNumberFormat="1">
      <alignment horizontal="left" readingOrder="0" vertical="bottom"/>
    </xf>
    <xf borderId="30" fillId="0" fontId="7" numFmtId="173" xfId="0" applyAlignment="1" applyBorder="1" applyFont="1" applyNumberFormat="1">
      <alignment horizontal="left" readingOrder="0" vertical="bottom"/>
    </xf>
    <xf borderId="7" fillId="2" fontId="1" numFmtId="0" xfId="0" applyBorder="1" applyFont="1"/>
    <xf borderId="7" fillId="2" fontId="1" numFmtId="2" xfId="0" applyBorder="1" applyFont="1" applyNumberFormat="1"/>
    <xf borderId="0" fillId="0" fontId="17" numFmtId="0" xfId="0" applyAlignment="1" applyFont="1">
      <alignment horizontal="left" readingOrder="0"/>
    </xf>
    <xf borderId="7" fillId="0" fontId="4" numFmtId="1" xfId="0" applyAlignment="1" applyBorder="1" applyFont="1" applyNumberFormat="1">
      <alignment horizontal="left" readingOrder="0"/>
    </xf>
    <xf borderId="0" fillId="2" fontId="1" numFmtId="2" xfId="0" applyFont="1" applyNumberFormat="1"/>
    <xf borderId="0" fillId="0" fontId="17" numFmtId="0" xfId="0" applyAlignment="1" applyFont="1">
      <alignment horizontal="left" readingOrder="0" shrinkToFit="0" wrapText="0"/>
    </xf>
    <xf borderId="7" fillId="7" fontId="4" numFmtId="2" xfId="0" applyAlignment="1" applyBorder="1" applyFont="1" applyNumberFormat="1">
      <alignment horizontal="left"/>
    </xf>
    <xf borderId="7" fillId="19" fontId="4" numFmtId="167" xfId="0" applyAlignment="1" applyBorder="1" applyFill="1" applyFont="1" applyNumberFormat="1">
      <alignment horizontal="left" readingOrder="0"/>
    </xf>
    <xf borderId="7" fillId="19" fontId="4" numFmtId="0" xfId="0" applyAlignment="1" applyBorder="1" applyFont="1">
      <alignment horizontal="left" readingOrder="0"/>
    </xf>
    <xf borderId="7" fillId="19" fontId="4" numFmtId="0" xfId="0" applyAlignment="1" applyBorder="1" applyFont="1">
      <alignment horizontal="left"/>
    </xf>
    <xf borderId="7" fillId="19" fontId="4" numFmtId="0" xfId="0" applyAlignment="1" applyBorder="1" applyFont="1">
      <alignment readingOrder="0"/>
    </xf>
    <xf borderId="7" fillId="20" fontId="4" numFmtId="0" xfId="0" applyBorder="1" applyFill="1" applyFont="1"/>
    <xf borderId="7" fillId="20" fontId="4" numFmtId="2" xfId="0" applyBorder="1" applyFont="1" applyNumberFormat="1"/>
    <xf borderId="7" fillId="0" fontId="2" numFmtId="0" xfId="0" applyAlignment="1" applyBorder="1" applyFont="1">
      <alignment horizontal="center" readingOrder="0" vertical="bottom"/>
    </xf>
    <xf borderId="7" fillId="13" fontId="4" numFmtId="0" xfId="0" applyAlignment="1" applyBorder="1" applyFont="1">
      <alignment readingOrder="0"/>
    </xf>
    <xf borderId="0" fillId="0" fontId="1" numFmtId="0" xfId="0" applyAlignment="1" applyFont="1">
      <alignment horizontal="left" readingOrder="0"/>
    </xf>
    <xf borderId="38" fillId="2" fontId="4" numFmtId="0" xfId="0" applyBorder="1" applyFont="1"/>
    <xf borderId="38" fillId="2" fontId="4" numFmtId="2" xfId="0" applyBorder="1" applyFont="1" applyNumberFormat="1"/>
    <xf borderId="7" fillId="8" fontId="4" numFmtId="167" xfId="0" applyAlignment="1" applyBorder="1" applyFont="1" applyNumberFormat="1">
      <alignment horizontal="left" readingOrder="0"/>
    </xf>
    <xf borderId="7" fillId="0" fontId="2" numFmtId="0" xfId="0" applyAlignment="1" applyBorder="1" applyFont="1">
      <alignment vertical="bottom"/>
    </xf>
    <xf borderId="0" fillId="13" fontId="4" numFmtId="0" xfId="0" applyFont="1"/>
    <xf borderId="27" fillId="0" fontId="7" numFmtId="170" xfId="0" applyAlignment="1" applyBorder="1" applyFont="1" applyNumberFormat="1">
      <alignment horizontal="left" readingOrder="0" vertical="bottom"/>
    </xf>
    <xf borderId="28" fillId="0" fontId="7" numFmtId="170" xfId="0" applyAlignment="1" applyBorder="1" applyFont="1" applyNumberFormat="1">
      <alignment horizontal="left" readingOrder="0" vertical="bottom"/>
    </xf>
    <xf borderId="29" fillId="0" fontId="7" numFmtId="170" xfId="0" applyAlignment="1" applyBorder="1" applyFont="1" applyNumberFormat="1">
      <alignment horizontal="left" readingOrder="0" vertical="bottom"/>
    </xf>
    <xf borderId="30" fillId="0" fontId="7" numFmtId="170" xfId="0" applyAlignment="1" applyBorder="1" applyFont="1" applyNumberFormat="1">
      <alignment horizontal="left" readingOrder="0" vertical="bottom"/>
    </xf>
    <xf quotePrefix="1" borderId="0" fillId="0" fontId="4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29" fillId="0" fontId="4" numFmtId="173" xfId="0" applyAlignment="1" applyBorder="1" applyFont="1" applyNumberFormat="1">
      <alignment horizontal="left" readingOrder="0" vertical="bottom"/>
    </xf>
    <xf borderId="30" fillId="0" fontId="4" numFmtId="173" xfId="0" applyAlignment="1" applyBorder="1" applyFont="1" applyNumberFormat="1">
      <alignment horizontal="left" readingOrder="0" vertical="bottom"/>
    </xf>
    <xf borderId="0" fillId="0" fontId="21" numFmtId="0" xfId="0" applyAlignment="1" applyFont="1">
      <alignment horizontal="left" readingOrder="0" shrinkToFit="0" wrapText="0"/>
    </xf>
    <xf borderId="0" fillId="13" fontId="24" numFmtId="0" xfId="0" applyAlignment="1" applyFont="1">
      <alignment horizontal="center" readingOrder="0" vertical="center"/>
    </xf>
    <xf borderId="8" fillId="4" fontId="4" numFmtId="0" xfId="0" applyAlignment="1" applyBorder="1" applyFont="1">
      <alignment horizontal="center" readingOrder="0"/>
    </xf>
    <xf borderId="7" fillId="0" fontId="4" numFmtId="2" xfId="0" applyAlignment="1" applyBorder="1" applyFont="1" applyNumberFormat="1">
      <alignment horizontal="center" readingOrder="0"/>
    </xf>
    <xf borderId="0" fillId="0" fontId="32" numFmtId="0" xfId="0" applyAlignment="1" applyFont="1">
      <alignment readingOrder="0"/>
    </xf>
    <xf borderId="7" fillId="0" fontId="1" numFmtId="167" xfId="0" applyAlignment="1" applyBorder="1" applyFont="1" applyNumberFormat="1">
      <alignment horizontal="left" readingOrder="0"/>
    </xf>
    <xf borderId="7" fillId="7" fontId="2" numFmtId="0" xfId="0" applyAlignment="1" applyBorder="1" applyFont="1">
      <alignment readingOrder="0" vertical="bottom"/>
    </xf>
    <xf borderId="7" fillId="0" fontId="2" numFmtId="2" xfId="0" applyAlignment="1" applyBorder="1" applyFont="1" applyNumberFormat="1">
      <alignment vertical="bottom"/>
    </xf>
    <xf borderId="0" fillId="21" fontId="4" numFmtId="0" xfId="0" applyAlignment="1" applyFill="1" applyFont="1">
      <alignment readingOrder="0"/>
    </xf>
    <xf borderId="0" fillId="21" fontId="4" numFmtId="0" xfId="0" applyAlignment="1" applyFont="1">
      <alignment horizontal="right" readingOrder="0"/>
    </xf>
    <xf borderId="7" fillId="7" fontId="2" numFmtId="0" xfId="0" applyAlignment="1" applyBorder="1" applyFont="1">
      <alignment horizontal="left" readingOrder="0" vertical="bottom"/>
    </xf>
    <xf borderId="7" fillId="7" fontId="4" numFmtId="0" xfId="0" applyAlignment="1" applyBorder="1" applyFont="1">
      <alignment horizontal="right" readingOrder="0"/>
    </xf>
    <xf quotePrefix="1" borderId="7" fillId="0" fontId="4" numFmtId="0" xfId="0" applyAlignment="1" applyBorder="1" applyFont="1">
      <alignment horizontal="right" readingOrder="0"/>
    </xf>
    <xf borderId="0" fillId="0" fontId="4" numFmtId="2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36" fillId="0" fontId="7" numFmtId="0" xfId="0" applyAlignment="1" applyBorder="1" applyFont="1">
      <alignment horizontal="left" readingOrder="0" vertical="bottom"/>
    </xf>
    <xf borderId="36" fillId="0" fontId="7" numFmtId="0" xfId="0" applyAlignment="1" applyBorder="1" applyFont="1">
      <alignment horizontal="left" vertical="bottom"/>
    </xf>
    <xf borderId="6" fillId="0" fontId="0" numFmtId="0" xfId="0" applyAlignment="1" applyBorder="1" applyFont="1">
      <alignment horizontal="center" readingOrder="0"/>
    </xf>
    <xf borderId="7" fillId="0" fontId="4" numFmtId="0" xfId="0" applyAlignment="1" applyBorder="1" applyFont="1">
      <alignment vertical="bottom"/>
    </xf>
    <xf borderId="4" fillId="0" fontId="0" numFmtId="0" xfId="0" applyAlignment="1" applyBorder="1" applyFont="1">
      <alignment horizontal="center" readingOrder="0"/>
    </xf>
    <xf borderId="19" fillId="0" fontId="0" numFmtId="0" xfId="0" applyAlignment="1" applyBorder="1" applyFont="1">
      <alignment vertical="bottom"/>
    </xf>
    <xf borderId="19" fillId="0" fontId="0" numFmtId="0" xfId="0" applyAlignment="1" applyBorder="1" applyFont="1">
      <alignment horizontal="center" readingOrder="0" vertical="bottom"/>
    </xf>
    <xf borderId="19" fillId="0" fontId="0" numFmtId="0" xfId="0" applyAlignment="1" applyBorder="1" applyFont="1">
      <alignment vertical="bottom"/>
    </xf>
    <xf borderId="0" fillId="0" fontId="0" numFmtId="0" xfId="0" applyAlignment="1" applyFont="1">
      <alignment vertical="bottom"/>
    </xf>
    <xf borderId="0" fillId="0" fontId="6" numFmtId="0" xfId="0" applyAlignment="1" applyFont="1">
      <alignment horizontal="right" readingOrder="0" vertical="bottom"/>
    </xf>
    <xf borderId="38" fillId="2" fontId="6" numFmtId="0" xfId="0" applyAlignment="1" applyBorder="1" applyFont="1">
      <alignment horizontal="center" readingOrder="0" vertical="bottom"/>
    </xf>
    <xf borderId="38" fillId="0" fontId="3" numFmtId="0" xfId="0" applyBorder="1" applyFont="1"/>
    <xf borderId="39" fillId="2" fontId="4" numFmtId="0" xfId="0" applyAlignment="1" applyBorder="1" applyFont="1">
      <alignment vertical="bottom"/>
    </xf>
    <xf borderId="6" fillId="2" fontId="4" numFmtId="2" xfId="0" applyAlignment="1" applyBorder="1" applyFont="1" applyNumberFormat="1">
      <alignment vertical="bottom"/>
    </xf>
    <xf borderId="19" fillId="0" fontId="0" numFmtId="2" xfId="0" applyAlignment="1" applyBorder="1" applyFont="1" applyNumberFormat="1">
      <alignment vertical="bottom"/>
    </xf>
    <xf borderId="19" fillId="0" fontId="0" numFmtId="169" xfId="0" applyAlignment="1" applyBorder="1" applyFont="1" applyNumberFormat="1">
      <alignment horizontal="right" readingOrder="0" vertical="bottom"/>
    </xf>
    <xf borderId="4" fillId="0" fontId="0" numFmtId="169" xfId="0" applyAlignment="1" applyBorder="1" applyFont="1" applyNumberFormat="1">
      <alignment horizontal="right" readingOrder="0" vertical="bottom"/>
    </xf>
    <xf borderId="19" fillId="0" fontId="33" numFmtId="0" xfId="0" applyAlignment="1" applyBorder="1" applyFont="1">
      <alignment horizontal="right" readingOrder="0"/>
    </xf>
    <xf borderId="4" fillId="0" fontId="0" numFmtId="0" xfId="0" applyAlignment="1" applyBorder="1" applyFont="1">
      <alignment horizontal="center"/>
    </xf>
    <xf borderId="19" fillId="0" fontId="0" numFmtId="0" xfId="0" applyAlignment="1" applyBorder="1" applyFont="1">
      <alignment horizontal="right"/>
    </xf>
    <xf borderId="19" fillId="0" fontId="0" numFmtId="0" xfId="0" applyAlignment="1" applyBorder="1" applyFont="1">
      <alignment horizontal="right"/>
    </xf>
    <xf borderId="19" fillId="0" fontId="0" numFmtId="172" xfId="0" applyAlignment="1" applyBorder="1" applyFont="1" applyNumberFormat="1">
      <alignment horizontal="right" readingOrder="0" vertical="bottom"/>
    </xf>
    <xf borderId="4" fillId="0" fontId="0" numFmtId="172" xfId="0" applyAlignment="1" applyBorder="1" applyFont="1" applyNumberFormat="1">
      <alignment horizontal="right" readingOrder="0" vertical="bottom"/>
    </xf>
    <xf borderId="0" fillId="0" fontId="6" numFmtId="0" xfId="0" applyAlignment="1" applyFont="1">
      <alignment vertical="bottom"/>
    </xf>
    <xf borderId="7" fillId="0" fontId="0" numFmtId="169" xfId="0" applyAlignment="1" applyBorder="1" applyFont="1" applyNumberFormat="1">
      <alignment horizontal="right" readingOrder="0" vertical="bottom"/>
    </xf>
    <xf borderId="19" fillId="9" fontId="0" numFmtId="169" xfId="0" applyAlignment="1" applyBorder="1" applyFont="1" applyNumberFormat="1">
      <alignment horizontal="right" readingOrder="0" vertical="bottom"/>
    </xf>
    <xf borderId="4" fillId="9" fontId="0" numFmtId="169" xfId="0" applyAlignment="1" applyBorder="1" applyFont="1" applyNumberFormat="1">
      <alignment horizontal="right" readingOrder="0" vertical="bottom"/>
    </xf>
    <xf borderId="4" fillId="9" fontId="0" numFmtId="0" xfId="0" applyAlignment="1" applyBorder="1" applyFont="1">
      <alignment horizontal="center" readingOrder="0"/>
    </xf>
    <xf borderId="19" fillId="9" fontId="0" numFmtId="0" xfId="0" applyAlignment="1" applyBorder="1" applyFont="1">
      <alignment horizontal="right" readingOrder="0"/>
    </xf>
    <xf borderId="19" fillId="9" fontId="0" numFmtId="0" xfId="0" applyAlignment="1" applyBorder="1" applyFont="1">
      <alignment horizontal="right" readingOrder="0" vertical="bottom"/>
    </xf>
    <xf borderId="7" fillId="0" fontId="17" numFmtId="0" xfId="0" applyAlignment="1" applyBorder="1" applyFont="1">
      <alignment readingOrder="0"/>
    </xf>
    <xf borderId="7" fillId="0" fontId="4" numFmtId="168" xfId="0" applyAlignment="1" applyBorder="1" applyFont="1" applyNumberFormat="1">
      <alignment horizontal="right" readingOrder="0"/>
    </xf>
    <xf borderId="0" fillId="0" fontId="4" numFmtId="165" xfId="0" applyAlignment="1" applyFont="1" applyNumberFormat="1">
      <alignment horizontal="right" readingOrder="0"/>
    </xf>
    <xf borderId="7" fillId="0" fontId="0" numFmtId="0" xfId="0" applyAlignment="1" applyBorder="1" applyFont="1">
      <alignment horizontal="center" readingOrder="0"/>
    </xf>
    <xf borderId="0" fillId="0" fontId="5" numFmtId="49" xfId="0" applyAlignment="1" applyFont="1" applyNumberFormat="1">
      <alignment horizontal="right" readingOrder="0" textRotation="0" vertical="bottom"/>
    </xf>
    <xf borderId="20" fillId="0" fontId="0" numFmtId="0" xfId="0" applyBorder="1" applyFont="1"/>
    <xf borderId="0" fillId="2" fontId="34" numFmtId="0" xfId="0" applyAlignment="1" applyFont="1">
      <alignment horizontal="center" readingOrder="0"/>
    </xf>
    <xf borderId="0" fillId="2" fontId="35" numFmtId="0" xfId="0" applyAlignment="1" applyFont="1">
      <alignment horizontal="right" readingOrder="0" vertical="bottom"/>
    </xf>
    <xf borderId="0" fillId="2" fontId="35" numFmtId="2" xfId="0" applyAlignment="1" applyFont="1" applyNumberFormat="1">
      <alignment vertical="bottom"/>
    </xf>
    <xf borderId="0" fillId="2" fontId="35" numFmtId="0" xfId="0" applyAlignment="1" applyFont="1">
      <alignment vertical="bottom"/>
    </xf>
    <xf borderId="0" fillId="2" fontId="36" numFmtId="0" xfId="0" applyAlignment="1" applyFont="1">
      <alignment horizontal="right" readingOrder="0" vertical="bottom"/>
    </xf>
    <xf borderId="7" fillId="0" fontId="7" numFmtId="169" xfId="0" applyAlignment="1" applyBorder="1" applyFont="1" applyNumberFormat="1">
      <alignment horizontal="right" readingOrder="0"/>
    </xf>
    <xf borderId="6" fillId="0" fontId="7" numFmtId="169" xfId="0" applyAlignment="1" applyBorder="1" applyFont="1" applyNumberFormat="1">
      <alignment horizontal="right" readingOrder="0"/>
    </xf>
    <xf borderId="6" fillId="0" fontId="7" numFmtId="0" xfId="0" applyAlignment="1" applyBorder="1" applyFont="1">
      <alignment horizontal="left" readingOrder="0"/>
    </xf>
    <xf borderId="7" fillId="0" fontId="7" numFmtId="0" xfId="0" applyAlignment="1" applyBorder="1" applyFont="1">
      <alignment horizontal="right" readingOrder="0"/>
    </xf>
    <xf borderId="7" fillId="0" fontId="7" numFmtId="0" xfId="0" applyBorder="1" applyFont="1"/>
    <xf borderId="7" fillId="0" fontId="5" numFmtId="0" xfId="0" applyAlignment="1" applyBorder="1" applyFont="1">
      <alignment horizontal="right" readingOrder="0"/>
    </xf>
    <xf borderId="19" fillId="0" fontId="7" numFmtId="169" xfId="0" applyAlignment="1" applyBorder="1" applyFont="1" applyNumberFormat="1">
      <alignment horizontal="right" readingOrder="0"/>
    </xf>
    <xf borderId="4" fillId="0" fontId="7" numFmtId="169" xfId="0" applyAlignment="1" applyBorder="1" applyFont="1" applyNumberFormat="1">
      <alignment horizontal="right" readingOrder="0"/>
    </xf>
    <xf borderId="4" fillId="0" fontId="7" numFmtId="0" xfId="0" applyAlignment="1" applyBorder="1" applyFont="1">
      <alignment horizontal="left" readingOrder="0"/>
    </xf>
    <xf borderId="19" fillId="0" fontId="7" numFmtId="0" xfId="0" applyAlignment="1" applyBorder="1" applyFont="1">
      <alignment horizontal="right" readingOrder="0"/>
    </xf>
    <xf borderId="19" fillId="0" fontId="5" numFmtId="0" xfId="0" applyAlignment="1" applyBorder="1" applyFont="1">
      <alignment horizontal="right" readingOrder="0"/>
    </xf>
    <xf borderId="0" fillId="2" fontId="7" numFmtId="0" xfId="0" applyAlignment="1" applyFont="1">
      <alignment horizontal="center" vertical="bottom"/>
    </xf>
    <xf borderId="3" fillId="2" fontId="37" numFmtId="0" xfId="0" applyAlignment="1" applyBorder="1" applyFont="1">
      <alignment horizontal="center" readingOrder="0" vertical="bottom"/>
    </xf>
    <xf borderId="7" fillId="2" fontId="7" numFmtId="0" xfId="0" applyAlignment="1" applyBorder="1" applyFont="1">
      <alignment vertical="bottom"/>
    </xf>
    <xf borderId="7" fillId="2" fontId="7" numFmtId="2" xfId="0" applyAlignment="1" applyBorder="1" applyFont="1" applyNumberFormat="1">
      <alignment vertical="bottom"/>
    </xf>
    <xf borderId="0" fillId="2" fontId="7" numFmtId="0" xfId="0" applyAlignment="1" applyFont="1">
      <alignment vertical="bottom"/>
    </xf>
    <xf borderId="19" fillId="0" fontId="7" numFmtId="172" xfId="0" applyAlignment="1" applyBorder="1" applyFont="1" applyNumberFormat="1">
      <alignment horizontal="right" readingOrder="0"/>
    </xf>
    <xf borderId="4" fillId="0" fontId="7" numFmtId="172" xfId="0" applyAlignment="1" applyBorder="1" applyFont="1" applyNumberFormat="1">
      <alignment horizontal="right" readingOrder="0"/>
    </xf>
    <xf borderId="19" fillId="0" fontId="38" numFmtId="0" xfId="0" applyAlignment="1" applyBorder="1" applyFont="1">
      <alignment horizontal="right" readingOrder="0"/>
    </xf>
    <xf borderId="19" fillId="0" fontId="5" numFmtId="0" xfId="0" applyAlignment="1" applyBorder="1" applyFont="1">
      <alignment horizontal="right" readingOrder="0"/>
    </xf>
    <xf borderId="7" fillId="0" fontId="38" numFmtId="0" xfId="0" applyAlignment="1" applyBorder="1" applyFont="1">
      <alignment horizontal="right" readingOrder="0"/>
    </xf>
    <xf borderId="7" fillId="0" fontId="5" numFmtId="0" xfId="0" applyAlignment="1" applyBorder="1" applyFont="1">
      <alignment horizontal="right" readingOrder="0"/>
    </xf>
    <xf borderId="4" fillId="0" fontId="7" numFmtId="0" xfId="0" applyAlignment="1" applyBorder="1" applyFont="1">
      <alignment horizontal="left"/>
    </xf>
    <xf borderId="19" fillId="0" fontId="7" numFmtId="0" xfId="0" applyBorder="1" applyFont="1"/>
    <xf borderId="19" fillId="0" fontId="5" numFmtId="0" xfId="0" applyBorder="1" applyFont="1"/>
    <xf borderId="25" fillId="2" fontId="37" numFmtId="0" xfId="0" applyAlignment="1" applyBorder="1" applyFont="1">
      <alignment horizontal="center" readingOrder="0" vertical="bottom"/>
    </xf>
    <xf borderId="6" fillId="2" fontId="7" numFmtId="0" xfId="0" applyAlignment="1" applyBorder="1" applyFont="1">
      <alignment vertical="bottom"/>
    </xf>
    <xf borderId="6" fillId="2" fontId="7" numFmtId="2" xfId="0" applyAlignment="1" applyBorder="1" applyFont="1" applyNumberFormat="1">
      <alignment vertical="bottom"/>
    </xf>
    <xf borderId="25" fillId="2" fontId="37" numFmtId="0" xfId="0" applyAlignment="1" applyBorder="1" applyFont="1">
      <alignment horizontal="center" vertical="bottom"/>
    </xf>
    <xf borderId="25" fillId="2" fontId="6" numFmtId="0" xfId="0" applyAlignment="1" applyBorder="1" applyFont="1">
      <alignment horizontal="center" readingOrder="0" vertical="bottom"/>
    </xf>
    <xf borderId="6" fillId="2" fontId="4" numFmtId="0" xfId="0" applyAlignment="1" applyBorder="1" applyFont="1">
      <alignment vertical="bottom"/>
    </xf>
    <xf borderId="20" fillId="0" fontId="4" numFmtId="167" xfId="0" applyAlignment="1" applyBorder="1" applyFont="1" applyNumberFormat="1">
      <alignment horizontal="right" readingOrder="0"/>
    </xf>
    <xf borderId="20" fillId="0" fontId="11" numFmtId="0" xfId="0" applyAlignment="1" applyBorder="1" applyFont="1">
      <alignment readingOrder="0"/>
    </xf>
    <xf borderId="20" fillId="0" fontId="0" numFmtId="0" xfId="0" applyAlignment="1" applyBorder="1" applyFont="1">
      <alignment readingOrder="0"/>
    </xf>
    <xf borderId="0" fillId="2" fontId="4" numFmtId="2" xfId="0" applyAlignment="1" applyFont="1" applyNumberFormat="1">
      <alignment vertical="bottom"/>
    </xf>
    <xf borderId="8" fillId="5" fontId="39" numFmtId="0" xfId="0" applyAlignment="1" applyBorder="1" applyFont="1">
      <alignment horizontal="center" vertical="bottom"/>
    </xf>
    <xf borderId="0" fillId="2" fontId="19" numFmtId="0" xfId="0" applyAlignment="1" applyFont="1">
      <alignment horizontal="center" readingOrder="0" vertical="bottom"/>
    </xf>
    <xf borderId="8" fillId="0" fontId="4" numFmtId="2" xfId="0" applyBorder="1" applyFont="1" applyNumberFormat="1"/>
    <xf borderId="7" fillId="0" fontId="2" numFmtId="168" xfId="0" applyAlignment="1" applyBorder="1" applyFont="1" applyNumberFormat="1">
      <alignment horizontal="right" vertical="bottom"/>
    </xf>
    <xf borderId="7" fillId="0" fontId="2" numFmtId="168" xfId="0" applyAlignment="1" applyBorder="1" applyFont="1" applyNumberFormat="1">
      <alignment horizontal="right" readingOrder="0" vertical="bottom"/>
    </xf>
    <xf borderId="0" fillId="0" fontId="0" numFmtId="49" xfId="0" applyAlignment="1" applyFont="1" applyNumberFormat="1">
      <alignment horizontal="right" readingOrder="0" textRotation="0" vertical="bottom"/>
    </xf>
    <xf borderId="0" fillId="2" fontId="40" numFmtId="0" xfId="0" applyAlignment="1" applyFont="1">
      <alignment horizontal="center" readingOrder="0"/>
    </xf>
    <xf borderId="0" fillId="2" fontId="41" numFmtId="0" xfId="0" applyAlignment="1" applyFont="1">
      <alignment horizontal="right" readingOrder="0" vertical="bottom"/>
    </xf>
    <xf borderId="0" fillId="2" fontId="41" numFmtId="2" xfId="0" applyAlignment="1" applyFont="1" applyNumberFormat="1">
      <alignment vertical="bottom"/>
    </xf>
    <xf borderId="0" fillId="2" fontId="42" numFmtId="0" xfId="0" applyAlignment="1" applyFont="1">
      <alignment vertical="bottom"/>
    </xf>
    <xf borderId="0" fillId="2" fontId="42" numFmtId="0" xfId="0" applyAlignment="1" applyFont="1">
      <alignment horizontal="right" readingOrder="0" vertical="bottom"/>
    </xf>
    <xf borderId="0" fillId="2" fontId="43" numFmtId="0" xfId="0" applyFont="1"/>
    <xf borderId="0" fillId="2" fontId="43" numFmtId="2" xfId="0" applyFont="1" applyNumberFormat="1"/>
    <xf borderId="7" fillId="0" fontId="0" numFmtId="0" xfId="0" applyAlignment="1" applyBorder="1" applyFont="1">
      <alignment readingOrder="0" vertical="bottom"/>
    </xf>
    <xf borderId="40" fillId="0" fontId="0" numFmtId="0" xfId="0" applyAlignment="1" applyBorder="1" applyFont="1">
      <alignment horizontal="right" readingOrder="0" vertical="bottom"/>
    </xf>
    <xf borderId="41" fillId="0" fontId="0" numFmtId="0" xfId="0" applyAlignment="1" applyBorder="1" applyFont="1">
      <alignment horizontal="right" readingOrder="0" vertical="bottom"/>
    </xf>
    <xf borderId="20" fillId="0" fontId="1" numFmtId="2" xfId="0" applyBorder="1" applyFont="1" applyNumberFormat="1"/>
    <xf borderId="19" fillId="0" fontId="1" numFmtId="0" xfId="0" applyBorder="1" applyFont="1"/>
    <xf borderId="19" fillId="0" fontId="1" numFmtId="2" xfId="0" applyBorder="1" applyFont="1" applyNumberFormat="1"/>
    <xf borderId="26" fillId="0" fontId="1" numFmtId="0" xfId="0" applyBorder="1" applyFont="1"/>
    <xf borderId="26" fillId="0" fontId="1" numFmtId="2" xfId="0" applyBorder="1" applyFont="1" applyNumberFormat="1"/>
    <xf borderId="7" fillId="0" fontId="0" numFmtId="172" xfId="0" applyAlignment="1" applyBorder="1" applyFont="1" applyNumberFormat="1">
      <alignment horizontal="right" readingOrder="0" vertical="bottom"/>
    </xf>
    <xf borderId="0" fillId="0" fontId="43" numFmtId="0" xfId="0" applyFont="1"/>
    <xf borderId="8" fillId="5" fontId="1" numFmtId="0" xfId="0" applyAlignment="1" applyBorder="1" applyFont="1">
      <alignment horizontal="center" readingOrder="0"/>
    </xf>
    <xf borderId="0" fillId="13" fontId="1" numFmtId="0" xfId="0" applyFont="1"/>
    <xf borderId="0" fillId="13" fontId="1" numFmtId="49" xfId="0" applyAlignment="1" applyFont="1" applyNumberFormat="1">
      <alignment horizontal="right" readingOrder="0"/>
    </xf>
    <xf borderId="8" fillId="5" fontId="30" numFmtId="0" xfId="0" applyAlignment="1" applyBorder="1" applyFont="1">
      <alignment horizontal="center" vertical="bottom"/>
    </xf>
    <xf borderId="7" fillId="0" fontId="1" numFmtId="0" xfId="0" applyAlignment="1" applyBorder="1" applyFont="1">
      <alignment horizontal="center" vertical="bottom"/>
    </xf>
    <xf borderId="7" fillId="0" fontId="1" numFmtId="0" xfId="0" applyAlignment="1" applyBorder="1" applyFont="1">
      <alignment horizontal="center" vertical="bottom"/>
    </xf>
    <xf borderId="7" fillId="0" fontId="1" numFmtId="2" xfId="0" applyAlignment="1" applyBorder="1" applyFont="1" applyNumberFormat="1">
      <alignment horizontal="center" vertical="bottom"/>
    </xf>
    <xf borderId="8" fillId="5" fontId="30" numFmtId="0" xfId="0" applyAlignment="1" applyBorder="1" applyFont="1">
      <alignment horizontal="center" vertical="bottom"/>
    </xf>
    <xf borderId="7" fillId="0" fontId="0" numFmtId="167" xfId="0" applyAlignment="1" applyBorder="1" applyFont="1" applyNumberFormat="1">
      <alignment horizontal="right" readingOrder="0" vertical="bottom"/>
    </xf>
    <xf borderId="7" fillId="0" fontId="11" numFmtId="0" xfId="0" applyAlignment="1" applyBorder="1" applyFont="1">
      <alignment readingOrder="0" vertical="bottom"/>
    </xf>
    <xf borderId="0" fillId="2" fontId="1" numFmtId="0" xfId="0" applyAlignment="1" applyFont="1">
      <alignment horizontal="center" readingOrder="0"/>
    </xf>
    <xf borderId="7" fillId="0" fontId="1" numFmtId="168" xfId="0" applyAlignment="1" applyBorder="1" applyFont="1" applyNumberFormat="1">
      <alignment readingOrder="0"/>
    </xf>
    <xf borderId="7" fillId="0" fontId="1" numFmtId="0" xfId="0" applyAlignment="1" applyBorder="1" applyFont="1">
      <alignment horizontal="right" readingOrder="0"/>
    </xf>
    <xf borderId="0" fillId="0" fontId="44" numFmtId="0" xfId="0" applyFont="1"/>
    <xf borderId="0" fillId="0" fontId="44" numFmtId="0" xfId="0" applyAlignment="1" applyFont="1">
      <alignment horizontal="right" readingOrder="0"/>
    </xf>
    <xf borderId="7" fillId="7" fontId="1" numFmtId="0" xfId="0" applyAlignment="1" applyBorder="1" applyFont="1">
      <alignment readingOrder="0"/>
    </xf>
    <xf quotePrefix="1" borderId="0" fillId="0" fontId="44" numFmtId="0" xfId="0" applyAlignment="1" applyFont="1">
      <alignment horizontal="right" readingOrder="0"/>
    </xf>
    <xf borderId="7" fillId="7" fontId="4" numFmtId="167" xfId="0" applyAlignment="1" applyBorder="1" applyFont="1" applyNumberFormat="1">
      <alignment horizontal="right" readingOrder="0"/>
    </xf>
    <xf borderId="7" fillId="7" fontId="4" numFmtId="0" xfId="0" applyAlignment="1" applyBorder="1" applyFont="1">
      <alignment horizontal="right"/>
    </xf>
    <xf borderId="7" fillId="7" fontId="4" numFmtId="0" xfId="0" applyAlignment="1" applyBorder="1" applyFont="1">
      <alignment readingOrder="0"/>
    </xf>
    <xf borderId="7" fillId="0" fontId="1" numFmtId="0" xfId="0" applyAlignment="1" applyBorder="1" applyFont="1">
      <alignment horizontal="right"/>
    </xf>
    <xf borderId="7" fillId="0" fontId="1" numFmtId="168" xfId="0" applyAlignment="1" applyBorder="1" applyFont="1" applyNumberFormat="1">
      <alignment horizontal="right" readingOrder="0"/>
    </xf>
    <xf borderId="0" fillId="0" fontId="1" numFmtId="0" xfId="0" applyAlignment="1" applyFont="1">
      <alignment horizontal="right"/>
    </xf>
    <xf borderId="0" fillId="0" fontId="44" numFmtId="2" xfId="0" applyFont="1" applyNumberFormat="1"/>
    <xf borderId="0" fillId="2" fontId="7" numFmtId="2" xfId="0" applyAlignment="1" applyFont="1" applyNumberFormat="1">
      <alignment vertical="bottom"/>
    </xf>
    <xf borderId="0" fillId="2" fontId="37" numFmtId="0" xfId="0" applyAlignment="1" applyFont="1">
      <alignment horizontal="center" readingOrder="0" vertical="bottom"/>
    </xf>
    <xf borderId="19" fillId="0" fontId="36" numFmtId="170" xfId="0" applyAlignment="1" applyBorder="1" applyFont="1" applyNumberFormat="1">
      <alignment horizontal="right" readingOrder="0" vertical="bottom"/>
    </xf>
    <xf borderId="4" fillId="0" fontId="36" numFmtId="0" xfId="0" applyAlignment="1" applyBorder="1" applyFont="1">
      <alignment horizontal="center"/>
    </xf>
    <xf borderId="19" fillId="0" fontId="36" numFmtId="0" xfId="0" applyAlignment="1" applyBorder="1" applyFont="1">
      <alignment vertical="bottom"/>
    </xf>
    <xf borderId="19" fillId="0" fontId="45" numFmtId="0" xfId="0" applyAlignment="1" applyBorder="1" applyFont="1">
      <alignment vertical="bottom"/>
    </xf>
    <xf borderId="19" fillId="0" fontId="45" numFmtId="0" xfId="0" applyAlignment="1" applyBorder="1" applyFont="1">
      <alignment horizontal="right" readingOrder="0" vertical="bottom"/>
    </xf>
    <xf borderId="19" fillId="0" fontId="36" numFmtId="0" xfId="0" applyAlignment="1" applyBorder="1" applyFont="1">
      <alignment vertical="bottom"/>
    </xf>
    <xf borderId="19" fillId="0" fontId="36" numFmtId="0" xfId="0" applyAlignment="1" applyBorder="1" applyFont="1">
      <alignment horizontal="right" readingOrder="0" vertical="bottom"/>
    </xf>
    <xf borderId="19" fillId="0" fontId="36" numFmtId="175" xfId="0" applyAlignment="1" applyBorder="1" applyFont="1" applyNumberFormat="1">
      <alignment readingOrder="0" vertical="bottom"/>
    </xf>
    <xf borderId="19" fillId="0" fontId="36" numFmtId="0" xfId="0" applyAlignment="1" applyBorder="1" applyFont="1">
      <alignment horizontal="right" readingOrder="0"/>
    </xf>
    <xf borderId="19" fillId="0" fontId="36" numFmtId="0" xfId="0" applyAlignment="1" applyBorder="1" applyFont="1">
      <alignment horizontal="right"/>
    </xf>
    <xf borderId="19" fillId="0" fontId="46" numFmtId="0" xfId="0" applyAlignment="1" applyBorder="1" applyFont="1">
      <alignment horizontal="right" readingOrder="0"/>
    </xf>
    <xf borderId="4" fillId="0" fontId="36" numFmtId="0" xfId="0" applyAlignment="1" applyBorder="1" applyFont="1">
      <alignment horizontal="right"/>
    </xf>
    <xf borderId="4" fillId="0" fontId="36" numFmtId="0" xfId="0" applyAlignment="1" applyBorder="1" applyFont="1">
      <alignment horizontal="center" readingOrder="0"/>
    </xf>
    <xf borderId="19" fillId="0" fontId="2" numFmtId="0" xfId="0" applyAlignment="1" applyBorder="1" applyFont="1">
      <alignment horizontal="right" readingOrder="0"/>
    </xf>
    <xf borderId="19" fillId="0" fontId="36" numFmtId="169" xfId="0" applyAlignment="1" applyBorder="1" applyFont="1" applyNumberFormat="1">
      <alignment horizontal="right" readingOrder="0" vertical="bottom"/>
    </xf>
    <xf borderId="19" fillId="0" fontId="36" numFmtId="172" xfId="0" applyAlignment="1" applyBorder="1" applyFont="1" applyNumberFormat="1">
      <alignment horizontal="right" readingOrder="0" vertical="bottom"/>
    </xf>
    <xf borderId="19" fillId="0" fontId="25" numFmtId="0" xfId="0" applyAlignment="1" applyBorder="1" applyFont="1">
      <alignment horizontal="right" readingOrder="0"/>
    </xf>
    <xf borderId="19" fillId="0" fontId="45" numFmtId="0" xfId="0" applyAlignment="1" applyBorder="1" applyFont="1">
      <alignment horizontal="right" readingOrder="0"/>
    </xf>
    <xf borderId="19" fillId="0" fontId="45" numFmtId="0" xfId="0" applyAlignment="1" applyBorder="1" applyFont="1">
      <alignment horizontal="right"/>
    </xf>
    <xf borderId="7" fillId="0" fontId="4" numFmtId="165" xfId="0" applyAlignment="1" applyBorder="1" applyFont="1" applyNumberFormat="1">
      <alignment horizontal="right" readingOrder="0"/>
    </xf>
    <xf borderId="7" fillId="0" fontId="5" numFmtId="49" xfId="0" applyAlignment="1" applyBorder="1" applyFont="1" applyNumberFormat="1">
      <alignment horizontal="right" readingOrder="0" textRotation="0" vertical="bottom"/>
    </xf>
    <xf borderId="7" fillId="0" fontId="0" numFmtId="0" xfId="0" applyAlignment="1" applyBorder="1" applyFont="1">
      <alignment horizontal="center"/>
    </xf>
    <xf borderId="7" fillId="0" fontId="0" numFmtId="0" xfId="0" applyAlignment="1" applyBorder="1" applyFont="1">
      <alignment horizontal="right"/>
    </xf>
    <xf borderId="7" fillId="0" fontId="0" numFmtId="171" xfId="0" applyAlignment="1" applyBorder="1" applyFont="1" applyNumberFormat="1">
      <alignment horizontal="right" readingOrder="0" vertical="bottom"/>
    </xf>
    <xf borderId="7" fillId="0" fontId="0" numFmtId="170" xfId="0" applyAlignment="1" applyBorder="1" applyFont="1" applyNumberFormat="1">
      <alignment readingOrder="0" vertical="bottom"/>
    </xf>
    <xf borderId="7" fillId="0" fontId="0" numFmtId="171" xfId="0" applyAlignment="1" applyBorder="1" applyFont="1" applyNumberFormat="1">
      <alignment readingOrder="0" vertical="bottom"/>
    </xf>
    <xf borderId="7" fillId="14" fontId="1" numFmtId="0" xfId="0" applyAlignment="1" applyBorder="1" applyFont="1">
      <alignment readingOrder="0"/>
    </xf>
    <xf borderId="7" fillId="14" fontId="1" numFmtId="0" xfId="0" applyBorder="1" applyFont="1"/>
    <xf borderId="0" fillId="22" fontId="1" numFmtId="0" xfId="0" applyFill="1" applyFont="1"/>
    <xf borderId="7" fillId="13" fontId="1" numFmtId="0" xfId="0" applyBorder="1" applyFont="1"/>
    <xf borderId="7" fillId="23" fontId="1" numFmtId="0" xfId="0" applyBorder="1" applyFill="1" applyFont="1"/>
    <xf borderId="0" fillId="24" fontId="1" numFmtId="0" xfId="0" applyAlignment="1" applyFill="1" applyFont="1">
      <alignment readingOrder="0"/>
    </xf>
    <xf borderId="42" fillId="8" fontId="47" numFmtId="0" xfId="0" applyAlignment="1" applyBorder="1" applyFont="1">
      <alignment horizontal="center" readingOrder="0"/>
    </xf>
    <xf borderId="43" fillId="0" fontId="3" numFmtId="0" xfId="0" applyBorder="1" applyFont="1"/>
    <xf borderId="44" fillId="0" fontId="3" numFmtId="0" xfId="0" applyBorder="1" applyFont="1"/>
    <xf borderId="42" fillId="0" fontId="1" numFmtId="0" xfId="0" applyBorder="1" applyFont="1"/>
    <xf borderId="43" fillId="8" fontId="1" numFmtId="0" xfId="0" applyAlignment="1" applyBorder="1" applyFont="1">
      <alignment horizontal="center" readingOrder="0"/>
    </xf>
    <xf borderId="44" fillId="0" fontId="1" numFmtId="0" xfId="0" applyBorder="1" applyFont="1"/>
    <xf borderId="45" fillId="0" fontId="1" numFmtId="0" xfId="0" applyBorder="1" applyFont="1"/>
    <xf borderId="46" fillId="0" fontId="1" numFmtId="0" xfId="0" applyBorder="1" applyFont="1"/>
    <xf borderId="0" fillId="4" fontId="48" numFmtId="0" xfId="0" applyAlignment="1" applyFont="1">
      <alignment horizontal="center" readingOrder="0"/>
    </xf>
    <xf borderId="8" fillId="0" fontId="13" numFmtId="0" xfId="0" applyAlignment="1" applyBorder="1" applyFont="1">
      <alignment horizontal="left" readingOrder="0"/>
    </xf>
    <xf borderId="8" fillId="0" fontId="49" numFmtId="0" xfId="0" applyAlignment="1" applyBorder="1" applyFont="1">
      <alignment horizontal="left"/>
    </xf>
    <xf borderId="46" fillId="0" fontId="50" numFmtId="0" xfId="0" applyAlignment="1" applyBorder="1" applyFont="1">
      <alignment readingOrder="0"/>
    </xf>
    <xf borderId="8" fillId="0" fontId="4" numFmtId="0" xfId="0" applyAlignment="1" applyBorder="1" applyFont="1">
      <alignment horizontal="left" readingOrder="0"/>
    </xf>
    <xf borderId="16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readingOrder="0"/>
    </xf>
    <xf borderId="11" fillId="7" fontId="1" numFmtId="0" xfId="0" applyAlignment="1" applyBorder="1" applyFont="1">
      <alignment readingOrder="0"/>
    </xf>
    <xf borderId="13" fillId="7" fontId="1" numFmtId="0" xfId="0" applyAlignment="1" applyBorder="1" applyFont="1">
      <alignment readingOrder="0"/>
    </xf>
    <xf borderId="14" fillId="7" fontId="1" numFmtId="0" xfId="0" applyAlignment="1" applyBorder="1" applyFont="1">
      <alignment readingOrder="0"/>
    </xf>
    <xf borderId="16" fillId="7" fontId="1" numFmtId="0" xfId="0" applyAlignment="1" applyBorder="1" applyFont="1">
      <alignment readingOrder="0"/>
    </xf>
    <xf borderId="18" fillId="7" fontId="1" numFmtId="0" xfId="0" applyAlignment="1" applyBorder="1" applyFont="1">
      <alignment readingOrder="0"/>
    </xf>
    <xf borderId="19" fillId="7" fontId="1" numFmtId="0" xfId="0" applyAlignment="1" applyBorder="1" applyFont="1">
      <alignment readingOrder="0"/>
    </xf>
    <xf borderId="19" fillId="21" fontId="1" numFmtId="164" xfId="0" applyBorder="1" applyFont="1" applyNumberFormat="1"/>
    <xf borderId="19" fillId="7" fontId="1" numFmtId="2" xfId="0" applyAlignment="1" applyBorder="1" applyFont="1" applyNumberFormat="1">
      <alignment readingOrder="0"/>
    </xf>
    <xf borderId="45" fillId="0" fontId="1" numFmtId="0" xfId="0" applyAlignment="1" applyBorder="1" applyFont="1">
      <alignment readingOrder="0" shrinkToFit="0" wrapText="1"/>
    </xf>
    <xf borderId="46" fillId="0" fontId="3" numFmtId="0" xfId="0" applyBorder="1" applyFont="1"/>
    <xf borderId="20" fillId="21" fontId="1" numFmtId="0" xfId="0" applyBorder="1" applyFont="1"/>
    <xf borderId="20" fillId="7" fontId="1" numFmtId="0" xfId="0" applyAlignment="1" applyBorder="1" applyFont="1">
      <alignment readingOrder="0"/>
    </xf>
    <xf borderId="7" fillId="21" fontId="1" numFmtId="0" xfId="0" applyBorder="1" applyFont="1"/>
    <xf quotePrefix="1" borderId="47" fillId="0" fontId="1" numFmtId="0" xfId="0" applyAlignment="1" applyBorder="1" applyFont="1">
      <alignment readingOrder="0"/>
    </xf>
    <xf borderId="48" fillId="0" fontId="1" numFmtId="0" xfId="0" applyBorder="1" applyFont="1"/>
    <xf borderId="49" fillId="0" fontId="1" numFmtId="0" xfId="0" applyBorder="1" applyFont="1"/>
    <xf borderId="21" fillId="7" fontId="1" numFmtId="0" xfId="0" applyAlignment="1" applyBorder="1" applyFont="1">
      <alignment horizontal="center" readingOrder="0"/>
    </xf>
    <xf borderId="23" fillId="21" fontId="1" numFmtId="2" xfId="0" applyAlignment="1" applyBorder="1" applyFont="1" applyNumberFormat="1">
      <alignment horizontal="center"/>
    </xf>
    <xf borderId="0" fillId="7" fontId="1" numFmtId="0" xfId="0" applyAlignment="1" applyFont="1">
      <alignment readingOrder="0"/>
    </xf>
    <xf borderId="0" fillId="21" fontId="1" numFmtId="2" xfId="0" applyFont="1" applyNumberFormat="1"/>
    <xf borderId="47" fillId="0" fontId="1" numFmtId="0" xfId="0" applyBorder="1" applyFont="1"/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4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7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8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9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0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1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2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3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4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15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16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2" width="10.75"/>
    <col customWidth="1" min="3" max="3" width="10.38"/>
    <col customWidth="1" min="4" max="5" width="10.63"/>
    <col customWidth="1" min="6" max="6" width="10.38"/>
    <col customWidth="1" min="7" max="9" width="10.5"/>
    <col customWidth="1" min="10" max="10" width="10.25"/>
    <col customWidth="1" min="11" max="11" width="10.5"/>
    <col customWidth="1" min="12" max="13" width="10.63"/>
    <col customWidth="1" min="14" max="14" width="10.38"/>
    <col customWidth="1" min="15" max="15" width="10.63"/>
    <col customWidth="1" min="16" max="17" width="10.5"/>
    <col customWidth="1" min="18" max="18" width="10.75"/>
    <col customWidth="1" min="19" max="19" width="10.5"/>
    <col customWidth="1" min="20" max="20" width="10.38"/>
    <col customWidth="1" min="28" max="28" width="23.0"/>
    <col customWidth="1" min="30" max="30" width="23.88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1" t="s">
        <v>18</v>
      </c>
      <c r="U1" s="3" t="s">
        <v>19</v>
      </c>
      <c r="V1" s="4" t="s">
        <v>20</v>
      </c>
      <c r="W1" s="4" t="s">
        <v>21</v>
      </c>
      <c r="X1" s="4" t="s">
        <v>22</v>
      </c>
      <c r="Y1" s="5" t="s">
        <v>23</v>
      </c>
    </row>
    <row r="2">
      <c r="B2" s="6" t="s">
        <v>24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8"/>
      <c r="AB2" s="9" t="s">
        <v>25</v>
      </c>
    </row>
    <row r="3">
      <c r="A3" s="10" t="str">
        <f t="array" ref="A3:A5">CHOOSEROWS(TRANSPOSE('583'!$M$79:$P$79),1,3,4)</f>
        <v>пробег</v>
      </c>
      <c r="B3" s="11">
        <f>'758'!M206</f>
        <v>19282.12</v>
      </c>
      <c r="C3" s="11">
        <f>'203'!M139</f>
        <v>9523</v>
      </c>
      <c r="D3" s="12">
        <f>'093'!M125</f>
        <v>16550</v>
      </c>
      <c r="E3" s="12">
        <f>'583'!M45</f>
        <v>6866</v>
      </c>
      <c r="F3" s="12">
        <f>'374'!M111</f>
        <v>11129</v>
      </c>
      <c r="G3" s="12">
        <f>'869'!F53</f>
        <v>2644</v>
      </c>
      <c r="H3" s="12">
        <f>'879'!M109</f>
        <v>15317</v>
      </c>
      <c r="I3" s="12">
        <f>'497'!M74</f>
        <v>9659</v>
      </c>
      <c r="J3" s="13">
        <f>'915'!M47</f>
        <v>3189</v>
      </c>
      <c r="K3" s="13">
        <f>'258'!M194</f>
        <v>18790</v>
      </c>
      <c r="L3" s="13">
        <f>'646'!M128</f>
        <v>18145</v>
      </c>
      <c r="M3" s="13">
        <f>'089'!M68</f>
        <v>2574</v>
      </c>
      <c r="N3" s="13">
        <f>'378'!M64</f>
        <v>12662</v>
      </c>
      <c r="O3" s="13">
        <f>'128'!M70</f>
        <v>18143</v>
      </c>
      <c r="P3" s="13">
        <f>'210'!M97</f>
        <v>21976</v>
      </c>
      <c r="Q3" s="13">
        <f>'048'!F68</f>
        <v>663</v>
      </c>
      <c r="R3" s="13">
        <f>'436'!M266</f>
        <v>4601</v>
      </c>
      <c r="S3" s="12"/>
      <c r="T3" s="13">
        <f t="array" ref="T3:T5">CHOOSEROWS(TRANSPOSE('370'!M90:P90),1,3,4)</f>
        <v>2162</v>
      </c>
      <c r="U3" s="14"/>
      <c r="V3" s="13">
        <f t="array" ref="V3:V5">CHOOSEROWS(TRANSPOSE('453'!M299:P299),1,3,4)</f>
        <v>3114</v>
      </c>
      <c r="W3" s="13"/>
      <c r="X3" s="13"/>
      <c r="Y3" s="15">
        <f>SUM(B3:V3)</f>
        <v>196989.12</v>
      </c>
      <c r="AB3" s="16" t="s">
        <v>26</v>
      </c>
    </row>
    <row r="4">
      <c r="A4" s="10" t="s">
        <v>27</v>
      </c>
      <c r="B4" s="17">
        <f>'758'!O206</f>
        <v>26.24182403</v>
      </c>
      <c r="C4" s="17">
        <f>'203'!O139</f>
        <v>32.33592355</v>
      </c>
      <c r="D4" s="18">
        <f>'093'!O125</f>
        <v>32.41770393</v>
      </c>
      <c r="E4" s="19">
        <f>'583'!O45</f>
        <v>28.87678415</v>
      </c>
      <c r="F4" s="18">
        <f>'374'!O111</f>
        <v>28.78299937</v>
      </c>
      <c r="G4" s="18">
        <f>'869'!K53</f>
        <v>26.48260212</v>
      </c>
      <c r="H4" s="18">
        <f>'879'!O109</f>
        <v>28.47548476</v>
      </c>
      <c r="I4" s="19">
        <f>'497'!O74</f>
        <v>31.41878041</v>
      </c>
      <c r="J4" s="18">
        <f>'915'!O47</f>
        <v>32.86422076</v>
      </c>
      <c r="K4" s="18">
        <f>'258'!O194</f>
        <v>29.99701969</v>
      </c>
      <c r="L4" s="18">
        <f>'646'!O128</f>
        <v>27.40110223</v>
      </c>
      <c r="M4" s="18">
        <f>'089'!O68</f>
        <v>35.53729604</v>
      </c>
      <c r="N4" s="18">
        <f>'378'!O64</f>
        <v>29.82767335</v>
      </c>
      <c r="O4" s="18">
        <f>'128'!O70</f>
        <v>29.06900733</v>
      </c>
      <c r="P4" s="18">
        <f>'210'!O97</f>
        <v>25.43342738</v>
      </c>
      <c r="Q4" s="18">
        <f>'048'!K70</f>
        <v>30.20331492</v>
      </c>
      <c r="R4" s="18">
        <f>'436'!O266</f>
        <v>38.23712236</v>
      </c>
      <c r="S4" s="12"/>
      <c r="T4" s="18">
        <v>33.22710453283996</v>
      </c>
      <c r="U4" s="14"/>
      <c r="V4" s="18">
        <v>34.84457289659601</v>
      </c>
      <c r="W4" s="12"/>
      <c r="X4" s="13"/>
      <c r="Y4" s="15"/>
    </row>
    <row r="5">
      <c r="A5" s="10" t="s">
        <v>28</v>
      </c>
      <c r="B5" s="20">
        <f>'758'!P206</f>
        <v>432.2712</v>
      </c>
      <c r="C5" s="11">
        <f>'203'!P139</f>
        <v>222.45</v>
      </c>
      <c r="D5" s="13">
        <f>'093'!P125</f>
        <v>400.13</v>
      </c>
      <c r="E5" s="12">
        <f>'583'!P45</f>
        <v>-145.78</v>
      </c>
      <c r="F5" s="13">
        <f>'374'!P111</f>
        <v>87.14</v>
      </c>
      <c r="G5" s="13">
        <f>'869'!P53</f>
        <v>-40.12</v>
      </c>
      <c r="H5" s="13">
        <f>'879'!P109</f>
        <v>6.9669</v>
      </c>
      <c r="I5" s="12">
        <f>'497'!P74</f>
        <v>330.22</v>
      </c>
      <c r="J5" s="13">
        <f>'915'!P47</f>
        <v>59.45</v>
      </c>
      <c r="K5" s="13">
        <f>'258'!P194</f>
        <v>375.24</v>
      </c>
      <c r="L5" s="13">
        <f>'646'!P128</f>
        <v>-108.67</v>
      </c>
      <c r="M5" s="13">
        <f>'089'!P68</f>
        <v>116.79</v>
      </c>
      <c r="N5" s="13">
        <f>'378'!P64</f>
        <v>231.42</v>
      </c>
      <c r="O5" s="13">
        <f>'128'!P70</f>
        <v>193.95</v>
      </c>
      <c r="P5" s="13">
        <f>'210'!P97</f>
        <v>-344.27</v>
      </c>
      <c r="Q5" s="13">
        <f>'048'!P70</f>
        <v>-7.21</v>
      </c>
      <c r="R5" s="13">
        <f>'436'!P266</f>
        <v>332.98</v>
      </c>
      <c r="S5" s="12"/>
      <c r="T5" s="13">
        <v>80.57999999999993</v>
      </c>
      <c r="U5" s="14"/>
      <c r="V5" s="13">
        <v>119.71999999999984</v>
      </c>
      <c r="W5" s="12"/>
      <c r="X5" s="13"/>
      <c r="Y5" s="15">
        <f>SUM(B5:V5)</f>
        <v>2343.2581</v>
      </c>
      <c r="AB5" s="21" t="s">
        <v>29</v>
      </c>
      <c r="AC5" s="22">
        <v>13820.0</v>
      </c>
    </row>
    <row r="6">
      <c r="B6" s="6" t="s">
        <v>30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8"/>
      <c r="AB6" s="23" t="s">
        <v>31</v>
      </c>
      <c r="AC6" s="24"/>
      <c r="AD6" s="25" t="s">
        <v>32</v>
      </c>
      <c r="AE6" s="24"/>
    </row>
    <row r="7">
      <c r="A7" s="10" t="str">
        <f t="array" ref="A7:A9">CHOOSEROWS(TRANSPOSE('583'!$M$79:$P$79),1,3,4)</f>
        <v>пробег</v>
      </c>
      <c r="B7" s="11">
        <f>'758'!M228</f>
        <v>22339.01</v>
      </c>
      <c r="C7" s="11">
        <f>'203'!M148</f>
        <v>19619</v>
      </c>
      <c r="D7" s="12">
        <f>'093'!M147</f>
        <v>13139</v>
      </c>
      <c r="E7" s="12">
        <f>'583'!M50</f>
        <v>4963</v>
      </c>
      <c r="F7" s="12">
        <f>'374'!M126</f>
        <v>12537</v>
      </c>
      <c r="G7" s="13">
        <f>'869'!M57</f>
        <v>8427</v>
      </c>
      <c r="H7" s="12">
        <f>'879'!M124</f>
        <v>4967</v>
      </c>
      <c r="I7" s="12">
        <f>'497'!M78</f>
        <v>15202</v>
      </c>
      <c r="J7" s="13">
        <f>'915'!M51</f>
        <v>5486</v>
      </c>
      <c r="K7" s="13">
        <f>'258'!M217</f>
        <v>10280</v>
      </c>
      <c r="L7" s="13">
        <f>'646'!M141</f>
        <v>13576</v>
      </c>
      <c r="M7" s="13">
        <f>'089'!M73</f>
        <v>6021</v>
      </c>
      <c r="N7" s="13">
        <f>'378'!M75</f>
        <v>7670</v>
      </c>
      <c r="O7" s="13">
        <f>'128'!M78</f>
        <v>19546</v>
      </c>
      <c r="P7" s="13">
        <f>'210'!M112</f>
        <v>20488</v>
      </c>
      <c r="Q7" s="13">
        <f>'048'!M74</f>
        <v>2597.75</v>
      </c>
      <c r="R7" s="13">
        <f>'436'!M269</f>
        <v>3196</v>
      </c>
      <c r="S7" s="13">
        <f t="array" ref="S7:S9">CHOOSEROWS(TRANSPOSE('750'!M291:P291),1,3,4)</f>
        <v>8950</v>
      </c>
      <c r="T7" s="13">
        <f t="array" ref="T7:T9">CHOOSEROWS(TRANSPOSE('370'!M94:P94),1,3,4)</f>
        <v>15862</v>
      </c>
      <c r="U7" s="26"/>
      <c r="V7" s="13">
        <f t="array" ref="V7:V9">CHOOSEROWS(TRANSPOSE('453'!M303:P303),1,3,4)</f>
        <v>5083</v>
      </c>
      <c r="W7" s="13"/>
      <c r="X7" s="13"/>
      <c r="Y7" s="15">
        <f>SUM(B7:V7)</f>
        <v>219948.76</v>
      </c>
      <c r="AB7" s="27" t="s">
        <v>33</v>
      </c>
      <c r="AC7" s="28">
        <v>315.0</v>
      </c>
      <c r="AD7" s="29" t="s">
        <v>33</v>
      </c>
      <c r="AE7" s="28">
        <v>315.0</v>
      </c>
    </row>
    <row r="8">
      <c r="A8" s="10" t="s">
        <v>27</v>
      </c>
      <c r="B8" s="17">
        <f>'758'!O228</f>
        <v>29.8550831</v>
      </c>
      <c r="C8" s="17">
        <f>'203'!O148</f>
        <v>36.74748968</v>
      </c>
      <c r="D8" s="18">
        <f>'093'!O147</f>
        <v>33.56617703</v>
      </c>
      <c r="E8" s="19">
        <f>'583'!O50</f>
        <v>29.65424139</v>
      </c>
      <c r="F8" s="18">
        <f>'374'!O126</f>
        <v>28.71500359</v>
      </c>
      <c r="G8" s="18">
        <f>'869'!O57</f>
        <v>30.24646968</v>
      </c>
      <c r="H8" s="18">
        <f>'879'!O124</f>
        <v>29.76947856</v>
      </c>
      <c r="I8" s="19">
        <f>'497'!O78</f>
        <v>31.73648204</v>
      </c>
      <c r="J8" s="18">
        <f>'915'!O51</f>
        <v>34.2065257</v>
      </c>
      <c r="K8" s="18">
        <f>'258'!O217</f>
        <v>31.8557393</v>
      </c>
      <c r="L8" s="18">
        <f>'646'!O141</f>
        <v>28.98600471</v>
      </c>
      <c r="M8" s="18">
        <f>'089'!O73</f>
        <v>38.99385484</v>
      </c>
      <c r="N8" s="18">
        <f>'378'!O75</f>
        <v>35.38500652</v>
      </c>
      <c r="O8" s="18">
        <f>'128'!O78</f>
        <v>30.86580375</v>
      </c>
      <c r="P8" s="18">
        <f>'210'!O112</f>
        <v>26.58810035</v>
      </c>
      <c r="Q8" s="18">
        <f>'048'!O74</f>
        <v>44.38263882</v>
      </c>
      <c r="R8" s="18">
        <f>'436'!O269</f>
        <v>39.69117647</v>
      </c>
      <c r="S8" s="18">
        <v>30.561340782122905</v>
      </c>
      <c r="T8" s="18">
        <v>32.96047156726768</v>
      </c>
      <c r="U8" s="26"/>
      <c r="V8" s="18">
        <v>35.456226637812314</v>
      </c>
      <c r="W8" s="13"/>
      <c r="X8" s="13"/>
      <c r="Y8" s="15"/>
      <c r="AB8" s="30" t="s">
        <v>34</v>
      </c>
      <c r="AC8" s="31">
        <v>80.0</v>
      </c>
      <c r="AD8" s="21" t="s">
        <v>34</v>
      </c>
      <c r="AE8" s="31">
        <v>70.0</v>
      </c>
    </row>
    <row r="9">
      <c r="A9" s="10" t="s">
        <v>28</v>
      </c>
      <c r="B9" s="20">
        <f>'758'!P228</f>
        <v>1307.9676</v>
      </c>
      <c r="C9" s="11">
        <f>'203'!P148</f>
        <v>1323.79</v>
      </c>
      <c r="D9" s="13">
        <f>'093'!P147</f>
        <v>468.56</v>
      </c>
      <c r="E9" s="12">
        <f>'583'!P50</f>
        <v>-66.79</v>
      </c>
      <c r="F9" s="13">
        <f>'374'!P126</f>
        <v>89.64</v>
      </c>
      <c r="G9" s="13">
        <f>'869'!P57</f>
        <v>116.8378</v>
      </c>
      <c r="H9" s="13">
        <f>'879'!P124</f>
        <v>28.286</v>
      </c>
      <c r="I9" s="12">
        <f>'497'!P78</f>
        <v>568.02</v>
      </c>
      <c r="J9" s="13">
        <f>'915'!P51</f>
        <v>175.91</v>
      </c>
      <c r="K9" s="13">
        <f>'258'!P217</f>
        <v>118.81</v>
      </c>
      <c r="L9" s="13">
        <f>'646'!P141</f>
        <v>133.86</v>
      </c>
      <c r="M9" s="13">
        <f>'089'!P73</f>
        <v>571.625</v>
      </c>
      <c r="N9" s="13">
        <f>'378'!P75</f>
        <v>566.43</v>
      </c>
      <c r="O9" s="13">
        <f>'128'!P78</f>
        <v>560.15</v>
      </c>
      <c r="P9" s="13">
        <f>'210'!P112</f>
        <v>-84.39</v>
      </c>
      <c r="Q9" s="13">
        <f>'048'!P74</f>
        <v>347.6475</v>
      </c>
      <c r="R9" s="13">
        <f>'436'!P269</f>
        <v>277.77</v>
      </c>
      <c r="S9" s="13">
        <v>229.23999999999995</v>
      </c>
      <c r="T9" s="13">
        <v>731.3129999999995</v>
      </c>
      <c r="U9" s="26"/>
      <c r="V9" s="13">
        <v>226.5099999999999</v>
      </c>
      <c r="W9" s="13"/>
      <c r="X9" s="13"/>
      <c r="Y9" s="15">
        <f>SUM(B9:V9)</f>
        <v>7691.1869</v>
      </c>
      <c r="AB9" s="32" t="s">
        <v>35</v>
      </c>
      <c r="AC9" s="33">
        <v>22.5</v>
      </c>
      <c r="AD9" s="34" t="s">
        <v>35</v>
      </c>
      <c r="AE9" s="33">
        <v>22.5</v>
      </c>
      <c r="AI9" s="35"/>
    </row>
    <row r="10">
      <c r="B10" s="6" t="s">
        <v>36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8"/>
      <c r="AB10" s="36" t="s">
        <v>37</v>
      </c>
      <c r="AC10" s="37">
        <f>((22.5*2.54*10+2*(AC7*AC8/100))*PI())/1000000</f>
        <v>0.003378782899</v>
      </c>
      <c r="AD10" s="38" t="s">
        <v>37</v>
      </c>
      <c r="AE10" s="37">
        <f>((22.5*2.54*10+2*(AE7*AE8/100))*PI())/1000000</f>
        <v>0.003180862562</v>
      </c>
    </row>
    <row r="11">
      <c r="A11" s="10" t="str">
        <f t="array" ref="A11:A13">CHOOSEROWS(TRANSPOSE('583'!$M$79:$P$79),1,3,4)</f>
        <v>пробег</v>
      </c>
      <c r="B11" s="11">
        <f>'758'!M255</f>
        <v>18943</v>
      </c>
      <c r="C11" s="11">
        <f>'203'!M169</f>
        <v>14842</v>
      </c>
      <c r="D11" s="12">
        <f>'093'!M162</f>
        <v>13230</v>
      </c>
      <c r="E11" s="12">
        <f>'583'!M54</f>
        <v>5591</v>
      </c>
      <c r="F11" s="12">
        <f>'374'!M143</f>
        <v>8534</v>
      </c>
      <c r="G11" s="13">
        <f>'869'!M65</f>
        <v>18370</v>
      </c>
      <c r="H11" s="12">
        <f>'879'!M130</f>
        <v>8804</v>
      </c>
      <c r="I11" s="12">
        <f>'497'!M87</f>
        <v>21228</v>
      </c>
      <c r="J11" s="13">
        <f>'915'!M54</f>
        <v>3553</v>
      </c>
      <c r="K11" s="13">
        <f>'258'!M230</f>
        <v>7188</v>
      </c>
      <c r="L11" s="13">
        <f>'646'!M158</f>
        <v>20391</v>
      </c>
      <c r="M11" s="13">
        <f>'089'!M82</f>
        <v>3155</v>
      </c>
      <c r="N11" s="13">
        <f>'378'!M82</f>
        <v>2645</v>
      </c>
      <c r="O11" s="13">
        <f>'128'!M89</f>
        <v>19240</v>
      </c>
      <c r="P11" s="13">
        <f>'210'!M124</f>
        <v>17643</v>
      </c>
      <c r="Q11" s="13">
        <f>'048'!M77</f>
        <v>2353.5</v>
      </c>
      <c r="R11" s="13">
        <f>'436'!M273</f>
        <v>4051</v>
      </c>
      <c r="S11" s="13">
        <f t="array" ref="S11:S13">CHOOSEROWS(TRANSPOSE('750'!M298:P298),1,3,4)</f>
        <v>12847</v>
      </c>
      <c r="T11" s="13">
        <f t="array" ref="T11:T13">CHOOSEROWS(TRANSPOSE('370'!M112:P112),1,3,4)</f>
        <v>8963</v>
      </c>
      <c r="U11" s="26"/>
      <c r="V11" s="13">
        <f t="array" ref="V11:V13">CHOOSEROWS(TRANSPOSE('453'!M308:P308),1,3,4)</f>
        <v>5033</v>
      </c>
      <c r="W11" s="13"/>
      <c r="X11" s="13"/>
      <c r="Y11" s="15">
        <f>SUM(B11:V11)</f>
        <v>216604.5</v>
      </c>
      <c r="AB11" s="12" t="s">
        <v>38</v>
      </c>
      <c r="AC11" s="39">
        <f>AC5/AC10</f>
        <v>4090230.244</v>
      </c>
      <c r="AD11" s="40" t="s">
        <v>38</v>
      </c>
      <c r="AE11" s="13">
        <f>AC11</f>
        <v>4090230.244</v>
      </c>
      <c r="AG11" s="5"/>
    </row>
    <row r="12">
      <c r="A12" s="10" t="s">
        <v>27</v>
      </c>
      <c r="B12" s="17">
        <f>'758'!O255</f>
        <v>28.57229583</v>
      </c>
      <c r="C12" s="17">
        <f>'203'!O169</f>
        <v>36.23756906</v>
      </c>
      <c r="D12" s="18">
        <f>'093'!O162</f>
        <v>31.69236584</v>
      </c>
      <c r="E12" s="19">
        <f>'583'!O54</f>
        <v>33.43069218</v>
      </c>
      <c r="F12" s="18">
        <f>'374'!O143</f>
        <v>37.8582142</v>
      </c>
      <c r="G12" s="18">
        <f>'869'!O65</f>
        <v>31.81790964</v>
      </c>
      <c r="H12" s="18">
        <f>'879'!O130</f>
        <v>30.65322581</v>
      </c>
      <c r="I12" s="19">
        <f>'497'!O87</f>
        <v>33.02016205</v>
      </c>
      <c r="J12" s="18">
        <f>'915'!O54</f>
        <v>34.00731776</v>
      </c>
      <c r="K12" s="18">
        <f>'258'!O230</f>
        <v>38.72829716</v>
      </c>
      <c r="L12" s="18">
        <f>'646'!O158</f>
        <v>29.26840273</v>
      </c>
      <c r="M12" s="18">
        <f>'089'!O82</f>
        <v>44.33438986</v>
      </c>
      <c r="N12" s="18">
        <f>'378'!O82</f>
        <v>37.20907372</v>
      </c>
      <c r="O12" s="18">
        <f>'128'!O89</f>
        <v>29.51923077</v>
      </c>
      <c r="P12" s="18">
        <f>'210'!O124</f>
        <v>27.83364507</v>
      </c>
      <c r="Q12" s="18">
        <f>'048'!O77</f>
        <v>38.41300191</v>
      </c>
      <c r="R12" s="18">
        <f>'436'!O273</f>
        <v>48.48309059</v>
      </c>
      <c r="S12" s="18">
        <v>35.348018992760956</v>
      </c>
      <c r="T12" s="18">
        <v>31.231730447394845</v>
      </c>
      <c r="U12" s="26"/>
      <c r="V12" s="18">
        <v>36.62050466918339</v>
      </c>
      <c r="W12" s="13"/>
      <c r="X12" s="13"/>
      <c r="Y12" s="15"/>
      <c r="AC12" s="41" t="s">
        <v>39</v>
      </c>
      <c r="AD12" s="42"/>
      <c r="AG12" s="43"/>
      <c r="AH12" s="43"/>
      <c r="AI12" s="43"/>
      <c r="AJ12" s="43"/>
      <c r="AK12" s="44"/>
    </row>
    <row r="13">
      <c r="A13" s="10" t="s">
        <v>28</v>
      </c>
      <c r="B13" s="20">
        <f>'758'!P255</f>
        <v>866.13</v>
      </c>
      <c r="C13" s="11">
        <f>'203'!P169</f>
        <v>925.78</v>
      </c>
      <c r="D13" s="13">
        <f>'093'!P162</f>
        <v>223.9</v>
      </c>
      <c r="E13" s="12">
        <f>'583'!P54</f>
        <v>135.9</v>
      </c>
      <c r="F13" s="13">
        <f>'374'!P143</f>
        <v>585.28</v>
      </c>
      <c r="G13" s="13">
        <f>'869'!P65</f>
        <v>701.35</v>
      </c>
      <c r="H13" s="13">
        <f>'879'!P130</f>
        <v>116.4968</v>
      </c>
      <c r="I13" s="12">
        <f>'497'!P87</f>
        <v>1065.68</v>
      </c>
      <c r="J13" s="13">
        <f>'915'!P54</f>
        <v>106.85</v>
      </c>
      <c r="K13" s="13">
        <f>'258'!P230</f>
        <v>591.45</v>
      </c>
      <c r="L13" s="13">
        <f>'646'!P158</f>
        <v>258.64</v>
      </c>
      <c r="M13" s="13">
        <f>'089'!P82</f>
        <v>420.7</v>
      </c>
      <c r="N13" s="13">
        <f>'378'!P82</f>
        <v>243.58</v>
      </c>
      <c r="O13" s="13">
        <f>'128'!P89</f>
        <v>292.3</v>
      </c>
      <c r="P13" s="13">
        <f>'210'!P124</f>
        <v>147.08</v>
      </c>
      <c r="Q13" s="13">
        <f>'048'!P77</f>
        <v>174.465</v>
      </c>
      <c r="R13" s="13">
        <f>'436'!P273</f>
        <v>708.24</v>
      </c>
      <c r="S13" s="13">
        <v>901.6049000000002</v>
      </c>
      <c r="T13" s="13">
        <v>255.60060000000007</v>
      </c>
      <c r="U13" s="26"/>
      <c r="V13" s="13">
        <v>282.88</v>
      </c>
      <c r="W13" s="13"/>
      <c r="X13" s="13"/>
      <c r="Y13" s="15">
        <f>SUM(B13:V13)</f>
        <v>9003.9073</v>
      </c>
      <c r="AC13" s="45">
        <f>AE10*AE11</f>
        <v>13010.46025</v>
      </c>
      <c r="AD13" s="46"/>
      <c r="AG13" s="47"/>
      <c r="AH13" s="5"/>
      <c r="AI13" s="47"/>
      <c r="AJ13" s="47"/>
      <c r="AK13" s="5"/>
    </row>
    <row r="14">
      <c r="B14" s="6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8"/>
      <c r="AB14" s="48" t="s">
        <v>41</v>
      </c>
      <c r="AC14" s="49"/>
      <c r="AD14" s="49"/>
      <c r="AE14" s="50"/>
      <c r="AJ14" s="35"/>
      <c r="AK14" s="35"/>
    </row>
    <row r="15">
      <c r="A15" s="10" t="str">
        <f t="array" ref="A15:A17">CHOOSEROWS(TRANSPOSE('583'!$M$79:$P$79),1,3,4)</f>
        <v>пробег</v>
      </c>
      <c r="B15" s="11">
        <f>'758'!M279</f>
        <v>7255</v>
      </c>
      <c r="C15" s="11">
        <f>'203'!M186</f>
        <v>12985</v>
      </c>
      <c r="D15" s="12">
        <f>'093'!M182</f>
        <v>22238</v>
      </c>
      <c r="E15" s="12">
        <f>'583'!M60</f>
        <v>4609</v>
      </c>
      <c r="F15" s="12">
        <f>'374'!M156</f>
        <v>11328</v>
      </c>
      <c r="G15" s="13">
        <f>'869'!M79</f>
        <v>15958</v>
      </c>
      <c r="H15" s="12">
        <f>'879'!M141</f>
        <v>9055</v>
      </c>
      <c r="I15" s="12">
        <f>'497'!M99</f>
        <v>13510</v>
      </c>
      <c r="J15" s="13">
        <f>'915'!M59</f>
        <v>5694</v>
      </c>
      <c r="K15" s="13">
        <f>'258'!M237</f>
        <v>1706</v>
      </c>
      <c r="L15" s="13">
        <f>'646'!M186</f>
        <v>14188</v>
      </c>
      <c r="M15" s="13">
        <f>'089'!F87</f>
        <v>1455</v>
      </c>
      <c r="N15" s="13">
        <f>'378'!M87</f>
        <v>12343</v>
      </c>
      <c r="O15" s="13">
        <f>'128'!M100</f>
        <v>20895</v>
      </c>
      <c r="P15" s="13">
        <f>'210'!M137</f>
        <v>17837</v>
      </c>
      <c r="Q15" s="13">
        <f>'048'!M82</f>
        <v>2632.75</v>
      </c>
      <c r="R15" s="13">
        <f>'436'!M277</f>
        <v>2339</v>
      </c>
      <c r="S15" s="13">
        <f t="array" ref="S15:S17">CHOOSEROWS(TRANSPOSE('750'!M309:P309),1,3,4)</f>
        <v>16075</v>
      </c>
      <c r="T15" s="13">
        <f t="array" ref="T15:T17">CHOOSEROWS(TRANSPOSE('370'!M122:P122),1,3,4)</f>
        <v>14530</v>
      </c>
      <c r="U15" s="26"/>
      <c r="V15" s="13">
        <f t="array" ref="V15:V17">CHOOSEROWS(TRANSPOSE('453'!M318:P318),1,3,4)</f>
        <v>5490</v>
      </c>
      <c r="W15" s="13"/>
      <c r="X15" s="13"/>
      <c r="Y15" s="15">
        <f>SUM(B15:V15)</f>
        <v>212122.75</v>
      </c>
      <c r="AB15" s="51"/>
      <c r="AC15" s="52"/>
      <c r="AD15" s="52"/>
      <c r="AE15" s="53"/>
      <c r="AI15" s="35"/>
      <c r="AJ15" s="35"/>
      <c r="AK15" s="35"/>
    </row>
    <row r="16">
      <c r="A16" s="10" t="s">
        <v>27</v>
      </c>
      <c r="B16" s="17">
        <f>'758'!O279</f>
        <v>28.97436251</v>
      </c>
      <c r="C16" s="17">
        <f>'203'!O186</f>
        <v>36.10720062</v>
      </c>
      <c r="D16" s="18">
        <f>'093'!O182</f>
        <v>32.24206314</v>
      </c>
      <c r="E16" s="19">
        <f>'583'!O60</f>
        <v>30.12453895</v>
      </c>
      <c r="F16" s="18">
        <f>'374'!O156</f>
        <v>29.6981815</v>
      </c>
      <c r="G16" s="18">
        <f>'869'!O79</f>
        <v>31.2094874</v>
      </c>
      <c r="H16" s="18">
        <f>'879'!O141</f>
        <v>30.27708448</v>
      </c>
      <c r="I16" s="19">
        <f>'497'!O99</f>
        <v>33.16276832</v>
      </c>
      <c r="J16" s="18">
        <f>'915'!O59</f>
        <v>38.01352301</v>
      </c>
      <c r="K16" s="18">
        <f>'258'!O237</f>
        <v>33.85756155</v>
      </c>
      <c r="L16" s="18">
        <f>'646'!O186</f>
        <v>29.04264167</v>
      </c>
      <c r="M16" s="18">
        <f>'089'!K87</f>
        <v>20.60687285</v>
      </c>
      <c r="N16" s="18">
        <f>'378'!O87</f>
        <v>31.45110589</v>
      </c>
      <c r="O16" s="18">
        <f>'128'!O100</f>
        <v>32.21411821</v>
      </c>
      <c r="P16" s="18">
        <f>'210'!O137</f>
        <v>26.34972249</v>
      </c>
      <c r="Q16" s="18">
        <f>'048'!O82</f>
        <v>30.38647802</v>
      </c>
      <c r="R16" s="18">
        <f>'436'!O277</f>
        <v>42.55921334</v>
      </c>
      <c r="S16" s="18">
        <v>38.185318818040436</v>
      </c>
      <c r="T16" s="18">
        <v>30.542601514108743</v>
      </c>
      <c r="U16" s="26"/>
      <c r="V16" s="18">
        <v>35.651548269581056</v>
      </c>
      <c r="W16" s="13"/>
      <c r="X16" s="13"/>
      <c r="Y16" s="15"/>
      <c r="AB16" s="21" t="s">
        <v>42</v>
      </c>
      <c r="AC16" s="21">
        <v>28.0</v>
      </c>
      <c r="AD16" s="21" t="s">
        <v>43</v>
      </c>
      <c r="AE16" s="21">
        <v>3959.57</v>
      </c>
    </row>
    <row r="17">
      <c r="A17" s="10" t="s">
        <v>28</v>
      </c>
      <c r="B17" s="20">
        <f>'758'!P279</f>
        <v>360.89</v>
      </c>
      <c r="C17" s="11">
        <f>'203'!P186</f>
        <v>793.02</v>
      </c>
      <c r="D17" s="13">
        <f>'093'!P182</f>
        <v>498.59</v>
      </c>
      <c r="E17" s="12">
        <f>'583'!P60</f>
        <v>-40.35</v>
      </c>
      <c r="F17" s="13">
        <f>'374'!P156</f>
        <v>143.6596</v>
      </c>
      <c r="G17" s="13">
        <f>'869'!P79</f>
        <v>512.17</v>
      </c>
      <c r="H17" s="13">
        <f>'879'!P141</f>
        <v>70.365</v>
      </c>
      <c r="I17" s="12">
        <f>'497'!P99</f>
        <v>697.49</v>
      </c>
      <c r="J17" s="13">
        <f>'915'!P59</f>
        <v>399.35</v>
      </c>
      <c r="K17" s="13">
        <f>'258'!P237</f>
        <v>57.28</v>
      </c>
      <c r="L17" s="13">
        <f>'646'!P186</f>
        <v>147.93</v>
      </c>
      <c r="M17" s="13">
        <f>'089'!P87</f>
        <v>-107.57</v>
      </c>
      <c r="N17" s="13">
        <f>'378'!P87</f>
        <v>425.97</v>
      </c>
      <c r="O17" s="13">
        <f>'128'!P100</f>
        <v>880.54</v>
      </c>
      <c r="P17" s="13">
        <f>'210'!P137</f>
        <v>-115.99</v>
      </c>
      <c r="Q17" s="13">
        <f>'048'!P82</f>
        <v>-16.1525</v>
      </c>
      <c r="R17" s="13">
        <f>'436'!P277</f>
        <v>270.37</v>
      </c>
      <c r="S17" s="13">
        <v>1597.1025</v>
      </c>
      <c r="T17" s="13">
        <v>318.5850000000001</v>
      </c>
      <c r="U17" s="26"/>
      <c r="V17" s="13">
        <v>255.36999999999998</v>
      </c>
      <c r="W17" s="13"/>
      <c r="X17" s="13"/>
      <c r="Y17" s="15">
        <f>SUM(B17:V17)</f>
        <v>7148.6196</v>
      </c>
      <c r="AB17" s="9" t="s">
        <v>27</v>
      </c>
      <c r="AC17" s="35">
        <f>AE16/AC5*100</f>
        <v>28.65101302</v>
      </c>
      <c r="AD17" s="9" t="s">
        <v>44</v>
      </c>
      <c r="AE17" s="35">
        <f>AE16/AC13*100</f>
        <v>30.43374272</v>
      </c>
      <c r="AH17" s="54"/>
      <c r="AI17" s="54"/>
    </row>
    <row r="18">
      <c r="B18" s="6" t="s">
        <v>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8"/>
      <c r="AB18" s="9" t="s">
        <v>46</v>
      </c>
      <c r="AC18" s="35">
        <f>AC5/100*(AC17-AC16)</f>
        <v>89.97</v>
      </c>
      <c r="AD18" s="9" t="s">
        <v>47</v>
      </c>
      <c r="AE18" s="35">
        <f>(AC13/100)*(AE17-AC16)</f>
        <v>316.6411297</v>
      </c>
      <c r="AH18" s="35"/>
    </row>
    <row r="19">
      <c r="A19" s="10" t="str">
        <f t="array" ref="A19:A21">CHOOSEROWS(TRANSPOSE('583'!$M$79:$P$79),1,3,4)</f>
        <v>пробег</v>
      </c>
      <c r="B19" s="11">
        <f>'758'!M289</f>
        <v>16944</v>
      </c>
      <c r="C19" s="11">
        <f>'203'!M200</f>
        <v>10551</v>
      </c>
      <c r="D19" s="12">
        <f>'093'!M211</f>
        <v>13441</v>
      </c>
      <c r="E19" s="12">
        <f>'583'!M64</f>
        <v>5983</v>
      </c>
      <c r="F19" s="12">
        <f>'374'!M171</f>
        <v>12179</v>
      </c>
      <c r="G19" s="13">
        <f>'869'!M90</f>
        <v>3028</v>
      </c>
      <c r="H19" s="12">
        <f>'879'!M150</f>
        <v>11160</v>
      </c>
      <c r="I19" s="12">
        <f>'497'!M105</f>
        <v>15066</v>
      </c>
      <c r="J19" s="13">
        <f>'915'!M63</f>
        <v>5627</v>
      </c>
      <c r="K19" s="13">
        <f>'258'!M241</f>
        <v>8643</v>
      </c>
      <c r="L19" s="13">
        <f>'646'!M205</f>
        <v>16784</v>
      </c>
      <c r="M19" s="13">
        <f>'089'!M91</f>
        <v>17657</v>
      </c>
      <c r="N19" s="13">
        <f>'378'!M97</f>
        <v>20955</v>
      </c>
      <c r="O19" s="13">
        <f>'128'!M113</f>
        <v>15391</v>
      </c>
      <c r="P19" s="13">
        <f>'210'!M149</f>
        <v>18996</v>
      </c>
      <c r="Q19" s="13">
        <f>'048'!M86</f>
        <v>2592</v>
      </c>
      <c r="R19" s="13">
        <f>'436'!M281</f>
        <v>4442</v>
      </c>
      <c r="S19" s="13">
        <f t="array" ref="S19:S21">CHOOSEROWS(TRANSPOSE('750'!M322:P322),1,3,4)</f>
        <v>10229</v>
      </c>
      <c r="T19" s="13">
        <f t="array" ref="T19:T21">CHOOSEROWS(TRANSPOSE('370'!M140:P140),1,3,4)</f>
        <v>11444</v>
      </c>
      <c r="U19" s="26"/>
      <c r="V19" s="13">
        <f t="array" ref="V19:V21">CHOOSEROWS(TRANSPOSE('453'!M323:P323),1,3,4)</f>
        <v>3735</v>
      </c>
      <c r="W19" s="13"/>
      <c r="X19" s="13"/>
      <c r="Y19" s="15">
        <f>SUM(B19:V19)</f>
        <v>224847</v>
      </c>
    </row>
    <row r="20">
      <c r="A20" s="10" t="s">
        <v>27</v>
      </c>
      <c r="B20" s="17">
        <f>'758'!O289</f>
        <v>29.84082861</v>
      </c>
      <c r="C20" s="17">
        <f>'203'!O200</f>
        <v>35.93033836</v>
      </c>
      <c r="D20" s="18">
        <f>'093'!O211</f>
        <v>33.11822037</v>
      </c>
      <c r="E20" s="19">
        <f>'583'!O64</f>
        <v>34.82784556</v>
      </c>
      <c r="F20" s="18">
        <f>'374'!O171</f>
        <v>31.68043353</v>
      </c>
      <c r="G20" s="18">
        <f>'869'!O90</f>
        <v>31.12813738</v>
      </c>
      <c r="H20" s="18">
        <f>'879'!O150</f>
        <v>30.06084229</v>
      </c>
      <c r="I20" s="19">
        <f>'497'!O105</f>
        <v>33.29775654</v>
      </c>
      <c r="J20" s="18">
        <f>'915'!O63</f>
        <v>29.60369646</v>
      </c>
      <c r="K20" s="18">
        <f>'258'!O241</f>
        <v>35.6724517</v>
      </c>
      <c r="L20" s="18">
        <f>'646'!O205</f>
        <v>29.64662774</v>
      </c>
      <c r="M20" s="18">
        <f>'089'!O91</f>
        <v>32.19771196</v>
      </c>
      <c r="N20" s="18">
        <f>'378'!O97</f>
        <v>32.19389167</v>
      </c>
      <c r="O20" s="18">
        <f>'128'!O113</f>
        <v>29.61178611</v>
      </c>
      <c r="P20" s="18">
        <f>'210'!O149</f>
        <v>26.84775742</v>
      </c>
      <c r="Q20" s="18">
        <f>'048'!O86</f>
        <v>34.72222222</v>
      </c>
      <c r="R20" s="18">
        <f>'436'!O281</f>
        <v>42.18865376</v>
      </c>
      <c r="S20" s="18">
        <v>35.598396715221426</v>
      </c>
      <c r="T20" s="18">
        <v>34.16672492135617</v>
      </c>
      <c r="U20" s="26"/>
      <c r="V20" s="18">
        <v>34.60214190093708</v>
      </c>
      <c r="W20" s="13"/>
      <c r="X20" s="13"/>
      <c r="Y20" s="15"/>
    </row>
    <row r="21">
      <c r="A21" s="10" t="s">
        <v>28</v>
      </c>
      <c r="B21" s="20">
        <f>'758'!P289</f>
        <v>989.67</v>
      </c>
      <c r="C21" s="11">
        <f>'203'!P200</f>
        <v>625.71</v>
      </c>
      <c r="D21" s="13">
        <f>'093'!P211</f>
        <v>419.12</v>
      </c>
      <c r="E21" s="12">
        <f>'583'!P64</f>
        <v>229.02</v>
      </c>
      <c r="F21" s="13">
        <f>'374'!P171</f>
        <v>380.0376</v>
      </c>
      <c r="G21" s="13">
        <f>'869'!P90</f>
        <v>94.72</v>
      </c>
      <c r="H21" s="13">
        <f>'879'!P150</f>
        <v>178.654</v>
      </c>
      <c r="I21" s="12">
        <f>'497'!P105</f>
        <v>798.16</v>
      </c>
      <c r="J21" s="13">
        <f>'915'!P63</f>
        <v>-78.57</v>
      </c>
      <c r="K21" s="13">
        <f>'258'!P241</f>
        <v>403.84</v>
      </c>
      <c r="L21" s="13">
        <f>'646'!P205</f>
        <v>276.37</v>
      </c>
      <c r="M21" s="13">
        <f>'089'!P91</f>
        <v>741.19</v>
      </c>
      <c r="N21" s="13">
        <f>'378'!P97</f>
        <v>878.83</v>
      </c>
      <c r="O21" s="13">
        <f>'128'!P113</f>
        <v>248.07</v>
      </c>
      <c r="P21" s="13">
        <f>'210'!P149</f>
        <v>-28.92</v>
      </c>
      <c r="Q21" s="13">
        <f>'048'!P86</f>
        <v>96.48</v>
      </c>
      <c r="R21" s="13">
        <f>'436'!P281</f>
        <v>497</v>
      </c>
      <c r="S21" s="13">
        <v>777.2399999999998</v>
      </c>
      <c r="T21" s="13">
        <v>614.168</v>
      </c>
      <c r="U21" s="26"/>
      <c r="V21" s="13">
        <v>190.56499999999986</v>
      </c>
      <c r="W21" s="13"/>
      <c r="X21" s="13"/>
      <c r="Y21" s="15">
        <f>SUM(B21:V21)</f>
        <v>8331.3546</v>
      </c>
    </row>
    <row r="22">
      <c r="B22" s="6" t="s">
        <v>48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8"/>
    </row>
    <row r="23">
      <c r="A23" s="10" t="str">
        <f t="array" ref="A23:A25">CHOOSEROWS(TRANSPOSE('583'!$M$79:$P$79),1,3,4)</f>
        <v>пробег</v>
      </c>
      <c r="B23" s="11">
        <f>'758'!M310</f>
        <v>19769</v>
      </c>
      <c r="C23" s="11">
        <f>'203'!M210</f>
        <v>16075</v>
      </c>
      <c r="D23" s="12">
        <f>'093'!M228</f>
        <v>8346</v>
      </c>
      <c r="E23" s="12">
        <f>'583'!M69</f>
        <v>5386</v>
      </c>
      <c r="F23" s="12">
        <f>'374'!M188</f>
        <v>2477</v>
      </c>
      <c r="G23" s="13">
        <f>'869'!M94</f>
        <v>11375</v>
      </c>
      <c r="H23" s="12">
        <f>'879'!M164</f>
        <v>16542</v>
      </c>
      <c r="I23" s="12">
        <f>'497'!M112</f>
        <v>7549</v>
      </c>
      <c r="J23" s="13">
        <f>'915'!M68</f>
        <v>7313</v>
      </c>
      <c r="K23" s="13">
        <f>'258'!M250</f>
        <v>17363</v>
      </c>
      <c r="L23" s="13">
        <f>'646'!M228</f>
        <v>20035</v>
      </c>
      <c r="M23" s="13">
        <f>'089'!M115</f>
        <v>12191</v>
      </c>
      <c r="N23" s="13">
        <f>'378'!M113</f>
        <v>13525</v>
      </c>
      <c r="O23" s="13">
        <f>'128'!M123</f>
        <v>15627.99</v>
      </c>
      <c r="P23" s="13">
        <f>'210'!M162</f>
        <v>20580</v>
      </c>
      <c r="Q23" s="13">
        <f>'048'!M90</f>
        <v>3444</v>
      </c>
      <c r="R23" s="13">
        <f>'436'!F283</f>
        <v>1421</v>
      </c>
      <c r="S23" s="13">
        <f t="array" ref="S23:S25">CHOOSEROWS(TRANSPOSE('750'!M331:P331),1,3,4)</f>
        <v>11686</v>
      </c>
      <c r="T23" s="13">
        <f t="array" ref="T23:T25">CHOOSEROWS(TRANSPOSE('370'!M156:P156),1,3,4)</f>
        <v>11625</v>
      </c>
      <c r="U23" s="26"/>
      <c r="V23" s="13">
        <f t="array" ref="V23:V25">CHOOSEROWS(TRANSPOSE('453'!M328:P328),1,3,4)</f>
        <v>7341</v>
      </c>
      <c r="W23" s="13"/>
      <c r="X23" s="13"/>
      <c r="Y23" s="15">
        <f>SUM(B23:V23)</f>
        <v>229670.99</v>
      </c>
    </row>
    <row r="24">
      <c r="A24" s="10" t="s">
        <v>27</v>
      </c>
      <c r="B24" s="17">
        <f>'758'!O310</f>
        <v>28.59755172</v>
      </c>
      <c r="C24" s="17">
        <f>'203'!O210</f>
        <v>34.34469673</v>
      </c>
      <c r="D24" s="18">
        <f>'093'!O228</f>
        <v>31.2017733</v>
      </c>
      <c r="E24" s="19">
        <f>'583'!O69</f>
        <v>29.17861121</v>
      </c>
      <c r="F24" s="18">
        <f>'374'!O188</f>
        <v>40.74485264</v>
      </c>
      <c r="G24" s="18">
        <f>'869'!O94</f>
        <v>31.19103297</v>
      </c>
      <c r="H24" s="18">
        <f>'879'!O164</f>
        <v>28.88109056</v>
      </c>
      <c r="I24" s="19">
        <f>'497'!O112</f>
        <v>33.54086634</v>
      </c>
      <c r="J24" s="18">
        <f>'915'!O68</f>
        <v>39.38807603</v>
      </c>
      <c r="K24" s="18">
        <f>'258'!O250</f>
        <v>31.5009503</v>
      </c>
      <c r="L24" s="18">
        <f>'646'!O228</f>
        <v>28.91255303</v>
      </c>
      <c r="M24" s="18">
        <f>'089'!O115</f>
        <v>30.89533262</v>
      </c>
      <c r="N24" s="18">
        <f>'378'!O113</f>
        <v>32.27918669</v>
      </c>
      <c r="O24" s="18">
        <f>'128'!O123</f>
        <v>28.66862597</v>
      </c>
      <c r="P24" s="18">
        <f>'210'!O162</f>
        <v>25.52026239</v>
      </c>
      <c r="Q24" s="18">
        <f>'048'!O90</f>
        <v>40.6504065</v>
      </c>
      <c r="R24" s="18">
        <f>'436'!K283</f>
        <v>36.90992259</v>
      </c>
      <c r="S24" s="18">
        <v>35.0735923327058</v>
      </c>
      <c r="T24" s="18">
        <v>29.966623655913978</v>
      </c>
      <c r="U24" s="26"/>
      <c r="V24" s="18">
        <v>35.02560958997412</v>
      </c>
      <c r="W24" s="13"/>
      <c r="X24" s="13"/>
      <c r="Y24" s="15"/>
    </row>
    <row r="25">
      <c r="A25" s="10" t="s">
        <v>28</v>
      </c>
      <c r="B25" s="20">
        <f>'758'!P310</f>
        <v>908.89</v>
      </c>
      <c r="C25" s="11">
        <f>'203'!P210</f>
        <v>698.41</v>
      </c>
      <c r="D25" s="13">
        <f>'093'!P228</f>
        <v>100.3</v>
      </c>
      <c r="E25" s="12">
        <f>'583'!P69</f>
        <v>-98.1</v>
      </c>
      <c r="F25" s="13">
        <f>'374'!P188</f>
        <v>241.38</v>
      </c>
      <c r="G25" s="13">
        <f>'869'!P94</f>
        <v>362.98</v>
      </c>
      <c r="H25" s="13">
        <f>'879'!P164</f>
        <v>46.498</v>
      </c>
      <c r="I25" s="12">
        <f>'497'!P112</f>
        <v>361.6625</v>
      </c>
      <c r="J25" s="13">
        <f>'915'!P68</f>
        <v>613.42</v>
      </c>
      <c r="K25" s="13">
        <f>'258'!P250</f>
        <v>607.87</v>
      </c>
      <c r="L25" s="13">
        <f>'646'!P228</f>
        <v>182.83</v>
      </c>
      <c r="M25" s="13">
        <f>'089'!P115</f>
        <v>352.97</v>
      </c>
      <c r="N25" s="13">
        <f>'378'!P113</f>
        <v>542.2425</v>
      </c>
      <c r="O25" s="13">
        <f>'128'!P123</f>
        <v>104.4928</v>
      </c>
      <c r="P25" s="13">
        <f>'210'!P162</f>
        <v>-304.53</v>
      </c>
      <c r="Q25" s="13">
        <f>'048'!P90</f>
        <v>332.36</v>
      </c>
      <c r="R25" s="13">
        <f>'436'!P283</f>
        <v>83.98</v>
      </c>
      <c r="S25" s="13">
        <v>803.2479999999999</v>
      </c>
      <c r="T25" s="13">
        <v>148.40749999999974</v>
      </c>
      <c r="U25" s="26"/>
      <c r="V25" s="13">
        <v>405.6349999999999</v>
      </c>
      <c r="W25" s="13"/>
      <c r="X25" s="13"/>
      <c r="Y25" s="15">
        <f>SUM(B25:V25)</f>
        <v>6494.9463</v>
      </c>
    </row>
    <row r="26">
      <c r="B26" s="6" t="s">
        <v>49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8"/>
    </row>
    <row r="27">
      <c r="A27" s="10" t="str">
        <f t="array" ref="A27:A29">CHOOSEROWS(TRANSPOSE('583'!$M$79:$P$79),1,3,4)</f>
        <v>пробег</v>
      </c>
      <c r="B27" s="11">
        <f>'758'!M334</f>
        <v>18101</v>
      </c>
      <c r="C27" s="11">
        <f>'203'!M226</f>
        <v>18502</v>
      </c>
      <c r="D27" s="12">
        <f>'093'!M241</f>
        <v>9962</v>
      </c>
      <c r="E27" s="12">
        <f>'583'!M72</f>
        <v>3938</v>
      </c>
      <c r="F27" s="12">
        <f>'374'!M192</f>
        <v>4489</v>
      </c>
      <c r="G27" s="13">
        <f>'869'!M102</f>
        <v>12255</v>
      </c>
      <c r="H27" s="12">
        <f>'879'!M185</f>
        <v>10179</v>
      </c>
      <c r="I27" s="12">
        <f>'497'!M117</f>
        <v>14973</v>
      </c>
      <c r="J27" s="13">
        <f>'915'!M74</f>
        <v>4303</v>
      </c>
      <c r="K27" s="13">
        <f>'258'!M272</f>
        <v>9205</v>
      </c>
      <c r="L27" s="13">
        <f>'646'!M255</f>
        <v>20200</v>
      </c>
      <c r="M27" s="13">
        <f>'089'!M132</f>
        <v>10886</v>
      </c>
      <c r="N27" s="13">
        <f>'378'!M124</f>
        <v>2533</v>
      </c>
      <c r="O27" s="13">
        <f>'128'!M133</f>
        <v>20431</v>
      </c>
      <c r="P27" s="13">
        <f>'210'!M176</f>
        <v>9837</v>
      </c>
      <c r="Q27" s="13">
        <f>'048'!M96</f>
        <v>3927</v>
      </c>
      <c r="R27" s="13">
        <f>'436'!M286</f>
        <v>3471</v>
      </c>
      <c r="S27" s="13">
        <f t="array" ref="S27:S29">CHOOSEROWS(TRANSPOSE('750'!M341:P341),1,3,4)</f>
        <v>4592</v>
      </c>
      <c r="T27" s="13">
        <f t="array" ref="T27:T29">CHOOSEROWS(TRANSPOSE('370'!M170:P170),1,3,4)</f>
        <v>6643</v>
      </c>
      <c r="U27" s="26"/>
      <c r="V27" s="13">
        <f t="array" ref="V27:V29">CHOOSEROWS(TRANSPOSE('453'!M335:P335),1,3,4)</f>
        <v>5950</v>
      </c>
      <c r="W27" s="13"/>
      <c r="X27" s="13"/>
      <c r="Y27" s="15">
        <f>SUM(B27:V27)</f>
        <v>194377</v>
      </c>
    </row>
    <row r="28">
      <c r="A28" s="10" t="s">
        <v>27</v>
      </c>
      <c r="B28" s="17">
        <f>'758'!O334</f>
        <v>24.65090327</v>
      </c>
      <c r="C28" s="17">
        <f>'203'!O226</f>
        <v>33.44811372</v>
      </c>
      <c r="D28" s="18">
        <f>'093'!O241</f>
        <v>30.61292913</v>
      </c>
      <c r="E28" s="19">
        <f>'583'!O72</f>
        <v>29.5535805</v>
      </c>
      <c r="F28" s="18">
        <f>'374'!O192</f>
        <v>39.40387614</v>
      </c>
      <c r="G28" s="18">
        <f>'869'!O102</f>
        <v>28.11546308</v>
      </c>
      <c r="H28" s="18">
        <f>'879'!O185</f>
        <v>27.14333432</v>
      </c>
      <c r="I28" s="19">
        <f>'497'!O117</f>
        <v>31.39845054</v>
      </c>
      <c r="J28" s="18">
        <f>'915'!O74</f>
        <v>33.54403904</v>
      </c>
      <c r="K28" s="18">
        <f>'258'!O272</f>
        <v>32.47767518</v>
      </c>
      <c r="L28" s="18">
        <f>'646'!O255</f>
        <v>27.73960396</v>
      </c>
      <c r="M28" s="18">
        <f>'089'!O132</f>
        <v>30.85348154</v>
      </c>
      <c r="N28" s="18">
        <f>'378'!O124</f>
        <v>38.50138176</v>
      </c>
      <c r="O28" s="18">
        <f>'128'!O133</f>
        <v>28.39851206</v>
      </c>
      <c r="P28" s="18">
        <f>'210'!O176</f>
        <v>24.39768222</v>
      </c>
      <c r="Q28" s="18">
        <f>'048'!O96</f>
        <v>33.03590527</v>
      </c>
      <c r="R28" s="18">
        <f>'436'!O286</f>
        <v>36.28291559</v>
      </c>
      <c r="S28" s="18">
        <v>31.619120209059236</v>
      </c>
      <c r="T28" s="18">
        <v>31.290079783230468</v>
      </c>
      <c r="U28" s="26"/>
      <c r="V28" s="18">
        <v>35.77042016806723</v>
      </c>
      <c r="W28" s="13"/>
      <c r="X28" s="13"/>
      <c r="Y28" s="15"/>
    </row>
    <row r="29">
      <c r="A29" s="10" t="s">
        <v>28</v>
      </c>
      <c r="B29" s="20">
        <f>'758'!P334</f>
        <v>117.82</v>
      </c>
      <c r="C29" s="11">
        <f>'203'!P226</f>
        <v>637.97</v>
      </c>
      <c r="D29" s="13">
        <f>'093'!P241</f>
        <v>61.06</v>
      </c>
      <c r="E29" s="12">
        <f>'583'!P72</f>
        <v>-56.96</v>
      </c>
      <c r="F29" s="13">
        <f>'374'!P192</f>
        <v>377.25</v>
      </c>
      <c r="G29" s="13">
        <f>'869'!P102</f>
        <v>14.15</v>
      </c>
      <c r="H29" s="13">
        <f>'879'!P185</f>
        <v>-148.274</v>
      </c>
      <c r="I29" s="12">
        <f>'497'!P117</f>
        <v>508.85</v>
      </c>
      <c r="J29" s="13">
        <f>'915'!P74</f>
        <v>109.47</v>
      </c>
      <c r="K29" s="13">
        <f>'258'!P272</f>
        <v>412.17</v>
      </c>
      <c r="L29" s="13">
        <f>'646'!P255</f>
        <v>-52.6</v>
      </c>
      <c r="M29" s="13">
        <f>'089'!P132</f>
        <v>310.63</v>
      </c>
      <c r="N29" s="13">
        <f>'378'!P124</f>
        <v>190.01</v>
      </c>
      <c r="O29" s="13">
        <f>'128'!P133</f>
        <v>81.42</v>
      </c>
      <c r="P29" s="13">
        <f>'210'!P176</f>
        <v>-255.99</v>
      </c>
      <c r="Q29" s="13">
        <f>'048'!P96</f>
        <v>79.95</v>
      </c>
      <c r="R29" s="13">
        <f>'436'!P286</f>
        <v>183.37</v>
      </c>
      <c r="S29" s="13">
        <v>28.43000000000013</v>
      </c>
      <c r="T29" s="13">
        <v>161.4302</v>
      </c>
      <c r="U29" s="26"/>
      <c r="V29" s="13">
        <v>283.8400000000004</v>
      </c>
      <c r="W29" s="13"/>
      <c r="X29" s="13"/>
      <c r="Y29" s="15">
        <f>SUM(B29:V29)</f>
        <v>3043.9962</v>
      </c>
    </row>
    <row r="30">
      <c r="B30" s="6" t="s">
        <v>50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8"/>
    </row>
    <row r="31">
      <c r="A31" s="10" t="str">
        <f t="array" ref="A31:A33">CHOOSEROWS(TRANSPOSE('583'!$M$79:$P$79),1,3,4)</f>
        <v>пробег</v>
      </c>
      <c r="B31" s="11">
        <f>'758'!M357</f>
        <v>13515</v>
      </c>
      <c r="C31" s="11">
        <f>'203'!M244</f>
        <v>10489</v>
      </c>
      <c r="D31" s="13"/>
      <c r="E31" s="12">
        <f>'583'!M76</f>
        <v>6222</v>
      </c>
      <c r="F31" s="12">
        <f>'374'!M199</f>
        <v>5987</v>
      </c>
      <c r="G31" s="13">
        <f>'869'!M111</f>
        <v>10640</v>
      </c>
      <c r="H31" s="12">
        <f>'879'!M196</f>
        <v>9134</v>
      </c>
      <c r="I31" s="12">
        <f>'497'!M126</f>
        <v>9085</v>
      </c>
      <c r="J31" s="13">
        <f>'915'!M78</f>
        <v>5138</v>
      </c>
      <c r="K31" s="13">
        <f>'258'!M285</f>
        <v>15271</v>
      </c>
      <c r="L31" s="13">
        <f>'646'!M282</f>
        <v>16855</v>
      </c>
      <c r="M31" s="13">
        <f>'089'!M147</f>
        <v>10030</v>
      </c>
      <c r="N31" s="13">
        <f>'378'!M128</f>
        <v>14512</v>
      </c>
      <c r="O31" s="13">
        <f>'128'!M146</f>
        <v>16805</v>
      </c>
      <c r="P31" s="13">
        <f>'210'!M183</f>
        <v>17894</v>
      </c>
      <c r="Q31" s="13">
        <f>'048'!M102</f>
        <v>2756</v>
      </c>
      <c r="R31" s="13">
        <f>'436'!F288</f>
        <v>1787</v>
      </c>
      <c r="S31" s="13">
        <f t="array" ref="S31:S33">CHOOSEROWS(TRANSPOSE('750'!M344:P344),1,3,4)</f>
        <v>3112</v>
      </c>
      <c r="T31" s="13">
        <f t="array" ref="T31:T33">CHOOSEROWS(TRANSPOSE('370'!M178:P178),1,3,4)</f>
        <v>9186</v>
      </c>
      <c r="U31" s="26"/>
      <c r="V31" s="13">
        <f t="array" ref="V31:V33">CHOOSEROWS(TRANSPOSE('453'!M340:P340),1,3,4)</f>
        <v>2923</v>
      </c>
      <c r="W31" s="13"/>
      <c r="X31" s="13"/>
      <c r="Y31" s="15">
        <f>SUM(B31:V31)</f>
        <v>181341</v>
      </c>
    </row>
    <row r="32">
      <c r="A32" s="10" t="s">
        <v>27</v>
      </c>
      <c r="B32" s="17">
        <f>'758'!O357</f>
        <v>24.96048835</v>
      </c>
      <c r="C32" s="17">
        <f>'203'!O244</f>
        <v>32.64229192</v>
      </c>
      <c r="D32" s="13"/>
      <c r="E32" s="19">
        <f>'583'!O76</f>
        <v>29.24172292</v>
      </c>
      <c r="F32" s="18">
        <f>'374'!O199</f>
        <v>30.67830299</v>
      </c>
      <c r="G32" s="18">
        <f>'869'!O111</f>
        <v>26.6406015</v>
      </c>
      <c r="H32" s="18">
        <f>'879'!O196</f>
        <v>27.39029998</v>
      </c>
      <c r="I32" s="19">
        <f>'497'!O126</f>
        <v>29.97556412</v>
      </c>
      <c r="J32" s="18">
        <f>'915'!O78</f>
        <v>33.12942779</v>
      </c>
      <c r="K32" s="18">
        <f>'258'!O285</f>
        <v>31.02219894</v>
      </c>
      <c r="L32" s="18">
        <f>'646'!O282</f>
        <v>27.45185405</v>
      </c>
      <c r="M32" s="18">
        <f>'089'!O147</f>
        <v>28.93639083</v>
      </c>
      <c r="N32" s="18">
        <f>'378'!O128</f>
        <v>30.72105843</v>
      </c>
      <c r="O32" s="18">
        <f>'128'!O146</f>
        <v>28.7268075</v>
      </c>
      <c r="P32" s="18">
        <f>'210'!O183</f>
        <v>24.86867106</v>
      </c>
      <c r="Q32" s="18">
        <f>'048'!O102</f>
        <v>35.12046444</v>
      </c>
      <c r="R32" s="18">
        <f>'436'!K288</f>
        <v>32.78175713</v>
      </c>
      <c r="S32" s="18">
        <v>30.014138817480717</v>
      </c>
      <c r="T32" s="18">
        <v>31.40158937513608</v>
      </c>
      <c r="U32" s="26"/>
      <c r="V32" s="19">
        <v>32.14163530619227</v>
      </c>
      <c r="W32" s="13"/>
      <c r="X32" s="13"/>
      <c r="Y32" s="15"/>
    </row>
    <row r="33">
      <c r="A33" s="10" t="s">
        <v>28</v>
      </c>
      <c r="B33" s="20">
        <f>'758'!P357</f>
        <v>129.81</v>
      </c>
      <c r="C33" s="11">
        <f>'203'!P244</f>
        <v>277.15</v>
      </c>
      <c r="D33" s="13"/>
      <c r="E33" s="12">
        <f>'583'!P76</f>
        <v>-109.4</v>
      </c>
      <c r="F33" s="13">
        <f>'374'!P199</f>
        <v>-19.26</v>
      </c>
      <c r="G33" s="13">
        <f>'869'!P111</f>
        <v>-144.64</v>
      </c>
      <c r="H33" s="13">
        <f>'879'!P196</f>
        <v>-192.7</v>
      </c>
      <c r="I33" s="12">
        <f>'497'!P126</f>
        <v>179.48</v>
      </c>
      <c r="J33" s="13">
        <f>'915'!P78</f>
        <v>109.41</v>
      </c>
      <c r="K33" s="13">
        <f>'258'!P285</f>
        <v>461.52</v>
      </c>
      <c r="L33" s="13">
        <f>'646'!P282</f>
        <v>-92.39</v>
      </c>
      <c r="M33" s="13">
        <f>'089'!P147</f>
        <v>93.92</v>
      </c>
      <c r="N33" s="13">
        <f>'378'!P128</f>
        <v>394.88</v>
      </c>
      <c r="O33" s="13">
        <f>'128'!P146</f>
        <v>122.14</v>
      </c>
      <c r="P33" s="13">
        <f>'210'!P183</f>
        <v>-381.38</v>
      </c>
      <c r="Q33" s="13">
        <f>'048'!P102</f>
        <v>113.56</v>
      </c>
      <c r="R33" s="13">
        <f>'436'!P288</f>
        <v>31.84</v>
      </c>
      <c r="S33" s="13">
        <v>62.679999999999914</v>
      </c>
      <c r="T33" s="13">
        <v>312.4700000000003</v>
      </c>
      <c r="U33" s="26"/>
      <c r="V33" s="13">
        <v>33.37000000000007</v>
      </c>
      <c r="W33" s="13"/>
      <c r="X33" s="13"/>
      <c r="Y33" s="15">
        <f>SUM(B33:V33)</f>
        <v>1382.46</v>
      </c>
    </row>
    <row r="34">
      <c r="B34" s="6" t="s">
        <v>51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8"/>
    </row>
    <row r="35">
      <c r="A35" s="10" t="str">
        <f t="array" ref="A35:A37">CHOOSEROWS(TRANSPOSE('583'!$M$79:$P$79),1,3,4)</f>
        <v>пробег</v>
      </c>
      <c r="B35" s="11">
        <f>'758'!M374</f>
        <v>12541</v>
      </c>
      <c r="C35" s="11">
        <f>'203'!M256</f>
        <v>14819</v>
      </c>
      <c r="D35" s="12">
        <f>'093'!M266</f>
        <v>16480</v>
      </c>
      <c r="E35" s="12">
        <f>'583'!M80</f>
        <v>4827</v>
      </c>
      <c r="F35" s="12">
        <f>'374'!M206</f>
        <v>4057</v>
      </c>
      <c r="G35" s="13">
        <f>'869'!M119</f>
        <v>12014</v>
      </c>
      <c r="H35" s="12">
        <f t="array" ref="H35:H37">CHOOSEROWS(TRANSPOSE('879'!M205:P205),1,3,4)</f>
        <v>4410</v>
      </c>
      <c r="I35" s="12">
        <f>'497'!M132</f>
        <v>9314</v>
      </c>
      <c r="J35" s="12">
        <f t="array" ref="J35:J37">CHOOSEROWS(TRANSPOSE('915'!M83:P83),1,3,4)</f>
        <v>4530</v>
      </c>
      <c r="K35" s="13">
        <f>'258'!M304</f>
        <v>11590</v>
      </c>
      <c r="L35" s="13">
        <f>'646'!M305</f>
        <v>15490</v>
      </c>
      <c r="M35" s="13">
        <f>'089'!M158</f>
        <v>10314</v>
      </c>
      <c r="N35" s="13">
        <f>'378'!M140</f>
        <v>17343</v>
      </c>
      <c r="O35" s="13">
        <f>'128'!M157</f>
        <v>12161</v>
      </c>
      <c r="P35" s="13">
        <f>'210'!M195</f>
        <v>14238</v>
      </c>
      <c r="Q35" s="13">
        <f>'048'!M107</f>
        <v>4159</v>
      </c>
      <c r="R35" s="13">
        <f>'436'!M292</f>
        <v>6141</v>
      </c>
      <c r="S35" s="13">
        <f t="array" ref="S35:S37">CHOOSEROWS(TRANSPOSE('750'!M348:P348),1,3,4)</f>
        <v>13761</v>
      </c>
      <c r="T35" s="13">
        <f t="array" ref="T35:T37">CHOOSEROWS(TRANSPOSE('370'!M189:P189),1,3,4)</f>
        <v>10299</v>
      </c>
      <c r="U35" s="26"/>
      <c r="V35" s="13">
        <f t="array" ref="V35:V37">CHOOSEROWS(TRANSPOSE('453'!M343:P343),1,3,4)</f>
        <v>4591</v>
      </c>
      <c r="W35" s="13"/>
      <c r="X35" s="13"/>
      <c r="Y35" s="15">
        <f>SUM(B35:V35)</f>
        <v>203079</v>
      </c>
    </row>
    <row r="36">
      <c r="A36" s="10" t="s">
        <v>27</v>
      </c>
      <c r="B36" s="17">
        <f>'758'!O374</f>
        <v>24.41711187</v>
      </c>
      <c r="C36" s="17">
        <f>'203'!O256</f>
        <v>30.8513395</v>
      </c>
      <c r="D36" s="18">
        <f>'093'!O266</f>
        <v>23.41887136</v>
      </c>
      <c r="E36" s="19">
        <f>'583'!O80</f>
        <v>31.1379739</v>
      </c>
      <c r="F36" s="18">
        <f>'374'!O206</f>
        <v>34.93985704</v>
      </c>
      <c r="G36" s="18">
        <f>'869'!O119</f>
        <v>26.73289496</v>
      </c>
      <c r="H36" s="18">
        <v>26.028117913832205</v>
      </c>
      <c r="I36" s="19">
        <f>'497'!O132</f>
        <v>28.94878677</v>
      </c>
      <c r="J36" s="18">
        <v>34.6205298013245</v>
      </c>
      <c r="K36" s="18">
        <f>'258'!O304</f>
        <v>29.62752373</v>
      </c>
      <c r="L36" s="18">
        <f>'646'!O305</f>
        <v>27.34222079</v>
      </c>
      <c r="M36" s="18">
        <f>'089'!O158</f>
        <v>28.53926702</v>
      </c>
      <c r="N36" s="18">
        <f>'378'!O140</f>
        <v>29.44461742</v>
      </c>
      <c r="O36" s="18">
        <f>'128'!O157</f>
        <v>28.00222021</v>
      </c>
      <c r="P36" s="18">
        <f>'210'!O195</f>
        <v>25.28297514</v>
      </c>
      <c r="Q36" s="18">
        <f>'048'!O107</f>
        <v>35.42991104</v>
      </c>
      <c r="R36" s="18">
        <f>'436'!O292</f>
        <v>32.57824459</v>
      </c>
      <c r="S36" s="18">
        <v>30.004650824794705</v>
      </c>
      <c r="T36" s="18">
        <v>29.761821536071466</v>
      </c>
      <c r="U36" s="26"/>
      <c r="V36" s="18">
        <v>33.22783707253321</v>
      </c>
      <c r="W36" s="13"/>
      <c r="X36" s="13"/>
      <c r="Y36" s="15"/>
    </row>
    <row r="37">
      <c r="A37" s="10" t="s">
        <v>28</v>
      </c>
      <c r="B37" s="20">
        <f>'758'!P374</f>
        <v>52.31</v>
      </c>
      <c r="C37" s="11">
        <f>'203'!P256</f>
        <v>126.16</v>
      </c>
      <c r="D37" s="13">
        <f>'093'!P266</f>
        <v>-95.77</v>
      </c>
      <c r="E37" s="12">
        <f>'583'!P80</f>
        <v>6.66</v>
      </c>
      <c r="F37" s="13">
        <f>'374'!P206</f>
        <v>159.84</v>
      </c>
      <c r="G37" s="13">
        <f>'869'!P119</f>
        <v>-152.23</v>
      </c>
      <c r="H37" s="13">
        <v>-86.95999999999978</v>
      </c>
      <c r="I37" s="12">
        <f>'497'!P132</f>
        <v>88.37</v>
      </c>
      <c r="J37" s="13">
        <v>164.0099999999999</v>
      </c>
      <c r="K37" s="13">
        <f>'258'!P304</f>
        <v>188.63</v>
      </c>
      <c r="L37" s="13">
        <f>'646'!P305</f>
        <v>-101.89</v>
      </c>
      <c r="M37" s="13">
        <f>'089'!P158</f>
        <v>55.62</v>
      </c>
      <c r="N37" s="13">
        <f>'378'!P140</f>
        <v>250.54</v>
      </c>
      <c r="O37" s="13">
        <f>'128'!P157</f>
        <v>0.27</v>
      </c>
      <c r="P37" s="13">
        <f>'210'!P195</f>
        <v>-244.47</v>
      </c>
      <c r="Q37" s="13">
        <f>'048'!P107</f>
        <v>184.24</v>
      </c>
      <c r="R37" s="13">
        <f>'436'!P292</f>
        <v>96.92</v>
      </c>
      <c r="S37" s="13">
        <v>-412.1900000000007</v>
      </c>
      <c r="T37" s="13">
        <v>-282.0049999999997</v>
      </c>
      <c r="U37" s="14"/>
      <c r="V37" s="13">
        <v>102.27999999999977</v>
      </c>
      <c r="W37" s="13"/>
      <c r="X37" s="13"/>
      <c r="Y37" s="15">
        <f>SUM(B37:V37)</f>
        <v>100.335</v>
      </c>
    </row>
    <row r="38">
      <c r="B38" s="6" t="s">
        <v>52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8"/>
    </row>
    <row r="39">
      <c r="A39" s="10" t="str">
        <f t="array" ref="A39:A41">CHOOSEROWS(TRANSPOSE('583'!$M$79:$P$79),1,3,4)</f>
        <v>пробег</v>
      </c>
      <c r="B39" s="55">
        <f t="array" ref="B39:B41">CHOOSEROWS(TRANSPOSE('758'!M390:Q390),1,3,4)</f>
        <v>13640</v>
      </c>
      <c r="C39" s="55">
        <f t="array" ref="C39:C41">CHOOSEROWS(TRANSPOSE('203'!M270:Q270),1,3,4)</f>
        <v>4014</v>
      </c>
      <c r="D39" s="55">
        <f t="array" ref="D39:D41">CHOOSEROWS(TRANSPOSE('093'!M283:Q283),1,3,4)</f>
        <v>24967</v>
      </c>
      <c r="E39" s="55">
        <f t="array" ref="E39:E41">CHOOSEROWS(TRANSPOSE('583'!M84:Q84),1,3,4)</f>
        <v>7595</v>
      </c>
      <c r="F39" s="55">
        <f t="array" ref="F39:F41">CHOOSEROWS(TRANSPOSE('374'!M211:Q211),1,3,4)</f>
        <v>6832</v>
      </c>
      <c r="G39" s="55">
        <f t="array" ref="G39:G41">CHOOSEROWS(TRANSPOSE('869'!M128:Q128),1,3,4)</f>
        <v>19611</v>
      </c>
      <c r="H39" s="55">
        <f t="array" ref="H39:H41">CHOOSEROWS(TRANSPOSE('879'!M210:Q210),1,3,4)</f>
        <v>10061</v>
      </c>
      <c r="I39" s="35">
        <f t="array" ref="I39:I41">CHOOSEROWS(TRANSPOSE('497'!M138:Q138),1,3,4)</f>
        <v>25935.06667</v>
      </c>
      <c r="J39" s="55">
        <f t="array" ref="J39:J41">CHOOSEROWS(TRANSPOSE('915'!M87:Q87),1,3,4)</f>
        <v>3773</v>
      </c>
      <c r="K39" s="55">
        <f t="array" ref="K39:K41">CHOOSEROWS(TRANSPOSE('258'!M319:Q319),1,3,4)</f>
        <v>21707</v>
      </c>
      <c r="L39" s="55">
        <f t="array" ref="L39:L41">CHOOSEROWS(TRANSPOSE('646'!M326:Q326),1,3,4)</f>
        <v>20822</v>
      </c>
      <c r="M39" s="55">
        <f t="array" ref="M39:M41">CHOOSEROWS(TRANSPOSE('089'!M170:Q170),1,3,4)</f>
        <v>19883</v>
      </c>
      <c r="N39" s="55">
        <f t="array" ref="N39:N41">CHOOSEROWS(TRANSPOSE('378'!M153:Q153),1,3,4)</f>
        <v>19256</v>
      </c>
      <c r="O39" s="55">
        <f t="array" ref="O39:O41">CHOOSEROWS(TRANSPOSE('128'!M165:Q165),1,3,4)</f>
        <v>20179</v>
      </c>
      <c r="P39" s="55">
        <f t="array" ref="P39:P41">CHOOSEROWS(TRANSPOSE('210'!M205:Q205),1,3,4)</f>
        <v>18221</v>
      </c>
      <c r="Q39" s="55">
        <f t="array" ref="Q39:Q41">CHOOSEROWS(TRANSPOSE('048'!M113:Q113),1,3,4)</f>
        <v>3427</v>
      </c>
      <c r="R39" s="55">
        <f t="array" ref="R39:R41">CHOOSEROWS(TRANSPOSE('436'!M297:Q297),1,3,4)</f>
        <v>3193</v>
      </c>
      <c r="S39" s="55">
        <f t="array" ref="S39:S41">CHOOSEROWS(TRANSPOSE('750'!M359:Q359),1,3,4)</f>
        <v>8102</v>
      </c>
      <c r="T39" s="55">
        <f t="array" ref="T39:T41">CHOOSEROWS(TRANSPOSE('370'!M203:Q203),1,3,4)</f>
        <v>5178</v>
      </c>
      <c r="U39" s="56">
        <f t="array" ref="U39:U41">CHOOSEROWS(TRANSPOSE('149'!M100:Q100),1,3,4)</f>
        <v>7988</v>
      </c>
      <c r="V39" s="55">
        <f t="array" ref="V39:V41">CHOOSEROWS(TRANSPOSE('453'!M346:Q346),1,3,4)</f>
        <v>7625</v>
      </c>
      <c r="W39" s="55">
        <f t="array" ref="W39:W41">CHOOSEROWS(TRANSPOSE('701'!M6:Q6),1,3,4)</f>
        <v>6244</v>
      </c>
      <c r="X39" s="55">
        <f t="array" ref="X39:X41">CHOOSEROWS(TRANSPOSE('708'!M6:Q6),1,3,4)</f>
        <v>2117</v>
      </c>
      <c r="Y39" s="15">
        <f>SUM(B39:X39)</f>
        <v>280370.0667</v>
      </c>
    </row>
    <row r="40">
      <c r="A40" s="10" t="s">
        <v>27</v>
      </c>
      <c r="B40" s="35">
        <v>24.26642228739003</v>
      </c>
      <c r="C40" s="35">
        <v>31.715744892874937</v>
      </c>
      <c r="D40" s="35">
        <v>21.29895462009853</v>
      </c>
      <c r="E40" s="35">
        <v>30.162738643844637</v>
      </c>
      <c r="F40" s="35">
        <v>32.36460772833723</v>
      </c>
      <c r="G40" s="35">
        <v>26.895211870888797</v>
      </c>
      <c r="H40" s="35">
        <v>25.31607196103767</v>
      </c>
      <c r="I40" s="35">
        <v>26.348611660917264</v>
      </c>
      <c r="J40" s="35">
        <v>34.5899814471243</v>
      </c>
      <c r="K40" s="35">
        <v>28.73059381766251</v>
      </c>
      <c r="L40" s="35">
        <v>26.7932475266545</v>
      </c>
      <c r="M40" s="35">
        <v>30.917416888799483</v>
      </c>
      <c r="N40" s="35">
        <v>30.47912339011217</v>
      </c>
      <c r="O40" s="35">
        <v>28.637494424897163</v>
      </c>
      <c r="P40" s="35">
        <v>26.34290104824104</v>
      </c>
      <c r="Q40" s="35">
        <v>33.54829296761015</v>
      </c>
      <c r="R40" s="35">
        <v>32.123081741309115</v>
      </c>
      <c r="S40" s="35">
        <v>35.334608738583064</v>
      </c>
      <c r="T40" s="35">
        <v>28.994206257242176</v>
      </c>
      <c r="U40" s="57">
        <v>27.793690535803712</v>
      </c>
      <c r="V40" s="35">
        <v>30.358032786885246</v>
      </c>
      <c r="W40" s="35">
        <v>19.035874439461885</v>
      </c>
      <c r="X40" s="35">
        <v>21.703826169107227</v>
      </c>
      <c r="Y40" s="15"/>
    </row>
    <row r="41">
      <c r="A41" s="10" t="s">
        <v>28</v>
      </c>
      <c r="B41" s="55">
        <v>36.339999999999904</v>
      </c>
      <c r="C41" s="55">
        <v>68.86999999999999</v>
      </c>
      <c r="D41" s="55">
        <v>-674.3699999999998</v>
      </c>
      <c r="E41" s="55">
        <v>-63.589999999999804</v>
      </c>
      <c r="F41" s="55">
        <v>253.09879999999976</v>
      </c>
      <c r="G41" s="55">
        <v>-216.65999999999798</v>
      </c>
      <c r="H41" s="55">
        <v>-270.02999999999986</v>
      </c>
      <c r="I41" s="35">
        <v>-428.2886666666669</v>
      </c>
      <c r="J41" s="55">
        <v>135.4499999999999</v>
      </c>
      <c r="K41" s="55">
        <v>158.59000000000083</v>
      </c>
      <c r="L41" s="55">
        <v>-251.2699999999999</v>
      </c>
      <c r="M41" s="55">
        <v>580.0700000000013</v>
      </c>
      <c r="N41" s="55">
        <v>477.3799999999997</v>
      </c>
      <c r="O41" s="55">
        <v>128.6399999999985</v>
      </c>
      <c r="P41" s="55">
        <v>-119.73000000000027</v>
      </c>
      <c r="Q41" s="55">
        <v>87.32999999999991</v>
      </c>
      <c r="R41" s="55">
        <v>35.86000000000003</v>
      </c>
      <c r="S41" s="55">
        <v>189.14999999999986</v>
      </c>
      <c r="T41" s="55">
        <v>-52.08000000000012</v>
      </c>
      <c r="U41" s="56">
        <v>63.40000000000053</v>
      </c>
      <c r="V41" s="55">
        <v>27.30000000000004</v>
      </c>
      <c r="W41" s="55">
        <v>-122.63999999999987</v>
      </c>
      <c r="X41" s="55">
        <v>14.9</v>
      </c>
      <c r="Y41" s="15">
        <f>SUM(B41:X41)</f>
        <v>57.72013333</v>
      </c>
    </row>
    <row r="42">
      <c r="B42" s="6" t="s">
        <v>53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8"/>
    </row>
    <row r="43">
      <c r="A43" s="10" t="str">
        <f t="array" ref="A43:A45">CHOOSEROWS(TRANSPOSE('583'!$M$79:$P$79),1,3,4)</f>
        <v>пробег</v>
      </c>
      <c r="B43" s="55">
        <f t="array" ref="B43:B45">CHOOSEROWS(TRANSPOSE('758'!M407:Q407),1,3,4)</f>
        <v>23626</v>
      </c>
      <c r="C43" s="55">
        <f t="array" ref="C43:C45">CHOOSEROWS(TRANSPOSE('203'!M274:Q274),1,3,4)</f>
        <v>18575</v>
      </c>
      <c r="D43" s="35">
        <f t="array" ref="D43:D45">CHOOSEROWS(TRANSPOSE('093'!M314:Q314),1,3,4)</f>
        <v>14010.25</v>
      </c>
      <c r="E43" s="55">
        <f t="array" ref="E43:E45">CHOOSEROWS(TRANSPOSE('583'!M89:Q89),1,3,4)</f>
        <v>6369</v>
      </c>
      <c r="F43" s="55">
        <f t="array" ref="F43:F45">CHOOSEROWS(TRANSPOSE('374'!M222:Q222),1,3,4)</f>
        <v>6591</v>
      </c>
      <c r="G43" s="55">
        <f t="array" ref="G43:G45">CHOOSEROWS(TRANSPOSE('869'!M142:Q142),1,3,4)</f>
        <v>20600</v>
      </c>
      <c r="H43" s="55">
        <f t="array" ref="H43:H45">CHOOSEROWS(TRANSPOSE('879'!M219:Q219),1,3,4)</f>
        <v>16491</v>
      </c>
      <c r="I43" s="35">
        <f t="array" ref="I43:I45">CHOOSEROWS(TRANSPOSE('497'!M150:Q150),1,3,4)</f>
        <v>7073.2</v>
      </c>
      <c r="J43" s="55">
        <f t="array" ref="J43:J45">CHOOSEROWS(TRANSPOSE('915'!M91:Q91),1,3,4)</f>
        <v>4157</v>
      </c>
      <c r="K43" s="55">
        <f t="array" ref="K43:K45">CHOOSEROWS(TRANSPOSE('258'!M345:Q345),1,3,4)</f>
        <v>6387</v>
      </c>
      <c r="L43" s="55">
        <f t="array" ref="L43:L45">CHOOSEROWS(TRANSPOSE('646'!M354:Q354),1,3,4)</f>
        <v>17179</v>
      </c>
      <c r="M43" s="55">
        <f t="array" ref="M43:M45">CHOOSEROWS(TRANSPOSE('089'!M194:Q194),1,3,4)</f>
        <v>11773</v>
      </c>
      <c r="N43" s="55">
        <f t="array" ref="N43:N45">CHOOSEROWS(TRANSPOSE('378'!M168:Q168),1,3,4)</f>
        <v>22445</v>
      </c>
      <c r="O43" s="55">
        <f t="array" ref="O43:O45">CHOOSEROWS(TRANSPOSE('128'!M179:Q179),1,3,4)</f>
        <v>17942</v>
      </c>
      <c r="P43" s="55">
        <f t="array" ref="P43:P45">CHOOSEROWS(TRANSPOSE('210'!M218:Q218),1,3,4)</f>
        <v>20725</v>
      </c>
      <c r="Q43" s="55">
        <f t="array" ref="Q43:Q45">CHOOSEROWS(TRANSPOSE('048'!M119:Q119),1,3,4)</f>
        <v>2923</v>
      </c>
      <c r="R43" s="55">
        <f t="array" ref="R43:R45">CHOOSEROWS(TRANSPOSE('436'!M301:Q301),1,3,4)</f>
        <v>3404</v>
      </c>
      <c r="S43" s="55">
        <f t="array" ref="S43:S45">CHOOSEROWS(TRANSPOSE('750'!M366:Q366),1,3,4)</f>
        <v>12329</v>
      </c>
      <c r="T43" s="55">
        <f t="array" ref="T43:T45">CHOOSEROWS(TRANSPOSE('370'!M210:Q210),1,3,4)</f>
        <v>15804</v>
      </c>
      <c r="U43" s="56">
        <f t="array" ref="U43:U45">CHOOSEROWS(TRANSPOSE('149'!M105:Q105),1,3,4)</f>
        <v>18038</v>
      </c>
      <c r="V43" s="55">
        <f t="array" ref="V43:V45">CHOOSEROWS(TRANSPOSE('453'!M354:Q354),1,3,4)</f>
        <v>17167</v>
      </c>
      <c r="W43" s="55">
        <f t="array" ref="W43:W45">CHOOSEROWS(TRANSPOSE('701'!M16:Q16),1,3,4)</f>
        <v>19821</v>
      </c>
      <c r="X43" s="55">
        <f t="array" ref="X43:X45">CHOOSEROWS(TRANSPOSE('708'!M11:Q11),1,3,4)</f>
        <v>12529</v>
      </c>
      <c r="Y43" s="15">
        <f>SUM(B43:X43)</f>
        <v>315958.45</v>
      </c>
    </row>
    <row r="44">
      <c r="A44" s="10" t="s">
        <v>27</v>
      </c>
      <c r="B44" s="35">
        <v>24.189621603318383</v>
      </c>
      <c r="C44" s="35">
        <v>31.535720053835803</v>
      </c>
      <c r="D44" s="35">
        <v>25.380703413572203</v>
      </c>
      <c r="E44" s="35">
        <v>29.653320772491753</v>
      </c>
      <c r="F44" s="35">
        <v>29.374146563495675</v>
      </c>
      <c r="G44" s="35">
        <v>27.132815533980587</v>
      </c>
      <c r="H44" s="35">
        <v>27.303741434721974</v>
      </c>
      <c r="I44" s="35">
        <v>31.577079681049604</v>
      </c>
      <c r="J44" s="35">
        <v>35.313928313687754</v>
      </c>
      <c r="K44" s="35">
        <v>30.132769688429622</v>
      </c>
      <c r="L44" s="35">
        <v>27.107049304383263</v>
      </c>
      <c r="M44" s="35">
        <v>28.237747388091393</v>
      </c>
      <c r="N44" s="35">
        <v>27.820138115393185</v>
      </c>
      <c r="O44" s="35">
        <v>30.385297068331283</v>
      </c>
      <c r="P44" s="35">
        <v>25.043184559710497</v>
      </c>
      <c r="Q44" s="35">
        <v>32.14334587752309</v>
      </c>
      <c r="R44" s="35">
        <v>32.17479435957697</v>
      </c>
      <c r="S44" s="35">
        <v>32.59915646037797</v>
      </c>
      <c r="T44" s="35">
        <v>30.019172361427493</v>
      </c>
      <c r="U44" s="57">
        <v>24.90647521898215</v>
      </c>
      <c r="V44" s="35">
        <v>28.484534280887747</v>
      </c>
      <c r="W44" s="35">
        <v>19.873467534433175</v>
      </c>
      <c r="X44" s="35">
        <v>21.904461648974376</v>
      </c>
      <c r="Y44" s="15"/>
    </row>
    <row r="45">
      <c r="A45" s="10" t="s">
        <v>28</v>
      </c>
      <c r="B45" s="55">
        <v>44.80000000000108</v>
      </c>
      <c r="C45" s="55">
        <v>285.2600000000004</v>
      </c>
      <c r="D45" s="35">
        <v>88.36312499999953</v>
      </c>
      <c r="E45" s="55">
        <v>-85.77000000000024</v>
      </c>
      <c r="F45" s="35">
        <v>-8.295000000000083</v>
      </c>
      <c r="G45" s="55">
        <v>-178.63999999999913</v>
      </c>
      <c r="H45" s="55">
        <v>-114.81999999999918</v>
      </c>
      <c r="I45" s="55">
        <v>253.01400000000052</v>
      </c>
      <c r="J45" s="55">
        <v>179.32999999999993</v>
      </c>
      <c r="K45" s="35">
        <v>-0.4618000000000578</v>
      </c>
      <c r="L45" s="55">
        <v>-153.39999999999918</v>
      </c>
      <c r="M45" s="55">
        <v>27.98999999999964</v>
      </c>
      <c r="N45" s="55">
        <v>-40.36999999999966</v>
      </c>
      <c r="O45" s="55">
        <v>427.96999999999883</v>
      </c>
      <c r="P45" s="55">
        <v>-405.54999999999956</v>
      </c>
      <c r="Q45" s="55">
        <v>33.41999999999989</v>
      </c>
      <c r="R45" s="55">
        <v>91.0500000000001</v>
      </c>
      <c r="S45" s="55">
        <v>-49.420000000000165</v>
      </c>
      <c r="T45" s="55">
        <v>-155.00999999999894</v>
      </c>
      <c r="U45" s="56">
        <v>-377.63000000000005</v>
      </c>
      <c r="V45" s="55">
        <v>83.1799999999995</v>
      </c>
      <c r="W45" s="55">
        <v>-223.29000000000042</v>
      </c>
      <c r="X45" s="55">
        <v>113.31999999999957</v>
      </c>
      <c r="Y45" s="15">
        <f>SUM(B45:X45)</f>
        <v>-164.959675</v>
      </c>
    </row>
    <row r="46">
      <c r="U46" s="56"/>
    </row>
    <row r="47">
      <c r="U47" s="56"/>
    </row>
    <row r="48">
      <c r="U48" s="56"/>
    </row>
    <row r="49">
      <c r="U49" s="56"/>
    </row>
    <row r="50">
      <c r="U50" s="56"/>
    </row>
    <row r="51">
      <c r="U51" s="56"/>
    </row>
    <row r="52">
      <c r="U52" s="56"/>
    </row>
    <row r="53">
      <c r="U53" s="56"/>
    </row>
    <row r="54">
      <c r="U54" s="56"/>
    </row>
    <row r="55">
      <c r="U55" s="56"/>
    </row>
    <row r="56">
      <c r="U56" s="56"/>
    </row>
    <row r="57">
      <c r="U57" s="56"/>
    </row>
    <row r="58">
      <c r="U58" s="56"/>
    </row>
    <row r="59">
      <c r="U59" s="56"/>
    </row>
    <row r="60">
      <c r="U60" s="56"/>
    </row>
    <row r="61">
      <c r="U61" s="56"/>
    </row>
    <row r="62">
      <c r="U62" s="56"/>
    </row>
    <row r="63">
      <c r="U63" s="56"/>
    </row>
    <row r="64">
      <c r="U64" s="56"/>
    </row>
    <row r="65">
      <c r="U65" s="56"/>
    </row>
    <row r="66">
      <c r="U66" s="56"/>
    </row>
    <row r="69">
      <c r="U69" s="56"/>
    </row>
    <row r="70">
      <c r="U70" s="56"/>
    </row>
    <row r="71">
      <c r="U71" s="56"/>
    </row>
    <row r="72">
      <c r="U72" s="56"/>
    </row>
    <row r="73">
      <c r="U73" s="56"/>
    </row>
    <row r="74">
      <c r="U74" s="56"/>
    </row>
    <row r="75">
      <c r="U75" s="56"/>
    </row>
    <row r="76">
      <c r="U76" s="56"/>
    </row>
    <row r="77">
      <c r="U77" s="56"/>
    </row>
    <row r="78">
      <c r="U78" s="56"/>
    </row>
    <row r="79">
      <c r="U79" s="56"/>
    </row>
    <row r="80">
      <c r="U80" s="56"/>
    </row>
    <row r="81">
      <c r="U81" s="56"/>
    </row>
    <row r="82">
      <c r="U82" s="56"/>
    </row>
    <row r="83">
      <c r="U83" s="56"/>
    </row>
    <row r="84">
      <c r="U84" s="56"/>
    </row>
    <row r="85">
      <c r="U85" s="56"/>
    </row>
    <row r="86">
      <c r="U86" s="56"/>
    </row>
    <row r="87">
      <c r="U87" s="56"/>
    </row>
    <row r="88">
      <c r="U88" s="56"/>
    </row>
    <row r="89">
      <c r="U89" s="56"/>
    </row>
    <row r="90">
      <c r="U90" s="56"/>
    </row>
    <row r="91">
      <c r="U91" s="56"/>
    </row>
    <row r="92">
      <c r="U92" s="56"/>
    </row>
    <row r="93">
      <c r="U93" s="56"/>
    </row>
    <row r="94">
      <c r="U94" s="56"/>
    </row>
    <row r="95">
      <c r="U95" s="56"/>
    </row>
    <row r="96">
      <c r="U96" s="56"/>
    </row>
    <row r="97">
      <c r="U97" s="56"/>
    </row>
    <row r="98">
      <c r="U98" s="56"/>
    </row>
    <row r="99">
      <c r="U99" s="56"/>
    </row>
    <row r="100">
      <c r="U100" s="56"/>
    </row>
    <row r="101">
      <c r="U101" s="56"/>
    </row>
    <row r="102">
      <c r="U102" s="56"/>
    </row>
    <row r="103">
      <c r="U103" s="56"/>
    </row>
    <row r="104">
      <c r="U104" s="56"/>
    </row>
    <row r="105">
      <c r="U105" s="56"/>
    </row>
    <row r="106">
      <c r="U106" s="56"/>
    </row>
    <row r="107">
      <c r="U107" s="56"/>
    </row>
    <row r="108">
      <c r="U108" s="56"/>
    </row>
    <row r="109">
      <c r="U109" s="56"/>
    </row>
    <row r="110">
      <c r="U110" s="56"/>
    </row>
    <row r="111">
      <c r="U111" s="56"/>
    </row>
    <row r="112">
      <c r="U112" s="56"/>
    </row>
    <row r="113">
      <c r="U113" s="56"/>
    </row>
    <row r="114">
      <c r="U114" s="56"/>
    </row>
    <row r="115">
      <c r="U115" s="56"/>
    </row>
    <row r="116">
      <c r="U116" s="56"/>
    </row>
    <row r="117">
      <c r="U117" s="56"/>
    </row>
    <row r="118">
      <c r="U118" s="56"/>
    </row>
    <row r="119">
      <c r="U119" s="56"/>
    </row>
    <row r="120">
      <c r="U120" s="56"/>
    </row>
    <row r="121">
      <c r="U121" s="56"/>
    </row>
    <row r="122">
      <c r="U122" s="56"/>
    </row>
    <row r="123">
      <c r="U123" s="56"/>
    </row>
    <row r="124">
      <c r="U124" s="56"/>
    </row>
    <row r="125">
      <c r="U125" s="56"/>
    </row>
    <row r="126">
      <c r="U126" s="56"/>
    </row>
    <row r="127">
      <c r="U127" s="56"/>
    </row>
    <row r="128">
      <c r="U128" s="56"/>
    </row>
    <row r="129">
      <c r="U129" s="56"/>
    </row>
    <row r="130">
      <c r="U130" s="56"/>
    </row>
    <row r="131">
      <c r="U131" s="56"/>
    </row>
    <row r="132">
      <c r="U132" s="56"/>
    </row>
    <row r="133">
      <c r="U133" s="56"/>
    </row>
    <row r="134">
      <c r="U134" s="56"/>
    </row>
    <row r="135">
      <c r="U135" s="56"/>
    </row>
    <row r="136">
      <c r="U136" s="56"/>
    </row>
    <row r="137">
      <c r="U137" s="56"/>
    </row>
    <row r="138">
      <c r="U138" s="56"/>
    </row>
    <row r="139">
      <c r="U139" s="56"/>
    </row>
    <row r="140">
      <c r="U140" s="56"/>
    </row>
    <row r="141">
      <c r="U141" s="56"/>
    </row>
    <row r="142">
      <c r="U142" s="56"/>
    </row>
    <row r="143">
      <c r="U143" s="56"/>
    </row>
    <row r="144">
      <c r="U144" s="56"/>
    </row>
    <row r="145">
      <c r="U145" s="56"/>
    </row>
    <row r="146">
      <c r="U146" s="56"/>
    </row>
    <row r="147">
      <c r="U147" s="56"/>
    </row>
    <row r="148">
      <c r="U148" s="56"/>
    </row>
    <row r="149">
      <c r="U149" s="56"/>
    </row>
    <row r="150">
      <c r="U150" s="56"/>
    </row>
    <row r="151">
      <c r="U151" s="56"/>
    </row>
    <row r="152">
      <c r="U152" s="56"/>
    </row>
    <row r="153">
      <c r="U153" s="56"/>
    </row>
    <row r="154">
      <c r="U154" s="56"/>
    </row>
    <row r="155">
      <c r="U155" s="56"/>
    </row>
    <row r="156">
      <c r="U156" s="56"/>
    </row>
    <row r="157">
      <c r="U157" s="56"/>
    </row>
    <row r="158">
      <c r="U158" s="56"/>
    </row>
    <row r="159">
      <c r="U159" s="56"/>
    </row>
    <row r="160">
      <c r="U160" s="56"/>
    </row>
    <row r="161">
      <c r="U161" s="56"/>
    </row>
    <row r="162">
      <c r="U162" s="56"/>
    </row>
    <row r="163">
      <c r="U163" s="56"/>
    </row>
    <row r="164">
      <c r="U164" s="56"/>
    </row>
    <row r="165">
      <c r="U165" s="56"/>
    </row>
    <row r="166">
      <c r="U166" s="56"/>
    </row>
    <row r="167">
      <c r="U167" s="56"/>
    </row>
    <row r="168">
      <c r="U168" s="56"/>
    </row>
    <row r="169">
      <c r="U169" s="56"/>
    </row>
    <row r="170">
      <c r="U170" s="56"/>
    </row>
    <row r="171">
      <c r="U171" s="56"/>
    </row>
    <row r="172">
      <c r="U172" s="56"/>
    </row>
    <row r="173">
      <c r="U173" s="56"/>
    </row>
    <row r="174">
      <c r="U174" s="56"/>
    </row>
    <row r="175">
      <c r="U175" s="56"/>
    </row>
    <row r="176">
      <c r="U176" s="56"/>
    </row>
    <row r="177">
      <c r="U177" s="56"/>
    </row>
    <row r="178">
      <c r="U178" s="56"/>
    </row>
    <row r="179">
      <c r="U179" s="56"/>
    </row>
    <row r="180">
      <c r="U180" s="56"/>
    </row>
    <row r="181">
      <c r="U181" s="56"/>
    </row>
    <row r="182">
      <c r="U182" s="56"/>
    </row>
    <row r="183">
      <c r="U183" s="56"/>
    </row>
    <row r="184">
      <c r="U184" s="56"/>
    </row>
    <row r="185">
      <c r="U185" s="56"/>
    </row>
    <row r="186">
      <c r="U186" s="56"/>
    </row>
    <row r="187">
      <c r="U187" s="56"/>
    </row>
    <row r="188">
      <c r="U188" s="56"/>
    </row>
    <row r="189">
      <c r="U189" s="56"/>
    </row>
    <row r="190">
      <c r="U190" s="56"/>
    </row>
    <row r="191">
      <c r="U191" s="56"/>
    </row>
    <row r="192">
      <c r="U192" s="56"/>
    </row>
    <row r="193">
      <c r="U193" s="56"/>
    </row>
    <row r="194">
      <c r="U194" s="56"/>
    </row>
    <row r="195">
      <c r="U195" s="56"/>
    </row>
    <row r="196">
      <c r="U196" s="56"/>
    </row>
    <row r="197">
      <c r="U197" s="56"/>
    </row>
    <row r="198">
      <c r="U198" s="56"/>
    </row>
    <row r="199">
      <c r="U199" s="56"/>
    </row>
    <row r="200">
      <c r="U200" s="56"/>
    </row>
    <row r="201">
      <c r="U201" s="56"/>
    </row>
    <row r="202">
      <c r="U202" s="56"/>
    </row>
    <row r="203">
      <c r="U203" s="56"/>
    </row>
    <row r="204">
      <c r="U204" s="56"/>
    </row>
    <row r="205">
      <c r="U205" s="56"/>
    </row>
    <row r="206">
      <c r="U206" s="56"/>
    </row>
    <row r="207">
      <c r="U207" s="56"/>
    </row>
    <row r="208">
      <c r="U208" s="56"/>
    </row>
    <row r="209">
      <c r="U209" s="56"/>
    </row>
    <row r="210">
      <c r="U210" s="56"/>
    </row>
    <row r="211">
      <c r="U211" s="56"/>
    </row>
    <row r="212">
      <c r="U212" s="56"/>
    </row>
    <row r="213">
      <c r="U213" s="56"/>
    </row>
    <row r="214">
      <c r="U214" s="56"/>
    </row>
    <row r="215">
      <c r="U215" s="56"/>
    </row>
    <row r="216">
      <c r="U216" s="56"/>
    </row>
    <row r="217">
      <c r="U217" s="56"/>
    </row>
    <row r="218">
      <c r="U218" s="56"/>
    </row>
    <row r="219">
      <c r="U219" s="56"/>
    </row>
    <row r="220">
      <c r="U220" s="56"/>
    </row>
    <row r="221">
      <c r="U221" s="56"/>
    </row>
    <row r="222">
      <c r="U222" s="56"/>
    </row>
    <row r="223">
      <c r="U223" s="56"/>
    </row>
    <row r="224">
      <c r="U224" s="56"/>
    </row>
    <row r="225">
      <c r="U225" s="56"/>
    </row>
    <row r="226">
      <c r="U226" s="56"/>
    </row>
    <row r="227">
      <c r="U227" s="56"/>
    </row>
    <row r="228">
      <c r="U228" s="56"/>
    </row>
    <row r="229">
      <c r="U229" s="56"/>
    </row>
    <row r="230">
      <c r="U230" s="56"/>
    </row>
    <row r="231">
      <c r="U231" s="56"/>
    </row>
    <row r="232">
      <c r="U232" s="56"/>
    </row>
    <row r="233">
      <c r="U233" s="56"/>
    </row>
    <row r="234">
      <c r="U234" s="56"/>
    </row>
    <row r="235">
      <c r="U235" s="56"/>
    </row>
    <row r="236">
      <c r="U236" s="56"/>
    </row>
    <row r="237">
      <c r="U237" s="56"/>
    </row>
    <row r="238">
      <c r="U238" s="56"/>
    </row>
    <row r="239">
      <c r="U239" s="56"/>
    </row>
    <row r="240">
      <c r="U240" s="56"/>
    </row>
    <row r="241">
      <c r="U241" s="56"/>
    </row>
    <row r="242">
      <c r="U242" s="56"/>
    </row>
    <row r="243">
      <c r="U243" s="56"/>
    </row>
    <row r="244">
      <c r="U244" s="56"/>
    </row>
    <row r="245">
      <c r="U245" s="56"/>
    </row>
    <row r="246">
      <c r="U246" s="56"/>
    </row>
    <row r="247">
      <c r="U247" s="56"/>
    </row>
    <row r="248">
      <c r="U248" s="56"/>
    </row>
    <row r="249">
      <c r="U249" s="56"/>
    </row>
    <row r="250">
      <c r="U250" s="56"/>
    </row>
    <row r="251">
      <c r="U251" s="56"/>
    </row>
    <row r="252">
      <c r="U252" s="56"/>
    </row>
    <row r="253">
      <c r="U253" s="56"/>
    </row>
    <row r="254">
      <c r="U254" s="56"/>
    </row>
    <row r="255">
      <c r="U255" s="56"/>
    </row>
    <row r="256">
      <c r="U256" s="56"/>
    </row>
    <row r="257">
      <c r="U257" s="56"/>
    </row>
    <row r="258">
      <c r="U258" s="56"/>
    </row>
    <row r="259">
      <c r="U259" s="56"/>
    </row>
    <row r="260">
      <c r="U260" s="56"/>
    </row>
    <row r="261">
      <c r="U261" s="56"/>
    </row>
    <row r="262">
      <c r="U262" s="56"/>
    </row>
    <row r="263">
      <c r="U263" s="56"/>
    </row>
    <row r="264">
      <c r="U264" s="56"/>
    </row>
    <row r="265">
      <c r="U265" s="56"/>
    </row>
    <row r="266">
      <c r="U266" s="56"/>
    </row>
    <row r="267">
      <c r="U267" s="56"/>
    </row>
    <row r="268">
      <c r="U268" s="56"/>
    </row>
    <row r="269">
      <c r="U269" s="56"/>
    </row>
    <row r="270">
      <c r="U270" s="56"/>
    </row>
    <row r="271">
      <c r="U271" s="56"/>
    </row>
    <row r="272">
      <c r="U272" s="56"/>
    </row>
    <row r="273">
      <c r="U273" s="56"/>
    </row>
    <row r="274">
      <c r="U274" s="56"/>
    </row>
    <row r="275">
      <c r="U275" s="56"/>
    </row>
    <row r="276">
      <c r="U276" s="56"/>
    </row>
    <row r="277">
      <c r="U277" s="56"/>
    </row>
    <row r="278">
      <c r="U278" s="56"/>
    </row>
    <row r="279">
      <c r="U279" s="56"/>
    </row>
    <row r="280">
      <c r="U280" s="56"/>
    </row>
    <row r="281">
      <c r="U281" s="56"/>
    </row>
    <row r="282">
      <c r="U282" s="56"/>
    </row>
    <row r="283">
      <c r="U283" s="56"/>
    </row>
    <row r="284">
      <c r="U284" s="56"/>
    </row>
    <row r="285">
      <c r="U285" s="56"/>
    </row>
    <row r="286">
      <c r="U286" s="56"/>
    </row>
    <row r="287">
      <c r="U287" s="56"/>
    </row>
    <row r="288">
      <c r="U288" s="56"/>
    </row>
    <row r="289">
      <c r="U289" s="56"/>
    </row>
    <row r="290">
      <c r="U290" s="56"/>
    </row>
    <row r="291">
      <c r="U291" s="56"/>
    </row>
    <row r="292">
      <c r="U292" s="56"/>
    </row>
    <row r="293">
      <c r="U293" s="56"/>
    </row>
    <row r="294">
      <c r="U294" s="56"/>
    </row>
    <row r="295">
      <c r="U295" s="56"/>
    </row>
    <row r="296">
      <c r="U296" s="56"/>
    </row>
    <row r="297">
      <c r="U297" s="56"/>
    </row>
    <row r="298">
      <c r="U298" s="56"/>
    </row>
    <row r="299">
      <c r="U299" s="56"/>
    </row>
    <row r="300">
      <c r="U300" s="56"/>
    </row>
    <row r="301">
      <c r="U301" s="56"/>
    </row>
    <row r="302">
      <c r="U302" s="56"/>
    </row>
    <row r="303">
      <c r="U303" s="56"/>
    </row>
    <row r="304">
      <c r="U304" s="56"/>
    </row>
    <row r="305">
      <c r="U305" s="56"/>
    </row>
    <row r="306">
      <c r="U306" s="56"/>
    </row>
    <row r="307">
      <c r="U307" s="56"/>
    </row>
    <row r="308">
      <c r="U308" s="56"/>
    </row>
    <row r="309">
      <c r="U309" s="56"/>
    </row>
    <row r="310">
      <c r="U310" s="56"/>
    </row>
    <row r="311">
      <c r="U311" s="56"/>
    </row>
    <row r="312">
      <c r="U312" s="56"/>
    </row>
    <row r="313">
      <c r="U313" s="56"/>
    </row>
    <row r="314">
      <c r="U314" s="56"/>
    </row>
    <row r="315">
      <c r="U315" s="56"/>
    </row>
    <row r="316">
      <c r="U316" s="56"/>
    </row>
    <row r="317">
      <c r="U317" s="56"/>
    </row>
    <row r="318">
      <c r="U318" s="56"/>
    </row>
    <row r="319">
      <c r="U319" s="56"/>
    </row>
    <row r="320">
      <c r="U320" s="56"/>
    </row>
    <row r="321">
      <c r="U321" s="56"/>
    </row>
    <row r="322">
      <c r="U322" s="56"/>
    </row>
    <row r="323">
      <c r="U323" s="56"/>
    </row>
    <row r="324">
      <c r="U324" s="56"/>
    </row>
    <row r="325">
      <c r="U325" s="56"/>
    </row>
    <row r="326">
      <c r="U326" s="56"/>
    </row>
    <row r="327">
      <c r="U327" s="56"/>
    </row>
    <row r="328">
      <c r="U328" s="56"/>
    </row>
    <row r="329">
      <c r="U329" s="56"/>
    </row>
    <row r="330">
      <c r="U330" s="56"/>
    </row>
    <row r="331">
      <c r="U331" s="56"/>
    </row>
    <row r="332">
      <c r="U332" s="56"/>
    </row>
    <row r="333">
      <c r="U333" s="56"/>
    </row>
    <row r="334">
      <c r="U334" s="56"/>
    </row>
    <row r="335">
      <c r="U335" s="56"/>
    </row>
    <row r="336">
      <c r="U336" s="56"/>
    </row>
    <row r="337">
      <c r="U337" s="56"/>
    </row>
    <row r="338">
      <c r="U338" s="56"/>
    </row>
    <row r="339">
      <c r="U339" s="56"/>
    </row>
    <row r="340">
      <c r="U340" s="56"/>
    </row>
    <row r="341">
      <c r="U341" s="56"/>
    </row>
    <row r="342">
      <c r="U342" s="56"/>
    </row>
    <row r="343">
      <c r="U343" s="56"/>
    </row>
    <row r="344">
      <c r="U344" s="56"/>
    </row>
    <row r="345">
      <c r="U345" s="56"/>
    </row>
    <row r="346">
      <c r="U346" s="56"/>
    </row>
    <row r="347">
      <c r="U347" s="56"/>
    </row>
    <row r="348">
      <c r="U348" s="56"/>
    </row>
    <row r="349">
      <c r="U349" s="56"/>
    </row>
    <row r="350">
      <c r="U350" s="56"/>
    </row>
    <row r="351">
      <c r="U351" s="56"/>
    </row>
    <row r="352">
      <c r="U352" s="56"/>
    </row>
    <row r="353">
      <c r="U353" s="56"/>
    </row>
    <row r="354">
      <c r="U354" s="56"/>
    </row>
    <row r="355">
      <c r="U355" s="56"/>
    </row>
    <row r="356">
      <c r="U356" s="56"/>
    </row>
    <row r="357">
      <c r="U357" s="56"/>
    </row>
    <row r="358">
      <c r="U358" s="56"/>
    </row>
    <row r="359">
      <c r="U359" s="56"/>
    </row>
    <row r="360">
      <c r="U360" s="56"/>
    </row>
    <row r="361">
      <c r="U361" s="56"/>
    </row>
    <row r="362">
      <c r="U362" s="56"/>
    </row>
    <row r="363">
      <c r="U363" s="56"/>
    </row>
    <row r="364">
      <c r="U364" s="56"/>
    </row>
    <row r="365">
      <c r="U365" s="56"/>
    </row>
    <row r="366">
      <c r="U366" s="56"/>
    </row>
    <row r="367">
      <c r="U367" s="56"/>
    </row>
    <row r="368">
      <c r="U368" s="56"/>
    </row>
    <row r="369">
      <c r="U369" s="56"/>
    </row>
    <row r="370">
      <c r="U370" s="56"/>
    </row>
    <row r="371">
      <c r="U371" s="56"/>
    </row>
    <row r="372">
      <c r="U372" s="56"/>
    </row>
    <row r="373">
      <c r="U373" s="56"/>
    </row>
    <row r="374">
      <c r="U374" s="56"/>
    </row>
    <row r="375">
      <c r="U375" s="56"/>
    </row>
    <row r="376">
      <c r="U376" s="56"/>
    </row>
    <row r="377">
      <c r="U377" s="56"/>
    </row>
    <row r="378">
      <c r="U378" s="56"/>
    </row>
    <row r="379">
      <c r="U379" s="56"/>
    </row>
    <row r="380">
      <c r="U380" s="56"/>
    </row>
    <row r="381">
      <c r="U381" s="56"/>
    </row>
    <row r="382">
      <c r="U382" s="56"/>
    </row>
    <row r="383">
      <c r="U383" s="56"/>
    </row>
    <row r="384">
      <c r="U384" s="56"/>
    </row>
    <row r="385">
      <c r="U385" s="56"/>
    </row>
    <row r="386">
      <c r="U386" s="56"/>
    </row>
    <row r="387">
      <c r="U387" s="56"/>
    </row>
    <row r="388">
      <c r="U388" s="56"/>
    </row>
    <row r="389">
      <c r="U389" s="56"/>
    </row>
    <row r="390">
      <c r="U390" s="56"/>
    </row>
    <row r="391">
      <c r="U391" s="56"/>
    </row>
    <row r="392">
      <c r="U392" s="56"/>
    </row>
    <row r="393">
      <c r="U393" s="56"/>
    </row>
    <row r="394">
      <c r="U394" s="56"/>
    </row>
    <row r="395">
      <c r="U395" s="56"/>
    </row>
    <row r="396">
      <c r="U396" s="56"/>
    </row>
    <row r="397">
      <c r="U397" s="56"/>
    </row>
    <row r="398">
      <c r="U398" s="56"/>
    </row>
    <row r="399">
      <c r="U399" s="56"/>
    </row>
    <row r="400">
      <c r="U400" s="56"/>
    </row>
    <row r="401">
      <c r="U401" s="56"/>
    </row>
    <row r="402">
      <c r="U402" s="56"/>
    </row>
    <row r="403">
      <c r="U403" s="56"/>
    </row>
    <row r="404">
      <c r="U404" s="56"/>
    </row>
    <row r="405">
      <c r="U405" s="56"/>
    </row>
    <row r="406">
      <c r="U406" s="56"/>
    </row>
    <row r="407">
      <c r="U407" s="56"/>
    </row>
    <row r="408">
      <c r="U408" s="56"/>
    </row>
    <row r="409">
      <c r="U409" s="56"/>
    </row>
    <row r="410">
      <c r="U410" s="56"/>
    </row>
    <row r="411">
      <c r="U411" s="56"/>
    </row>
    <row r="412">
      <c r="U412" s="56"/>
    </row>
    <row r="413">
      <c r="U413" s="56"/>
    </row>
    <row r="414">
      <c r="U414" s="56"/>
    </row>
    <row r="415">
      <c r="U415" s="56"/>
    </row>
    <row r="416">
      <c r="U416" s="56"/>
    </row>
    <row r="417">
      <c r="U417" s="56"/>
    </row>
    <row r="418">
      <c r="U418" s="56"/>
    </row>
    <row r="419">
      <c r="U419" s="56"/>
    </row>
    <row r="420">
      <c r="U420" s="56"/>
    </row>
    <row r="421">
      <c r="U421" s="56"/>
    </row>
    <row r="422">
      <c r="U422" s="56"/>
    </row>
    <row r="423">
      <c r="U423" s="56"/>
    </row>
    <row r="424">
      <c r="U424" s="56"/>
    </row>
    <row r="425">
      <c r="U425" s="56"/>
    </row>
    <row r="426">
      <c r="U426" s="56"/>
    </row>
    <row r="427">
      <c r="U427" s="56"/>
    </row>
    <row r="428">
      <c r="U428" s="56"/>
    </row>
    <row r="429">
      <c r="U429" s="56"/>
    </row>
    <row r="430">
      <c r="U430" s="56"/>
    </row>
    <row r="431">
      <c r="U431" s="56"/>
    </row>
    <row r="432">
      <c r="U432" s="56"/>
    </row>
    <row r="433">
      <c r="U433" s="56"/>
    </row>
    <row r="434">
      <c r="U434" s="56"/>
    </row>
    <row r="435">
      <c r="U435" s="56"/>
    </row>
    <row r="436">
      <c r="U436" s="56"/>
    </row>
    <row r="437">
      <c r="U437" s="56"/>
    </row>
    <row r="438">
      <c r="U438" s="56"/>
    </row>
    <row r="439">
      <c r="U439" s="56"/>
    </row>
    <row r="440">
      <c r="U440" s="56"/>
    </row>
    <row r="441">
      <c r="U441" s="56"/>
    </row>
    <row r="442">
      <c r="U442" s="56"/>
    </row>
    <row r="443">
      <c r="U443" s="56"/>
    </row>
    <row r="444">
      <c r="U444" s="56"/>
    </row>
    <row r="445">
      <c r="U445" s="56"/>
    </row>
    <row r="446">
      <c r="U446" s="56"/>
    </row>
    <row r="447">
      <c r="U447" s="56"/>
    </row>
    <row r="448">
      <c r="U448" s="56"/>
    </row>
    <row r="449">
      <c r="U449" s="56"/>
    </row>
    <row r="450">
      <c r="U450" s="56"/>
    </row>
    <row r="451">
      <c r="U451" s="56"/>
    </row>
    <row r="452">
      <c r="U452" s="56"/>
    </row>
    <row r="453">
      <c r="U453" s="56"/>
    </row>
    <row r="454">
      <c r="U454" s="56"/>
    </row>
    <row r="455">
      <c r="U455" s="56"/>
    </row>
    <row r="456">
      <c r="U456" s="56"/>
    </row>
    <row r="457">
      <c r="U457" s="56"/>
    </row>
    <row r="458">
      <c r="U458" s="56"/>
    </row>
    <row r="459">
      <c r="U459" s="56"/>
    </row>
    <row r="460">
      <c r="U460" s="56"/>
    </row>
    <row r="461">
      <c r="U461" s="56"/>
    </row>
    <row r="462">
      <c r="U462" s="56"/>
    </row>
    <row r="463">
      <c r="U463" s="56"/>
    </row>
    <row r="464">
      <c r="U464" s="56"/>
    </row>
    <row r="465">
      <c r="U465" s="56"/>
    </row>
    <row r="466">
      <c r="U466" s="56"/>
    </row>
    <row r="467">
      <c r="U467" s="56"/>
    </row>
    <row r="468">
      <c r="U468" s="56"/>
    </row>
    <row r="469">
      <c r="U469" s="56"/>
    </row>
    <row r="470">
      <c r="U470" s="56"/>
    </row>
    <row r="471">
      <c r="U471" s="56"/>
    </row>
    <row r="472">
      <c r="U472" s="56"/>
    </row>
    <row r="473">
      <c r="U473" s="56"/>
    </row>
    <row r="474">
      <c r="U474" s="56"/>
    </row>
    <row r="475">
      <c r="U475" s="56"/>
    </row>
    <row r="476">
      <c r="U476" s="56"/>
    </row>
    <row r="477">
      <c r="U477" s="56"/>
    </row>
    <row r="478">
      <c r="U478" s="56"/>
    </row>
    <row r="479">
      <c r="U479" s="56"/>
    </row>
    <row r="480">
      <c r="U480" s="56"/>
    </row>
    <row r="481">
      <c r="U481" s="56"/>
    </row>
    <row r="482">
      <c r="U482" s="56"/>
    </row>
    <row r="483">
      <c r="U483" s="56"/>
    </row>
    <row r="484">
      <c r="U484" s="56"/>
    </row>
    <row r="485">
      <c r="U485" s="56"/>
    </row>
    <row r="486">
      <c r="U486" s="56"/>
    </row>
    <row r="487">
      <c r="U487" s="56"/>
    </row>
    <row r="488">
      <c r="U488" s="56"/>
    </row>
    <row r="489">
      <c r="U489" s="56"/>
    </row>
    <row r="490">
      <c r="U490" s="56"/>
    </row>
    <row r="491">
      <c r="U491" s="56"/>
    </row>
    <row r="492">
      <c r="U492" s="56"/>
    </row>
    <row r="493">
      <c r="U493" s="56"/>
    </row>
    <row r="494">
      <c r="U494" s="56"/>
    </row>
    <row r="495">
      <c r="U495" s="56"/>
    </row>
    <row r="496">
      <c r="U496" s="56"/>
    </row>
    <row r="497">
      <c r="U497" s="56"/>
    </row>
    <row r="498">
      <c r="U498" s="56"/>
    </row>
    <row r="499">
      <c r="U499" s="56"/>
    </row>
    <row r="500">
      <c r="U500" s="56"/>
    </row>
    <row r="501">
      <c r="U501" s="56"/>
    </row>
    <row r="502">
      <c r="U502" s="56"/>
    </row>
    <row r="503">
      <c r="U503" s="56"/>
    </row>
    <row r="504">
      <c r="U504" s="56"/>
    </row>
    <row r="505">
      <c r="U505" s="56"/>
    </row>
    <row r="506">
      <c r="U506" s="56"/>
    </row>
    <row r="507">
      <c r="U507" s="56"/>
    </row>
    <row r="508">
      <c r="U508" s="56"/>
    </row>
    <row r="509">
      <c r="U509" s="56"/>
    </row>
    <row r="510">
      <c r="U510" s="56"/>
    </row>
    <row r="511">
      <c r="U511" s="56"/>
    </row>
    <row r="512">
      <c r="U512" s="56"/>
    </row>
    <row r="513">
      <c r="U513" s="56"/>
    </row>
    <row r="514">
      <c r="U514" s="56"/>
    </row>
    <row r="515">
      <c r="U515" s="56"/>
    </row>
    <row r="516">
      <c r="U516" s="56"/>
    </row>
    <row r="517">
      <c r="U517" s="56"/>
    </row>
    <row r="518">
      <c r="U518" s="56"/>
    </row>
    <row r="519">
      <c r="U519" s="56"/>
    </row>
    <row r="520">
      <c r="U520" s="56"/>
    </row>
    <row r="521">
      <c r="U521" s="56"/>
    </row>
    <row r="522">
      <c r="U522" s="56"/>
    </row>
    <row r="523">
      <c r="U523" s="56"/>
    </row>
    <row r="524">
      <c r="U524" s="56"/>
    </row>
    <row r="525">
      <c r="U525" s="56"/>
    </row>
    <row r="526">
      <c r="U526" s="56"/>
    </row>
    <row r="527">
      <c r="U527" s="56"/>
    </row>
    <row r="528">
      <c r="U528" s="56"/>
    </row>
    <row r="529">
      <c r="U529" s="56"/>
    </row>
    <row r="530">
      <c r="U530" s="56"/>
    </row>
    <row r="531">
      <c r="U531" s="56"/>
    </row>
    <row r="532">
      <c r="U532" s="56"/>
    </row>
    <row r="533">
      <c r="U533" s="56"/>
    </row>
    <row r="534">
      <c r="U534" s="56"/>
    </row>
    <row r="535">
      <c r="U535" s="56"/>
    </row>
    <row r="536">
      <c r="U536" s="56"/>
    </row>
    <row r="537">
      <c r="U537" s="56"/>
    </row>
    <row r="538">
      <c r="U538" s="56"/>
    </row>
    <row r="539">
      <c r="U539" s="56"/>
    </row>
    <row r="540">
      <c r="U540" s="56"/>
    </row>
    <row r="541">
      <c r="U541" s="56"/>
    </row>
    <row r="542">
      <c r="U542" s="56"/>
    </row>
    <row r="543">
      <c r="U543" s="56"/>
    </row>
    <row r="544">
      <c r="U544" s="56"/>
    </row>
    <row r="545">
      <c r="U545" s="56"/>
    </row>
    <row r="546">
      <c r="U546" s="56"/>
    </row>
    <row r="547">
      <c r="U547" s="56"/>
    </row>
    <row r="548">
      <c r="U548" s="56"/>
    </row>
    <row r="549">
      <c r="U549" s="56"/>
    </row>
    <row r="550">
      <c r="U550" s="56"/>
    </row>
    <row r="551">
      <c r="U551" s="56"/>
    </row>
    <row r="552">
      <c r="U552" s="56"/>
    </row>
    <row r="553">
      <c r="U553" s="56"/>
    </row>
    <row r="554">
      <c r="U554" s="56"/>
    </row>
    <row r="555">
      <c r="U555" s="56"/>
    </row>
    <row r="556">
      <c r="U556" s="56"/>
    </row>
    <row r="557">
      <c r="U557" s="56"/>
    </row>
    <row r="558">
      <c r="U558" s="56"/>
    </row>
    <row r="559">
      <c r="U559" s="56"/>
    </row>
    <row r="560">
      <c r="U560" s="56"/>
    </row>
    <row r="561">
      <c r="U561" s="56"/>
    </row>
    <row r="562">
      <c r="U562" s="56"/>
    </row>
    <row r="563">
      <c r="U563" s="56"/>
    </row>
    <row r="564">
      <c r="U564" s="56"/>
    </row>
    <row r="565">
      <c r="U565" s="56"/>
    </row>
    <row r="566">
      <c r="U566" s="56"/>
    </row>
    <row r="567">
      <c r="U567" s="56"/>
    </row>
    <row r="568">
      <c r="U568" s="56"/>
    </row>
    <row r="569">
      <c r="U569" s="56"/>
    </row>
    <row r="570">
      <c r="U570" s="56"/>
    </row>
    <row r="571">
      <c r="U571" s="56"/>
    </row>
    <row r="572">
      <c r="U572" s="56"/>
    </row>
    <row r="573">
      <c r="U573" s="56"/>
    </row>
    <row r="574">
      <c r="U574" s="56"/>
    </row>
    <row r="575">
      <c r="U575" s="56"/>
    </row>
    <row r="576">
      <c r="U576" s="56"/>
    </row>
    <row r="577">
      <c r="U577" s="56"/>
    </row>
    <row r="578">
      <c r="U578" s="56"/>
    </row>
    <row r="579">
      <c r="U579" s="56"/>
    </row>
    <row r="580">
      <c r="U580" s="56"/>
    </row>
    <row r="581">
      <c r="U581" s="56"/>
    </row>
    <row r="582">
      <c r="U582" s="56"/>
    </row>
    <row r="583">
      <c r="U583" s="56"/>
    </row>
    <row r="584">
      <c r="U584" s="56"/>
    </row>
    <row r="585">
      <c r="U585" s="56"/>
    </row>
    <row r="586">
      <c r="U586" s="56"/>
    </row>
    <row r="587">
      <c r="U587" s="56"/>
    </row>
    <row r="588">
      <c r="U588" s="56"/>
    </row>
    <row r="589">
      <c r="U589" s="56"/>
    </row>
    <row r="590">
      <c r="U590" s="56"/>
    </row>
    <row r="591">
      <c r="U591" s="56"/>
    </row>
    <row r="592">
      <c r="U592" s="56"/>
    </row>
    <row r="593">
      <c r="U593" s="56"/>
    </row>
    <row r="594">
      <c r="U594" s="56"/>
    </row>
    <row r="595">
      <c r="U595" s="56"/>
    </row>
    <row r="596">
      <c r="U596" s="56"/>
    </row>
    <row r="597">
      <c r="U597" s="56"/>
    </row>
    <row r="598">
      <c r="U598" s="56"/>
    </row>
    <row r="599">
      <c r="U599" s="56"/>
    </row>
    <row r="600">
      <c r="U600" s="56"/>
    </row>
    <row r="601">
      <c r="U601" s="56"/>
    </row>
    <row r="602">
      <c r="U602" s="56"/>
    </row>
    <row r="603">
      <c r="U603" s="56"/>
    </row>
    <row r="604">
      <c r="U604" s="56"/>
    </row>
    <row r="605">
      <c r="U605" s="56"/>
    </row>
    <row r="606">
      <c r="U606" s="56"/>
    </row>
    <row r="607">
      <c r="U607" s="56"/>
    </row>
    <row r="608">
      <c r="U608" s="56"/>
    </row>
    <row r="609">
      <c r="U609" s="56"/>
    </row>
    <row r="610">
      <c r="U610" s="56"/>
    </row>
    <row r="611">
      <c r="U611" s="56"/>
    </row>
    <row r="612">
      <c r="U612" s="56"/>
    </row>
    <row r="613">
      <c r="U613" s="56"/>
    </row>
    <row r="614">
      <c r="U614" s="56"/>
    </row>
    <row r="615">
      <c r="U615" s="56"/>
    </row>
    <row r="616">
      <c r="U616" s="56"/>
    </row>
    <row r="617">
      <c r="U617" s="56"/>
    </row>
    <row r="618">
      <c r="U618" s="56"/>
    </row>
    <row r="619">
      <c r="U619" s="56"/>
    </row>
    <row r="620">
      <c r="U620" s="56"/>
    </row>
    <row r="621">
      <c r="U621" s="56"/>
    </row>
    <row r="622">
      <c r="U622" s="56"/>
    </row>
    <row r="623">
      <c r="U623" s="56"/>
    </row>
    <row r="624">
      <c r="U624" s="56"/>
    </row>
    <row r="625">
      <c r="U625" s="56"/>
    </row>
    <row r="626">
      <c r="U626" s="56"/>
    </row>
    <row r="627">
      <c r="U627" s="56"/>
    </row>
    <row r="628">
      <c r="U628" s="56"/>
    </row>
    <row r="629">
      <c r="U629" s="56"/>
    </row>
    <row r="630">
      <c r="U630" s="56"/>
    </row>
    <row r="631">
      <c r="U631" s="56"/>
    </row>
    <row r="632">
      <c r="U632" s="56"/>
    </row>
    <row r="633">
      <c r="U633" s="56"/>
    </row>
    <row r="634">
      <c r="U634" s="56"/>
    </row>
    <row r="635">
      <c r="U635" s="56"/>
    </row>
    <row r="636">
      <c r="U636" s="56"/>
    </row>
    <row r="637">
      <c r="U637" s="56"/>
    </row>
    <row r="638">
      <c r="U638" s="56"/>
    </row>
    <row r="639">
      <c r="U639" s="56"/>
    </row>
    <row r="640">
      <c r="U640" s="56"/>
    </row>
    <row r="641">
      <c r="U641" s="56"/>
    </row>
    <row r="642">
      <c r="U642" s="56"/>
    </row>
    <row r="643">
      <c r="U643" s="56"/>
    </row>
    <row r="644">
      <c r="U644" s="56"/>
    </row>
    <row r="645">
      <c r="U645" s="56"/>
    </row>
    <row r="646">
      <c r="U646" s="56"/>
    </row>
    <row r="647">
      <c r="U647" s="56"/>
    </row>
    <row r="648">
      <c r="U648" s="56"/>
    </row>
    <row r="649">
      <c r="U649" s="56"/>
    </row>
    <row r="650">
      <c r="U650" s="56"/>
    </row>
    <row r="651">
      <c r="U651" s="56"/>
    </row>
    <row r="652">
      <c r="U652" s="56"/>
    </row>
    <row r="653">
      <c r="U653" s="56"/>
    </row>
    <row r="654">
      <c r="U654" s="56"/>
    </row>
    <row r="655">
      <c r="U655" s="56"/>
    </row>
    <row r="656">
      <c r="U656" s="56"/>
    </row>
    <row r="657">
      <c r="U657" s="56"/>
    </row>
    <row r="658">
      <c r="U658" s="56"/>
    </row>
    <row r="659">
      <c r="U659" s="56"/>
    </row>
    <row r="660">
      <c r="U660" s="56"/>
    </row>
    <row r="661">
      <c r="U661" s="56"/>
    </row>
    <row r="662">
      <c r="U662" s="56"/>
    </row>
    <row r="663">
      <c r="U663" s="56"/>
    </row>
    <row r="664">
      <c r="U664" s="56"/>
    </row>
    <row r="665">
      <c r="U665" s="56"/>
    </row>
    <row r="666">
      <c r="U666" s="56"/>
    </row>
    <row r="667">
      <c r="U667" s="56"/>
    </row>
    <row r="668">
      <c r="U668" s="56"/>
    </row>
    <row r="669">
      <c r="U669" s="56"/>
    </row>
    <row r="670">
      <c r="U670" s="56"/>
    </row>
    <row r="671">
      <c r="U671" s="56"/>
    </row>
    <row r="672">
      <c r="U672" s="56"/>
    </row>
    <row r="673">
      <c r="U673" s="56"/>
    </row>
    <row r="674">
      <c r="U674" s="56"/>
    </row>
    <row r="675">
      <c r="U675" s="56"/>
    </row>
    <row r="676">
      <c r="U676" s="56"/>
    </row>
    <row r="677">
      <c r="U677" s="56"/>
    </row>
    <row r="678">
      <c r="U678" s="56"/>
    </row>
    <row r="679">
      <c r="U679" s="56"/>
    </row>
    <row r="680">
      <c r="U680" s="56"/>
    </row>
    <row r="681">
      <c r="U681" s="56"/>
    </row>
    <row r="682">
      <c r="U682" s="56"/>
    </row>
    <row r="683">
      <c r="U683" s="56"/>
    </row>
    <row r="684">
      <c r="U684" s="56"/>
    </row>
    <row r="685">
      <c r="U685" s="56"/>
    </row>
    <row r="686">
      <c r="U686" s="56"/>
    </row>
    <row r="687">
      <c r="U687" s="56"/>
    </row>
    <row r="688">
      <c r="U688" s="56"/>
    </row>
    <row r="689">
      <c r="U689" s="56"/>
    </row>
    <row r="690">
      <c r="U690" s="56"/>
    </row>
    <row r="691">
      <c r="U691" s="56"/>
    </row>
    <row r="692">
      <c r="U692" s="56"/>
    </row>
    <row r="693">
      <c r="U693" s="56"/>
    </row>
    <row r="694">
      <c r="U694" s="56"/>
    </row>
    <row r="695">
      <c r="U695" s="56"/>
    </row>
    <row r="696">
      <c r="U696" s="56"/>
    </row>
    <row r="697">
      <c r="U697" s="56"/>
    </row>
    <row r="698">
      <c r="U698" s="56"/>
    </row>
    <row r="699">
      <c r="U699" s="56"/>
    </row>
    <row r="700">
      <c r="U700" s="56"/>
    </row>
    <row r="701">
      <c r="U701" s="56"/>
    </row>
    <row r="702">
      <c r="U702" s="56"/>
    </row>
    <row r="703">
      <c r="U703" s="56"/>
    </row>
    <row r="704">
      <c r="U704" s="56"/>
    </row>
    <row r="705">
      <c r="U705" s="56"/>
    </row>
    <row r="706">
      <c r="U706" s="56"/>
    </row>
    <row r="707">
      <c r="U707" s="56"/>
    </row>
    <row r="708">
      <c r="U708" s="56"/>
    </row>
    <row r="709">
      <c r="U709" s="56"/>
    </row>
    <row r="710">
      <c r="U710" s="56"/>
    </row>
    <row r="711">
      <c r="U711" s="56"/>
    </row>
    <row r="712">
      <c r="U712" s="56"/>
    </row>
    <row r="713">
      <c r="U713" s="56"/>
    </row>
    <row r="714">
      <c r="U714" s="56"/>
    </row>
    <row r="715">
      <c r="U715" s="56"/>
    </row>
    <row r="716">
      <c r="U716" s="56"/>
    </row>
    <row r="717">
      <c r="U717" s="56"/>
    </row>
    <row r="718">
      <c r="U718" s="56"/>
    </row>
    <row r="719">
      <c r="U719" s="56"/>
    </row>
    <row r="720">
      <c r="U720" s="56"/>
    </row>
    <row r="721">
      <c r="U721" s="56"/>
    </row>
    <row r="722">
      <c r="U722" s="56"/>
    </row>
    <row r="723">
      <c r="U723" s="56"/>
    </row>
    <row r="724">
      <c r="U724" s="56"/>
    </row>
    <row r="725">
      <c r="U725" s="56"/>
    </row>
    <row r="726">
      <c r="U726" s="56"/>
    </row>
    <row r="727">
      <c r="U727" s="56"/>
    </row>
    <row r="728">
      <c r="U728" s="56"/>
    </row>
    <row r="729">
      <c r="U729" s="56"/>
    </row>
    <row r="730">
      <c r="U730" s="56"/>
    </row>
    <row r="731">
      <c r="U731" s="56"/>
    </row>
    <row r="732">
      <c r="U732" s="56"/>
    </row>
    <row r="733">
      <c r="U733" s="56"/>
    </row>
    <row r="734">
      <c r="U734" s="56"/>
    </row>
    <row r="735">
      <c r="U735" s="56"/>
    </row>
    <row r="736">
      <c r="U736" s="56"/>
    </row>
    <row r="737">
      <c r="U737" s="56"/>
    </row>
    <row r="738">
      <c r="U738" s="56"/>
    </row>
    <row r="739">
      <c r="U739" s="56"/>
    </row>
    <row r="740">
      <c r="U740" s="56"/>
    </row>
    <row r="741">
      <c r="U741" s="56"/>
    </row>
    <row r="742">
      <c r="U742" s="56"/>
    </row>
    <row r="743">
      <c r="U743" s="56"/>
    </row>
    <row r="744">
      <c r="U744" s="56"/>
    </row>
    <row r="745">
      <c r="U745" s="56"/>
    </row>
    <row r="746">
      <c r="U746" s="56"/>
    </row>
    <row r="747">
      <c r="U747" s="56"/>
    </row>
    <row r="748">
      <c r="U748" s="56"/>
    </row>
    <row r="749">
      <c r="U749" s="56"/>
    </row>
    <row r="750">
      <c r="U750" s="56"/>
    </row>
    <row r="751">
      <c r="U751" s="56"/>
    </row>
    <row r="752">
      <c r="U752" s="56"/>
    </row>
    <row r="753">
      <c r="U753" s="56"/>
    </row>
    <row r="754">
      <c r="U754" s="56"/>
    </row>
    <row r="755">
      <c r="U755" s="56"/>
    </row>
    <row r="756">
      <c r="U756" s="56"/>
    </row>
    <row r="757">
      <c r="U757" s="56"/>
    </row>
    <row r="758">
      <c r="U758" s="56"/>
    </row>
    <row r="759">
      <c r="U759" s="56"/>
    </row>
    <row r="760">
      <c r="U760" s="56"/>
    </row>
    <row r="761">
      <c r="U761" s="56"/>
    </row>
    <row r="762">
      <c r="U762" s="56"/>
    </row>
    <row r="763">
      <c r="U763" s="56"/>
    </row>
    <row r="764">
      <c r="U764" s="56"/>
    </row>
    <row r="765">
      <c r="U765" s="56"/>
    </row>
    <row r="766">
      <c r="U766" s="56"/>
    </row>
    <row r="767">
      <c r="U767" s="56"/>
    </row>
    <row r="768">
      <c r="U768" s="56"/>
    </row>
    <row r="769">
      <c r="U769" s="56"/>
    </row>
    <row r="770">
      <c r="U770" s="56"/>
    </row>
    <row r="771">
      <c r="U771" s="56"/>
    </row>
    <row r="772">
      <c r="U772" s="56"/>
    </row>
    <row r="773">
      <c r="U773" s="56"/>
    </row>
    <row r="774">
      <c r="U774" s="56"/>
    </row>
    <row r="775">
      <c r="U775" s="56"/>
    </row>
    <row r="776">
      <c r="U776" s="56"/>
    </row>
    <row r="777">
      <c r="U777" s="56"/>
    </row>
    <row r="778">
      <c r="U778" s="56"/>
    </row>
    <row r="779">
      <c r="U779" s="56"/>
    </row>
    <row r="780">
      <c r="U780" s="56"/>
    </row>
    <row r="781">
      <c r="U781" s="56"/>
    </row>
    <row r="782">
      <c r="U782" s="56"/>
    </row>
    <row r="783">
      <c r="U783" s="56"/>
    </row>
    <row r="784">
      <c r="U784" s="56"/>
    </row>
    <row r="785">
      <c r="U785" s="56"/>
    </row>
    <row r="786">
      <c r="U786" s="56"/>
    </row>
    <row r="787">
      <c r="U787" s="56"/>
    </row>
    <row r="788">
      <c r="U788" s="56"/>
    </row>
    <row r="789">
      <c r="U789" s="56"/>
    </row>
    <row r="790">
      <c r="U790" s="56"/>
    </row>
    <row r="791">
      <c r="U791" s="56"/>
    </row>
    <row r="792">
      <c r="U792" s="56"/>
    </row>
    <row r="793">
      <c r="U793" s="56"/>
    </row>
    <row r="794">
      <c r="U794" s="56"/>
    </row>
    <row r="795">
      <c r="U795" s="56"/>
    </row>
    <row r="796">
      <c r="U796" s="56"/>
    </row>
    <row r="797">
      <c r="U797" s="56"/>
    </row>
    <row r="798">
      <c r="U798" s="56"/>
    </row>
    <row r="799">
      <c r="U799" s="56"/>
    </row>
    <row r="800">
      <c r="U800" s="56"/>
    </row>
    <row r="801">
      <c r="U801" s="56"/>
    </row>
    <row r="802">
      <c r="U802" s="56"/>
    </row>
    <row r="803">
      <c r="U803" s="56"/>
    </row>
    <row r="804">
      <c r="U804" s="56"/>
    </row>
    <row r="805">
      <c r="U805" s="56"/>
    </row>
    <row r="806">
      <c r="U806" s="56"/>
    </row>
    <row r="807">
      <c r="U807" s="56"/>
    </row>
    <row r="808">
      <c r="U808" s="56"/>
    </row>
    <row r="809">
      <c r="U809" s="56"/>
    </row>
    <row r="810">
      <c r="U810" s="56"/>
    </row>
    <row r="811">
      <c r="U811" s="56"/>
    </row>
    <row r="812">
      <c r="U812" s="56"/>
    </row>
    <row r="813">
      <c r="U813" s="56"/>
    </row>
    <row r="814">
      <c r="U814" s="56"/>
    </row>
    <row r="815">
      <c r="U815" s="56"/>
    </row>
    <row r="816">
      <c r="U816" s="56"/>
    </row>
    <row r="817">
      <c r="U817" s="56"/>
    </row>
    <row r="818">
      <c r="U818" s="56"/>
    </row>
    <row r="819">
      <c r="U819" s="56"/>
    </row>
    <row r="820">
      <c r="U820" s="56"/>
    </row>
    <row r="821">
      <c r="U821" s="56"/>
    </row>
    <row r="822">
      <c r="U822" s="56"/>
    </row>
    <row r="823">
      <c r="U823" s="56"/>
    </row>
    <row r="824">
      <c r="U824" s="56"/>
    </row>
    <row r="825">
      <c r="U825" s="56"/>
    </row>
    <row r="826">
      <c r="U826" s="56"/>
    </row>
    <row r="827">
      <c r="U827" s="56"/>
    </row>
    <row r="828">
      <c r="U828" s="56"/>
    </row>
    <row r="829">
      <c r="U829" s="56"/>
    </row>
    <row r="830">
      <c r="U830" s="56"/>
    </row>
    <row r="831">
      <c r="U831" s="56"/>
    </row>
    <row r="832">
      <c r="U832" s="56"/>
    </row>
    <row r="833">
      <c r="U833" s="56"/>
    </row>
    <row r="834">
      <c r="U834" s="56"/>
    </row>
    <row r="835">
      <c r="U835" s="56"/>
    </row>
    <row r="836">
      <c r="U836" s="56"/>
    </row>
    <row r="837">
      <c r="U837" s="56"/>
    </row>
    <row r="838">
      <c r="U838" s="56"/>
    </row>
    <row r="839">
      <c r="U839" s="56"/>
    </row>
    <row r="840">
      <c r="U840" s="56"/>
    </row>
    <row r="841">
      <c r="U841" s="56"/>
    </row>
    <row r="842">
      <c r="U842" s="56"/>
    </row>
    <row r="843">
      <c r="U843" s="56"/>
    </row>
    <row r="844">
      <c r="U844" s="56"/>
    </row>
    <row r="845">
      <c r="U845" s="56"/>
    </row>
    <row r="846">
      <c r="U846" s="56"/>
    </row>
    <row r="847">
      <c r="U847" s="56"/>
    </row>
    <row r="848">
      <c r="U848" s="56"/>
    </row>
    <row r="849">
      <c r="U849" s="56"/>
    </row>
    <row r="850">
      <c r="U850" s="56"/>
    </row>
    <row r="851">
      <c r="U851" s="56"/>
    </row>
    <row r="852">
      <c r="U852" s="56"/>
    </row>
    <row r="853">
      <c r="U853" s="56"/>
    </row>
    <row r="854">
      <c r="U854" s="56"/>
    </row>
    <row r="855">
      <c r="U855" s="56"/>
    </row>
    <row r="856">
      <c r="U856" s="56"/>
    </row>
    <row r="857">
      <c r="U857" s="56"/>
    </row>
    <row r="858">
      <c r="U858" s="56"/>
    </row>
    <row r="859">
      <c r="U859" s="56"/>
    </row>
    <row r="860">
      <c r="U860" s="56"/>
    </row>
    <row r="861">
      <c r="U861" s="56"/>
    </row>
    <row r="862">
      <c r="U862" s="56"/>
    </row>
    <row r="863">
      <c r="U863" s="56"/>
    </row>
    <row r="864">
      <c r="U864" s="56"/>
    </row>
    <row r="865">
      <c r="U865" s="56"/>
    </row>
    <row r="866">
      <c r="U866" s="56"/>
    </row>
    <row r="867">
      <c r="U867" s="56"/>
    </row>
    <row r="868">
      <c r="U868" s="56"/>
    </row>
    <row r="869">
      <c r="U869" s="56"/>
    </row>
    <row r="870">
      <c r="U870" s="56"/>
    </row>
    <row r="871">
      <c r="U871" s="56"/>
    </row>
    <row r="872">
      <c r="U872" s="56"/>
    </row>
    <row r="873">
      <c r="U873" s="56"/>
    </row>
    <row r="874">
      <c r="U874" s="56"/>
    </row>
    <row r="875">
      <c r="U875" s="56"/>
    </row>
    <row r="876">
      <c r="U876" s="56"/>
    </row>
    <row r="877">
      <c r="U877" s="56"/>
    </row>
    <row r="878">
      <c r="U878" s="56"/>
    </row>
    <row r="879">
      <c r="U879" s="56"/>
    </row>
    <row r="880">
      <c r="U880" s="56"/>
    </row>
    <row r="881">
      <c r="U881" s="56"/>
    </row>
    <row r="882">
      <c r="U882" s="56"/>
    </row>
    <row r="883">
      <c r="U883" s="56"/>
    </row>
    <row r="884">
      <c r="U884" s="56"/>
    </row>
    <row r="885">
      <c r="U885" s="56"/>
    </row>
    <row r="886">
      <c r="U886" s="56"/>
    </row>
    <row r="887">
      <c r="U887" s="56"/>
    </row>
    <row r="888">
      <c r="U888" s="56"/>
    </row>
    <row r="889">
      <c r="U889" s="56"/>
    </row>
    <row r="890">
      <c r="U890" s="56"/>
    </row>
    <row r="891">
      <c r="U891" s="56"/>
    </row>
    <row r="892">
      <c r="U892" s="56"/>
    </row>
    <row r="893">
      <c r="U893" s="56"/>
    </row>
    <row r="894">
      <c r="U894" s="56"/>
    </row>
    <row r="895">
      <c r="U895" s="56"/>
    </row>
    <row r="896">
      <c r="U896" s="56"/>
    </row>
    <row r="897">
      <c r="U897" s="56"/>
    </row>
    <row r="898">
      <c r="U898" s="56"/>
    </row>
    <row r="899">
      <c r="U899" s="56"/>
    </row>
    <row r="900">
      <c r="U900" s="56"/>
    </row>
    <row r="901">
      <c r="U901" s="56"/>
    </row>
    <row r="902">
      <c r="U902" s="56"/>
    </row>
    <row r="903">
      <c r="U903" s="56"/>
    </row>
    <row r="904">
      <c r="U904" s="56"/>
    </row>
    <row r="905">
      <c r="U905" s="56"/>
    </row>
    <row r="906">
      <c r="U906" s="56"/>
    </row>
    <row r="907">
      <c r="U907" s="56"/>
    </row>
    <row r="908">
      <c r="U908" s="56"/>
    </row>
    <row r="909">
      <c r="U909" s="56"/>
    </row>
    <row r="910">
      <c r="U910" s="56"/>
    </row>
    <row r="911">
      <c r="U911" s="56"/>
    </row>
    <row r="912">
      <c r="U912" s="56"/>
    </row>
    <row r="913">
      <c r="U913" s="56"/>
    </row>
    <row r="914">
      <c r="U914" s="56"/>
    </row>
    <row r="915">
      <c r="U915" s="56"/>
    </row>
    <row r="916">
      <c r="U916" s="56"/>
    </row>
    <row r="917">
      <c r="U917" s="56"/>
    </row>
    <row r="918">
      <c r="U918" s="56"/>
    </row>
    <row r="919">
      <c r="U919" s="56"/>
    </row>
    <row r="920">
      <c r="U920" s="56"/>
    </row>
    <row r="921">
      <c r="U921" s="56"/>
    </row>
    <row r="922">
      <c r="U922" s="56"/>
    </row>
    <row r="923">
      <c r="U923" s="56"/>
    </row>
    <row r="924">
      <c r="U924" s="56"/>
    </row>
    <row r="925">
      <c r="U925" s="56"/>
    </row>
    <row r="926">
      <c r="U926" s="56"/>
    </row>
    <row r="927">
      <c r="U927" s="56"/>
    </row>
    <row r="928">
      <c r="U928" s="56"/>
    </row>
    <row r="929">
      <c r="U929" s="56"/>
    </row>
    <row r="930">
      <c r="U930" s="56"/>
    </row>
    <row r="931">
      <c r="U931" s="56"/>
    </row>
    <row r="932">
      <c r="U932" s="56"/>
    </row>
    <row r="933">
      <c r="U933" s="56"/>
    </row>
    <row r="934">
      <c r="U934" s="56"/>
    </row>
    <row r="935">
      <c r="U935" s="56"/>
    </row>
    <row r="936">
      <c r="U936" s="56"/>
    </row>
    <row r="937">
      <c r="U937" s="56"/>
    </row>
    <row r="938">
      <c r="U938" s="56"/>
    </row>
    <row r="939">
      <c r="U939" s="56"/>
    </row>
    <row r="940">
      <c r="U940" s="56"/>
    </row>
    <row r="941">
      <c r="U941" s="56"/>
    </row>
    <row r="942">
      <c r="U942" s="56"/>
    </row>
    <row r="943">
      <c r="U943" s="56"/>
    </row>
    <row r="944">
      <c r="U944" s="56"/>
    </row>
    <row r="945">
      <c r="U945" s="56"/>
    </row>
    <row r="946">
      <c r="U946" s="56"/>
    </row>
    <row r="947">
      <c r="U947" s="56"/>
    </row>
    <row r="948">
      <c r="U948" s="56"/>
    </row>
    <row r="949">
      <c r="U949" s="56"/>
    </row>
    <row r="950">
      <c r="U950" s="56"/>
    </row>
    <row r="951">
      <c r="U951" s="56"/>
    </row>
    <row r="952">
      <c r="U952" s="56"/>
    </row>
    <row r="953">
      <c r="U953" s="56"/>
    </row>
    <row r="954">
      <c r="U954" s="56"/>
    </row>
    <row r="955">
      <c r="U955" s="56"/>
    </row>
    <row r="956">
      <c r="U956" s="56"/>
    </row>
    <row r="957">
      <c r="U957" s="56"/>
    </row>
    <row r="958">
      <c r="U958" s="56"/>
    </row>
    <row r="959">
      <c r="U959" s="56"/>
    </row>
    <row r="960">
      <c r="U960" s="56"/>
    </row>
    <row r="961">
      <c r="U961" s="56"/>
    </row>
    <row r="962">
      <c r="U962" s="56"/>
    </row>
    <row r="963">
      <c r="U963" s="56"/>
    </row>
    <row r="964">
      <c r="U964" s="56"/>
    </row>
    <row r="965">
      <c r="U965" s="56"/>
    </row>
    <row r="966">
      <c r="U966" s="56"/>
    </row>
    <row r="967">
      <c r="U967" s="56"/>
    </row>
    <row r="968">
      <c r="U968" s="56"/>
    </row>
    <row r="969">
      <c r="U969" s="56"/>
    </row>
    <row r="970">
      <c r="U970" s="56"/>
    </row>
    <row r="971">
      <c r="U971" s="56"/>
    </row>
    <row r="972">
      <c r="U972" s="56"/>
    </row>
    <row r="973">
      <c r="U973" s="56"/>
    </row>
    <row r="974">
      <c r="U974" s="56"/>
    </row>
    <row r="975">
      <c r="U975" s="56"/>
    </row>
    <row r="976">
      <c r="U976" s="56"/>
    </row>
    <row r="977">
      <c r="U977" s="56"/>
    </row>
    <row r="978">
      <c r="U978" s="56"/>
    </row>
    <row r="979">
      <c r="U979" s="56"/>
    </row>
    <row r="980">
      <c r="U980" s="56"/>
    </row>
    <row r="981">
      <c r="U981" s="56"/>
    </row>
    <row r="982">
      <c r="U982" s="56"/>
    </row>
    <row r="983">
      <c r="U983" s="56"/>
    </row>
    <row r="984">
      <c r="U984" s="56"/>
    </row>
    <row r="985">
      <c r="U985" s="56"/>
    </row>
    <row r="986">
      <c r="U986" s="56"/>
    </row>
    <row r="987">
      <c r="U987" s="56"/>
    </row>
    <row r="988">
      <c r="U988" s="56"/>
    </row>
    <row r="989">
      <c r="U989" s="56"/>
    </row>
    <row r="990">
      <c r="U990" s="56"/>
    </row>
    <row r="991">
      <c r="U991" s="56"/>
    </row>
    <row r="992">
      <c r="U992" s="56"/>
    </row>
    <row r="993">
      <c r="U993" s="56"/>
    </row>
    <row r="994">
      <c r="U994" s="56"/>
    </row>
    <row r="995">
      <c r="U995" s="56"/>
    </row>
    <row r="996">
      <c r="U996" s="56"/>
    </row>
    <row r="997">
      <c r="U997" s="56"/>
    </row>
    <row r="998">
      <c r="U998" s="56"/>
    </row>
    <row r="999">
      <c r="U999" s="56"/>
    </row>
    <row r="1000">
      <c r="U1000" s="56"/>
    </row>
    <row r="1001">
      <c r="U1001" s="56"/>
    </row>
    <row r="1002">
      <c r="U1002" s="56"/>
    </row>
  </sheetData>
  <mergeCells count="18">
    <mergeCell ref="B2:Y2"/>
    <mergeCell ref="AB3:AE3"/>
    <mergeCell ref="B6:Y6"/>
    <mergeCell ref="AB6:AC6"/>
    <mergeCell ref="AD6:AE6"/>
    <mergeCell ref="B10:Y10"/>
    <mergeCell ref="AG11:AK11"/>
    <mergeCell ref="B30:Y30"/>
    <mergeCell ref="B34:Y34"/>
    <mergeCell ref="B38:Y38"/>
    <mergeCell ref="B42:Y42"/>
    <mergeCell ref="AC12:AD12"/>
    <mergeCell ref="AC13:AD13"/>
    <mergeCell ref="B14:Y14"/>
    <mergeCell ref="AB14:AE15"/>
    <mergeCell ref="B18:Y18"/>
    <mergeCell ref="B22:Y22"/>
    <mergeCell ref="B26:Y2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4" max="14" width="13.13"/>
  </cols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44"/>
      <c r="P1" s="44"/>
    </row>
    <row r="2">
      <c r="A2" s="62" t="str">
        <f>"0097"</f>
        <v>0097</v>
      </c>
      <c r="B2" s="54"/>
      <c r="C2" s="54"/>
      <c r="D2" s="54" t="str">
        <f>D4</f>
        <v>Шишков</v>
      </c>
      <c r="E2" s="54"/>
      <c r="F2" s="54">
        <f>SUM(F4:F996)</f>
        <v>118699</v>
      </c>
      <c r="G2" s="54">
        <f>MAX(G3:G996)</f>
        <v>1168</v>
      </c>
      <c r="H2" s="54">
        <f t="shared" ref="H2:I2" si="1">SUM(H4:H996)</f>
        <v>36357</v>
      </c>
      <c r="I2" s="54">
        <f t="shared" si="1"/>
        <v>37290.32</v>
      </c>
      <c r="J2" s="54">
        <f>H2-I2</f>
        <v>-933.32</v>
      </c>
      <c r="K2" s="63">
        <f>I2/F2*100</f>
        <v>31.41586702</v>
      </c>
      <c r="L2" s="64" t="s">
        <v>65</v>
      </c>
      <c r="M2" s="65"/>
      <c r="P2" s="44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9"/>
    </row>
    <row r="4">
      <c r="A4" s="54"/>
      <c r="B4" s="70">
        <v>45300.0</v>
      </c>
      <c r="C4" s="70"/>
      <c r="D4" s="71" t="s">
        <v>67</v>
      </c>
      <c r="E4" s="71">
        <v>1245804.0</v>
      </c>
      <c r="F4" s="71">
        <v>453.0</v>
      </c>
      <c r="G4" s="71">
        <v>1145.0</v>
      </c>
      <c r="H4" s="72">
        <v>209.0</v>
      </c>
      <c r="I4" s="72">
        <v>195.07</v>
      </c>
      <c r="J4" s="72">
        <v>13.93</v>
      </c>
      <c r="K4" s="72">
        <v>43.06</v>
      </c>
      <c r="L4" s="54"/>
      <c r="M4" s="54"/>
      <c r="P4" s="44"/>
    </row>
    <row r="5">
      <c r="A5" s="54"/>
      <c r="B5" s="70">
        <v>45307.0</v>
      </c>
      <c r="C5" s="70"/>
      <c r="D5" s="71" t="s">
        <v>67</v>
      </c>
      <c r="E5" s="71">
        <v>1247332.0</v>
      </c>
      <c r="F5" s="71">
        <v>1528.0</v>
      </c>
      <c r="G5" s="71">
        <v>1135.0</v>
      </c>
      <c r="H5" s="72">
        <v>572.0</v>
      </c>
      <c r="I5" s="72">
        <v>593.94</v>
      </c>
      <c r="J5" s="72">
        <v>-21.94</v>
      </c>
      <c r="K5" s="72">
        <v>38.87</v>
      </c>
      <c r="L5" s="54"/>
      <c r="M5" s="54"/>
      <c r="P5" s="44"/>
    </row>
    <row r="6">
      <c r="A6" s="54"/>
      <c r="B6" s="70">
        <v>45313.0</v>
      </c>
      <c r="C6" s="70"/>
      <c r="D6" s="71" t="s">
        <v>67</v>
      </c>
      <c r="E6" s="71">
        <v>1248805.0</v>
      </c>
      <c r="F6" s="71">
        <v>1473.0</v>
      </c>
      <c r="G6" s="71">
        <v>1130.0</v>
      </c>
      <c r="H6" s="72">
        <v>470.0</v>
      </c>
      <c r="I6" s="72">
        <v>479.27</v>
      </c>
      <c r="J6" s="72">
        <v>-9.27</v>
      </c>
      <c r="K6" s="72">
        <v>32.54</v>
      </c>
      <c r="L6" s="54"/>
      <c r="M6" s="54"/>
      <c r="P6" s="44"/>
    </row>
    <row r="7">
      <c r="A7" s="54"/>
      <c r="B7" s="70">
        <v>45321.0</v>
      </c>
      <c r="C7" s="70"/>
      <c r="D7" s="71" t="s">
        <v>67</v>
      </c>
      <c r="E7" s="71">
        <v>1250200.0</v>
      </c>
      <c r="F7" s="71">
        <v>1395.0</v>
      </c>
      <c r="G7" s="71">
        <v>1138.0</v>
      </c>
      <c r="H7" s="72">
        <v>474.0</v>
      </c>
      <c r="I7" s="72">
        <v>486.66</v>
      </c>
      <c r="J7" s="72">
        <v>-12.66</v>
      </c>
      <c r="K7" s="72">
        <v>34.89</v>
      </c>
      <c r="L7" s="54"/>
      <c r="M7" s="54"/>
      <c r="P7" s="44"/>
    </row>
    <row r="8">
      <c r="A8" s="66"/>
      <c r="B8" s="67" t="s">
        <v>68</v>
      </c>
      <c r="J8" s="66"/>
      <c r="K8" s="66"/>
      <c r="L8" s="66"/>
      <c r="M8" s="66"/>
      <c r="N8" s="68"/>
      <c r="O8" s="68"/>
      <c r="P8" s="69"/>
    </row>
    <row r="9">
      <c r="A9" s="54"/>
      <c r="B9" s="70">
        <v>45328.0</v>
      </c>
      <c r="C9" s="70"/>
      <c r="D9" s="73"/>
      <c r="E9" s="71">
        <v>1251953.0</v>
      </c>
      <c r="F9" s="71">
        <v>1753.0</v>
      </c>
      <c r="G9" s="71">
        <v>1065.0</v>
      </c>
      <c r="H9" s="72">
        <v>468.0</v>
      </c>
      <c r="I9" s="72">
        <v>500.0</v>
      </c>
      <c r="J9" s="72">
        <v>-32.0</v>
      </c>
      <c r="K9" s="72">
        <v>28.52</v>
      </c>
      <c r="L9" s="54"/>
      <c r="M9" s="54"/>
      <c r="P9" s="44"/>
    </row>
    <row r="10">
      <c r="A10" s="54"/>
      <c r="B10" s="70">
        <v>45335.0</v>
      </c>
      <c r="C10" s="70"/>
      <c r="D10" s="73"/>
      <c r="E10" s="71">
        <v>1253288.0</v>
      </c>
      <c r="F10" s="71">
        <v>1335.0</v>
      </c>
      <c r="G10" s="71">
        <v>1113.0</v>
      </c>
      <c r="H10" s="72">
        <v>483.0</v>
      </c>
      <c r="I10" s="72">
        <v>500.0</v>
      </c>
      <c r="J10" s="72">
        <v>-17.0</v>
      </c>
      <c r="K10" s="72">
        <v>37.45</v>
      </c>
      <c r="L10" s="54"/>
      <c r="M10" s="74" t="s">
        <v>69</v>
      </c>
      <c r="N10" s="75"/>
      <c r="O10" s="76"/>
      <c r="P10" s="44"/>
    </row>
    <row r="11">
      <c r="A11" s="54"/>
      <c r="B11" s="70">
        <v>45342.0</v>
      </c>
      <c r="C11" s="70"/>
      <c r="D11" s="73"/>
      <c r="E11" s="71">
        <v>1254816.0</v>
      </c>
      <c r="F11" s="71">
        <v>1528.0</v>
      </c>
      <c r="G11" s="71">
        <v>1092.0</v>
      </c>
      <c r="H11" s="72">
        <v>478.0</v>
      </c>
      <c r="I11" s="72">
        <v>500.0</v>
      </c>
      <c r="J11" s="72">
        <v>-22.0</v>
      </c>
      <c r="K11" s="72">
        <v>32.72</v>
      </c>
      <c r="L11" s="54"/>
      <c r="M11" s="77" t="s">
        <v>70</v>
      </c>
      <c r="N11" s="78" t="s">
        <v>71</v>
      </c>
      <c r="O11" s="78" t="s">
        <v>27</v>
      </c>
      <c r="P11" s="44"/>
    </row>
    <row r="12">
      <c r="A12" s="54"/>
      <c r="B12" s="70">
        <v>45351.0</v>
      </c>
      <c r="C12" s="70"/>
      <c r="D12" s="73"/>
      <c r="E12" s="71">
        <v>1256570.0</v>
      </c>
      <c r="F12" s="71">
        <v>1754.0</v>
      </c>
      <c r="G12" s="71">
        <v>1008.0</v>
      </c>
      <c r="H12" s="72">
        <v>478.0</v>
      </c>
      <c r="I12" s="72">
        <v>500.0</v>
      </c>
      <c r="J12" s="72">
        <v>-22.0</v>
      </c>
      <c r="K12" s="72">
        <v>28.51</v>
      </c>
      <c r="L12" s="54"/>
      <c r="M12" s="79">
        <f>SUM(F9:F12)</f>
        <v>6370</v>
      </c>
      <c r="N12" s="80">
        <f>SUM(I9:I12)</f>
        <v>2000</v>
      </c>
      <c r="O12" s="81">
        <f>N12/M12*100</f>
        <v>31.39717425</v>
      </c>
      <c r="P12" s="44"/>
    </row>
    <row r="13">
      <c r="A13" s="66"/>
      <c r="B13" s="67" t="s">
        <v>72</v>
      </c>
      <c r="J13" s="66"/>
      <c r="K13" s="66"/>
      <c r="L13" s="66"/>
      <c r="M13" s="66"/>
      <c r="N13" s="68"/>
      <c r="O13" s="68"/>
      <c r="P13" s="69"/>
    </row>
    <row r="14">
      <c r="A14" s="54"/>
      <c r="B14" s="70">
        <v>45356.0</v>
      </c>
      <c r="C14" s="70"/>
      <c r="D14" s="73"/>
      <c r="E14" s="71">
        <v>1257700.0</v>
      </c>
      <c r="F14" s="71">
        <v>1130.0</v>
      </c>
      <c r="G14" s="71">
        <v>1129.0</v>
      </c>
      <c r="H14" s="72">
        <v>453.0</v>
      </c>
      <c r="I14" s="72">
        <v>474.55</v>
      </c>
      <c r="J14" s="72">
        <v>-21.55</v>
      </c>
      <c r="K14" s="72">
        <v>42.0</v>
      </c>
      <c r="L14" s="54"/>
      <c r="M14" s="54"/>
      <c r="P14" s="44"/>
    </row>
    <row r="15">
      <c r="A15" s="54"/>
      <c r="B15" s="70">
        <v>45364.0</v>
      </c>
      <c r="C15" s="70"/>
      <c r="D15" s="73"/>
      <c r="E15" s="71">
        <v>1259842.0</v>
      </c>
      <c r="F15" s="71">
        <v>2142.0</v>
      </c>
      <c r="G15" s="71">
        <v>945.0</v>
      </c>
      <c r="H15" s="72">
        <v>490.0</v>
      </c>
      <c r="I15" s="72">
        <v>500.0</v>
      </c>
      <c r="J15" s="72">
        <v>-10.0</v>
      </c>
      <c r="K15" s="72">
        <v>23.34</v>
      </c>
      <c r="L15" s="54"/>
      <c r="M15" s="74" t="s">
        <v>73</v>
      </c>
      <c r="N15" s="75"/>
      <c r="O15" s="76"/>
      <c r="P15" s="44"/>
    </row>
    <row r="16">
      <c r="A16" s="54"/>
      <c r="B16" s="70">
        <v>45372.0</v>
      </c>
      <c r="C16" s="70"/>
      <c r="D16" s="73"/>
      <c r="E16" s="71">
        <v>1261227.0</v>
      </c>
      <c r="F16" s="71">
        <v>1385.0</v>
      </c>
      <c r="G16" s="71">
        <v>1121.0</v>
      </c>
      <c r="H16" s="72">
        <v>595.0</v>
      </c>
      <c r="I16" s="72">
        <v>600.0</v>
      </c>
      <c r="J16" s="72">
        <v>-5.0</v>
      </c>
      <c r="K16" s="72">
        <v>43.32</v>
      </c>
      <c r="L16" s="54"/>
      <c r="M16" s="77" t="s">
        <v>70</v>
      </c>
      <c r="N16" s="78" t="s">
        <v>71</v>
      </c>
      <c r="O16" s="78" t="s">
        <v>27</v>
      </c>
      <c r="P16" s="44"/>
    </row>
    <row r="17">
      <c r="A17" s="54"/>
      <c r="B17" s="70">
        <v>45378.0</v>
      </c>
      <c r="C17" s="70"/>
      <c r="D17" s="73"/>
      <c r="E17" s="71">
        <v>1262279.0</v>
      </c>
      <c r="F17" s="71">
        <v>1052.0</v>
      </c>
      <c r="G17" s="71">
        <v>1118.0</v>
      </c>
      <c r="H17" s="72">
        <v>339.0</v>
      </c>
      <c r="I17" s="72">
        <v>360.74</v>
      </c>
      <c r="J17" s="72">
        <v>-21.74</v>
      </c>
      <c r="K17" s="72">
        <v>34.29</v>
      </c>
      <c r="L17" s="54"/>
      <c r="M17" s="79">
        <f>SUM(F14:F17)</f>
        <v>5709</v>
      </c>
      <c r="N17" s="80">
        <f>SUM(I14:I17)</f>
        <v>1935.29</v>
      </c>
      <c r="O17" s="81">
        <f>N17/M17*100</f>
        <v>33.89893151</v>
      </c>
      <c r="P17" s="44"/>
    </row>
    <row r="18">
      <c r="A18" s="66"/>
      <c r="B18" s="67" t="s">
        <v>74</v>
      </c>
      <c r="J18" s="66"/>
      <c r="K18" s="66"/>
      <c r="L18" s="66"/>
      <c r="M18" s="66"/>
      <c r="N18" s="68"/>
      <c r="O18" s="68"/>
      <c r="P18" s="69"/>
    </row>
    <row r="19">
      <c r="A19" s="54"/>
      <c r="B19" s="70">
        <v>45387.0</v>
      </c>
      <c r="C19" s="70"/>
      <c r="D19" s="73"/>
      <c r="E19" s="71">
        <v>1264433.0</v>
      </c>
      <c r="F19" s="71">
        <v>1254.0</v>
      </c>
      <c r="G19" s="71">
        <v>928.0</v>
      </c>
      <c r="H19" s="72">
        <v>486.0</v>
      </c>
      <c r="I19" s="72">
        <v>500.0</v>
      </c>
      <c r="J19" s="72">
        <v>-14.0</v>
      </c>
      <c r="K19" s="72">
        <v>39.87</v>
      </c>
      <c r="L19" s="54"/>
      <c r="M19" s="82" t="str">
        <f>"тотал"&amp;" "&amp;B18</f>
        <v>тотал АПРЕЛЬ</v>
      </c>
      <c r="N19" s="75"/>
      <c r="O19" s="76"/>
      <c r="P19" s="44"/>
    </row>
    <row r="20">
      <c r="A20" s="54"/>
      <c r="B20" s="70">
        <v>45394.0</v>
      </c>
      <c r="C20" s="70"/>
      <c r="D20" s="73"/>
      <c r="E20" s="71">
        <v>1266163.0</v>
      </c>
      <c r="F20" s="71">
        <v>1730.0</v>
      </c>
      <c r="G20" s="71">
        <v>909.0</v>
      </c>
      <c r="H20" s="72">
        <v>483.0</v>
      </c>
      <c r="I20" s="72">
        <v>500.0</v>
      </c>
      <c r="J20" s="72">
        <v>-17.0</v>
      </c>
      <c r="K20" s="72">
        <v>28.9</v>
      </c>
      <c r="L20" s="54"/>
      <c r="M20" s="83" t="s">
        <v>70</v>
      </c>
      <c r="N20" s="83" t="s">
        <v>71</v>
      </c>
      <c r="O20" s="83" t="s">
        <v>27</v>
      </c>
      <c r="P20" s="44"/>
    </row>
    <row r="21">
      <c r="A21" s="54"/>
      <c r="B21" s="70">
        <v>45400.0</v>
      </c>
      <c r="C21" s="70"/>
      <c r="D21" s="73"/>
      <c r="E21" s="71">
        <v>1266964.0</v>
      </c>
      <c r="F21" s="71">
        <v>801.0</v>
      </c>
      <c r="G21" s="71">
        <v>1132.0</v>
      </c>
      <c r="H21" s="72">
        <v>481.0</v>
      </c>
      <c r="I21" s="72">
        <v>500.0</v>
      </c>
      <c r="J21" s="72">
        <v>-19.0</v>
      </c>
      <c r="K21" s="72">
        <v>62.42</v>
      </c>
      <c r="L21" s="54"/>
      <c r="M21" s="84">
        <f>SUM(F19:F22)</f>
        <v>6083</v>
      </c>
      <c r="N21" s="84">
        <f>SUM(I19:I22)</f>
        <v>2200</v>
      </c>
      <c r="O21" s="85">
        <f>N21/M21*100</f>
        <v>36.16636528</v>
      </c>
      <c r="P21" s="44"/>
    </row>
    <row r="22">
      <c r="A22" s="54"/>
      <c r="B22" s="70">
        <v>45409.0</v>
      </c>
      <c r="C22" s="70"/>
      <c r="D22" s="73"/>
      <c r="E22" s="71">
        <v>1269262.0</v>
      </c>
      <c r="F22" s="71">
        <v>2298.0</v>
      </c>
      <c r="G22" s="71">
        <v>1090.0</v>
      </c>
      <c r="H22" s="72">
        <v>678.0</v>
      </c>
      <c r="I22" s="72">
        <v>700.0</v>
      </c>
      <c r="J22" s="72">
        <v>-22.0</v>
      </c>
      <c r="K22" s="72">
        <v>30.46</v>
      </c>
      <c r="L22" s="54"/>
      <c r="M22" s="86"/>
      <c r="N22" s="44"/>
      <c r="O22" s="47"/>
      <c r="P22" s="44"/>
    </row>
    <row r="23">
      <c r="A23" s="66"/>
      <c r="B23" s="67" t="s">
        <v>75</v>
      </c>
      <c r="J23" s="66"/>
      <c r="K23" s="66"/>
      <c r="L23" s="66"/>
      <c r="M23" s="82" t="str">
        <f>"тотал"&amp;" "&amp;B23</f>
        <v>тотал МАЙ</v>
      </c>
      <c r="N23" s="75"/>
      <c r="O23" s="76"/>
      <c r="P23" s="69"/>
    </row>
    <row r="24">
      <c r="A24" s="54"/>
      <c r="B24" s="71" t="s">
        <v>76</v>
      </c>
      <c r="C24" s="71"/>
      <c r="D24" s="73"/>
      <c r="E24" s="71">
        <v>1271056.0</v>
      </c>
      <c r="F24" s="71">
        <v>1794.0</v>
      </c>
      <c r="G24" s="71">
        <v>1099.0</v>
      </c>
      <c r="H24" s="72">
        <v>565.0</v>
      </c>
      <c r="I24" s="72">
        <v>600.0</v>
      </c>
      <c r="J24" s="72">
        <v>-35.0</v>
      </c>
      <c r="K24" s="72">
        <v>33.44</v>
      </c>
      <c r="L24" s="54"/>
      <c r="M24" s="83" t="s">
        <v>70</v>
      </c>
      <c r="N24" s="83" t="s">
        <v>71</v>
      </c>
      <c r="O24" s="83" t="s">
        <v>27</v>
      </c>
      <c r="P24" s="44"/>
    </row>
    <row r="25">
      <c r="A25" s="54"/>
      <c r="B25" s="70">
        <v>45440.0</v>
      </c>
      <c r="C25" s="70"/>
      <c r="D25" s="73"/>
      <c r="E25" s="71">
        <v>1273057.0</v>
      </c>
      <c r="F25" s="71">
        <v>2001.0</v>
      </c>
      <c r="G25" s="71">
        <v>1140.0</v>
      </c>
      <c r="H25" s="72">
        <v>691.0</v>
      </c>
      <c r="I25" s="72">
        <v>700.0</v>
      </c>
      <c r="J25" s="72">
        <v>-9.0</v>
      </c>
      <c r="K25" s="72">
        <v>34.98</v>
      </c>
      <c r="L25" s="54"/>
      <c r="M25" s="84">
        <f>SUM(F24:F25)</f>
        <v>3795</v>
      </c>
      <c r="N25" s="84">
        <f>SUM(I24:I25)</f>
        <v>1300</v>
      </c>
      <c r="O25" s="85">
        <f>N25/M25*100</f>
        <v>34.25559947</v>
      </c>
      <c r="P25" s="44"/>
    </row>
    <row r="26">
      <c r="A26" s="87" t="s">
        <v>77</v>
      </c>
      <c r="B26" s="88" t="str">
        <f>IF(L26=4,"АПРЕЛЬ",IF(L26=5,"МАЙ",IF(L26=1,"ЯНВАРЬ",IF(L26=2,"ФЕВРАЛЬ",IF(L26=3,"МАРТ",IF(L26=6,"ИЮНЬ",IF(L26=7,"ИЮЛЬ",IF(L26=8,"АВГУСТ",IF(L26=9,"СЕНТЯБРЬ",IF(L26=10,"ОКТЯБРЬ",IF(L26=11,"НОЯБРЬ",IF(L26=12,"ДЕКАБРЬ"))))))))))))</f>
        <v>ИЮНЬ</v>
      </c>
      <c r="J26" s="89"/>
      <c r="K26" s="90"/>
      <c r="L26" s="91">
        <f>MONTH(B27)</f>
        <v>6</v>
      </c>
      <c r="M26" s="92">
        <f>YEAR(B27)</f>
        <v>2024</v>
      </c>
      <c r="N26" s="92" t="str">
        <f>RIGHT(M26,2)</f>
        <v>24</v>
      </c>
      <c r="O26" s="89"/>
      <c r="P26" s="9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</row>
    <row r="27">
      <c r="A27" s="54"/>
      <c r="B27" s="70">
        <v>45448.0</v>
      </c>
      <c r="C27" s="70"/>
      <c r="D27" s="73"/>
      <c r="E27" s="71">
        <v>1274901.0</v>
      </c>
      <c r="F27" s="71">
        <v>1844.0</v>
      </c>
      <c r="G27" s="71">
        <v>1136.0</v>
      </c>
      <c r="H27" s="72">
        <v>596.0</v>
      </c>
      <c r="I27" s="72">
        <v>600.0</v>
      </c>
      <c r="J27" s="72">
        <v>-4.0</v>
      </c>
      <c r="K27" s="72">
        <v>32.54</v>
      </c>
      <c r="L27" s="54"/>
      <c r="M27" s="82" t="str">
        <f>"тотал"&amp;" "&amp;B26</f>
        <v>тотал ИЮНЬ</v>
      </c>
      <c r="N27" s="75"/>
      <c r="O27" s="76"/>
      <c r="P27" s="44"/>
    </row>
    <row r="28">
      <c r="A28" s="54"/>
      <c r="B28" s="94">
        <v>45462.0</v>
      </c>
      <c r="C28" s="94"/>
      <c r="D28" s="95"/>
      <c r="E28" s="96">
        <v>1277045.0</v>
      </c>
      <c r="F28" s="96">
        <v>2144.0</v>
      </c>
      <c r="G28" s="96">
        <v>1123.0</v>
      </c>
      <c r="H28" s="97">
        <v>681.0</v>
      </c>
      <c r="I28" s="97">
        <v>700.0</v>
      </c>
      <c r="J28" s="97">
        <v>-19.0</v>
      </c>
      <c r="K28" s="97">
        <v>32.65</v>
      </c>
      <c r="L28" s="54"/>
      <c r="M28" s="83" t="s">
        <v>70</v>
      </c>
      <c r="N28" s="83" t="s">
        <v>71</v>
      </c>
      <c r="O28" s="83" t="s">
        <v>27</v>
      </c>
      <c r="P28" s="44"/>
    </row>
    <row r="29">
      <c r="A29" s="54"/>
      <c r="B29" s="94">
        <v>45470.0</v>
      </c>
      <c r="C29" s="94"/>
      <c r="D29" s="95"/>
      <c r="E29" s="96">
        <v>1278523.0</v>
      </c>
      <c r="F29" s="96">
        <v>1478.0</v>
      </c>
      <c r="G29" s="96">
        <v>1138.0</v>
      </c>
      <c r="H29" s="97">
        <v>481.0</v>
      </c>
      <c r="I29" s="97">
        <v>507.51</v>
      </c>
      <c r="J29" s="97">
        <v>-26.51</v>
      </c>
      <c r="K29" s="97">
        <v>34.34</v>
      </c>
      <c r="L29" s="54"/>
      <c r="M29" s="84">
        <f>SUM(F27:F29)</f>
        <v>5466</v>
      </c>
      <c r="N29" s="84">
        <f>SUM(I27:I29)</f>
        <v>1807.51</v>
      </c>
      <c r="O29" s="85">
        <f>N29/M29*100</f>
        <v>33.06824003</v>
      </c>
      <c r="P29" s="44"/>
    </row>
    <row r="30">
      <c r="A30" s="87" t="s">
        <v>77</v>
      </c>
      <c r="B30" s="88" t="str">
        <f>IF(L30=4,"АПРЕЛЬ",IF(L30=5,"МАЙ",IF(L30=1,"ЯНВАРЬ",IF(L30=2,"ФЕВРАЛЬ",IF(L30=3,"МАРТ",IF(L30=6,"ИЮНЬ",IF(L30=7,"ИЮЛЬ",IF(L30=8,"АВГУСТ",IF(L30=9,"СЕНТЯБРЬ",IF(L30=10,"ОКТЯБРЬ",IF(L30=11,"НОЯБРЬ",IF(L30=12,"ДЕКАБРЬ"))))))))))))</f>
        <v>ИЮЛЬ</v>
      </c>
      <c r="J30" s="89"/>
      <c r="K30" s="90"/>
      <c r="L30" s="91">
        <f>MONTH(B31)</f>
        <v>7</v>
      </c>
      <c r="M30" s="92">
        <f>YEAR(B31)</f>
        <v>2024</v>
      </c>
      <c r="N30" s="92" t="str">
        <f>RIGHT(M30,2)</f>
        <v>24</v>
      </c>
      <c r="O30" s="89"/>
      <c r="P30" s="9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</row>
    <row r="31">
      <c r="A31" s="54"/>
      <c r="B31" s="98">
        <v>45489.0</v>
      </c>
      <c r="C31" s="98"/>
      <c r="D31" s="99"/>
      <c r="E31" s="100">
        <v>1280435.0</v>
      </c>
      <c r="F31" s="99">
        <f>E31-E29</f>
        <v>1912</v>
      </c>
      <c r="G31" s="100">
        <v>1063.0</v>
      </c>
      <c r="H31" s="101">
        <v>554.0</v>
      </c>
      <c r="I31" s="101">
        <v>600.0</v>
      </c>
      <c r="J31" s="102">
        <f t="shared" ref="J31:J33" si="2">H31-I31</f>
        <v>-46</v>
      </c>
      <c r="K31" s="103">
        <f t="shared" ref="K31:K33" si="3">I31/F31*100</f>
        <v>31.38075314</v>
      </c>
      <c r="L31" s="54"/>
      <c r="M31" s="82" t="str">
        <f>"тотал"&amp;" "&amp;B30</f>
        <v>тотал ИЮЛЬ</v>
      </c>
      <c r="N31" s="75"/>
      <c r="O31" s="76"/>
      <c r="P31" s="44"/>
    </row>
    <row r="32">
      <c r="A32" s="54"/>
      <c r="B32" s="98">
        <v>45497.0</v>
      </c>
      <c r="C32" s="98"/>
      <c r="D32" s="99"/>
      <c r="E32" s="104">
        <v>1282156.0</v>
      </c>
      <c r="F32" s="99">
        <f t="shared" ref="F32:F33" si="4">E32-E31</f>
        <v>1721</v>
      </c>
      <c r="G32" s="100">
        <v>1147.0</v>
      </c>
      <c r="H32" s="101">
        <v>593.0</v>
      </c>
      <c r="I32" s="101">
        <v>600.0</v>
      </c>
      <c r="J32" s="102">
        <f t="shared" si="2"/>
        <v>-7</v>
      </c>
      <c r="K32" s="103">
        <f t="shared" si="3"/>
        <v>34.86345148</v>
      </c>
      <c r="L32" s="54"/>
      <c r="M32" s="83" t="s">
        <v>70</v>
      </c>
      <c r="N32" s="83" t="s">
        <v>71</v>
      </c>
      <c r="O32" s="83" t="s">
        <v>27</v>
      </c>
      <c r="P32" s="44"/>
    </row>
    <row r="33">
      <c r="A33" s="54"/>
      <c r="B33" s="98">
        <v>45503.0</v>
      </c>
      <c r="C33" s="98"/>
      <c r="D33" s="99"/>
      <c r="E33" s="104">
        <v>1283472.0</v>
      </c>
      <c r="F33" s="99">
        <f t="shared" si="4"/>
        <v>1316</v>
      </c>
      <c r="G33" s="100">
        <v>1139.0</v>
      </c>
      <c r="H33" s="101">
        <v>404.0</v>
      </c>
      <c r="I33" s="101">
        <v>412.51</v>
      </c>
      <c r="J33" s="102">
        <f t="shared" si="2"/>
        <v>-8.51</v>
      </c>
      <c r="K33" s="103">
        <f t="shared" si="3"/>
        <v>31.34574468</v>
      </c>
      <c r="L33" s="54"/>
      <c r="M33" s="84">
        <f>SUM(F31:F33)</f>
        <v>4949</v>
      </c>
      <c r="N33" s="84">
        <f>SUM(I31:I33)</f>
        <v>1612.51</v>
      </c>
      <c r="O33" s="85">
        <f>N33/M33*100</f>
        <v>32.58254193</v>
      </c>
      <c r="P33" s="44"/>
    </row>
    <row r="34">
      <c r="A34" s="87" t="s">
        <v>77</v>
      </c>
      <c r="B34" s="88" t="str">
        <f>IF(L34=4,"АПРЕЛЬ",IF(L34=5,"МАЙ",IF(L34=1,"ЯНВАРЬ",IF(L34=2,"ФЕВРАЛЬ",IF(L34=3,"МАРТ",IF(L34=6,"ИЮНЬ",IF(L34=7,"ИЮЛЬ",IF(L34=8,"АВГУСТ",IF(L34=9,"СЕНТЯБРЬ",IF(L34=10,"ОКТЯБРЬ",IF(L34=11,"НОЯБРЬ",IF(L34=12,"ДЕКАБРЬ"))))))))))))</f>
        <v>АВГУСТ</v>
      </c>
      <c r="J34" s="89"/>
      <c r="K34" s="90"/>
      <c r="L34" s="91">
        <f>MONTH(B35)</f>
        <v>8</v>
      </c>
      <c r="M34" s="92">
        <f>YEAR(B35)</f>
        <v>2024</v>
      </c>
      <c r="N34" s="92" t="str">
        <f>RIGHT(M34,2)</f>
        <v>24</v>
      </c>
      <c r="O34" s="89"/>
      <c r="P34" s="9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</row>
    <row r="35">
      <c r="A35" s="54"/>
      <c r="B35" s="98">
        <v>45517.0</v>
      </c>
      <c r="C35" s="98"/>
      <c r="D35" s="99"/>
      <c r="E35" s="100">
        <v>1286008.0</v>
      </c>
      <c r="F35" s="99">
        <f>E35-E33</f>
        <v>2536</v>
      </c>
      <c r="G35" s="100">
        <v>1072.0</v>
      </c>
      <c r="H35" s="101">
        <v>679.0</v>
      </c>
      <c r="I35" s="101">
        <v>700.0</v>
      </c>
      <c r="J35" s="102">
        <f t="shared" ref="J35:J36" si="5">H35-I35</f>
        <v>-21</v>
      </c>
      <c r="K35" s="103">
        <f t="shared" ref="K35:K36" si="6">I35/F35*100</f>
        <v>27.60252366</v>
      </c>
      <c r="L35" s="54"/>
      <c r="M35" s="83" t="s">
        <v>70</v>
      </c>
      <c r="N35" s="83" t="s">
        <v>71</v>
      </c>
      <c r="O35" s="83" t="s">
        <v>27</v>
      </c>
      <c r="P35" s="44"/>
    </row>
    <row r="36">
      <c r="A36" s="54"/>
      <c r="B36" s="98">
        <v>45525.0</v>
      </c>
      <c r="C36" s="98"/>
      <c r="D36" s="99"/>
      <c r="E36" s="104">
        <v>1287857.0</v>
      </c>
      <c r="F36" s="99">
        <f>E36-E35</f>
        <v>1849</v>
      </c>
      <c r="G36" s="100">
        <v>1112.0</v>
      </c>
      <c r="H36" s="101">
        <v>584.0</v>
      </c>
      <c r="I36" s="101">
        <v>600.0</v>
      </c>
      <c r="J36" s="102">
        <f t="shared" si="5"/>
        <v>-16</v>
      </c>
      <c r="K36" s="103">
        <f t="shared" si="6"/>
        <v>32.44997296</v>
      </c>
      <c r="L36" s="54"/>
      <c r="M36" s="84">
        <f>SUM(F35:F36)</f>
        <v>4385</v>
      </c>
      <c r="N36" s="84">
        <f>SUM(I35:I36)</f>
        <v>1300</v>
      </c>
      <c r="O36" s="85">
        <f>N36/M36*100</f>
        <v>29.64652223</v>
      </c>
      <c r="P36" s="44"/>
    </row>
    <row r="37">
      <c r="A37" s="87" t="s">
        <v>77</v>
      </c>
      <c r="B37" s="88" t="str">
        <f>IF(L37=4,"АПРЕЛЬ",IF(L37=5,"МАЙ",IF(L37=1,"ЯНВАРЬ",IF(L37=2,"ФЕВРАЛЬ",IF(L37=3,"МАРТ",IF(L37=6,"ИЮНЬ",IF(L37=7,"ИЮЛЬ",IF(L37=8,"АВГУСТ",IF(L37=9,"СЕНТЯБРЬ",IF(L37=10,"ОКТЯБРЬ",IF(L37=11,"НОЯБРЬ",IF(L37=12,"ДЕКАБРЬ"))))))))))))</f>
        <v>СЕНТЯБРЬ</v>
      </c>
      <c r="J37" s="89"/>
      <c r="K37" s="90"/>
      <c r="L37" s="91">
        <f>MONTH(B38)</f>
        <v>9</v>
      </c>
      <c r="M37" s="92">
        <f>YEAR(B38)</f>
        <v>2024</v>
      </c>
      <c r="N37" s="92" t="str">
        <f>RIGHT(M37,2)</f>
        <v>24</v>
      </c>
      <c r="O37" s="89"/>
      <c r="P37" s="9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</row>
    <row r="38">
      <c r="A38" s="54"/>
      <c r="B38" s="98">
        <v>45539.0</v>
      </c>
      <c r="C38" s="98"/>
      <c r="D38" s="99"/>
      <c r="E38" s="105">
        <v>1290267.0</v>
      </c>
      <c r="F38" s="99">
        <f>E38-E36</f>
        <v>2410</v>
      </c>
      <c r="G38" s="100">
        <v>921.0</v>
      </c>
      <c r="H38" s="101">
        <v>560.0</v>
      </c>
      <c r="I38" s="101">
        <v>600.0</v>
      </c>
      <c r="J38" s="102">
        <f t="shared" ref="J38:J41" si="7">H38-I38</f>
        <v>-40</v>
      </c>
      <c r="K38" s="103">
        <f t="shared" ref="K38:K41" si="8">I38/F38*100</f>
        <v>24.89626556</v>
      </c>
      <c r="L38" s="54"/>
      <c r="M38" s="82" t="str">
        <f>"тотал"&amp;" "&amp;B37</f>
        <v>тотал СЕНТЯБРЬ</v>
      </c>
      <c r="N38" s="75"/>
      <c r="O38" s="76"/>
      <c r="P38" s="44"/>
    </row>
    <row r="39">
      <c r="A39" s="54"/>
      <c r="B39" s="98">
        <v>45545.0</v>
      </c>
      <c r="C39" s="98"/>
      <c r="D39" s="99"/>
      <c r="E39" s="106">
        <v>1291488.0</v>
      </c>
      <c r="F39" s="99">
        <f t="shared" ref="F39:F41" si="9">E39-E38</f>
        <v>1221</v>
      </c>
      <c r="G39" s="100">
        <v>1036.0</v>
      </c>
      <c r="H39" s="101">
        <v>498.0</v>
      </c>
      <c r="I39" s="101">
        <v>500.0</v>
      </c>
      <c r="J39" s="102">
        <f t="shared" si="7"/>
        <v>-2</v>
      </c>
      <c r="K39" s="103">
        <f t="shared" si="8"/>
        <v>40.95004095</v>
      </c>
      <c r="L39" s="54"/>
      <c r="M39" s="83" t="s">
        <v>70</v>
      </c>
      <c r="N39" s="83" t="s">
        <v>71</v>
      </c>
      <c r="O39" s="83" t="s">
        <v>27</v>
      </c>
      <c r="P39" s="44"/>
    </row>
    <row r="40">
      <c r="A40" s="54"/>
      <c r="B40" s="98">
        <v>45553.0</v>
      </c>
      <c r="C40" s="98"/>
      <c r="D40" s="99"/>
      <c r="E40" s="105">
        <v>1293005.0</v>
      </c>
      <c r="F40" s="99">
        <f t="shared" si="9"/>
        <v>1517</v>
      </c>
      <c r="G40" s="100">
        <v>916.0</v>
      </c>
      <c r="H40" s="101">
        <v>353.0</v>
      </c>
      <c r="I40" s="101">
        <v>340.91</v>
      </c>
      <c r="J40" s="102">
        <f t="shared" si="7"/>
        <v>12.09</v>
      </c>
      <c r="K40" s="103">
        <f t="shared" si="8"/>
        <v>22.47264338</v>
      </c>
      <c r="L40" s="54"/>
      <c r="M40" s="84">
        <f>SUM(F38:F41)</f>
        <v>6288</v>
      </c>
      <c r="N40" s="84">
        <f>SUM(I38:I41)</f>
        <v>2024.89</v>
      </c>
      <c r="O40" s="85">
        <f>N40/M40*100</f>
        <v>32.20244911</v>
      </c>
      <c r="P40" s="44"/>
    </row>
    <row r="41">
      <c r="A41" s="54"/>
      <c r="B41" s="107">
        <v>45560.0</v>
      </c>
      <c r="C41" s="107"/>
      <c r="D41" s="108"/>
      <c r="E41" s="109">
        <v>1294145.0</v>
      </c>
      <c r="F41" s="108">
        <f t="shared" si="9"/>
        <v>1140</v>
      </c>
      <c r="G41" s="105">
        <v>1142.0</v>
      </c>
      <c r="H41" s="101">
        <v>573.0</v>
      </c>
      <c r="I41" s="101">
        <v>583.98</v>
      </c>
      <c r="J41" s="102">
        <f t="shared" si="7"/>
        <v>-10.98</v>
      </c>
      <c r="K41" s="103">
        <f t="shared" si="8"/>
        <v>51.22631579</v>
      </c>
      <c r="L41" s="54"/>
      <c r="M41" s="54"/>
      <c r="P41" s="44"/>
    </row>
    <row r="42">
      <c r="A42" s="87" t="s">
        <v>77</v>
      </c>
      <c r="B42" s="88" t="str">
        <f>IF(L42=4,"АПРЕЛЬ",IF(L42=5,"МАЙ",IF(L42=1,"ЯНВАРЬ",IF(L42=2,"ФЕВРАЛЬ",IF(L42=3,"МАРТ",IF(L42=6,"ИЮНЬ",IF(L42=7,"ИЮЛЬ",IF(L42=8,"АВГУСТ",IF(L42=9,"СЕНТЯБРЬ",IF(L42=10,"ОКТЯБРЬ",IF(L42=11,"НОЯБРЬ",IF(L42=12,"ДЕКАБРЬ"))))))))))))</f>
        <v>ОКТЯБРЬ</v>
      </c>
      <c r="J42" s="89"/>
      <c r="K42" s="90"/>
      <c r="L42" s="91">
        <f>MONTH(B43)</f>
        <v>10</v>
      </c>
      <c r="M42" s="92">
        <f>YEAR(B43)</f>
        <v>2024</v>
      </c>
      <c r="N42" s="92" t="str">
        <f>RIGHT(M42,2)</f>
        <v>24</v>
      </c>
      <c r="O42" s="89"/>
      <c r="P42" s="9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</row>
    <row r="43">
      <c r="A43" s="54"/>
      <c r="B43" s="110">
        <v>45567.0</v>
      </c>
      <c r="C43" s="110"/>
      <c r="D43" s="99"/>
      <c r="E43" s="100">
        <v>1295941.0</v>
      </c>
      <c r="F43" s="99">
        <f>E43-E41</f>
        <v>1796</v>
      </c>
      <c r="G43" s="100">
        <v>1128.0</v>
      </c>
      <c r="H43" s="101">
        <v>502.0</v>
      </c>
      <c r="I43" s="101">
        <v>499.35</v>
      </c>
      <c r="J43" s="102">
        <f t="shared" ref="J43:J46" si="10">H43-I43</f>
        <v>2.65</v>
      </c>
      <c r="K43" s="103">
        <f t="shared" ref="K43:K46" si="11">I43/F43*100</f>
        <v>27.80345212</v>
      </c>
      <c r="L43" s="54"/>
      <c r="M43" s="82" t="str">
        <f>"тотал"&amp;" "&amp;B42&amp;" "&amp;N42</f>
        <v>тотал ОКТЯБРЬ 24</v>
      </c>
      <c r="N43" s="75"/>
      <c r="O43" s="75"/>
      <c r="P43" s="75"/>
      <c r="Q43" s="76"/>
    </row>
    <row r="44">
      <c r="A44" s="54"/>
      <c r="B44" s="110">
        <v>45575.0</v>
      </c>
      <c r="C44" s="110"/>
      <c r="D44" s="99"/>
      <c r="E44" s="111">
        <v>1298059.0</v>
      </c>
      <c r="F44" s="99">
        <f t="shared" ref="F44:F46" si="12">E44-E43</f>
        <v>2118</v>
      </c>
      <c r="G44" s="100">
        <v>1101.0</v>
      </c>
      <c r="H44" s="101">
        <v>582.0</v>
      </c>
      <c r="I44" s="101">
        <v>600.0</v>
      </c>
      <c r="J44" s="102">
        <f t="shared" si="10"/>
        <v>-18</v>
      </c>
      <c r="K44" s="103">
        <f t="shared" si="11"/>
        <v>28.3286119</v>
      </c>
      <c r="L44" s="54"/>
      <c r="M44" s="83" t="s">
        <v>70</v>
      </c>
      <c r="N44" s="83" t="s">
        <v>71</v>
      </c>
      <c r="O44" s="83" t="s">
        <v>27</v>
      </c>
      <c r="P44" s="77" t="s">
        <v>28</v>
      </c>
      <c r="Q44" s="12" t="s">
        <v>78</v>
      </c>
    </row>
    <row r="45">
      <c r="A45" s="54"/>
      <c r="B45" s="110">
        <v>45588.0</v>
      </c>
      <c r="C45" s="110"/>
      <c r="D45" s="99"/>
      <c r="E45" s="100">
        <v>1298902.0</v>
      </c>
      <c r="F45" s="99">
        <f t="shared" si="12"/>
        <v>843</v>
      </c>
      <c r="G45" s="100">
        <v>1147.0</v>
      </c>
      <c r="H45" s="101">
        <v>294.0</v>
      </c>
      <c r="I45" s="101">
        <v>283.33</v>
      </c>
      <c r="J45" s="102">
        <f t="shared" si="10"/>
        <v>10.67</v>
      </c>
      <c r="K45" s="103">
        <f t="shared" si="11"/>
        <v>33.60972716</v>
      </c>
      <c r="L45" s="54"/>
      <c r="M45" s="84">
        <f>SUM(F43:F46)</f>
        <v>6866</v>
      </c>
      <c r="N45" s="84">
        <f>SUM(I43:I46)</f>
        <v>1982.68</v>
      </c>
      <c r="O45" s="85">
        <f>N45/M45*100</f>
        <v>28.87678415</v>
      </c>
      <c r="P45" s="79">
        <f>(M45/100)*(O45-Q45)</f>
        <v>-145.78</v>
      </c>
      <c r="Q45" s="78">
        <v>31.0</v>
      </c>
    </row>
    <row r="46">
      <c r="A46" s="54"/>
      <c r="B46" s="110">
        <v>45596.0</v>
      </c>
      <c r="C46" s="110"/>
      <c r="D46" s="99"/>
      <c r="E46" s="100">
        <v>1301011.0</v>
      </c>
      <c r="F46" s="99">
        <f t="shared" si="12"/>
        <v>2109</v>
      </c>
      <c r="G46" s="100">
        <v>1137.0</v>
      </c>
      <c r="H46" s="101">
        <v>589.0</v>
      </c>
      <c r="I46" s="101">
        <v>600.0</v>
      </c>
      <c r="J46" s="102">
        <f t="shared" si="10"/>
        <v>-11</v>
      </c>
      <c r="K46" s="103">
        <f t="shared" si="11"/>
        <v>28.44950213</v>
      </c>
      <c r="L46" s="54"/>
      <c r="M46" s="54"/>
      <c r="P46" s="44"/>
    </row>
    <row r="47">
      <c r="A47" s="87" t="s">
        <v>77</v>
      </c>
      <c r="B47" s="88" t="str">
        <f>IF(L47=4,"АПРЕЛЬ",IF(L47=5,"МАЙ",IF(L47=1,"ЯНВАРЬ",IF(L47=2,"ФЕВРАЛЬ",IF(L47=3,"МАРТ",IF(L47=6,"ИЮНЬ",IF(L47=7,"ИЮЛЬ",IF(L47=8,"АВГУСТ",IF(L47=9,"СЕНТЯБРЬ",IF(L47=10,"ОКТЯБРЬ",IF(L47=11,"НОЯБРЬ",IF(L47=12,"ДЕКАБРЬ"))))))))))))</f>
        <v>НОЯБРЬ</v>
      </c>
      <c r="J47" s="89"/>
      <c r="K47" s="90"/>
      <c r="L47" s="91">
        <f>MONTH(B48)</f>
        <v>11</v>
      </c>
      <c r="M47" s="92">
        <f>YEAR(B48)</f>
        <v>2024</v>
      </c>
      <c r="N47" s="92" t="str">
        <f>RIGHT(M47,2)</f>
        <v>24</v>
      </c>
      <c r="O47" s="89"/>
      <c r="P47" s="9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</row>
    <row r="48">
      <c r="A48" s="54"/>
      <c r="B48" s="110">
        <v>45607.0</v>
      </c>
      <c r="C48" s="110"/>
      <c r="D48" s="99"/>
      <c r="E48" s="100">
        <v>1302853.0</v>
      </c>
      <c r="F48" s="99">
        <f>E48-E46</f>
        <v>1842</v>
      </c>
      <c r="G48" s="100">
        <v>1153.0</v>
      </c>
      <c r="H48" s="101">
        <v>566.0</v>
      </c>
      <c r="I48" s="101">
        <v>569.4</v>
      </c>
      <c r="J48" s="102">
        <f t="shared" ref="J48:J50" si="13">H48-I48</f>
        <v>-3.4</v>
      </c>
      <c r="K48" s="103">
        <f t="shared" ref="K48:K50" si="14">I48/F48*100</f>
        <v>30.91205212</v>
      </c>
      <c r="L48" s="54"/>
      <c r="M48" s="82" t="str">
        <f>"тотал"&amp;" "&amp;B47&amp;" "&amp;N47</f>
        <v>тотал НОЯБРЬ 24</v>
      </c>
      <c r="N48" s="75"/>
      <c r="O48" s="75"/>
      <c r="P48" s="75"/>
      <c r="Q48" s="76"/>
    </row>
    <row r="49">
      <c r="A49" s="54"/>
      <c r="B49" s="110">
        <v>45614.0</v>
      </c>
      <c r="C49" s="110"/>
      <c r="D49" s="99"/>
      <c r="E49" s="100">
        <v>1304118.0</v>
      </c>
      <c r="F49" s="99">
        <f t="shared" ref="F49:F50" si="15">E49-E48</f>
        <v>1265</v>
      </c>
      <c r="G49" s="100">
        <v>1148.0</v>
      </c>
      <c r="H49" s="101">
        <v>385.0</v>
      </c>
      <c r="I49" s="101">
        <v>402.34</v>
      </c>
      <c r="J49" s="102">
        <f t="shared" si="13"/>
        <v>-17.34</v>
      </c>
      <c r="K49" s="103">
        <f t="shared" si="14"/>
        <v>31.8055336</v>
      </c>
      <c r="L49" s="54"/>
      <c r="M49" s="83" t="s">
        <v>70</v>
      </c>
      <c r="N49" s="83" t="s">
        <v>71</v>
      </c>
      <c r="O49" s="83" t="s">
        <v>27</v>
      </c>
      <c r="P49" s="77" t="s">
        <v>28</v>
      </c>
      <c r="Q49" s="12" t="s">
        <v>78</v>
      </c>
    </row>
    <row r="50">
      <c r="A50" s="54"/>
      <c r="B50" s="110">
        <v>45622.0</v>
      </c>
      <c r="C50" s="110"/>
      <c r="D50" s="99"/>
      <c r="E50" s="100">
        <v>1305974.0</v>
      </c>
      <c r="F50" s="99">
        <f t="shared" si="15"/>
        <v>1856</v>
      </c>
      <c r="G50" s="100">
        <v>1103.0</v>
      </c>
      <c r="H50" s="101">
        <v>491.0</v>
      </c>
      <c r="I50" s="101">
        <v>500.0</v>
      </c>
      <c r="J50" s="102">
        <f t="shared" si="13"/>
        <v>-9</v>
      </c>
      <c r="K50" s="103">
        <f t="shared" si="14"/>
        <v>26.93965517</v>
      </c>
      <c r="L50" s="54"/>
      <c r="M50" s="84">
        <f>SUM(F48:F50)</f>
        <v>4963</v>
      </c>
      <c r="N50" s="84">
        <f>SUM(I48:I50)</f>
        <v>1471.74</v>
      </c>
      <c r="O50" s="85">
        <f>N50/M50*100</f>
        <v>29.65424139</v>
      </c>
      <c r="P50" s="79">
        <f>(M50/100)*(O50-Q50)</f>
        <v>-66.79</v>
      </c>
      <c r="Q50" s="78">
        <v>31.0</v>
      </c>
    </row>
    <row r="51">
      <c r="A51" s="87" t="s">
        <v>77</v>
      </c>
      <c r="B51" s="88" t="str">
        <f>IF(L51=4,"АПРЕЛЬ",IF(L51=5,"МАЙ",IF(L51=1,"ЯНВАРЬ",IF(L51=2,"ФЕВРАЛЬ",IF(L51=3,"МАРТ",IF(L51=6,"ИЮНЬ",IF(L51=7,"ИЮЛЬ",IF(L51=8,"АВГУСТ",IF(L51=9,"СЕНТЯБРЬ",IF(L51=10,"ОКТЯБРЬ",IF(L51=11,"НОЯБРЬ",IF(L51=12,"ДЕКАБРЬ"))))))))))))</f>
        <v>ДЕКАБРЬ</v>
      </c>
      <c r="J51" s="89"/>
      <c r="K51" s="90"/>
      <c r="L51" s="91">
        <f>MONTH(B52)</f>
        <v>12</v>
      </c>
      <c r="M51" s="92">
        <f>YEAR(B52)</f>
        <v>2024</v>
      </c>
      <c r="N51" s="92" t="str">
        <f>RIGHT(M51,2)</f>
        <v>24</v>
      </c>
      <c r="O51" s="89"/>
      <c r="P51" s="9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</row>
    <row r="52">
      <c r="A52" s="54"/>
      <c r="B52" s="110">
        <v>45630.0</v>
      </c>
      <c r="C52" s="110"/>
      <c r="D52" s="99"/>
      <c r="E52" s="100">
        <v>1307833.0</v>
      </c>
      <c r="F52" s="99">
        <f>E52-E50</f>
        <v>1859</v>
      </c>
      <c r="G52" s="100">
        <v>1030.0</v>
      </c>
      <c r="H52" s="101">
        <v>481.0</v>
      </c>
      <c r="I52" s="101">
        <v>500.0</v>
      </c>
      <c r="J52" s="102">
        <f t="shared" ref="J52:J55" si="16">H52-I52</f>
        <v>-19</v>
      </c>
      <c r="K52" s="103">
        <f t="shared" ref="K52:K55" si="17">I52/F52*100</f>
        <v>26.89618074</v>
      </c>
      <c r="L52" s="54"/>
      <c r="M52" s="82" t="str">
        <f>"тотал"&amp;" "&amp;B51&amp;" "&amp;N51</f>
        <v>тотал ДЕКАБРЬ 24</v>
      </c>
      <c r="N52" s="75"/>
      <c r="O52" s="75"/>
      <c r="P52" s="75"/>
      <c r="Q52" s="76"/>
    </row>
    <row r="53">
      <c r="A53" s="54"/>
      <c r="B53" s="110">
        <v>45638.0</v>
      </c>
      <c r="C53" s="110"/>
      <c r="D53" s="99"/>
      <c r="E53" s="100">
        <v>1309200.0</v>
      </c>
      <c r="F53" s="99">
        <f t="shared" ref="F53:F55" si="18">E53-E52</f>
        <v>1367</v>
      </c>
      <c r="G53" s="100">
        <v>1054.0</v>
      </c>
      <c r="H53" s="101">
        <v>448.0</v>
      </c>
      <c r="I53" s="101">
        <v>500.0</v>
      </c>
      <c r="J53" s="102">
        <f t="shared" si="16"/>
        <v>-52</v>
      </c>
      <c r="K53" s="103">
        <f t="shared" si="17"/>
        <v>36.57644477</v>
      </c>
      <c r="L53" s="54"/>
      <c r="M53" s="83" t="s">
        <v>70</v>
      </c>
      <c r="N53" s="83" t="s">
        <v>71</v>
      </c>
      <c r="O53" s="83" t="s">
        <v>27</v>
      </c>
      <c r="P53" s="77" t="s">
        <v>28</v>
      </c>
      <c r="Q53" s="12" t="s">
        <v>78</v>
      </c>
    </row>
    <row r="54">
      <c r="A54" s="54"/>
      <c r="B54" s="110">
        <v>45644.0</v>
      </c>
      <c r="C54" s="110"/>
      <c r="D54" s="99"/>
      <c r="E54" s="100">
        <v>1310313.0</v>
      </c>
      <c r="F54" s="99">
        <f t="shared" si="18"/>
        <v>1113</v>
      </c>
      <c r="G54" s="100">
        <v>1121.0</v>
      </c>
      <c r="H54" s="101">
        <v>453.0</v>
      </c>
      <c r="I54" s="101">
        <v>469.11</v>
      </c>
      <c r="J54" s="102">
        <f t="shared" si="16"/>
        <v>-16.11</v>
      </c>
      <c r="K54" s="103">
        <f t="shared" si="17"/>
        <v>42.14824798</v>
      </c>
      <c r="L54" s="54"/>
      <c r="M54" s="84">
        <f>SUM(F52:F55)</f>
        <v>5591</v>
      </c>
      <c r="N54" s="84">
        <f>SUM(I52:I55)</f>
        <v>1869.11</v>
      </c>
      <c r="O54" s="85">
        <f>N54/M54*100</f>
        <v>33.43069218</v>
      </c>
      <c r="P54" s="79">
        <f>(M54/100)*(O54-Q54)</f>
        <v>135.9</v>
      </c>
      <c r="Q54" s="78">
        <v>31.0</v>
      </c>
    </row>
    <row r="55">
      <c r="A55" s="54"/>
      <c r="B55" s="110">
        <v>45650.0</v>
      </c>
      <c r="C55" s="110"/>
      <c r="D55" s="99"/>
      <c r="E55" s="100">
        <v>1311565.0</v>
      </c>
      <c r="F55" s="99">
        <f t="shared" si="18"/>
        <v>1252</v>
      </c>
      <c r="G55" s="100">
        <v>1103.0</v>
      </c>
      <c r="H55" s="101">
        <v>379.0</v>
      </c>
      <c r="I55" s="101">
        <v>400.0</v>
      </c>
      <c r="J55" s="102">
        <f t="shared" si="16"/>
        <v>-21</v>
      </c>
      <c r="K55" s="103">
        <f t="shared" si="17"/>
        <v>31.94888179</v>
      </c>
      <c r="L55" s="54"/>
      <c r="M55" s="54"/>
      <c r="P55" s="44"/>
    </row>
    <row r="56">
      <c r="A56" s="68"/>
      <c r="B56" s="112">
        <v>2025.0</v>
      </c>
      <c r="J56" s="88"/>
      <c r="K56" s="88"/>
      <c r="L56" s="91"/>
      <c r="M56" s="66"/>
      <c r="N56" s="66"/>
      <c r="O56" s="66"/>
      <c r="P56" s="113"/>
      <c r="Q56" s="54"/>
      <c r="R56" s="54"/>
    </row>
    <row r="57">
      <c r="A57" s="87" t="s">
        <v>77</v>
      </c>
      <c r="B57" s="88" t="str">
        <f>IF(L57=4,"АПРЕЛЬ",IF(L57=5,"МАЙ",IF(L57=1,"ЯНВАРЬ",IF(L57=2,"ФЕВРАЛЬ",IF(L57=3,"МАРТ",IF(L57=6,"ИЮНЬ",IF(L57=7,"ИЮЛЬ",IF(L57=8,"АВГУСТ",IF(L57=9,"СЕНТЯБРЬ",IF(L57=10,"ОКТЯБРЬ",IF(L57=11,"НОЯБРЬ",IF(L57=12,"ДЕКАБРЬ"))))))))))))</f>
        <v>ЯНВАРЬ</v>
      </c>
      <c r="J57" s="89"/>
      <c r="K57" s="90"/>
      <c r="L57" s="91">
        <f>MONTH(B58)</f>
        <v>1</v>
      </c>
      <c r="M57" s="92">
        <f>YEAR(B58)</f>
        <v>2025</v>
      </c>
      <c r="N57" s="92" t="str">
        <f>RIGHT(M57,2)</f>
        <v>25</v>
      </c>
      <c r="O57" s="89"/>
      <c r="P57" s="9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</row>
    <row r="58">
      <c r="A58" s="54"/>
      <c r="B58" s="110">
        <v>45671.0</v>
      </c>
      <c r="C58" s="110"/>
      <c r="D58" s="99"/>
      <c r="E58" s="100">
        <v>1313621.0</v>
      </c>
      <c r="F58" s="99">
        <f>E58-E55</f>
        <v>2056</v>
      </c>
      <c r="G58" s="100">
        <v>767.0</v>
      </c>
      <c r="H58" s="101">
        <v>293.0</v>
      </c>
      <c r="I58" s="101">
        <v>288.44</v>
      </c>
      <c r="J58" s="102">
        <f t="shared" ref="J58:J60" si="19">H58-I58</f>
        <v>4.56</v>
      </c>
      <c r="K58" s="103">
        <f t="shared" ref="K58:K60" si="20">I58/F58*100</f>
        <v>14.02918288</v>
      </c>
      <c r="L58" s="54"/>
      <c r="M58" s="82" t="str">
        <f>"тотал"&amp;" "&amp;B57&amp;" "&amp;N57</f>
        <v>тотал ЯНВАРЬ 25</v>
      </c>
      <c r="N58" s="75"/>
      <c r="O58" s="75"/>
      <c r="P58" s="75"/>
      <c r="Q58" s="76"/>
    </row>
    <row r="59">
      <c r="A59" s="54"/>
      <c r="B59" s="110">
        <v>45677.0</v>
      </c>
      <c r="C59" s="110"/>
      <c r="D59" s="99"/>
      <c r="E59" s="100">
        <v>1315016.0</v>
      </c>
      <c r="F59" s="99">
        <f t="shared" ref="F59:F60" si="21">E59-E58</f>
        <v>1395</v>
      </c>
      <c r="G59" s="100">
        <v>806.0</v>
      </c>
      <c r="H59" s="101">
        <v>506.0</v>
      </c>
      <c r="I59" s="101">
        <v>500.0</v>
      </c>
      <c r="J59" s="102">
        <f t="shared" si="19"/>
        <v>6</v>
      </c>
      <c r="K59" s="103">
        <f t="shared" si="20"/>
        <v>35.84229391</v>
      </c>
      <c r="L59" s="54"/>
      <c r="M59" s="83" t="s">
        <v>70</v>
      </c>
      <c r="N59" s="83" t="s">
        <v>71</v>
      </c>
      <c r="O59" s="83" t="s">
        <v>27</v>
      </c>
      <c r="P59" s="77" t="s">
        <v>28</v>
      </c>
      <c r="Q59" s="12" t="s">
        <v>78</v>
      </c>
    </row>
    <row r="60">
      <c r="A60" s="54"/>
      <c r="B60" s="110">
        <v>45684.0</v>
      </c>
      <c r="C60" s="110"/>
      <c r="D60" s="99"/>
      <c r="E60" s="100">
        <v>1316174.0</v>
      </c>
      <c r="F60" s="99">
        <f t="shared" si="21"/>
        <v>1158</v>
      </c>
      <c r="G60" s="100">
        <v>1011.0</v>
      </c>
      <c r="H60" s="101">
        <v>578.0</v>
      </c>
      <c r="I60" s="101">
        <v>600.0</v>
      </c>
      <c r="J60" s="102">
        <f t="shared" si="19"/>
        <v>-22</v>
      </c>
      <c r="K60" s="103">
        <f t="shared" si="20"/>
        <v>51.8134715</v>
      </c>
      <c r="L60" s="54"/>
      <c r="M60" s="84">
        <f>SUM(F58:F60)</f>
        <v>4609</v>
      </c>
      <c r="N60" s="84">
        <f>SUM(I58:I60)</f>
        <v>1388.44</v>
      </c>
      <c r="O60" s="85">
        <f>N60/M60*100</f>
        <v>30.12453895</v>
      </c>
      <c r="P60" s="79">
        <f>(M60/100)*(O60-Q60)</f>
        <v>-40.35</v>
      </c>
      <c r="Q60" s="78">
        <v>31.0</v>
      </c>
    </row>
    <row r="61">
      <c r="A61" s="87" t="s">
        <v>77</v>
      </c>
      <c r="B61" s="88" t="str">
        <f>IF(L61=4,"АПРЕЛЬ",IF(L61=5,"МАЙ",IF(L61=1,"ЯНВАРЬ",IF(L61=2,"ФЕВРАЛЬ",IF(L61=3,"МАРТ",IF(L61=6,"ИЮНЬ",IF(L61=7,"ИЮЛЬ",IF(L61=8,"АВГУСТ",IF(L61=9,"СЕНТЯБРЬ",IF(L61=10,"ОКТЯБРЬ",IF(L61=11,"НОЯБРЬ",IF(L61=12,"ДЕКАБРЬ"))))))))))))</f>
        <v>ФЕВРАЛЬ</v>
      </c>
      <c r="J61" s="89"/>
      <c r="K61" s="90"/>
      <c r="L61" s="91">
        <f>MONTH(B62)</f>
        <v>2</v>
      </c>
      <c r="M61" s="92">
        <f>YEAR(B62)</f>
        <v>2025</v>
      </c>
      <c r="N61" s="92" t="str">
        <f>RIGHT(M61,2)</f>
        <v>25</v>
      </c>
      <c r="O61" s="89"/>
      <c r="P61" s="9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</row>
    <row r="62">
      <c r="A62" s="54"/>
      <c r="B62" s="110">
        <v>45691.0</v>
      </c>
      <c r="C62" s="110"/>
      <c r="D62" s="99"/>
      <c r="E62" s="100">
        <v>1317592.0</v>
      </c>
      <c r="F62" s="99">
        <f>E62-E60</f>
        <v>1418</v>
      </c>
      <c r="G62" s="100">
        <v>1120.0</v>
      </c>
      <c r="H62" s="101">
        <v>521.0</v>
      </c>
      <c r="I62" s="101">
        <v>544.23</v>
      </c>
      <c r="J62" s="102">
        <f t="shared" ref="J62:J65" si="22">H62-I62</f>
        <v>-23.23</v>
      </c>
      <c r="K62" s="103">
        <f t="shared" ref="K62:K65" si="23">I62/F62*100</f>
        <v>38.38011283</v>
      </c>
      <c r="L62" s="54"/>
      <c r="M62" s="82" t="str">
        <f>"тотал"&amp;" "&amp;B61&amp;" "&amp;N61</f>
        <v>тотал ФЕВРАЛЬ 25</v>
      </c>
      <c r="N62" s="75"/>
      <c r="O62" s="75"/>
      <c r="P62" s="75"/>
      <c r="Q62" s="76"/>
    </row>
    <row r="63">
      <c r="A63" s="54"/>
      <c r="B63" s="110">
        <v>45699.0</v>
      </c>
      <c r="C63" s="110"/>
      <c r="D63" s="99"/>
      <c r="E63" s="100">
        <v>1319203.0</v>
      </c>
      <c r="F63" s="99">
        <f t="shared" ref="F63:F65" si="24">E63-E62</f>
        <v>1611</v>
      </c>
      <c r="G63" s="100">
        <v>1105.0</v>
      </c>
      <c r="H63" s="101">
        <v>477.0</v>
      </c>
      <c r="I63" s="101">
        <v>500.0</v>
      </c>
      <c r="J63" s="102">
        <f t="shared" si="22"/>
        <v>-23</v>
      </c>
      <c r="K63" s="103">
        <f t="shared" si="23"/>
        <v>31.03662322</v>
      </c>
      <c r="L63" s="54"/>
      <c r="M63" s="83" t="s">
        <v>70</v>
      </c>
      <c r="N63" s="83" t="s">
        <v>71</v>
      </c>
      <c r="O63" s="83" t="s">
        <v>27</v>
      </c>
      <c r="P63" s="77" t="s">
        <v>28</v>
      </c>
      <c r="Q63" s="12" t="s">
        <v>78</v>
      </c>
    </row>
    <row r="64">
      <c r="A64" s="54"/>
      <c r="B64" s="110">
        <v>45706.0</v>
      </c>
      <c r="C64" s="110"/>
      <c r="D64" s="99"/>
      <c r="E64" s="100">
        <v>1320877.0</v>
      </c>
      <c r="F64" s="99">
        <f t="shared" si="24"/>
        <v>1674</v>
      </c>
      <c r="G64" s="100">
        <v>1049.0</v>
      </c>
      <c r="H64" s="101">
        <v>475.0</v>
      </c>
      <c r="I64" s="101">
        <v>500.0</v>
      </c>
      <c r="J64" s="102">
        <f t="shared" si="22"/>
        <v>-25</v>
      </c>
      <c r="K64" s="103">
        <f t="shared" si="23"/>
        <v>29.86857826</v>
      </c>
      <c r="L64" s="54"/>
      <c r="M64" s="84">
        <f>SUM(F62:F65)</f>
        <v>5983</v>
      </c>
      <c r="N64" s="84">
        <f>SUM(I62:I65)</f>
        <v>2083.75</v>
      </c>
      <c r="O64" s="85">
        <f>N64/M64*100</f>
        <v>34.82784556</v>
      </c>
      <c r="P64" s="79">
        <f>(M64/100)*(O64-Q64)</f>
        <v>229.02</v>
      </c>
      <c r="Q64" s="78">
        <v>31.0</v>
      </c>
    </row>
    <row r="65">
      <c r="A65" s="54"/>
      <c r="B65" s="110">
        <v>45713.0</v>
      </c>
      <c r="C65" s="110"/>
      <c r="D65" s="99"/>
      <c r="E65" s="100">
        <v>1322157.0</v>
      </c>
      <c r="F65" s="99">
        <f t="shared" si="24"/>
        <v>1280</v>
      </c>
      <c r="G65" s="100">
        <v>1134.0</v>
      </c>
      <c r="H65" s="101">
        <v>517.0</v>
      </c>
      <c r="I65" s="101">
        <v>539.52</v>
      </c>
      <c r="J65" s="102">
        <f t="shared" si="22"/>
        <v>-22.52</v>
      </c>
      <c r="K65" s="103">
        <f t="shared" si="23"/>
        <v>42.15</v>
      </c>
      <c r="L65" s="54"/>
      <c r="M65" s="54"/>
      <c r="P65" s="44"/>
    </row>
    <row r="66">
      <c r="A66" s="87" t="s">
        <v>77</v>
      </c>
      <c r="B66" s="88" t="str">
        <f>IF(L66=4,"АПРЕЛЬ",IF(L66=5,"МАЙ",IF(L66=1,"ЯНВАРЬ",IF(L66=2,"ФЕВРАЛЬ",IF(L66=3,"МАРТ",IF(L66=6,"ИЮНЬ",IF(L66=7,"ИЮЛЬ",IF(L66=8,"АВГУСТ",IF(L66=9,"СЕНТЯБРЬ",IF(L66=10,"ОКТЯБРЬ",IF(L66=11,"НОЯБРЬ",IF(L66=12,"ДЕКАБРЬ"))))))))))))</f>
        <v>МАРТ</v>
      </c>
      <c r="J66" s="89"/>
      <c r="K66" s="90"/>
      <c r="L66" s="91">
        <f>MONTH(B67)</f>
        <v>3</v>
      </c>
      <c r="M66" s="92">
        <f>YEAR(B67)</f>
        <v>2025</v>
      </c>
      <c r="N66" s="92" t="str">
        <f>RIGHT(M66,2)</f>
        <v>25</v>
      </c>
      <c r="O66" s="89"/>
      <c r="P66" s="9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</row>
    <row r="67">
      <c r="A67" s="54"/>
      <c r="B67" s="110">
        <v>45720.0</v>
      </c>
      <c r="C67" s="110"/>
      <c r="D67" s="99"/>
      <c r="E67" s="100">
        <v>1324071.0</v>
      </c>
      <c r="F67" s="99">
        <f>E67-E65</f>
        <v>1914</v>
      </c>
      <c r="G67" s="100">
        <v>1122.0</v>
      </c>
      <c r="H67" s="101">
        <v>568.0</v>
      </c>
      <c r="I67" s="101">
        <v>579.2</v>
      </c>
      <c r="J67" s="102">
        <f t="shared" ref="J67:J69" si="25">H67-I67</f>
        <v>-11.2</v>
      </c>
      <c r="K67" s="103">
        <f t="shared" ref="K67:K69" si="26">I67/F67*100</f>
        <v>30.26123302</v>
      </c>
      <c r="L67" s="54"/>
      <c r="M67" s="82" t="str">
        <f>"тотал"&amp;" "&amp;B66&amp;" "&amp;N66</f>
        <v>тотал МАРТ 25</v>
      </c>
      <c r="N67" s="75"/>
      <c r="O67" s="75"/>
      <c r="P67" s="75"/>
      <c r="Q67" s="76"/>
    </row>
    <row r="68">
      <c r="A68" s="54"/>
      <c r="B68" s="110">
        <v>45727.0</v>
      </c>
      <c r="C68" s="110"/>
      <c r="D68" s="99"/>
      <c r="E68" s="100">
        <v>1325762.0</v>
      </c>
      <c r="F68" s="99">
        <f t="shared" ref="F68:F69" si="27">E68-E67</f>
        <v>1691</v>
      </c>
      <c r="G68" s="100">
        <v>1115.0</v>
      </c>
      <c r="H68" s="101">
        <v>481.0</v>
      </c>
      <c r="I68" s="101">
        <v>492.36</v>
      </c>
      <c r="J68" s="102">
        <f t="shared" si="25"/>
        <v>-11.36</v>
      </c>
      <c r="K68" s="103">
        <f t="shared" si="26"/>
        <v>29.11649911</v>
      </c>
      <c r="L68" s="54"/>
      <c r="M68" s="83" t="s">
        <v>70</v>
      </c>
      <c r="N68" s="83" t="s">
        <v>71</v>
      </c>
      <c r="O68" s="83" t="s">
        <v>27</v>
      </c>
      <c r="P68" s="77" t="s">
        <v>28</v>
      </c>
      <c r="Q68" s="12" t="s">
        <v>78</v>
      </c>
    </row>
    <row r="69">
      <c r="A69" s="54"/>
      <c r="B69" s="110">
        <v>45736.0</v>
      </c>
      <c r="C69" s="110"/>
      <c r="D69" s="99"/>
      <c r="E69" s="100">
        <v>1327543.0</v>
      </c>
      <c r="F69" s="99">
        <f t="shared" si="27"/>
        <v>1781</v>
      </c>
      <c r="G69" s="100">
        <v>1055.0</v>
      </c>
      <c r="H69" s="101">
        <v>479.0</v>
      </c>
      <c r="I69" s="101">
        <v>500.0</v>
      </c>
      <c r="J69" s="102">
        <f t="shared" si="25"/>
        <v>-21</v>
      </c>
      <c r="K69" s="103">
        <f t="shared" si="26"/>
        <v>28.07411567</v>
      </c>
      <c r="L69" s="54"/>
      <c r="M69" s="84">
        <f>SUM(F67:F69)</f>
        <v>5386</v>
      </c>
      <c r="N69" s="84">
        <f>SUM(I67:I69)</f>
        <v>1571.56</v>
      </c>
      <c r="O69" s="85">
        <f>N69/M69*100</f>
        <v>29.17861121</v>
      </c>
      <c r="P69" s="79">
        <f>(M69/100)*(O69-Q69)</f>
        <v>-98.1</v>
      </c>
      <c r="Q69" s="78">
        <v>31.0</v>
      </c>
    </row>
    <row r="70">
      <c r="A70" s="87" t="s">
        <v>77</v>
      </c>
      <c r="B70" s="88" t="str">
        <f>IF(L70=4,"АПРЕЛЬ",IF(L70=5,"МАЙ",IF(L70=1,"ЯНВАРЬ",IF(L70=2,"ФЕВРАЛЬ",IF(L70=3,"МАРТ",IF(L70=6,"ИЮНЬ",IF(L70=7,"ИЮЛЬ",IF(L70=8,"АВГУСТ",IF(L70=9,"СЕНТЯБРЬ",IF(L70=10,"ОКТЯБРЬ",IF(L70=11,"НОЯБРЬ",IF(L70=12,"ДЕКАБРЬ"))))))))))))</f>
        <v>АПРЕЛЬ</v>
      </c>
      <c r="J70" s="89"/>
      <c r="K70" s="90"/>
      <c r="L70" s="91">
        <f>MONTH(B71)</f>
        <v>4</v>
      </c>
      <c r="M70" s="82" t="str">
        <f>"тотал"&amp;" "&amp;B70&amp;" "&amp;Q70</f>
        <v>тотал АПРЕЛЬ </v>
      </c>
      <c r="N70" s="75"/>
      <c r="O70" s="75"/>
      <c r="P70" s="75"/>
      <c r="Q70" s="76"/>
      <c r="R70" s="56"/>
      <c r="S70" s="56"/>
      <c r="T70" s="56"/>
      <c r="U70" s="56"/>
      <c r="V70" s="56"/>
      <c r="W70" s="56"/>
      <c r="X70" s="56"/>
      <c r="Y70" s="56"/>
      <c r="Z70" s="56"/>
      <c r="AA70" s="56"/>
    </row>
    <row r="71">
      <c r="A71" s="54"/>
      <c r="B71" s="110">
        <v>45755.0</v>
      </c>
      <c r="C71" s="110"/>
      <c r="D71" s="99"/>
      <c r="E71" s="100">
        <v>1330035.0</v>
      </c>
      <c r="F71" s="99">
        <f>E71-E69</f>
        <v>2492</v>
      </c>
      <c r="G71" s="100">
        <v>782.0</v>
      </c>
      <c r="H71" s="101">
        <v>449.0</v>
      </c>
      <c r="I71" s="101">
        <v>464.79</v>
      </c>
      <c r="J71" s="102">
        <f t="shared" ref="J71:J72" si="28">H71-I71</f>
        <v>-15.79</v>
      </c>
      <c r="K71" s="103">
        <f t="shared" ref="K71:K72" si="29">I71/F71*100</f>
        <v>18.65128411</v>
      </c>
      <c r="L71" s="54"/>
      <c r="M71" s="84" t="s">
        <v>70</v>
      </c>
      <c r="N71" s="84" t="s">
        <v>71</v>
      </c>
      <c r="O71" s="84" t="s">
        <v>27</v>
      </c>
      <c r="P71" s="77" t="s">
        <v>28</v>
      </c>
      <c r="Q71" s="12" t="s">
        <v>78</v>
      </c>
    </row>
    <row r="72">
      <c r="A72" s="54"/>
      <c r="B72" s="110">
        <v>45761.0</v>
      </c>
      <c r="C72" s="110"/>
      <c r="D72" s="99"/>
      <c r="E72" s="100">
        <v>1331481.0</v>
      </c>
      <c r="F72" s="99">
        <f>E72-E71</f>
        <v>1446</v>
      </c>
      <c r="G72" s="100">
        <v>1039.0</v>
      </c>
      <c r="H72" s="101">
        <v>700.0</v>
      </c>
      <c r="I72" s="101">
        <v>699.03</v>
      </c>
      <c r="J72" s="102">
        <f t="shared" si="28"/>
        <v>0.97</v>
      </c>
      <c r="K72" s="103">
        <f t="shared" si="29"/>
        <v>48.34232365</v>
      </c>
      <c r="L72" s="54"/>
      <c r="M72" s="84">
        <f>SUM(F71:F72)</f>
        <v>3938</v>
      </c>
      <c r="N72" s="84">
        <f>SUM(I71:I72)</f>
        <v>1163.82</v>
      </c>
      <c r="O72" s="85">
        <f>N72/M72*100</f>
        <v>29.5535805</v>
      </c>
      <c r="P72" s="79">
        <f>(M72/100)*(O72-Q72)</f>
        <v>-56.96</v>
      </c>
      <c r="Q72" s="78">
        <v>31.0</v>
      </c>
    </row>
    <row r="73">
      <c r="A73" s="87" t="s">
        <v>77</v>
      </c>
      <c r="B73" s="88" t="str">
        <f>IF(L73=4,"АПРЕЛЬ",IF(L73=5,"МАЙ",IF(L73=1,"ЯНВАРЬ",IF(L73=2,"ФЕВРАЛЬ",IF(L73=3,"МАРТ",IF(L73=6,"ИЮНЬ",IF(L73=7,"ИЮЛЬ",IF(L73=8,"АВГУСТ",IF(L73=9,"СЕНТЯБРЬ",IF(L73=10,"ОКТЯБРЬ",IF(L73=11,"НОЯБРЬ",IF(L73=12,"ДЕКАБРЬ"))))))))))))</f>
        <v>МАЙ</v>
      </c>
      <c r="J73" s="89"/>
      <c r="K73" s="90"/>
      <c r="L73" s="91">
        <f>MONTH(B74)</f>
        <v>5</v>
      </c>
      <c r="M73" s="92">
        <f>YEAR(B74)</f>
        <v>2025</v>
      </c>
      <c r="N73" s="92" t="str">
        <f>RIGHT(M73,2)</f>
        <v>25</v>
      </c>
      <c r="O73" s="89"/>
      <c r="P73" s="9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</row>
    <row r="74">
      <c r="A74" s="54"/>
      <c r="B74" s="110">
        <v>45789.0</v>
      </c>
      <c r="C74" s="110"/>
      <c r="D74" s="99"/>
      <c r="E74" s="100">
        <v>1333358.0</v>
      </c>
      <c r="F74" s="99">
        <f>E74-E72</f>
        <v>1877</v>
      </c>
      <c r="G74" s="100">
        <v>1060.0</v>
      </c>
      <c r="H74" s="101">
        <v>588.0</v>
      </c>
      <c r="I74" s="101">
        <v>600.0</v>
      </c>
      <c r="J74" s="102">
        <f t="shared" ref="J74:J76" si="30">H74-I74</f>
        <v>-12</v>
      </c>
      <c r="K74" s="103">
        <f t="shared" ref="K74:K76" si="31">I74/F74*100</f>
        <v>31.96590304</v>
      </c>
      <c r="L74" s="54"/>
      <c r="M74" s="82" t="str">
        <f>"тотал"&amp;" "&amp;B73&amp;" "&amp;N73</f>
        <v>тотал МАЙ 25</v>
      </c>
      <c r="N74" s="75"/>
      <c r="O74" s="75"/>
      <c r="P74" s="75"/>
      <c r="Q74" s="76"/>
    </row>
    <row r="75">
      <c r="A75" s="54"/>
      <c r="B75" s="110">
        <v>45797.0</v>
      </c>
      <c r="C75" s="100" t="s">
        <v>79</v>
      </c>
      <c r="D75" s="100" t="s">
        <v>67</v>
      </c>
      <c r="E75" s="100">
        <v>1335156.0</v>
      </c>
      <c r="F75" s="99">
        <f t="shared" ref="F75:F76" si="32">E75-E74</f>
        <v>1798</v>
      </c>
      <c r="G75" s="100">
        <v>1143.0</v>
      </c>
      <c r="H75" s="101">
        <v>603.0</v>
      </c>
      <c r="I75" s="101">
        <v>619.42</v>
      </c>
      <c r="J75" s="102">
        <f t="shared" si="30"/>
        <v>-16.42</v>
      </c>
      <c r="K75" s="103">
        <f t="shared" si="31"/>
        <v>34.45050056</v>
      </c>
      <c r="L75" s="54"/>
      <c r="M75" s="83" t="s">
        <v>70</v>
      </c>
      <c r="N75" s="83" t="s">
        <v>71</v>
      </c>
      <c r="O75" s="83" t="s">
        <v>27</v>
      </c>
      <c r="P75" s="77" t="s">
        <v>28</v>
      </c>
      <c r="Q75" s="12" t="s">
        <v>78</v>
      </c>
    </row>
    <row r="76">
      <c r="A76" s="54"/>
      <c r="B76" s="110">
        <v>45805.0</v>
      </c>
      <c r="C76" s="100" t="s">
        <v>79</v>
      </c>
      <c r="D76" s="100" t="s">
        <v>67</v>
      </c>
      <c r="E76" s="100">
        <v>1337703.0</v>
      </c>
      <c r="F76" s="99">
        <f t="shared" si="32"/>
        <v>2547</v>
      </c>
      <c r="G76" s="100">
        <v>1033.0</v>
      </c>
      <c r="H76" s="101">
        <v>600.0</v>
      </c>
      <c r="I76" s="101">
        <v>600.0</v>
      </c>
      <c r="J76" s="102">
        <f t="shared" si="30"/>
        <v>0</v>
      </c>
      <c r="K76" s="103">
        <f t="shared" si="31"/>
        <v>23.55712603</v>
      </c>
      <c r="L76" s="54"/>
      <c r="M76" s="84">
        <f>SUM(F74:F76)</f>
        <v>6222</v>
      </c>
      <c r="N76" s="84">
        <f>SUM(I74:I76)</f>
        <v>1819.42</v>
      </c>
      <c r="O76" s="85">
        <f>N76/M76*100</f>
        <v>29.24172292</v>
      </c>
      <c r="P76" s="79">
        <f>(M76/100)*(O76-Q76)</f>
        <v>-109.4</v>
      </c>
      <c r="Q76" s="78">
        <v>31.0</v>
      </c>
    </row>
    <row r="77">
      <c r="A77" s="87" t="s">
        <v>77</v>
      </c>
      <c r="B77" s="88" t="str">
        <f>IF(L77=4,"АПРЕЛЬ",IF(L77=5,"МАЙ",IF(L77=1,"ЯНВАРЬ",IF(L77=2,"ФЕВРАЛЬ",IF(L77=3,"МАРТ",IF(L77=6,"ИЮНЬ",IF(L77=7,"ИЮЛЬ",IF(L77=8,"АВГУСТ",IF(L77=9,"СЕНТЯБРЬ",IF(L77=10,"ОКТЯБРЬ",IF(L77=11,"НОЯБРЬ",IF(L77=12,"ДЕКАБРЬ"))))))))))))</f>
        <v>ИЮНЬ</v>
      </c>
      <c r="J77" s="89"/>
      <c r="K77" s="90"/>
      <c r="L77" s="91">
        <f>MONTH(B78)</f>
        <v>6</v>
      </c>
      <c r="M77" s="92">
        <f>YEAR(B78)</f>
        <v>2025</v>
      </c>
      <c r="N77" s="92" t="str">
        <f>RIGHT(M77,2)</f>
        <v>25</v>
      </c>
      <c r="O77" s="89"/>
      <c r="P77" s="9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</row>
    <row r="78">
      <c r="A78" s="54"/>
      <c r="B78" s="110">
        <v>45811.0</v>
      </c>
      <c r="C78" s="100" t="s">
        <v>79</v>
      </c>
      <c r="D78" s="100" t="s">
        <v>67</v>
      </c>
      <c r="E78" s="100">
        <v>1338755.0</v>
      </c>
      <c r="F78" s="99">
        <f>E78-E76</f>
        <v>1052</v>
      </c>
      <c r="G78" s="100">
        <v>1143.0</v>
      </c>
      <c r="H78" s="101">
        <v>408.0</v>
      </c>
      <c r="I78" s="101">
        <v>408.62</v>
      </c>
      <c r="J78" s="102">
        <f t="shared" ref="J78:J80" si="33">H78-I78</f>
        <v>-0.62</v>
      </c>
      <c r="K78" s="103">
        <f t="shared" ref="K78:K80" si="34">I78/F78*100</f>
        <v>38.84220532</v>
      </c>
      <c r="L78" s="54"/>
      <c r="M78" s="82" t="str">
        <f>"тотал"&amp;" "&amp;B77&amp;" "&amp;N77</f>
        <v>тотал ИЮНЬ 25</v>
      </c>
      <c r="N78" s="75"/>
      <c r="O78" s="75"/>
      <c r="P78" s="75"/>
      <c r="Q78" s="76"/>
    </row>
    <row r="79">
      <c r="A79" s="54"/>
      <c r="B79" s="110">
        <v>45825.0</v>
      </c>
      <c r="C79" s="100" t="s">
        <v>79</v>
      </c>
      <c r="D79" s="100" t="s">
        <v>67</v>
      </c>
      <c r="E79" s="100">
        <v>1340846.0</v>
      </c>
      <c r="F79" s="99">
        <f t="shared" ref="F79:F80" si="35">E79-E78</f>
        <v>2091</v>
      </c>
      <c r="G79" s="100">
        <v>1151.0</v>
      </c>
      <c r="H79" s="101">
        <v>602.0</v>
      </c>
      <c r="I79" s="101">
        <v>600.0</v>
      </c>
      <c r="J79" s="102">
        <f t="shared" si="33"/>
        <v>2</v>
      </c>
      <c r="K79" s="103">
        <f t="shared" si="34"/>
        <v>28.69440459</v>
      </c>
      <c r="L79" s="54"/>
      <c r="M79" s="83" t="s">
        <v>70</v>
      </c>
      <c r="N79" s="83" t="s">
        <v>71</v>
      </c>
      <c r="O79" s="83" t="s">
        <v>27</v>
      </c>
      <c r="P79" s="77" t="s">
        <v>28</v>
      </c>
      <c r="Q79" s="12" t="s">
        <v>78</v>
      </c>
    </row>
    <row r="80">
      <c r="A80" s="54"/>
      <c r="B80" s="110">
        <v>45833.0</v>
      </c>
      <c r="C80" s="100" t="s">
        <v>79</v>
      </c>
      <c r="D80" s="100" t="s">
        <v>67</v>
      </c>
      <c r="E80" s="100">
        <v>1342530.0</v>
      </c>
      <c r="F80" s="99">
        <f t="shared" si="35"/>
        <v>1684</v>
      </c>
      <c r="G80" s="100">
        <v>1168.0</v>
      </c>
      <c r="H80" s="101">
        <v>504.0</v>
      </c>
      <c r="I80" s="101">
        <v>494.41</v>
      </c>
      <c r="J80" s="102">
        <f t="shared" si="33"/>
        <v>9.59</v>
      </c>
      <c r="K80" s="103">
        <f t="shared" si="34"/>
        <v>29.35926366</v>
      </c>
      <c r="L80" s="54"/>
      <c r="M80" s="84">
        <f>SUM(F78:F80)</f>
        <v>4827</v>
      </c>
      <c r="N80" s="84">
        <f>SUM(I78:I80)</f>
        <v>1503.03</v>
      </c>
      <c r="O80" s="85">
        <f>N80/M80*100</f>
        <v>31.1379739</v>
      </c>
      <c r="P80" s="79">
        <f>(M80/100)*(O80-Q80)</f>
        <v>6.66</v>
      </c>
      <c r="Q80" s="78">
        <v>31.0</v>
      </c>
    </row>
    <row r="81">
      <c r="A81" s="87" t="s">
        <v>77</v>
      </c>
      <c r="B81" s="88" t="str">
        <f>IF(L81=4,"АПРЕЛЬ",IF(L81=5,"МАЙ",IF(L81=1,"ЯНВАРЬ",IF(L81=2,"ФЕВРАЛЬ",IF(L81=3,"МАРТ",IF(L81=6,"ИЮНЬ",IF(L81=7,"ИЮЛЬ",IF(L81=8,"АВГУСТ",IF(L81=9,"СЕНТЯБРЬ",IF(L81=10,"ОКТЯБРЬ",IF(L81=11,"НОЯБРЬ",IF(L81=12,"ДЕКАБРЬ"))))))))))))</f>
        <v>ИЮЛЬ</v>
      </c>
      <c r="J81" s="89"/>
      <c r="K81" s="90"/>
      <c r="L81" s="91">
        <f>MONTH(B82)</f>
        <v>7</v>
      </c>
      <c r="M81" s="92"/>
      <c r="N81" s="92"/>
      <c r="O81" s="89"/>
      <c r="P81" s="9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</row>
    <row r="82">
      <c r="A82" s="54"/>
      <c r="B82" s="110">
        <v>45845.0</v>
      </c>
      <c r="C82" s="100" t="s">
        <v>79</v>
      </c>
      <c r="D82" s="100" t="s">
        <v>67</v>
      </c>
      <c r="E82" s="100">
        <v>1345326.0</v>
      </c>
      <c r="F82" s="99">
        <f>E82-E80</f>
        <v>2796</v>
      </c>
      <c r="G82" s="100">
        <v>1119.0</v>
      </c>
      <c r="H82" s="101">
        <v>793.0</v>
      </c>
      <c r="I82" s="101">
        <v>800.0</v>
      </c>
      <c r="J82" s="102">
        <f t="shared" ref="J82:J85" si="36">H82-I82</f>
        <v>-7</v>
      </c>
      <c r="K82" s="103">
        <f t="shared" ref="K82:K85" si="37">I82/F82*100</f>
        <v>28.61230329</v>
      </c>
      <c r="M82" s="82" t="str">
        <f>"тотал"&amp;" "&amp;B81&amp;" "&amp;RIGHT(YEAR(B82),2)</f>
        <v>тотал ИЮЛЬ 25</v>
      </c>
      <c r="N82" s="75"/>
      <c r="O82" s="75"/>
      <c r="P82" s="75"/>
      <c r="Q82" s="76"/>
    </row>
    <row r="83">
      <c r="A83" s="54"/>
      <c r="B83" s="110">
        <v>45852.0</v>
      </c>
      <c r="C83" s="100" t="s">
        <v>79</v>
      </c>
      <c r="D83" s="100" t="s">
        <v>67</v>
      </c>
      <c r="E83" s="100">
        <v>1346682.0</v>
      </c>
      <c r="F83" s="99">
        <f t="shared" ref="F83:F85" si="38">E83-E82</f>
        <v>1356</v>
      </c>
      <c r="G83" s="100">
        <v>1145.0</v>
      </c>
      <c r="H83" s="101">
        <v>502.0</v>
      </c>
      <c r="I83" s="101">
        <v>490.86</v>
      </c>
      <c r="J83" s="102">
        <f t="shared" si="36"/>
        <v>11.14</v>
      </c>
      <c r="K83" s="103">
        <f t="shared" si="37"/>
        <v>36.19911504</v>
      </c>
      <c r="M83" s="83" t="s">
        <v>70</v>
      </c>
      <c r="N83" s="83" t="s">
        <v>71</v>
      </c>
      <c r="O83" s="83" t="s">
        <v>27</v>
      </c>
      <c r="P83" s="77" t="s">
        <v>28</v>
      </c>
      <c r="Q83" s="12" t="s">
        <v>78</v>
      </c>
    </row>
    <row r="84">
      <c r="A84" s="54"/>
      <c r="B84" s="110">
        <v>45860.0</v>
      </c>
      <c r="C84" s="100" t="s">
        <v>79</v>
      </c>
      <c r="D84" s="100" t="s">
        <v>67</v>
      </c>
      <c r="E84" s="100">
        <v>1348410.0</v>
      </c>
      <c r="F84" s="99">
        <f t="shared" si="38"/>
        <v>1728</v>
      </c>
      <c r="G84" s="100">
        <v>1122.0</v>
      </c>
      <c r="H84" s="101">
        <v>488.0</v>
      </c>
      <c r="I84" s="101">
        <v>500.0</v>
      </c>
      <c r="J84" s="102">
        <f t="shared" si="36"/>
        <v>-12</v>
      </c>
      <c r="K84" s="103">
        <f t="shared" si="37"/>
        <v>28.93518519</v>
      </c>
      <c r="M84" s="84">
        <f>SUM(F82:F85)</f>
        <v>7595</v>
      </c>
      <c r="N84" s="84">
        <f>SUM(I82:I85)</f>
        <v>2290.86</v>
      </c>
      <c r="O84" s="85">
        <f>N84/M84*100</f>
        <v>30.16273864</v>
      </c>
      <c r="P84" s="79">
        <f>(M84/100)*(O84-Q84)</f>
        <v>-63.59</v>
      </c>
      <c r="Q84" s="78">
        <v>31.0</v>
      </c>
    </row>
    <row r="85">
      <c r="A85" s="54"/>
      <c r="B85" s="110">
        <v>45866.0</v>
      </c>
      <c r="C85" s="100" t="s">
        <v>79</v>
      </c>
      <c r="D85" s="100" t="s">
        <v>67</v>
      </c>
      <c r="E85" s="100">
        <v>1350125.0</v>
      </c>
      <c r="F85" s="99">
        <f t="shared" si="38"/>
        <v>1715</v>
      </c>
      <c r="G85" s="100">
        <v>1135.0</v>
      </c>
      <c r="H85" s="101">
        <v>500.0</v>
      </c>
      <c r="I85" s="101">
        <v>500.0</v>
      </c>
      <c r="J85" s="102">
        <f t="shared" si="36"/>
        <v>0</v>
      </c>
      <c r="K85" s="103">
        <f t="shared" si="37"/>
        <v>29.15451895</v>
      </c>
      <c r="L85" s="54"/>
      <c r="M85" s="54"/>
      <c r="N85" s="54"/>
      <c r="P85" s="44"/>
    </row>
    <row r="86">
      <c r="A86" s="87" t="s">
        <v>77</v>
      </c>
      <c r="B86" s="88" t="str">
        <f>IF(L86=4,"АПРЕЛЬ",IF(L86=5,"МАЙ",IF(L86=1,"ЯНВАРЬ",IF(L86=2,"ФЕВРАЛЬ",IF(L86=3,"МАРТ",IF(L86=6,"ИЮНЬ",IF(L86=7,"ИЮЛЬ",IF(L86=8,"АВГУСТ",IF(L86=9,"СЕНТЯБРЬ",IF(L86=10,"ОКТЯБРЬ",IF(L86=11,"НОЯБРЬ",IF(L86=12,"ДЕКАБРЬ"))))))))))))</f>
        <v>АВГУСТ</v>
      </c>
      <c r="J86" s="89"/>
      <c r="K86" s="90"/>
      <c r="L86" s="91">
        <f>MONTH(B87)</f>
        <v>8</v>
      </c>
      <c r="M86" s="92"/>
      <c r="N86" s="92"/>
      <c r="O86" s="89"/>
      <c r="P86" s="9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</row>
    <row r="87">
      <c r="A87" s="54"/>
      <c r="B87" s="110">
        <v>45880.0</v>
      </c>
      <c r="C87" s="100" t="s">
        <v>79</v>
      </c>
      <c r="D87" s="100" t="s">
        <v>67</v>
      </c>
      <c r="E87" s="100">
        <v>1353057.0</v>
      </c>
      <c r="F87" s="99">
        <f>E87-E85</f>
        <v>2932</v>
      </c>
      <c r="G87" s="100">
        <v>1140.0</v>
      </c>
      <c r="H87" s="101">
        <v>846.0</v>
      </c>
      <c r="I87" s="101">
        <v>880.03</v>
      </c>
      <c r="J87" s="102">
        <f t="shared" ref="J87:J89" si="39">H87-I87</f>
        <v>-34.03</v>
      </c>
      <c r="K87" s="103">
        <f t="shared" ref="K87:K89" si="40">I87/F87*100</f>
        <v>30.01466576</v>
      </c>
      <c r="L87" s="54"/>
      <c r="M87" s="82" t="str">
        <f>"тотал"&amp;" "&amp;B86&amp;" "&amp;RIGHT(YEAR(B87),2)</f>
        <v>тотал АВГУСТ 25</v>
      </c>
      <c r="N87" s="75"/>
      <c r="O87" s="75"/>
      <c r="P87" s="75"/>
      <c r="Q87" s="76"/>
    </row>
    <row r="88">
      <c r="A88" s="54"/>
      <c r="B88" s="110">
        <v>45889.0</v>
      </c>
      <c r="C88" s="100" t="s">
        <v>79</v>
      </c>
      <c r="D88" s="100" t="s">
        <v>67</v>
      </c>
      <c r="E88" s="100">
        <v>1355319.0</v>
      </c>
      <c r="F88" s="99">
        <f t="shared" ref="F88:F89" si="41">E88-E87</f>
        <v>2262</v>
      </c>
      <c r="G88" s="100">
        <v>1080.0</v>
      </c>
      <c r="H88" s="101">
        <v>578.0</v>
      </c>
      <c r="I88" s="101">
        <v>600.0</v>
      </c>
      <c r="J88" s="102">
        <f t="shared" si="39"/>
        <v>-22</v>
      </c>
      <c r="K88" s="103">
        <f t="shared" si="40"/>
        <v>26.52519894</v>
      </c>
      <c r="L88" s="54"/>
      <c r="M88" s="83" t="s">
        <v>70</v>
      </c>
      <c r="N88" s="83" t="s">
        <v>71</v>
      </c>
      <c r="O88" s="83" t="s">
        <v>27</v>
      </c>
      <c r="P88" s="77" t="s">
        <v>28</v>
      </c>
      <c r="Q88" s="12" t="s">
        <v>78</v>
      </c>
    </row>
    <row r="89">
      <c r="A89" s="54"/>
      <c r="B89" s="110">
        <v>45896.0</v>
      </c>
      <c r="C89" s="100" t="s">
        <v>79</v>
      </c>
      <c r="D89" s="100" t="s">
        <v>67</v>
      </c>
      <c r="E89" s="100">
        <v>1356494.0</v>
      </c>
      <c r="F89" s="99">
        <f t="shared" si="41"/>
        <v>1175</v>
      </c>
      <c r="G89" s="100">
        <v>1142.0</v>
      </c>
      <c r="H89" s="101">
        <v>418.0</v>
      </c>
      <c r="I89" s="101">
        <v>408.59</v>
      </c>
      <c r="J89" s="102">
        <f t="shared" si="39"/>
        <v>9.41</v>
      </c>
      <c r="K89" s="103">
        <f t="shared" si="40"/>
        <v>34.77361702</v>
      </c>
      <c r="L89" s="54"/>
      <c r="M89" s="84">
        <f>SUM(F87:F89)</f>
        <v>6369</v>
      </c>
      <c r="N89" s="84">
        <f>SUM(I87:I89)</f>
        <v>1888.62</v>
      </c>
      <c r="O89" s="85">
        <f>N89/M89*100</f>
        <v>29.65332077</v>
      </c>
      <c r="P89" s="79">
        <f>(M89/100)*(O89-Q89)</f>
        <v>-85.77</v>
      </c>
      <c r="Q89" s="78">
        <v>31.0</v>
      </c>
    </row>
    <row r="90">
      <c r="A90" s="87" t="s">
        <v>77</v>
      </c>
      <c r="B90" s="88" t="str">
        <f>IF(L90=4,"АПРЕЛЬ",IF(L90=5,"МАЙ",IF(L90=1,"ЯНВАРЬ",IF(L90=2,"ФЕВРАЛЬ",IF(L90=3,"МАРТ",IF(L90=6,"ИЮНЬ",IF(L90=7,"ИЮЛЬ",IF(L90=8,"АВГУСТ",IF(L90=9,"СЕНТЯБРЬ",IF(L90=10,"ОКТЯБРЬ",IF(L90=11,"НОЯБРЬ",IF(L90=12,"ДЕКАБРЬ"))))))))))))</f>
        <v>СЕНТЯБРЬ</v>
      </c>
      <c r="J90" s="89"/>
      <c r="K90" s="90"/>
      <c r="L90" s="91">
        <f>MONTH(B91)</f>
        <v>9</v>
      </c>
      <c r="M90" s="92"/>
      <c r="N90" s="92"/>
      <c r="O90" s="89"/>
      <c r="P90" s="93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</row>
    <row r="91">
      <c r="A91" s="54"/>
      <c r="B91" s="110">
        <v>45902.0</v>
      </c>
      <c r="C91" s="100" t="s">
        <v>79</v>
      </c>
      <c r="D91" s="100" t="s">
        <v>67</v>
      </c>
      <c r="E91" s="100">
        <v>1357949.0</v>
      </c>
      <c r="F91" s="99">
        <f>E91-E89</f>
        <v>1455</v>
      </c>
      <c r="G91" s="100">
        <v>1133.0</v>
      </c>
      <c r="H91" s="101">
        <v>407.0</v>
      </c>
      <c r="I91" s="101">
        <v>415.42</v>
      </c>
      <c r="J91" s="102">
        <f t="shared" ref="J91:J94" si="42">H91-I91</f>
        <v>-8.42</v>
      </c>
      <c r="K91" s="103">
        <f t="shared" ref="K91:K94" si="43">I91/F91*100</f>
        <v>28.55120275</v>
      </c>
      <c r="L91" s="54"/>
      <c r="M91" s="82" t="str">
        <f>"тотал"&amp;" "&amp;B90&amp;" "&amp;RIGHT(YEAR(B91),2)</f>
        <v>тотал СЕНТЯБРЬ 25</v>
      </c>
      <c r="N91" s="75"/>
      <c r="O91" s="75"/>
      <c r="P91" s="75"/>
      <c r="Q91" s="76"/>
    </row>
    <row r="92">
      <c r="A92" s="54"/>
      <c r="B92" s="110">
        <v>45910.0</v>
      </c>
      <c r="C92" s="100" t="s">
        <v>79</v>
      </c>
      <c r="D92" s="100" t="s">
        <v>67</v>
      </c>
      <c r="E92" s="100">
        <v>1359343.0</v>
      </c>
      <c r="F92" s="99">
        <f t="shared" ref="F92:F94" si="44">E92-E91</f>
        <v>1394</v>
      </c>
      <c r="G92" s="100">
        <v>1127.0</v>
      </c>
      <c r="H92" s="101">
        <v>381.0</v>
      </c>
      <c r="I92" s="101">
        <v>392.22</v>
      </c>
      <c r="J92" s="102">
        <f t="shared" si="42"/>
        <v>-11.22</v>
      </c>
      <c r="K92" s="103">
        <f t="shared" si="43"/>
        <v>28.13629842</v>
      </c>
      <c r="L92" s="54"/>
      <c r="M92" s="83" t="s">
        <v>70</v>
      </c>
      <c r="N92" s="83" t="s">
        <v>71</v>
      </c>
      <c r="O92" s="83" t="s">
        <v>27</v>
      </c>
      <c r="P92" s="77" t="s">
        <v>28</v>
      </c>
      <c r="Q92" s="12" t="s">
        <v>78</v>
      </c>
    </row>
    <row r="93">
      <c r="A93" s="54"/>
      <c r="B93" s="110">
        <v>45918.0</v>
      </c>
      <c r="C93" s="100" t="s">
        <v>79</v>
      </c>
      <c r="D93" s="100" t="s">
        <v>67</v>
      </c>
      <c r="E93" s="100">
        <v>1360776.0</v>
      </c>
      <c r="F93" s="99">
        <f t="shared" si="44"/>
        <v>1433</v>
      </c>
      <c r="G93" s="100">
        <v>1143.0</v>
      </c>
      <c r="H93" s="101">
        <v>381.0</v>
      </c>
      <c r="I93" s="101">
        <v>414.51</v>
      </c>
      <c r="J93" s="102">
        <f t="shared" si="42"/>
        <v>-33.51</v>
      </c>
      <c r="K93" s="103">
        <f t="shared" si="43"/>
        <v>28.92602931</v>
      </c>
      <c r="L93" s="54"/>
      <c r="M93" s="84">
        <f>SUM(F91:F94)</f>
        <v>6423</v>
      </c>
      <c r="N93" s="84">
        <f>SUM(I91:I94)</f>
        <v>1722.15</v>
      </c>
      <c r="O93" s="85">
        <f>N93/M93*100</f>
        <v>26.81223727</v>
      </c>
      <c r="P93" s="79">
        <f>(M93/100)*(O93-Q93)</f>
        <v>-268.98</v>
      </c>
      <c r="Q93" s="78">
        <v>31.0</v>
      </c>
    </row>
    <row r="94">
      <c r="A94" s="54"/>
      <c r="B94" s="110">
        <v>45925.0</v>
      </c>
      <c r="C94" s="100" t="s">
        <v>79</v>
      </c>
      <c r="D94" s="100" t="s">
        <v>67</v>
      </c>
      <c r="E94" s="100">
        <v>1362917.0</v>
      </c>
      <c r="F94" s="99">
        <f t="shared" si="44"/>
        <v>2141</v>
      </c>
      <c r="G94" s="100">
        <v>1055.0</v>
      </c>
      <c r="H94" s="101">
        <v>508.0</v>
      </c>
      <c r="I94" s="101">
        <v>500.0</v>
      </c>
      <c r="J94" s="102">
        <f t="shared" si="42"/>
        <v>8</v>
      </c>
      <c r="K94" s="103">
        <f t="shared" si="43"/>
        <v>23.3535731</v>
      </c>
      <c r="L94" s="54"/>
      <c r="M94" s="54"/>
      <c r="P94" s="44"/>
    </row>
    <row r="95">
      <c r="A95" s="87" t="s">
        <v>77</v>
      </c>
      <c r="B95" s="88" t="str">
        <f>IF(L95=4,"АПРЕЛЬ",IF(L95=5,"МАЙ",IF(L95=1,"ЯНВАРЬ",IF(L95=2,"ФЕВРАЛЬ",IF(L95=3,"МАРТ",IF(L95=6,"ИЮНЬ",IF(L95=7,"ИЮЛЬ",IF(L95=8,"АВГУСТ",IF(L95=9,"СЕНТЯБРЬ",IF(L95=10,"ОКТЯБРЬ",IF(L95=11,"НОЯБРЬ",IF(L95=12,"ДЕКАБРЬ"))))))))))))</f>
        <v>ОКТЯБРЬ</v>
      </c>
      <c r="J95" s="89"/>
      <c r="K95" s="90"/>
      <c r="L95" s="91">
        <f>MONTH(B96)</f>
        <v>10</v>
      </c>
      <c r="M95" s="92"/>
      <c r="N95" s="92"/>
      <c r="O95" s="89"/>
      <c r="P95" s="93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</row>
    <row r="96">
      <c r="A96" s="54"/>
      <c r="B96" s="110">
        <v>45937.0</v>
      </c>
      <c r="C96" s="100" t="s">
        <v>79</v>
      </c>
      <c r="D96" s="100" t="s">
        <v>67</v>
      </c>
      <c r="E96" s="100">
        <v>1364950.0</v>
      </c>
      <c r="F96" s="99">
        <f>E96-E94</f>
        <v>2033</v>
      </c>
      <c r="G96" s="100">
        <v>1061.0</v>
      </c>
      <c r="H96" s="101">
        <v>587.0</v>
      </c>
      <c r="I96" s="101">
        <v>600.0</v>
      </c>
      <c r="J96" s="102">
        <f>H96-I96</f>
        <v>-13</v>
      </c>
      <c r="K96" s="103">
        <f>I96/F96*100</f>
        <v>29.51303492</v>
      </c>
      <c r="L96" s="54"/>
      <c r="M96" s="82" t="str">
        <f>"тотал"&amp;" "&amp;B95&amp;" "&amp;RIGHT(YEAR(B96),2)</f>
        <v>тотал ОКТЯБРЬ 25</v>
      </c>
      <c r="N96" s="75"/>
      <c r="O96" s="75"/>
      <c r="P96" s="75"/>
      <c r="Q96" s="76"/>
    </row>
    <row r="97">
      <c r="A97" s="54"/>
      <c r="B97" s="99"/>
      <c r="C97" s="99"/>
      <c r="D97" s="99"/>
      <c r="E97" s="99"/>
      <c r="F97" s="99"/>
      <c r="G97" s="99"/>
      <c r="H97" s="102"/>
      <c r="I97" s="102"/>
      <c r="J97" s="102"/>
      <c r="K97" s="102"/>
      <c r="L97" s="54"/>
      <c r="M97" s="83" t="s">
        <v>70</v>
      </c>
      <c r="N97" s="83" t="s">
        <v>71</v>
      </c>
      <c r="O97" s="83" t="s">
        <v>27</v>
      </c>
      <c r="P97" s="77" t="s">
        <v>28</v>
      </c>
      <c r="Q97" s="12" t="s">
        <v>78</v>
      </c>
    </row>
    <row r="98">
      <c r="A98" s="54"/>
      <c r="B98" s="99"/>
      <c r="C98" s="99"/>
      <c r="D98" s="99"/>
      <c r="E98" s="99"/>
      <c r="F98" s="99"/>
      <c r="G98" s="99"/>
      <c r="H98" s="102"/>
      <c r="I98" s="102"/>
      <c r="J98" s="102"/>
      <c r="K98" s="102"/>
      <c r="L98" s="54"/>
      <c r="M98" s="84">
        <f>SUM(F96:F99)</f>
        <v>2033</v>
      </c>
      <c r="N98" s="84">
        <f>SUM(I96:I99)</f>
        <v>600</v>
      </c>
      <c r="O98" s="85">
        <f>N98/M98*100</f>
        <v>29.51303492</v>
      </c>
      <c r="P98" s="79">
        <f>(M98/100)*(O98-Q98)</f>
        <v>-30.23</v>
      </c>
      <c r="Q98" s="78">
        <v>31.0</v>
      </c>
    </row>
    <row r="99">
      <c r="A99" s="54"/>
      <c r="B99" s="99"/>
      <c r="C99" s="99"/>
      <c r="D99" s="99"/>
      <c r="E99" s="99"/>
      <c r="F99" s="99"/>
      <c r="G99" s="99"/>
      <c r="H99" s="102"/>
      <c r="I99" s="102"/>
      <c r="J99" s="102"/>
      <c r="K99" s="102"/>
      <c r="L99" s="54"/>
      <c r="M99" s="54"/>
      <c r="P99" s="44"/>
    </row>
    <row r="100">
      <c r="A100" s="54"/>
      <c r="B100" s="114"/>
      <c r="C100" s="114"/>
      <c r="D100" s="114"/>
      <c r="E100" s="114"/>
      <c r="F100" s="114"/>
      <c r="G100" s="114"/>
      <c r="H100" s="54"/>
      <c r="I100" s="54"/>
      <c r="J100" s="54"/>
      <c r="K100" s="54"/>
      <c r="L100" s="54"/>
      <c r="M100" s="54"/>
      <c r="P100" s="44"/>
    </row>
    <row r="101">
      <c r="A101" s="54"/>
      <c r="B101" s="114"/>
      <c r="C101" s="114"/>
      <c r="D101" s="114"/>
      <c r="E101" s="114"/>
      <c r="F101" s="114"/>
      <c r="G101" s="114"/>
      <c r="H101" s="54"/>
      <c r="I101" s="54"/>
      <c r="J101" s="54"/>
      <c r="K101" s="54"/>
      <c r="L101" s="54"/>
      <c r="M101" s="54"/>
      <c r="P101" s="44"/>
    </row>
    <row r="102">
      <c r="A102" s="54"/>
      <c r="B102" s="114"/>
      <c r="C102" s="114"/>
      <c r="D102" s="114"/>
      <c r="E102" s="114"/>
      <c r="F102" s="114"/>
      <c r="G102" s="114"/>
      <c r="H102" s="54"/>
      <c r="I102" s="54"/>
      <c r="J102" s="54"/>
      <c r="K102" s="54"/>
      <c r="L102" s="54"/>
      <c r="M102" s="54"/>
      <c r="P102" s="44"/>
    </row>
    <row r="103">
      <c r="A103" s="54"/>
      <c r="B103" s="114"/>
      <c r="C103" s="114"/>
      <c r="D103" s="114"/>
      <c r="E103" s="114"/>
      <c r="F103" s="114"/>
      <c r="G103" s="114"/>
      <c r="H103" s="54"/>
      <c r="I103" s="54"/>
      <c r="J103" s="54"/>
      <c r="K103" s="54"/>
      <c r="L103" s="54"/>
      <c r="M103" s="54"/>
      <c r="P103" s="44"/>
    </row>
    <row r="104">
      <c r="A104" s="54"/>
      <c r="B104" s="114"/>
      <c r="C104" s="114"/>
      <c r="D104" s="114"/>
      <c r="E104" s="114"/>
      <c r="F104" s="114"/>
      <c r="G104" s="114"/>
      <c r="H104" s="54"/>
      <c r="I104" s="54"/>
      <c r="J104" s="54"/>
      <c r="K104" s="54"/>
      <c r="L104" s="54"/>
      <c r="M104" s="54"/>
      <c r="P104" s="44"/>
    </row>
    <row r="105">
      <c r="A105" s="54"/>
      <c r="B105" s="114"/>
      <c r="C105" s="114"/>
      <c r="D105" s="114"/>
      <c r="E105" s="114"/>
      <c r="F105" s="114"/>
      <c r="G105" s="114"/>
      <c r="H105" s="54"/>
      <c r="I105" s="54"/>
      <c r="J105" s="54"/>
      <c r="K105" s="54"/>
      <c r="L105" s="54"/>
      <c r="M105" s="54"/>
      <c r="P105" s="44"/>
    </row>
    <row r="106">
      <c r="A106" s="54"/>
      <c r="B106" s="114"/>
      <c r="C106" s="114"/>
      <c r="D106" s="114"/>
      <c r="E106" s="114"/>
      <c r="F106" s="114"/>
      <c r="G106" s="114"/>
      <c r="H106" s="54"/>
      <c r="I106" s="54"/>
      <c r="J106" s="54"/>
      <c r="K106" s="54"/>
      <c r="L106" s="54"/>
      <c r="M106" s="54"/>
      <c r="P106" s="44"/>
    </row>
    <row r="107">
      <c r="A107" s="54"/>
      <c r="B107" s="115"/>
      <c r="C107" s="114"/>
      <c r="D107" s="114"/>
      <c r="E107" s="114"/>
      <c r="F107" s="114"/>
      <c r="G107" s="114"/>
      <c r="H107" s="54"/>
      <c r="I107" s="54"/>
      <c r="J107" s="54"/>
      <c r="K107" s="54"/>
      <c r="L107" s="54"/>
      <c r="M107" s="54"/>
      <c r="P107" s="44"/>
    </row>
    <row r="108">
      <c r="A108" s="54"/>
      <c r="B108" s="114"/>
      <c r="C108" s="114"/>
      <c r="D108" s="114"/>
      <c r="E108" s="114"/>
      <c r="F108" s="114"/>
      <c r="G108" s="114"/>
      <c r="H108" s="54"/>
      <c r="I108" s="54"/>
      <c r="J108" s="54"/>
      <c r="K108" s="54"/>
      <c r="L108" s="54"/>
      <c r="M108" s="54"/>
      <c r="P108" s="44"/>
    </row>
    <row r="109">
      <c r="A109" s="54"/>
      <c r="B109" s="114"/>
      <c r="C109" s="114"/>
      <c r="D109" s="116" t="s">
        <v>80</v>
      </c>
      <c r="E109" s="114"/>
      <c r="F109" s="114"/>
      <c r="G109" s="114"/>
      <c r="H109" s="54"/>
      <c r="I109" s="54"/>
      <c r="J109" s="54"/>
      <c r="K109" s="54"/>
      <c r="L109" s="54"/>
      <c r="M109" s="54"/>
      <c r="P109" s="44"/>
    </row>
    <row r="110">
      <c r="A110" s="54"/>
      <c r="B110" s="114"/>
      <c r="C110" s="117"/>
      <c r="D110" s="115"/>
      <c r="E110" s="114"/>
      <c r="F110" s="114"/>
      <c r="G110" s="114"/>
      <c r="H110" s="54"/>
      <c r="I110" s="114"/>
      <c r="J110" s="54"/>
      <c r="K110" s="54"/>
      <c r="L110" s="54"/>
      <c r="M110" s="54"/>
      <c r="P110" s="44"/>
    </row>
    <row r="111">
      <c r="A111" s="54"/>
      <c r="B111" s="114"/>
      <c r="C111" s="117"/>
      <c r="D111" s="115"/>
      <c r="E111" s="114"/>
      <c r="F111" s="114"/>
      <c r="G111" s="114"/>
      <c r="H111" s="54"/>
      <c r="I111" s="114"/>
      <c r="J111" s="54"/>
      <c r="K111" s="54"/>
      <c r="L111" s="54"/>
      <c r="M111" s="54"/>
      <c r="P111" s="44"/>
    </row>
    <row r="112">
      <c r="A112" s="54"/>
      <c r="C112" s="117"/>
      <c r="D112" s="115"/>
      <c r="E112" s="114"/>
      <c r="F112" s="114"/>
      <c r="G112" s="114"/>
      <c r="H112" s="54"/>
      <c r="I112" s="114"/>
      <c r="J112" s="54"/>
      <c r="K112" s="54"/>
      <c r="L112" s="54"/>
      <c r="M112" s="54"/>
      <c r="P112" s="44"/>
    </row>
    <row r="113">
      <c r="A113" s="117"/>
      <c r="B113" s="114"/>
      <c r="D113" s="117"/>
      <c r="E113" s="114"/>
      <c r="F113" s="114"/>
      <c r="G113" s="114"/>
      <c r="H113" s="54"/>
      <c r="I113" s="114"/>
      <c r="J113" s="54"/>
      <c r="K113" s="54"/>
      <c r="L113" s="54"/>
      <c r="M113" s="54"/>
      <c r="P113" s="44"/>
    </row>
    <row r="114">
      <c r="A114" s="54"/>
      <c r="B114" s="114"/>
      <c r="C114" s="117" t="s">
        <v>81</v>
      </c>
      <c r="I114" s="114"/>
      <c r="K114" s="54"/>
      <c r="L114" s="54"/>
      <c r="M114" s="54"/>
      <c r="P114" s="44"/>
    </row>
    <row r="115">
      <c r="A115" s="54"/>
      <c r="B115" s="114"/>
      <c r="C115" s="114"/>
      <c r="I115" s="114"/>
      <c r="K115" s="54"/>
      <c r="L115" s="54"/>
      <c r="M115" s="54"/>
      <c r="P115" s="44"/>
    </row>
    <row r="116">
      <c r="A116" s="54"/>
      <c r="B116" s="114"/>
      <c r="C116" s="114"/>
      <c r="I116" s="114"/>
      <c r="J116" s="54"/>
      <c r="K116" s="54"/>
      <c r="L116" s="54"/>
      <c r="M116" s="54"/>
      <c r="P116" s="44"/>
    </row>
    <row r="117">
      <c r="A117" s="54"/>
      <c r="B117" s="114"/>
      <c r="C117" s="114"/>
      <c r="I117" s="114"/>
      <c r="J117" s="54"/>
      <c r="K117" s="54"/>
      <c r="L117" s="54"/>
      <c r="M117" s="54"/>
      <c r="P117" s="44"/>
    </row>
    <row r="118">
      <c r="A118" s="54"/>
      <c r="B118" s="114"/>
      <c r="C118" s="114"/>
      <c r="D118" s="118"/>
      <c r="I118" s="114"/>
      <c r="J118" s="54"/>
      <c r="K118" s="54"/>
      <c r="L118" s="54"/>
      <c r="M118" s="54"/>
      <c r="P118" s="44"/>
    </row>
    <row r="119">
      <c r="A119" s="54"/>
      <c r="B119" s="114"/>
      <c r="C119" s="114"/>
      <c r="D119" s="119"/>
      <c r="E119" s="114"/>
      <c r="F119" s="114"/>
      <c r="G119" s="114"/>
      <c r="H119" s="54"/>
      <c r="I119" s="54"/>
      <c r="J119" s="54"/>
      <c r="K119" s="54"/>
      <c r="L119" s="54"/>
      <c r="M119" s="54"/>
      <c r="P119" s="44"/>
    </row>
    <row r="120">
      <c r="A120" s="54"/>
      <c r="B120" s="114"/>
      <c r="C120" s="114"/>
      <c r="D120" s="119"/>
      <c r="E120" s="114"/>
      <c r="F120" s="114"/>
      <c r="G120" s="114"/>
      <c r="H120" s="54"/>
      <c r="I120" s="60"/>
      <c r="J120" s="54"/>
      <c r="K120" s="54"/>
      <c r="L120" s="54"/>
      <c r="M120" s="54"/>
      <c r="P120" s="44"/>
    </row>
    <row r="121">
      <c r="A121" s="54"/>
      <c r="B121" s="114"/>
      <c r="C121" s="114"/>
      <c r="D121" s="117"/>
      <c r="E121" s="114"/>
      <c r="G121" s="114"/>
      <c r="H121" s="54"/>
      <c r="I121" s="54"/>
      <c r="J121" s="54"/>
      <c r="K121" s="54"/>
      <c r="L121" s="54"/>
      <c r="M121" s="54"/>
      <c r="P121" s="44"/>
    </row>
    <row r="122">
      <c r="A122" s="54"/>
      <c r="B122" s="114"/>
      <c r="C122" s="114"/>
      <c r="J122" s="54"/>
      <c r="K122" s="54"/>
      <c r="L122" s="54"/>
      <c r="M122" s="54"/>
      <c r="P122" s="44"/>
    </row>
    <row r="123">
      <c r="A123" s="54"/>
      <c r="B123" s="114"/>
      <c r="C123" s="114"/>
      <c r="D123" s="114"/>
      <c r="E123" s="114"/>
      <c r="F123" s="114"/>
      <c r="G123" s="114"/>
      <c r="H123" s="54"/>
      <c r="I123" s="54"/>
      <c r="J123" s="54"/>
      <c r="K123" s="54"/>
      <c r="L123" s="54"/>
      <c r="M123" s="54"/>
      <c r="P123" s="44"/>
    </row>
    <row r="124">
      <c r="A124" s="54"/>
      <c r="B124" s="114"/>
      <c r="C124" s="114"/>
      <c r="D124" s="114"/>
      <c r="E124" s="114"/>
      <c r="F124" s="114"/>
      <c r="G124" s="114"/>
      <c r="H124" s="54"/>
      <c r="I124" s="54"/>
      <c r="J124" s="54"/>
      <c r="K124" s="54"/>
      <c r="L124" s="54"/>
      <c r="M124" s="54"/>
      <c r="P124" s="44"/>
    </row>
    <row r="125">
      <c r="A125" s="54"/>
      <c r="B125" s="114"/>
      <c r="C125" s="114"/>
      <c r="D125" s="114"/>
      <c r="E125" s="114"/>
      <c r="F125" s="114"/>
      <c r="G125" s="114"/>
      <c r="H125" s="54"/>
      <c r="I125" s="54"/>
      <c r="J125" s="54"/>
      <c r="K125" s="54"/>
      <c r="L125" s="54"/>
      <c r="M125" s="54"/>
      <c r="P125" s="44"/>
    </row>
    <row r="126">
      <c r="A126" s="54"/>
      <c r="B126" s="114"/>
      <c r="C126" s="114"/>
      <c r="D126" s="114"/>
      <c r="E126" s="114"/>
      <c r="F126" s="114"/>
      <c r="G126" s="114"/>
      <c r="H126" s="54"/>
      <c r="I126" s="54"/>
      <c r="J126" s="54"/>
      <c r="K126" s="54"/>
      <c r="L126" s="54"/>
      <c r="M126" s="54"/>
      <c r="P126" s="44"/>
    </row>
    <row r="127">
      <c r="A127" s="54"/>
      <c r="B127" s="114"/>
      <c r="C127" s="114"/>
      <c r="D127" s="114"/>
      <c r="E127" s="114"/>
      <c r="F127" s="114"/>
      <c r="G127" s="114"/>
      <c r="H127" s="54"/>
      <c r="I127" s="54"/>
      <c r="J127" s="54"/>
      <c r="K127" s="54"/>
      <c r="L127" s="54"/>
      <c r="M127" s="54"/>
      <c r="P127" s="44"/>
    </row>
    <row r="128">
      <c r="A128" s="54"/>
      <c r="B128" s="114"/>
      <c r="C128" s="114"/>
      <c r="D128" s="114"/>
      <c r="E128" s="114"/>
      <c r="F128" s="114"/>
      <c r="G128" s="114"/>
      <c r="H128" s="54"/>
      <c r="I128" s="54"/>
      <c r="J128" s="54"/>
      <c r="K128" s="54"/>
      <c r="L128" s="54"/>
      <c r="M128" s="54"/>
      <c r="P128" s="44"/>
    </row>
    <row r="129">
      <c r="A129" s="54"/>
      <c r="B129" s="114"/>
      <c r="C129" s="114"/>
      <c r="D129" s="114"/>
      <c r="E129" s="114"/>
      <c r="F129" s="114"/>
      <c r="G129" s="114"/>
      <c r="H129" s="54"/>
      <c r="I129" s="54"/>
      <c r="J129" s="54"/>
      <c r="K129" s="54"/>
      <c r="L129" s="54"/>
      <c r="M129" s="54"/>
      <c r="P129" s="44"/>
    </row>
    <row r="130">
      <c r="A130" s="54"/>
      <c r="B130" s="114"/>
      <c r="C130" s="114"/>
      <c r="D130" s="114"/>
      <c r="E130" s="114"/>
      <c r="F130" s="114"/>
      <c r="G130" s="114"/>
      <c r="H130" s="54"/>
      <c r="I130" s="54"/>
      <c r="J130" s="54"/>
      <c r="K130" s="54"/>
      <c r="L130" s="54"/>
      <c r="M130" s="54"/>
      <c r="P130" s="44"/>
    </row>
    <row r="131">
      <c r="A131" s="54"/>
      <c r="B131" s="114"/>
      <c r="C131" s="114"/>
      <c r="D131" s="114"/>
      <c r="E131" s="114"/>
      <c r="F131" s="114"/>
      <c r="G131" s="114"/>
      <c r="H131" s="54"/>
      <c r="I131" s="54"/>
      <c r="J131" s="54"/>
      <c r="K131" s="54"/>
      <c r="L131" s="54"/>
      <c r="M131" s="54"/>
      <c r="P131" s="44"/>
    </row>
    <row r="132">
      <c r="A132" s="54"/>
      <c r="B132" s="114"/>
      <c r="C132" s="114"/>
      <c r="D132" s="114"/>
      <c r="E132" s="114"/>
      <c r="F132" s="114"/>
      <c r="G132" s="114"/>
      <c r="H132" s="54"/>
      <c r="I132" s="54"/>
      <c r="J132" s="54"/>
      <c r="K132" s="54"/>
      <c r="L132" s="54"/>
      <c r="M132" s="54"/>
      <c r="P132" s="44"/>
    </row>
    <row r="133">
      <c r="A133" s="54"/>
      <c r="B133" s="114"/>
      <c r="C133" s="114"/>
      <c r="D133" s="114"/>
      <c r="E133" s="114"/>
      <c r="F133" s="114"/>
      <c r="G133" s="114"/>
      <c r="H133" s="54"/>
      <c r="I133" s="54"/>
      <c r="J133" s="54"/>
      <c r="K133" s="54"/>
      <c r="L133" s="54"/>
      <c r="M133" s="54"/>
      <c r="P133" s="44"/>
    </row>
    <row r="134">
      <c r="A134" s="54"/>
      <c r="B134" s="114"/>
      <c r="C134" s="114"/>
      <c r="D134" s="114"/>
      <c r="E134" s="114"/>
      <c r="F134" s="114"/>
      <c r="G134" s="114"/>
      <c r="H134" s="54"/>
      <c r="I134" s="54"/>
      <c r="J134" s="54"/>
      <c r="K134" s="54"/>
      <c r="L134" s="54"/>
      <c r="M134" s="54"/>
      <c r="P134" s="44"/>
    </row>
    <row r="135">
      <c r="A135" s="54"/>
      <c r="B135" s="114"/>
      <c r="C135" s="114"/>
      <c r="D135" s="114"/>
      <c r="E135" s="114"/>
      <c r="F135" s="114"/>
      <c r="G135" s="114"/>
      <c r="H135" s="54"/>
      <c r="I135" s="54"/>
      <c r="J135" s="54"/>
      <c r="K135" s="54"/>
      <c r="L135" s="54"/>
      <c r="M135" s="54"/>
      <c r="P135" s="44"/>
    </row>
    <row r="136">
      <c r="A136" s="54"/>
      <c r="B136" s="114"/>
      <c r="C136" s="114"/>
      <c r="D136" s="114"/>
      <c r="E136" s="114"/>
      <c r="F136" s="114"/>
      <c r="G136" s="114"/>
      <c r="H136" s="54"/>
      <c r="I136" s="54"/>
      <c r="J136" s="54"/>
      <c r="K136" s="54"/>
      <c r="L136" s="54"/>
      <c r="M136" s="54"/>
      <c r="P136" s="44"/>
    </row>
    <row r="137">
      <c r="A137" s="54"/>
      <c r="B137" s="114"/>
      <c r="C137" s="114"/>
      <c r="D137" s="114"/>
      <c r="E137" s="114"/>
      <c r="F137" s="114"/>
      <c r="G137" s="114"/>
      <c r="H137" s="54"/>
      <c r="I137" s="54"/>
      <c r="J137" s="54"/>
      <c r="K137" s="54"/>
      <c r="L137" s="54"/>
      <c r="M137" s="54"/>
      <c r="P137" s="44"/>
    </row>
    <row r="138">
      <c r="A138" s="54"/>
      <c r="B138" s="114"/>
      <c r="C138" s="114"/>
      <c r="D138" s="114"/>
      <c r="E138" s="114"/>
      <c r="F138" s="114"/>
      <c r="G138" s="114"/>
      <c r="H138" s="54"/>
      <c r="I138" s="54"/>
      <c r="J138" s="54"/>
      <c r="K138" s="54"/>
      <c r="L138" s="54"/>
      <c r="M138" s="54"/>
      <c r="P138" s="44"/>
    </row>
    <row r="139">
      <c r="A139" s="54"/>
      <c r="B139" s="114"/>
      <c r="C139" s="114"/>
      <c r="D139" s="114"/>
      <c r="E139" s="114"/>
      <c r="F139" s="114"/>
      <c r="G139" s="114"/>
      <c r="H139" s="54"/>
      <c r="I139" s="54"/>
      <c r="J139" s="54"/>
      <c r="K139" s="54"/>
      <c r="L139" s="54"/>
      <c r="M139" s="54"/>
      <c r="P139" s="44"/>
    </row>
    <row r="140">
      <c r="A140" s="54"/>
      <c r="B140" s="114"/>
      <c r="C140" s="114"/>
      <c r="D140" s="114"/>
      <c r="E140" s="114"/>
      <c r="F140" s="114"/>
      <c r="G140" s="114"/>
      <c r="H140" s="54"/>
      <c r="I140" s="54"/>
      <c r="J140" s="54"/>
      <c r="K140" s="54"/>
      <c r="L140" s="54"/>
      <c r="M140" s="54"/>
      <c r="P140" s="44"/>
    </row>
    <row r="141">
      <c r="A141" s="54"/>
      <c r="B141" s="114"/>
      <c r="C141" s="114"/>
      <c r="D141" s="114"/>
      <c r="E141" s="114"/>
      <c r="F141" s="114"/>
      <c r="G141" s="114"/>
      <c r="H141" s="54"/>
      <c r="I141" s="54"/>
      <c r="J141" s="54"/>
      <c r="K141" s="54"/>
      <c r="L141" s="54"/>
      <c r="M141" s="54"/>
      <c r="P141" s="44"/>
    </row>
    <row r="142">
      <c r="A142" s="54"/>
      <c r="B142" s="114"/>
      <c r="C142" s="114"/>
      <c r="D142" s="114"/>
      <c r="E142" s="114"/>
      <c r="F142" s="114"/>
      <c r="G142" s="114"/>
      <c r="H142" s="54"/>
      <c r="I142" s="54"/>
      <c r="J142" s="54"/>
      <c r="K142" s="54"/>
      <c r="L142" s="54"/>
      <c r="M142" s="54"/>
      <c r="P142" s="44"/>
    </row>
    <row r="143">
      <c r="A143" s="54"/>
      <c r="B143" s="114"/>
      <c r="C143" s="114"/>
      <c r="D143" s="114"/>
      <c r="E143" s="114"/>
      <c r="F143" s="114"/>
      <c r="G143" s="114"/>
      <c r="H143" s="54"/>
      <c r="I143" s="54"/>
      <c r="J143" s="54"/>
      <c r="K143" s="54"/>
      <c r="L143" s="54"/>
      <c r="M143" s="54"/>
      <c r="P143" s="44"/>
    </row>
    <row r="144">
      <c r="A144" s="54"/>
      <c r="B144" s="114"/>
      <c r="C144" s="114"/>
      <c r="D144" s="114"/>
      <c r="E144" s="114"/>
      <c r="F144" s="114"/>
      <c r="G144" s="114"/>
      <c r="H144" s="54"/>
      <c r="I144" s="54"/>
      <c r="J144" s="54"/>
      <c r="K144" s="54"/>
      <c r="L144" s="54"/>
      <c r="M144" s="54"/>
      <c r="P144" s="44"/>
    </row>
    <row r="145">
      <c r="A145" s="54"/>
      <c r="B145" s="114"/>
      <c r="C145" s="114"/>
      <c r="D145" s="114"/>
      <c r="E145" s="114"/>
      <c r="F145" s="114"/>
      <c r="G145" s="114"/>
      <c r="H145" s="54"/>
      <c r="I145" s="54"/>
      <c r="J145" s="54"/>
      <c r="K145" s="54"/>
      <c r="L145" s="54"/>
      <c r="M145" s="54"/>
      <c r="P145" s="44"/>
    </row>
    <row r="146">
      <c r="A146" s="54"/>
      <c r="B146" s="114"/>
      <c r="C146" s="114"/>
      <c r="D146" s="114"/>
      <c r="E146" s="114"/>
      <c r="F146" s="114"/>
      <c r="G146" s="114"/>
      <c r="H146" s="54"/>
      <c r="I146" s="54"/>
      <c r="J146" s="54"/>
      <c r="K146" s="54"/>
      <c r="L146" s="54"/>
      <c r="M146" s="54"/>
      <c r="P146" s="44"/>
    </row>
    <row r="147">
      <c r="A147" s="54"/>
      <c r="B147" s="114"/>
      <c r="C147" s="114"/>
      <c r="D147" s="114"/>
      <c r="E147" s="114"/>
      <c r="F147" s="114"/>
      <c r="G147" s="114"/>
      <c r="H147" s="54"/>
      <c r="I147" s="54"/>
      <c r="J147" s="54"/>
      <c r="K147" s="54"/>
      <c r="L147" s="54"/>
      <c r="M147" s="54"/>
      <c r="P147" s="44"/>
    </row>
    <row r="148">
      <c r="A148" s="54"/>
      <c r="B148" s="114"/>
      <c r="C148" s="114"/>
      <c r="D148" s="114"/>
      <c r="E148" s="114"/>
      <c r="F148" s="114"/>
      <c r="G148" s="114"/>
      <c r="H148" s="54"/>
      <c r="I148" s="54"/>
      <c r="J148" s="54"/>
      <c r="K148" s="54"/>
      <c r="L148" s="54"/>
      <c r="M148" s="54"/>
      <c r="P148" s="44"/>
    </row>
    <row r="149">
      <c r="A149" s="54"/>
      <c r="B149" s="114"/>
      <c r="C149" s="114"/>
      <c r="D149" s="114"/>
      <c r="E149" s="114"/>
      <c r="F149" s="114"/>
      <c r="G149" s="114"/>
      <c r="H149" s="54"/>
      <c r="I149" s="54"/>
      <c r="J149" s="54"/>
      <c r="K149" s="54"/>
      <c r="L149" s="54"/>
      <c r="M149" s="54"/>
      <c r="P149" s="44"/>
    </row>
    <row r="150">
      <c r="A150" s="54"/>
      <c r="B150" s="114"/>
      <c r="C150" s="114"/>
      <c r="D150" s="114"/>
      <c r="E150" s="114"/>
      <c r="F150" s="114"/>
      <c r="G150" s="114"/>
      <c r="H150" s="54"/>
      <c r="I150" s="54"/>
      <c r="J150" s="54"/>
      <c r="K150" s="54"/>
      <c r="L150" s="54"/>
      <c r="M150" s="54"/>
      <c r="P150" s="44"/>
    </row>
    <row r="151">
      <c r="A151" s="54"/>
      <c r="B151" s="114"/>
      <c r="C151" s="114"/>
      <c r="D151" s="114"/>
      <c r="E151" s="114"/>
      <c r="F151" s="114"/>
      <c r="G151" s="114"/>
      <c r="H151" s="54"/>
      <c r="I151" s="54"/>
      <c r="J151" s="54"/>
      <c r="K151" s="54"/>
      <c r="L151" s="54"/>
      <c r="M151" s="54"/>
      <c r="P151" s="44"/>
    </row>
    <row r="152">
      <c r="A152" s="54"/>
      <c r="B152" s="114"/>
      <c r="C152" s="114"/>
      <c r="D152" s="114"/>
      <c r="E152" s="114"/>
      <c r="F152" s="114"/>
      <c r="G152" s="114"/>
      <c r="H152" s="54"/>
      <c r="I152" s="54"/>
      <c r="J152" s="54"/>
      <c r="K152" s="54"/>
      <c r="L152" s="54"/>
      <c r="M152" s="54"/>
      <c r="P152" s="44"/>
    </row>
    <row r="153">
      <c r="A153" s="54"/>
      <c r="B153" s="114"/>
      <c r="C153" s="114"/>
      <c r="D153" s="114"/>
      <c r="E153" s="114"/>
      <c r="F153" s="114"/>
      <c r="G153" s="114"/>
      <c r="H153" s="54"/>
      <c r="I153" s="54"/>
      <c r="J153" s="54"/>
      <c r="K153" s="54"/>
      <c r="L153" s="54"/>
      <c r="M153" s="54"/>
      <c r="P153" s="44"/>
    </row>
    <row r="154">
      <c r="A154" s="54"/>
      <c r="B154" s="114"/>
      <c r="C154" s="114"/>
      <c r="D154" s="114"/>
      <c r="E154" s="114"/>
      <c r="F154" s="114"/>
      <c r="G154" s="114"/>
      <c r="H154" s="54"/>
      <c r="I154" s="54"/>
      <c r="J154" s="54"/>
      <c r="K154" s="54"/>
      <c r="L154" s="54"/>
      <c r="M154" s="54"/>
      <c r="P154" s="44"/>
    </row>
    <row r="155">
      <c r="A155" s="54"/>
      <c r="B155" s="114"/>
      <c r="C155" s="114"/>
      <c r="D155" s="114"/>
      <c r="E155" s="114"/>
      <c r="F155" s="114"/>
      <c r="G155" s="114"/>
      <c r="H155" s="54"/>
      <c r="I155" s="54"/>
      <c r="J155" s="54"/>
      <c r="K155" s="54"/>
      <c r="L155" s="54"/>
      <c r="M155" s="54"/>
      <c r="P155" s="44"/>
    </row>
    <row r="156">
      <c r="A156" s="54"/>
      <c r="B156" s="114"/>
      <c r="C156" s="114"/>
      <c r="D156" s="114"/>
      <c r="E156" s="114"/>
      <c r="F156" s="114"/>
      <c r="G156" s="114"/>
      <c r="H156" s="54"/>
      <c r="I156" s="54"/>
      <c r="J156" s="54"/>
      <c r="K156" s="54"/>
      <c r="L156" s="54"/>
      <c r="M156" s="54"/>
      <c r="P156" s="44"/>
    </row>
    <row r="157">
      <c r="A157" s="54"/>
      <c r="B157" s="114"/>
      <c r="C157" s="114"/>
      <c r="D157" s="114"/>
      <c r="E157" s="114"/>
      <c r="F157" s="114"/>
      <c r="G157" s="114"/>
      <c r="H157" s="54"/>
      <c r="I157" s="54"/>
      <c r="J157" s="54"/>
      <c r="K157" s="54"/>
      <c r="L157" s="54"/>
      <c r="M157" s="54"/>
      <c r="P157" s="44"/>
    </row>
    <row r="158">
      <c r="A158" s="54"/>
      <c r="B158" s="114"/>
      <c r="C158" s="114"/>
      <c r="D158" s="114"/>
      <c r="E158" s="114"/>
      <c r="F158" s="114"/>
      <c r="G158" s="114"/>
      <c r="H158" s="54"/>
      <c r="I158" s="54"/>
      <c r="J158" s="54"/>
      <c r="K158" s="54"/>
      <c r="L158" s="54"/>
      <c r="M158" s="54"/>
      <c r="P158" s="44"/>
    </row>
    <row r="159">
      <c r="A159" s="54"/>
      <c r="B159" s="114"/>
      <c r="C159" s="114"/>
      <c r="D159" s="114"/>
      <c r="E159" s="114"/>
      <c r="F159" s="114"/>
      <c r="G159" s="114"/>
      <c r="H159" s="54"/>
      <c r="I159" s="54"/>
      <c r="J159" s="54"/>
      <c r="K159" s="54"/>
      <c r="L159" s="54"/>
      <c r="M159" s="54"/>
      <c r="P159" s="44"/>
    </row>
    <row r="160">
      <c r="A160" s="54"/>
      <c r="B160" s="114"/>
      <c r="C160" s="114"/>
      <c r="D160" s="114"/>
      <c r="E160" s="114"/>
      <c r="F160" s="114"/>
      <c r="G160" s="114"/>
      <c r="H160" s="54"/>
      <c r="I160" s="54"/>
      <c r="J160" s="54"/>
      <c r="K160" s="54"/>
      <c r="L160" s="54"/>
      <c r="M160" s="54"/>
      <c r="P160" s="44"/>
    </row>
    <row r="161">
      <c r="A161" s="54"/>
      <c r="B161" s="114"/>
      <c r="C161" s="114"/>
      <c r="D161" s="114"/>
      <c r="E161" s="114"/>
      <c r="F161" s="114"/>
      <c r="G161" s="114"/>
      <c r="H161" s="54"/>
      <c r="I161" s="54"/>
      <c r="J161" s="54"/>
      <c r="K161" s="54"/>
      <c r="L161" s="54"/>
      <c r="M161" s="54"/>
      <c r="P161" s="44"/>
    </row>
    <row r="162">
      <c r="A162" s="54"/>
      <c r="B162" s="114"/>
      <c r="C162" s="114"/>
      <c r="D162" s="114"/>
      <c r="E162" s="114"/>
      <c r="F162" s="114"/>
      <c r="G162" s="114"/>
      <c r="H162" s="54"/>
      <c r="I162" s="54"/>
      <c r="J162" s="54"/>
      <c r="K162" s="54"/>
      <c r="L162" s="54"/>
      <c r="M162" s="54"/>
      <c r="P162" s="44"/>
    </row>
    <row r="163">
      <c r="A163" s="54"/>
      <c r="B163" s="114"/>
      <c r="C163" s="114"/>
      <c r="D163" s="114"/>
      <c r="E163" s="114"/>
      <c r="F163" s="114"/>
      <c r="G163" s="114"/>
      <c r="H163" s="54"/>
      <c r="I163" s="54"/>
      <c r="J163" s="54"/>
      <c r="K163" s="54"/>
      <c r="L163" s="54"/>
      <c r="M163" s="54"/>
      <c r="P163" s="44"/>
    </row>
    <row r="164">
      <c r="A164" s="54"/>
      <c r="B164" s="114"/>
      <c r="C164" s="114"/>
      <c r="D164" s="114"/>
      <c r="E164" s="114"/>
      <c r="F164" s="114"/>
      <c r="G164" s="114"/>
      <c r="H164" s="54"/>
      <c r="I164" s="54"/>
      <c r="J164" s="54"/>
      <c r="K164" s="54"/>
      <c r="L164" s="54"/>
      <c r="M164" s="54"/>
      <c r="P164" s="44"/>
    </row>
    <row r="165">
      <c r="A165" s="54"/>
      <c r="B165" s="114"/>
      <c r="C165" s="114"/>
      <c r="D165" s="114"/>
      <c r="E165" s="114"/>
      <c r="F165" s="114"/>
      <c r="G165" s="114"/>
      <c r="H165" s="54"/>
      <c r="I165" s="54"/>
      <c r="J165" s="54"/>
      <c r="K165" s="54"/>
      <c r="L165" s="54"/>
      <c r="M165" s="54"/>
      <c r="P165" s="44"/>
    </row>
    <row r="166">
      <c r="A166" s="54"/>
      <c r="B166" s="114"/>
      <c r="C166" s="114"/>
      <c r="D166" s="114"/>
      <c r="E166" s="114"/>
      <c r="F166" s="114"/>
      <c r="G166" s="114"/>
      <c r="H166" s="54"/>
      <c r="I166" s="54"/>
      <c r="J166" s="54"/>
      <c r="K166" s="54"/>
      <c r="L166" s="54"/>
      <c r="M166" s="54"/>
      <c r="P166" s="44"/>
    </row>
    <row r="167">
      <c r="A167" s="54"/>
      <c r="B167" s="114"/>
      <c r="C167" s="114"/>
      <c r="D167" s="114"/>
      <c r="E167" s="114"/>
      <c r="F167" s="114"/>
      <c r="G167" s="114"/>
      <c r="H167" s="54"/>
      <c r="I167" s="54"/>
      <c r="J167" s="54"/>
      <c r="K167" s="54"/>
      <c r="L167" s="54"/>
      <c r="M167" s="54"/>
      <c r="P167" s="44"/>
    </row>
    <row r="168">
      <c r="A168" s="54"/>
      <c r="B168" s="114"/>
      <c r="C168" s="114"/>
      <c r="D168" s="114"/>
      <c r="E168" s="114"/>
      <c r="F168" s="114"/>
      <c r="G168" s="114"/>
      <c r="H168" s="54"/>
      <c r="I168" s="54"/>
      <c r="J168" s="54"/>
      <c r="K168" s="54"/>
      <c r="L168" s="54"/>
      <c r="M168" s="54"/>
      <c r="P168" s="44"/>
    </row>
    <row r="169">
      <c r="A169" s="54"/>
      <c r="B169" s="114"/>
      <c r="C169" s="114"/>
      <c r="D169" s="114"/>
      <c r="E169" s="114"/>
      <c r="F169" s="114"/>
      <c r="G169" s="114"/>
      <c r="H169" s="54"/>
      <c r="I169" s="54"/>
      <c r="J169" s="54"/>
      <c r="K169" s="54"/>
      <c r="L169" s="54"/>
      <c r="M169" s="54"/>
      <c r="P169" s="44"/>
    </row>
    <row r="170">
      <c r="A170" s="54"/>
      <c r="B170" s="114"/>
      <c r="C170" s="114"/>
      <c r="D170" s="114"/>
      <c r="E170" s="114"/>
      <c r="F170" s="114"/>
      <c r="G170" s="114"/>
      <c r="H170" s="54"/>
      <c r="I170" s="54"/>
      <c r="J170" s="54"/>
      <c r="K170" s="54"/>
      <c r="L170" s="54"/>
      <c r="M170" s="54"/>
      <c r="P170" s="44"/>
    </row>
    <row r="171">
      <c r="A171" s="54"/>
      <c r="B171" s="114"/>
      <c r="C171" s="114"/>
      <c r="D171" s="114"/>
      <c r="E171" s="114"/>
      <c r="F171" s="114"/>
      <c r="G171" s="114"/>
      <c r="H171" s="54"/>
      <c r="I171" s="54"/>
      <c r="J171" s="54"/>
      <c r="K171" s="54"/>
      <c r="L171" s="54"/>
      <c r="M171" s="54"/>
      <c r="P171" s="44"/>
    </row>
    <row r="172">
      <c r="A172" s="54"/>
      <c r="B172" s="114"/>
      <c r="C172" s="114"/>
      <c r="D172" s="114"/>
      <c r="E172" s="114"/>
      <c r="F172" s="114"/>
      <c r="G172" s="114"/>
      <c r="H172" s="54"/>
      <c r="I172" s="54"/>
      <c r="J172" s="54"/>
      <c r="K172" s="54"/>
      <c r="L172" s="54"/>
      <c r="M172" s="54"/>
      <c r="P172" s="44"/>
    </row>
    <row r="173">
      <c r="A173" s="54"/>
      <c r="B173" s="114"/>
      <c r="C173" s="114"/>
      <c r="D173" s="114"/>
      <c r="E173" s="114"/>
      <c r="F173" s="114"/>
      <c r="G173" s="114"/>
      <c r="H173" s="54"/>
      <c r="I173" s="54"/>
      <c r="J173" s="54"/>
      <c r="K173" s="54"/>
      <c r="L173" s="54"/>
      <c r="M173" s="54"/>
      <c r="P173" s="44"/>
    </row>
    <row r="174">
      <c r="A174" s="54"/>
      <c r="B174" s="114"/>
      <c r="C174" s="114"/>
      <c r="D174" s="114"/>
      <c r="E174" s="114"/>
      <c r="F174" s="114"/>
      <c r="G174" s="114"/>
      <c r="H174" s="54"/>
      <c r="I174" s="54"/>
      <c r="J174" s="54"/>
      <c r="K174" s="54"/>
      <c r="L174" s="54"/>
      <c r="M174" s="54"/>
      <c r="P174" s="44"/>
    </row>
    <row r="175">
      <c r="A175" s="54"/>
      <c r="B175" s="114"/>
      <c r="C175" s="114"/>
      <c r="D175" s="114"/>
      <c r="E175" s="114"/>
      <c r="F175" s="114"/>
      <c r="G175" s="114"/>
      <c r="H175" s="54"/>
      <c r="I175" s="54"/>
      <c r="J175" s="54"/>
      <c r="K175" s="54"/>
      <c r="L175" s="54"/>
      <c r="M175" s="54"/>
      <c r="P175" s="44"/>
    </row>
    <row r="176">
      <c r="A176" s="54"/>
      <c r="B176" s="114"/>
      <c r="C176" s="114"/>
      <c r="D176" s="114"/>
      <c r="E176" s="114"/>
      <c r="F176" s="114"/>
      <c r="G176" s="114"/>
      <c r="H176" s="54"/>
      <c r="I176" s="54"/>
      <c r="J176" s="54"/>
      <c r="K176" s="54"/>
      <c r="L176" s="54"/>
      <c r="M176" s="54"/>
      <c r="P176" s="44"/>
    </row>
    <row r="177">
      <c r="A177" s="54"/>
      <c r="B177" s="114"/>
      <c r="C177" s="114"/>
      <c r="D177" s="114"/>
      <c r="E177" s="114"/>
      <c r="F177" s="114"/>
      <c r="G177" s="114"/>
      <c r="H177" s="54"/>
      <c r="I177" s="54"/>
      <c r="J177" s="54"/>
      <c r="K177" s="54"/>
      <c r="L177" s="54"/>
      <c r="M177" s="54"/>
      <c r="P177" s="44"/>
    </row>
    <row r="178">
      <c r="A178" s="54"/>
      <c r="B178" s="114"/>
      <c r="C178" s="114"/>
      <c r="D178" s="114"/>
      <c r="E178" s="114"/>
      <c r="F178" s="114"/>
      <c r="G178" s="114"/>
      <c r="H178" s="54"/>
      <c r="I178" s="54"/>
      <c r="J178" s="54"/>
      <c r="K178" s="54"/>
      <c r="L178" s="54"/>
      <c r="M178" s="54"/>
      <c r="P178" s="44"/>
    </row>
    <row r="179">
      <c r="A179" s="54"/>
      <c r="B179" s="114"/>
      <c r="C179" s="114"/>
      <c r="D179" s="114"/>
      <c r="E179" s="114"/>
      <c r="F179" s="114"/>
      <c r="G179" s="114"/>
      <c r="H179" s="54"/>
      <c r="I179" s="54"/>
      <c r="J179" s="54"/>
      <c r="K179" s="54"/>
      <c r="L179" s="54"/>
      <c r="M179" s="54"/>
      <c r="P179" s="44"/>
    </row>
    <row r="180">
      <c r="A180" s="54"/>
      <c r="B180" s="114"/>
      <c r="C180" s="114"/>
      <c r="D180" s="114"/>
      <c r="E180" s="114"/>
      <c r="F180" s="114"/>
      <c r="G180" s="114"/>
      <c r="H180" s="54"/>
      <c r="I180" s="54"/>
      <c r="J180" s="54"/>
      <c r="K180" s="54"/>
      <c r="L180" s="54"/>
      <c r="M180" s="54"/>
      <c r="P180" s="44"/>
    </row>
    <row r="181">
      <c r="A181" s="54"/>
      <c r="B181" s="114"/>
      <c r="C181" s="114"/>
      <c r="D181" s="114"/>
      <c r="E181" s="114"/>
      <c r="F181" s="114"/>
      <c r="G181" s="114"/>
      <c r="H181" s="54"/>
      <c r="I181" s="54"/>
      <c r="J181" s="54"/>
      <c r="K181" s="54"/>
      <c r="L181" s="54"/>
      <c r="M181" s="54"/>
      <c r="P181" s="44"/>
    </row>
    <row r="182">
      <c r="A182" s="54"/>
      <c r="B182" s="114"/>
      <c r="C182" s="114"/>
      <c r="D182" s="114"/>
      <c r="E182" s="114"/>
      <c r="F182" s="114"/>
      <c r="G182" s="114"/>
      <c r="H182" s="54"/>
      <c r="I182" s="54"/>
      <c r="J182" s="54"/>
      <c r="K182" s="54"/>
      <c r="L182" s="54"/>
      <c r="M182" s="54"/>
      <c r="P182" s="44"/>
    </row>
    <row r="183">
      <c r="A183" s="54"/>
      <c r="B183" s="114"/>
      <c r="C183" s="114"/>
      <c r="D183" s="114"/>
      <c r="E183" s="114"/>
      <c r="F183" s="114"/>
      <c r="G183" s="114"/>
      <c r="H183" s="54"/>
      <c r="I183" s="54"/>
      <c r="J183" s="54"/>
      <c r="K183" s="54"/>
      <c r="L183" s="54"/>
      <c r="M183" s="54"/>
      <c r="P183" s="44"/>
    </row>
    <row r="184">
      <c r="A184" s="54"/>
      <c r="B184" s="114"/>
      <c r="C184" s="114"/>
      <c r="D184" s="114"/>
      <c r="E184" s="114"/>
      <c r="F184" s="114"/>
      <c r="G184" s="114"/>
      <c r="H184" s="54"/>
      <c r="I184" s="54"/>
      <c r="J184" s="54"/>
      <c r="K184" s="54"/>
      <c r="L184" s="54"/>
      <c r="M184" s="54"/>
      <c r="P184" s="44"/>
    </row>
    <row r="185">
      <c r="A185" s="54"/>
      <c r="B185" s="114"/>
      <c r="C185" s="114"/>
      <c r="D185" s="114"/>
      <c r="E185" s="114"/>
      <c r="F185" s="114"/>
      <c r="G185" s="114"/>
      <c r="H185" s="54"/>
      <c r="I185" s="54"/>
      <c r="J185" s="54"/>
      <c r="K185" s="54"/>
      <c r="L185" s="54"/>
      <c r="M185" s="54"/>
      <c r="P185" s="44"/>
    </row>
    <row r="186">
      <c r="A186" s="54"/>
      <c r="B186" s="114"/>
      <c r="C186" s="114"/>
      <c r="D186" s="114"/>
      <c r="E186" s="114"/>
      <c r="F186" s="114"/>
      <c r="G186" s="114"/>
      <c r="H186" s="54"/>
      <c r="I186" s="54"/>
      <c r="J186" s="54"/>
      <c r="K186" s="54"/>
      <c r="L186" s="54"/>
      <c r="M186" s="54"/>
      <c r="P186" s="44"/>
    </row>
    <row r="187">
      <c r="A187" s="54"/>
      <c r="B187" s="114"/>
      <c r="C187" s="114"/>
      <c r="D187" s="114"/>
      <c r="E187" s="114"/>
      <c r="F187" s="114"/>
      <c r="G187" s="114"/>
      <c r="H187" s="54"/>
      <c r="I187" s="54"/>
      <c r="J187" s="54"/>
      <c r="K187" s="54"/>
      <c r="L187" s="54"/>
      <c r="M187" s="54"/>
      <c r="P187" s="44"/>
    </row>
    <row r="188">
      <c r="A188" s="54"/>
      <c r="B188" s="114"/>
      <c r="C188" s="114"/>
      <c r="D188" s="114"/>
      <c r="E188" s="114"/>
      <c r="F188" s="114"/>
      <c r="G188" s="114"/>
      <c r="H188" s="54"/>
      <c r="I188" s="54"/>
      <c r="J188" s="54"/>
      <c r="K188" s="54"/>
      <c r="L188" s="54"/>
      <c r="M188" s="54"/>
      <c r="P188" s="44"/>
    </row>
    <row r="189">
      <c r="A189" s="54"/>
      <c r="B189" s="114"/>
      <c r="C189" s="114"/>
      <c r="D189" s="114"/>
      <c r="E189" s="114"/>
      <c r="F189" s="114"/>
      <c r="G189" s="114"/>
      <c r="H189" s="54"/>
      <c r="I189" s="54"/>
      <c r="J189" s="54"/>
      <c r="K189" s="54"/>
      <c r="L189" s="54"/>
      <c r="M189" s="54"/>
      <c r="P189" s="44"/>
    </row>
    <row r="190">
      <c r="A190" s="54"/>
      <c r="B190" s="114"/>
      <c r="C190" s="114"/>
      <c r="D190" s="114"/>
      <c r="E190" s="114"/>
      <c r="F190" s="114"/>
      <c r="G190" s="114"/>
      <c r="H190" s="54"/>
      <c r="I190" s="54"/>
      <c r="J190" s="54"/>
      <c r="K190" s="54"/>
      <c r="L190" s="54"/>
      <c r="M190" s="54"/>
      <c r="P190" s="44"/>
    </row>
    <row r="191">
      <c r="A191" s="54"/>
      <c r="B191" s="114"/>
      <c r="C191" s="114"/>
      <c r="D191" s="114"/>
      <c r="E191" s="114"/>
      <c r="F191" s="114"/>
      <c r="G191" s="114"/>
      <c r="H191" s="54"/>
      <c r="I191" s="54"/>
      <c r="J191" s="54"/>
      <c r="K191" s="54"/>
      <c r="L191" s="54"/>
      <c r="M191" s="54"/>
      <c r="P191" s="44"/>
    </row>
    <row r="192">
      <c r="A192" s="54"/>
      <c r="B192" s="114"/>
      <c r="C192" s="114"/>
      <c r="D192" s="114"/>
      <c r="E192" s="114"/>
      <c r="F192" s="114"/>
      <c r="G192" s="114"/>
      <c r="H192" s="54"/>
      <c r="I192" s="54"/>
      <c r="J192" s="54"/>
      <c r="K192" s="54"/>
      <c r="L192" s="54"/>
      <c r="M192" s="54"/>
      <c r="P192" s="44"/>
    </row>
    <row r="193">
      <c r="A193" s="54"/>
      <c r="B193" s="114"/>
      <c r="C193" s="114"/>
      <c r="D193" s="114"/>
      <c r="E193" s="114"/>
      <c r="F193" s="114"/>
      <c r="G193" s="114"/>
      <c r="H193" s="54"/>
      <c r="I193" s="54"/>
      <c r="J193" s="54"/>
      <c r="K193" s="54"/>
      <c r="L193" s="54"/>
      <c r="M193" s="54"/>
      <c r="P193" s="44"/>
    </row>
    <row r="194">
      <c r="A194" s="54"/>
      <c r="B194" s="114"/>
      <c r="C194" s="114"/>
      <c r="D194" s="114"/>
      <c r="E194" s="114"/>
      <c r="F194" s="114"/>
      <c r="G194" s="114"/>
      <c r="H194" s="54"/>
      <c r="I194" s="54"/>
      <c r="J194" s="54"/>
      <c r="K194" s="54"/>
      <c r="L194" s="54"/>
      <c r="M194" s="54"/>
      <c r="P194" s="44"/>
    </row>
    <row r="195">
      <c r="A195" s="54"/>
      <c r="B195" s="114"/>
      <c r="C195" s="114"/>
      <c r="D195" s="114"/>
      <c r="E195" s="114"/>
      <c r="F195" s="114"/>
      <c r="G195" s="114"/>
      <c r="H195" s="54"/>
      <c r="I195" s="54"/>
      <c r="J195" s="54"/>
      <c r="K195" s="54"/>
      <c r="L195" s="54"/>
      <c r="M195" s="54"/>
      <c r="P195" s="44"/>
    </row>
    <row r="196">
      <c r="A196" s="54"/>
      <c r="B196" s="114"/>
      <c r="C196" s="114"/>
      <c r="D196" s="114"/>
      <c r="E196" s="114"/>
      <c r="F196" s="114"/>
      <c r="G196" s="114"/>
      <c r="H196" s="54"/>
      <c r="I196" s="54"/>
      <c r="J196" s="54"/>
      <c r="K196" s="54"/>
      <c r="L196" s="54"/>
      <c r="M196" s="54"/>
      <c r="P196" s="44"/>
    </row>
    <row r="197">
      <c r="A197" s="54"/>
      <c r="B197" s="114"/>
      <c r="C197" s="114"/>
      <c r="D197" s="114"/>
      <c r="E197" s="114"/>
      <c r="F197" s="114"/>
      <c r="G197" s="114"/>
      <c r="H197" s="54"/>
      <c r="I197" s="54"/>
      <c r="J197" s="54"/>
      <c r="K197" s="54"/>
      <c r="L197" s="54"/>
      <c r="M197" s="54"/>
      <c r="P197" s="44"/>
    </row>
    <row r="198">
      <c r="A198" s="54"/>
      <c r="B198" s="114"/>
      <c r="C198" s="114"/>
      <c r="D198" s="114"/>
      <c r="E198" s="114"/>
      <c r="F198" s="114"/>
      <c r="G198" s="114"/>
      <c r="H198" s="54"/>
      <c r="I198" s="54"/>
      <c r="J198" s="54"/>
      <c r="K198" s="54"/>
      <c r="L198" s="54"/>
      <c r="M198" s="54"/>
      <c r="P198" s="44"/>
    </row>
    <row r="199">
      <c r="A199" s="54"/>
      <c r="B199" s="114"/>
      <c r="C199" s="114"/>
      <c r="D199" s="114"/>
      <c r="E199" s="114"/>
      <c r="F199" s="114"/>
      <c r="G199" s="114"/>
      <c r="H199" s="54"/>
      <c r="I199" s="54"/>
      <c r="J199" s="54"/>
      <c r="K199" s="54"/>
      <c r="L199" s="54"/>
      <c r="M199" s="54"/>
      <c r="P199" s="44"/>
    </row>
    <row r="200">
      <c r="A200" s="54"/>
      <c r="B200" s="114"/>
      <c r="C200" s="114"/>
      <c r="D200" s="114"/>
      <c r="E200" s="114"/>
      <c r="F200" s="114"/>
      <c r="G200" s="114"/>
      <c r="H200" s="54"/>
      <c r="I200" s="54"/>
      <c r="J200" s="54"/>
      <c r="K200" s="54"/>
      <c r="L200" s="54"/>
      <c r="M200" s="54"/>
      <c r="P200" s="44"/>
    </row>
    <row r="201">
      <c r="A201" s="54"/>
      <c r="B201" s="114"/>
      <c r="C201" s="114"/>
      <c r="D201" s="114"/>
      <c r="E201" s="114"/>
      <c r="F201" s="114"/>
      <c r="G201" s="114"/>
      <c r="H201" s="54"/>
      <c r="I201" s="54"/>
      <c r="J201" s="54"/>
      <c r="K201" s="54"/>
      <c r="L201" s="54"/>
      <c r="M201" s="54"/>
      <c r="P201" s="44"/>
    </row>
    <row r="202">
      <c r="A202" s="54"/>
      <c r="B202" s="114"/>
      <c r="C202" s="114"/>
      <c r="D202" s="114"/>
      <c r="E202" s="114"/>
      <c r="F202" s="114"/>
      <c r="G202" s="114"/>
      <c r="H202" s="54"/>
      <c r="I202" s="54"/>
      <c r="J202" s="54"/>
      <c r="K202" s="54"/>
      <c r="L202" s="54"/>
      <c r="M202" s="54"/>
      <c r="P202" s="44"/>
    </row>
    <row r="203">
      <c r="A203" s="54"/>
      <c r="B203" s="114"/>
      <c r="C203" s="114"/>
      <c r="D203" s="114"/>
      <c r="E203" s="114"/>
      <c r="F203" s="114"/>
      <c r="G203" s="114"/>
      <c r="H203" s="54"/>
      <c r="I203" s="54"/>
      <c r="J203" s="54"/>
      <c r="K203" s="54"/>
      <c r="L203" s="54"/>
      <c r="M203" s="54"/>
      <c r="P203" s="44"/>
    </row>
    <row r="204">
      <c r="A204" s="54"/>
      <c r="B204" s="114"/>
      <c r="C204" s="114"/>
      <c r="D204" s="114"/>
      <c r="E204" s="114"/>
      <c r="F204" s="114"/>
      <c r="G204" s="114"/>
      <c r="H204" s="54"/>
      <c r="I204" s="54"/>
      <c r="J204" s="54"/>
      <c r="K204" s="54"/>
      <c r="L204" s="54"/>
      <c r="M204" s="54"/>
      <c r="P204" s="44"/>
    </row>
    <row r="205">
      <c r="A205" s="54"/>
      <c r="B205" s="114"/>
      <c r="C205" s="114"/>
      <c r="D205" s="114"/>
      <c r="E205" s="114"/>
      <c r="F205" s="114"/>
      <c r="G205" s="114"/>
      <c r="H205" s="54"/>
      <c r="I205" s="54"/>
      <c r="J205" s="54"/>
      <c r="K205" s="54"/>
      <c r="L205" s="54"/>
      <c r="M205" s="54"/>
      <c r="P205" s="44"/>
    </row>
    <row r="206">
      <c r="A206" s="54"/>
      <c r="B206" s="114"/>
      <c r="C206" s="114"/>
      <c r="D206" s="114"/>
      <c r="E206" s="114"/>
      <c r="F206" s="114"/>
      <c r="G206" s="114"/>
      <c r="H206" s="54"/>
      <c r="I206" s="54"/>
      <c r="J206" s="54"/>
      <c r="K206" s="54"/>
      <c r="L206" s="54"/>
      <c r="M206" s="54"/>
      <c r="P206" s="44"/>
    </row>
    <row r="207">
      <c r="A207" s="54"/>
      <c r="B207" s="114"/>
      <c r="C207" s="114"/>
      <c r="D207" s="114"/>
      <c r="E207" s="114"/>
      <c r="F207" s="114"/>
      <c r="G207" s="114"/>
      <c r="H207" s="54"/>
      <c r="I207" s="54"/>
      <c r="J207" s="54"/>
      <c r="K207" s="54"/>
      <c r="L207" s="54"/>
      <c r="M207" s="54"/>
      <c r="P207" s="44"/>
    </row>
    <row r="208">
      <c r="A208" s="54"/>
      <c r="B208" s="114"/>
      <c r="C208" s="114"/>
      <c r="D208" s="114"/>
      <c r="E208" s="114"/>
      <c r="F208" s="114"/>
      <c r="G208" s="114"/>
      <c r="H208" s="54"/>
      <c r="I208" s="54"/>
      <c r="J208" s="54"/>
      <c r="K208" s="54"/>
      <c r="L208" s="54"/>
      <c r="M208" s="54"/>
      <c r="P208" s="44"/>
    </row>
    <row r="209">
      <c r="A209" s="54"/>
      <c r="B209" s="114"/>
      <c r="C209" s="114"/>
      <c r="D209" s="114"/>
      <c r="E209" s="114"/>
      <c r="F209" s="114"/>
      <c r="G209" s="114"/>
      <c r="H209" s="54"/>
      <c r="I209" s="54"/>
      <c r="J209" s="54"/>
      <c r="K209" s="54"/>
      <c r="L209" s="54"/>
      <c r="M209" s="54"/>
      <c r="P209" s="44"/>
    </row>
    <row r="210">
      <c r="A210" s="54"/>
      <c r="B210" s="114"/>
      <c r="C210" s="114"/>
      <c r="D210" s="114"/>
      <c r="E210" s="114"/>
      <c r="F210" s="114"/>
      <c r="G210" s="114"/>
      <c r="H210" s="54"/>
      <c r="I210" s="54"/>
      <c r="J210" s="54"/>
      <c r="K210" s="54"/>
      <c r="L210" s="54"/>
      <c r="M210" s="54"/>
      <c r="P210" s="44"/>
    </row>
    <row r="211">
      <c r="A211" s="54"/>
      <c r="B211" s="114"/>
      <c r="C211" s="114"/>
      <c r="D211" s="114"/>
      <c r="E211" s="114"/>
      <c r="F211" s="114"/>
      <c r="G211" s="114"/>
      <c r="H211" s="54"/>
      <c r="I211" s="54"/>
      <c r="J211" s="54"/>
      <c r="K211" s="54"/>
      <c r="L211" s="54"/>
      <c r="M211" s="54"/>
      <c r="P211" s="44"/>
    </row>
    <row r="212">
      <c r="A212" s="54"/>
      <c r="B212" s="114"/>
      <c r="C212" s="114"/>
      <c r="D212" s="114"/>
      <c r="E212" s="114"/>
      <c r="F212" s="114"/>
      <c r="G212" s="114"/>
      <c r="H212" s="54"/>
      <c r="I212" s="54"/>
      <c r="J212" s="54"/>
      <c r="K212" s="54"/>
      <c r="L212" s="54"/>
      <c r="M212" s="54"/>
      <c r="P212" s="44"/>
    </row>
    <row r="213">
      <c r="A213" s="54"/>
      <c r="B213" s="114"/>
      <c r="C213" s="114"/>
      <c r="D213" s="114"/>
      <c r="E213" s="114"/>
      <c r="F213" s="114"/>
      <c r="G213" s="114"/>
      <c r="H213" s="54"/>
      <c r="I213" s="54"/>
      <c r="J213" s="54"/>
      <c r="K213" s="54"/>
      <c r="L213" s="54"/>
      <c r="M213" s="54"/>
      <c r="P213" s="44"/>
    </row>
    <row r="214">
      <c r="A214" s="54"/>
      <c r="B214" s="114"/>
      <c r="C214" s="114"/>
      <c r="D214" s="114"/>
      <c r="E214" s="114"/>
      <c r="F214" s="114"/>
      <c r="G214" s="114"/>
      <c r="H214" s="54"/>
      <c r="I214" s="54"/>
      <c r="J214" s="54"/>
      <c r="K214" s="54"/>
      <c r="L214" s="54"/>
      <c r="M214" s="54"/>
      <c r="P214" s="44"/>
    </row>
    <row r="215">
      <c r="A215" s="54"/>
      <c r="B215" s="114"/>
      <c r="C215" s="114"/>
      <c r="D215" s="114"/>
      <c r="E215" s="114"/>
      <c r="F215" s="114"/>
      <c r="G215" s="114"/>
      <c r="H215" s="54"/>
      <c r="I215" s="54"/>
      <c r="J215" s="54"/>
      <c r="K215" s="54"/>
      <c r="L215" s="54"/>
      <c r="M215" s="54"/>
      <c r="P215" s="44"/>
    </row>
    <row r="216">
      <c r="A216" s="54"/>
      <c r="B216" s="114"/>
      <c r="C216" s="114"/>
      <c r="D216" s="114"/>
      <c r="E216" s="114"/>
      <c r="F216" s="114"/>
      <c r="G216" s="114"/>
      <c r="H216" s="54"/>
      <c r="I216" s="54"/>
      <c r="J216" s="54"/>
      <c r="K216" s="54"/>
      <c r="L216" s="54"/>
      <c r="M216" s="54"/>
      <c r="P216" s="44"/>
    </row>
    <row r="217">
      <c r="A217" s="54"/>
      <c r="B217" s="114"/>
      <c r="C217" s="114"/>
      <c r="D217" s="114"/>
      <c r="E217" s="114"/>
      <c r="F217" s="114"/>
      <c r="G217" s="114"/>
      <c r="H217" s="54"/>
      <c r="I217" s="54"/>
      <c r="J217" s="54"/>
      <c r="K217" s="54"/>
      <c r="L217" s="54"/>
      <c r="M217" s="54"/>
      <c r="P217" s="44"/>
    </row>
    <row r="218">
      <c r="A218" s="54"/>
      <c r="B218" s="114"/>
      <c r="C218" s="114"/>
      <c r="D218" s="114"/>
      <c r="E218" s="114"/>
      <c r="F218" s="114"/>
      <c r="G218" s="114"/>
      <c r="H218" s="54"/>
      <c r="I218" s="54"/>
      <c r="J218" s="54"/>
      <c r="K218" s="54"/>
      <c r="L218" s="54"/>
      <c r="M218" s="54"/>
      <c r="P218" s="44"/>
    </row>
    <row r="219">
      <c r="A219" s="54"/>
      <c r="B219" s="114"/>
      <c r="C219" s="114"/>
      <c r="D219" s="114"/>
      <c r="E219" s="114"/>
      <c r="F219" s="114"/>
      <c r="G219" s="114"/>
      <c r="H219" s="54"/>
      <c r="I219" s="54"/>
      <c r="J219" s="54"/>
      <c r="K219" s="54"/>
      <c r="L219" s="54"/>
      <c r="M219" s="54"/>
      <c r="P219" s="44"/>
    </row>
    <row r="220">
      <c r="A220" s="54"/>
      <c r="B220" s="114"/>
      <c r="C220" s="114"/>
      <c r="D220" s="114"/>
      <c r="E220" s="114"/>
      <c r="F220" s="114"/>
      <c r="G220" s="114"/>
      <c r="H220" s="54"/>
      <c r="I220" s="54"/>
      <c r="J220" s="54"/>
      <c r="K220" s="54"/>
      <c r="L220" s="54"/>
      <c r="M220" s="54"/>
      <c r="P220" s="44"/>
    </row>
    <row r="221">
      <c r="A221" s="54"/>
      <c r="B221" s="114"/>
      <c r="C221" s="114"/>
      <c r="D221" s="114"/>
      <c r="E221" s="114"/>
      <c r="F221" s="114"/>
      <c r="G221" s="114"/>
      <c r="H221" s="54"/>
      <c r="I221" s="54"/>
      <c r="J221" s="54"/>
      <c r="K221" s="54"/>
      <c r="L221" s="54"/>
      <c r="M221" s="54"/>
      <c r="P221" s="44"/>
    </row>
    <row r="222">
      <c r="A222" s="54"/>
      <c r="B222" s="114"/>
      <c r="C222" s="114"/>
      <c r="D222" s="114"/>
      <c r="E222" s="114"/>
      <c r="F222" s="114"/>
      <c r="G222" s="114"/>
      <c r="H222" s="54"/>
      <c r="I222" s="54"/>
      <c r="J222" s="54"/>
      <c r="K222" s="54"/>
      <c r="L222" s="54"/>
      <c r="M222" s="54"/>
      <c r="P222" s="44"/>
    </row>
    <row r="223">
      <c r="A223" s="54"/>
      <c r="B223" s="114"/>
      <c r="C223" s="114"/>
      <c r="D223" s="114"/>
      <c r="E223" s="114"/>
      <c r="F223" s="114"/>
      <c r="G223" s="114"/>
      <c r="H223" s="54"/>
      <c r="I223" s="54"/>
      <c r="J223" s="54"/>
      <c r="K223" s="54"/>
      <c r="L223" s="54"/>
      <c r="M223" s="54"/>
      <c r="P223" s="44"/>
    </row>
    <row r="224">
      <c r="A224" s="54"/>
      <c r="B224" s="114"/>
      <c r="C224" s="114"/>
      <c r="D224" s="114"/>
      <c r="E224" s="114"/>
      <c r="F224" s="114"/>
      <c r="G224" s="114"/>
      <c r="H224" s="54"/>
      <c r="I224" s="54"/>
      <c r="J224" s="54"/>
      <c r="K224" s="54"/>
      <c r="L224" s="54"/>
      <c r="M224" s="54"/>
      <c r="P224" s="44"/>
    </row>
    <row r="225">
      <c r="A225" s="54"/>
      <c r="B225" s="114"/>
      <c r="C225" s="114"/>
      <c r="D225" s="114"/>
      <c r="E225" s="114"/>
      <c r="F225" s="114"/>
      <c r="G225" s="114"/>
      <c r="H225" s="54"/>
      <c r="I225" s="54"/>
      <c r="J225" s="54"/>
      <c r="K225" s="54"/>
      <c r="L225" s="54"/>
      <c r="M225" s="54"/>
      <c r="P225" s="44"/>
    </row>
    <row r="226">
      <c r="A226" s="54"/>
      <c r="B226" s="114"/>
      <c r="C226" s="114"/>
      <c r="D226" s="114"/>
      <c r="E226" s="114"/>
      <c r="F226" s="114"/>
      <c r="G226" s="114"/>
      <c r="H226" s="54"/>
      <c r="I226" s="54"/>
      <c r="J226" s="54"/>
      <c r="K226" s="54"/>
      <c r="L226" s="54"/>
      <c r="M226" s="54"/>
      <c r="P226" s="44"/>
    </row>
    <row r="227">
      <c r="A227" s="54"/>
      <c r="B227" s="114"/>
      <c r="C227" s="114"/>
      <c r="D227" s="114"/>
      <c r="E227" s="114"/>
      <c r="F227" s="114"/>
      <c r="G227" s="114"/>
      <c r="H227" s="54"/>
      <c r="I227" s="54"/>
      <c r="J227" s="54"/>
      <c r="K227" s="54"/>
      <c r="L227" s="54"/>
      <c r="M227" s="54"/>
      <c r="P227" s="44"/>
    </row>
    <row r="228">
      <c r="A228" s="54"/>
      <c r="B228" s="114"/>
      <c r="C228" s="114"/>
      <c r="D228" s="114"/>
      <c r="E228" s="114"/>
      <c r="F228" s="114"/>
      <c r="G228" s="114"/>
      <c r="H228" s="54"/>
      <c r="I228" s="54"/>
      <c r="J228" s="54"/>
      <c r="K228" s="54"/>
      <c r="L228" s="54"/>
      <c r="M228" s="54"/>
      <c r="P228" s="44"/>
    </row>
    <row r="229">
      <c r="A229" s="54"/>
      <c r="B229" s="114"/>
      <c r="C229" s="114"/>
      <c r="D229" s="114"/>
      <c r="E229" s="114"/>
      <c r="F229" s="114"/>
      <c r="G229" s="114"/>
      <c r="H229" s="54"/>
      <c r="I229" s="54"/>
      <c r="J229" s="54"/>
      <c r="K229" s="54"/>
      <c r="L229" s="54"/>
      <c r="M229" s="54"/>
      <c r="P229" s="44"/>
    </row>
    <row r="230">
      <c r="A230" s="54"/>
      <c r="B230" s="114"/>
      <c r="C230" s="114"/>
      <c r="D230" s="114"/>
      <c r="E230" s="114"/>
      <c r="F230" s="114"/>
      <c r="G230" s="114"/>
      <c r="H230" s="54"/>
      <c r="I230" s="54"/>
      <c r="J230" s="54"/>
      <c r="K230" s="54"/>
      <c r="L230" s="54"/>
      <c r="M230" s="54"/>
      <c r="P230" s="44"/>
    </row>
    <row r="231">
      <c r="A231" s="54"/>
      <c r="B231" s="114"/>
      <c r="C231" s="114"/>
      <c r="D231" s="114"/>
      <c r="E231" s="114"/>
      <c r="F231" s="114"/>
      <c r="G231" s="114"/>
      <c r="H231" s="54"/>
      <c r="I231" s="54"/>
      <c r="J231" s="54"/>
      <c r="K231" s="54"/>
      <c r="L231" s="54"/>
      <c r="M231" s="54"/>
      <c r="P231" s="44"/>
    </row>
    <row r="232">
      <c r="A232" s="54"/>
      <c r="B232" s="114"/>
      <c r="C232" s="114"/>
      <c r="D232" s="114"/>
      <c r="E232" s="114"/>
      <c r="F232" s="114"/>
      <c r="G232" s="114"/>
      <c r="H232" s="54"/>
      <c r="I232" s="54"/>
      <c r="J232" s="54"/>
      <c r="K232" s="54"/>
      <c r="L232" s="54"/>
      <c r="M232" s="54"/>
      <c r="P232" s="44"/>
    </row>
    <row r="233">
      <c r="A233" s="54"/>
      <c r="B233" s="114"/>
      <c r="C233" s="114"/>
      <c r="D233" s="114"/>
      <c r="E233" s="114"/>
      <c r="F233" s="114"/>
      <c r="G233" s="114"/>
      <c r="H233" s="54"/>
      <c r="I233" s="54"/>
      <c r="J233" s="54"/>
      <c r="K233" s="54"/>
      <c r="L233" s="54"/>
      <c r="M233" s="54"/>
      <c r="P233" s="44"/>
    </row>
    <row r="234">
      <c r="A234" s="54"/>
      <c r="B234" s="114"/>
      <c r="C234" s="114"/>
      <c r="D234" s="114"/>
      <c r="E234" s="114"/>
      <c r="F234" s="114"/>
      <c r="G234" s="114"/>
      <c r="H234" s="54"/>
      <c r="I234" s="54"/>
      <c r="J234" s="54"/>
      <c r="K234" s="54"/>
      <c r="L234" s="54"/>
      <c r="M234" s="54"/>
      <c r="P234" s="44"/>
    </row>
    <row r="235">
      <c r="A235" s="54"/>
      <c r="B235" s="114"/>
      <c r="C235" s="114"/>
      <c r="D235" s="114"/>
      <c r="E235" s="114"/>
      <c r="F235" s="114"/>
      <c r="G235" s="114"/>
      <c r="H235" s="54"/>
      <c r="I235" s="54"/>
      <c r="J235" s="54"/>
      <c r="K235" s="54"/>
      <c r="L235" s="54"/>
      <c r="M235" s="54"/>
      <c r="P235" s="44"/>
    </row>
    <row r="236">
      <c r="A236" s="54"/>
      <c r="B236" s="114"/>
      <c r="C236" s="114"/>
      <c r="D236" s="114"/>
      <c r="E236" s="114"/>
      <c r="F236" s="114"/>
      <c r="G236" s="114"/>
      <c r="H236" s="54"/>
      <c r="I236" s="54"/>
      <c r="J236" s="54"/>
      <c r="K236" s="54"/>
      <c r="L236" s="54"/>
      <c r="M236" s="54"/>
      <c r="P236" s="44"/>
    </row>
    <row r="237">
      <c r="A237" s="54"/>
      <c r="B237" s="114"/>
      <c r="C237" s="114"/>
      <c r="D237" s="114"/>
      <c r="E237" s="114"/>
      <c r="F237" s="114"/>
      <c r="G237" s="114"/>
      <c r="H237" s="54"/>
      <c r="I237" s="54"/>
      <c r="J237" s="54"/>
      <c r="K237" s="54"/>
      <c r="L237" s="54"/>
      <c r="M237" s="54"/>
      <c r="P237" s="44"/>
    </row>
    <row r="238">
      <c r="A238" s="54"/>
      <c r="B238" s="114"/>
      <c r="C238" s="114"/>
      <c r="D238" s="114"/>
      <c r="E238" s="114"/>
      <c r="F238" s="114"/>
      <c r="G238" s="114"/>
      <c r="H238" s="54"/>
      <c r="I238" s="54"/>
      <c r="J238" s="54"/>
      <c r="K238" s="54"/>
      <c r="L238" s="54"/>
      <c r="M238" s="54"/>
      <c r="P238" s="44"/>
    </row>
    <row r="239">
      <c r="A239" s="54"/>
      <c r="B239" s="114"/>
      <c r="C239" s="114"/>
      <c r="D239" s="114"/>
      <c r="E239" s="114"/>
      <c r="F239" s="114"/>
      <c r="G239" s="114"/>
      <c r="H239" s="54"/>
      <c r="I239" s="54"/>
      <c r="J239" s="54"/>
      <c r="K239" s="54"/>
      <c r="L239" s="54"/>
      <c r="M239" s="54"/>
      <c r="P239" s="44"/>
    </row>
    <row r="240">
      <c r="A240" s="54"/>
      <c r="B240" s="114"/>
      <c r="C240" s="114"/>
      <c r="D240" s="114"/>
      <c r="E240" s="114"/>
      <c r="F240" s="114"/>
      <c r="G240" s="114"/>
      <c r="H240" s="54"/>
      <c r="I240" s="54"/>
      <c r="J240" s="54"/>
      <c r="K240" s="54"/>
      <c r="L240" s="54"/>
      <c r="M240" s="54"/>
      <c r="P240" s="44"/>
    </row>
    <row r="241">
      <c r="A241" s="54"/>
      <c r="B241" s="114"/>
      <c r="C241" s="114"/>
      <c r="D241" s="114"/>
      <c r="E241" s="114"/>
      <c r="F241" s="114"/>
      <c r="G241" s="114"/>
      <c r="H241" s="54"/>
      <c r="I241" s="54"/>
      <c r="J241" s="54"/>
      <c r="K241" s="54"/>
      <c r="L241" s="54"/>
      <c r="M241" s="54"/>
      <c r="P241" s="44"/>
    </row>
    <row r="242">
      <c r="A242" s="54"/>
      <c r="B242" s="114"/>
      <c r="C242" s="114"/>
      <c r="D242" s="114"/>
      <c r="E242" s="114"/>
      <c r="F242" s="114"/>
      <c r="G242" s="114"/>
      <c r="H242" s="54"/>
      <c r="I242" s="54"/>
      <c r="J242" s="54"/>
      <c r="K242" s="54"/>
      <c r="L242" s="54"/>
      <c r="M242" s="54"/>
      <c r="P242" s="44"/>
    </row>
    <row r="243">
      <c r="A243" s="54"/>
      <c r="B243" s="114"/>
      <c r="C243" s="114"/>
      <c r="D243" s="114"/>
      <c r="E243" s="114"/>
      <c r="F243" s="114"/>
      <c r="G243" s="114"/>
      <c r="H243" s="54"/>
      <c r="I243" s="54"/>
      <c r="J243" s="54"/>
      <c r="K243" s="54"/>
      <c r="L243" s="54"/>
      <c r="M243" s="54"/>
      <c r="P243" s="44"/>
    </row>
    <row r="244">
      <c r="A244" s="54"/>
      <c r="B244" s="114"/>
      <c r="C244" s="114"/>
      <c r="D244" s="114"/>
      <c r="E244" s="114"/>
      <c r="F244" s="114"/>
      <c r="G244" s="114"/>
      <c r="H244" s="54"/>
      <c r="I244" s="54"/>
      <c r="J244" s="54"/>
      <c r="K244" s="54"/>
      <c r="L244" s="54"/>
      <c r="M244" s="54"/>
      <c r="P244" s="44"/>
    </row>
    <row r="245">
      <c r="A245" s="54"/>
      <c r="B245" s="114"/>
      <c r="C245" s="114"/>
      <c r="D245" s="114"/>
      <c r="E245" s="114"/>
      <c r="F245" s="114"/>
      <c r="G245" s="114"/>
      <c r="H245" s="54"/>
      <c r="I245" s="54"/>
      <c r="J245" s="54"/>
      <c r="K245" s="54"/>
      <c r="L245" s="54"/>
      <c r="M245" s="54"/>
      <c r="P245" s="44"/>
    </row>
    <row r="246">
      <c r="A246" s="54"/>
      <c r="B246" s="114"/>
      <c r="C246" s="114"/>
      <c r="D246" s="114"/>
      <c r="E246" s="114"/>
      <c r="F246" s="114"/>
      <c r="G246" s="114"/>
      <c r="H246" s="54"/>
      <c r="I246" s="54"/>
      <c r="J246" s="54"/>
      <c r="K246" s="54"/>
      <c r="L246" s="54"/>
      <c r="M246" s="54"/>
      <c r="P246" s="44"/>
    </row>
    <row r="247">
      <c r="A247" s="54"/>
      <c r="B247" s="114"/>
      <c r="C247" s="114"/>
      <c r="D247" s="114"/>
      <c r="E247" s="114"/>
      <c r="F247" s="114"/>
      <c r="G247" s="114"/>
      <c r="H247" s="54"/>
      <c r="I247" s="54"/>
      <c r="J247" s="54"/>
      <c r="K247" s="54"/>
      <c r="L247" s="54"/>
      <c r="M247" s="54"/>
      <c r="P247" s="44"/>
    </row>
    <row r="248">
      <c r="A248" s="54"/>
      <c r="B248" s="114"/>
      <c r="C248" s="114"/>
      <c r="D248" s="114"/>
      <c r="E248" s="114"/>
      <c r="F248" s="114"/>
      <c r="G248" s="114"/>
      <c r="H248" s="54"/>
      <c r="I248" s="54"/>
      <c r="J248" s="54"/>
      <c r="K248" s="54"/>
      <c r="L248" s="54"/>
      <c r="M248" s="54"/>
      <c r="P248" s="44"/>
    </row>
    <row r="249">
      <c r="A249" s="54"/>
      <c r="B249" s="114"/>
      <c r="C249" s="114"/>
      <c r="D249" s="114"/>
      <c r="E249" s="114"/>
      <c r="F249" s="114"/>
      <c r="G249" s="114"/>
      <c r="H249" s="54"/>
      <c r="I249" s="54"/>
      <c r="J249" s="54"/>
      <c r="K249" s="54"/>
      <c r="L249" s="54"/>
      <c r="M249" s="54"/>
      <c r="P249" s="44"/>
    </row>
    <row r="250">
      <c r="A250" s="54"/>
      <c r="B250" s="114"/>
      <c r="C250" s="114"/>
      <c r="D250" s="114"/>
      <c r="E250" s="114"/>
      <c r="F250" s="114"/>
      <c r="G250" s="114"/>
      <c r="H250" s="54"/>
      <c r="I250" s="54"/>
      <c r="J250" s="54"/>
      <c r="K250" s="54"/>
      <c r="L250" s="54"/>
      <c r="M250" s="54"/>
      <c r="P250" s="44"/>
    </row>
    <row r="251">
      <c r="A251" s="54"/>
      <c r="B251" s="114"/>
      <c r="C251" s="114"/>
      <c r="D251" s="114"/>
      <c r="E251" s="114"/>
      <c r="F251" s="114"/>
      <c r="G251" s="114"/>
      <c r="H251" s="54"/>
      <c r="I251" s="54"/>
      <c r="J251" s="54"/>
      <c r="K251" s="54"/>
      <c r="L251" s="54"/>
      <c r="M251" s="54"/>
      <c r="P251" s="44"/>
    </row>
    <row r="252">
      <c r="A252" s="54"/>
      <c r="B252" s="114"/>
      <c r="C252" s="114"/>
      <c r="D252" s="114"/>
      <c r="E252" s="114"/>
      <c r="F252" s="114"/>
      <c r="G252" s="114"/>
      <c r="H252" s="54"/>
      <c r="I252" s="54"/>
      <c r="J252" s="54"/>
      <c r="K252" s="54"/>
      <c r="L252" s="54"/>
      <c r="M252" s="54"/>
      <c r="P252" s="44"/>
    </row>
    <row r="253">
      <c r="A253" s="54"/>
      <c r="B253" s="114"/>
      <c r="C253" s="114"/>
      <c r="D253" s="114"/>
      <c r="E253" s="114"/>
      <c r="F253" s="114"/>
      <c r="G253" s="114"/>
      <c r="H253" s="54"/>
      <c r="I253" s="54"/>
      <c r="J253" s="54"/>
      <c r="K253" s="54"/>
      <c r="L253" s="54"/>
      <c r="M253" s="54"/>
      <c r="P253" s="44"/>
    </row>
    <row r="254">
      <c r="A254" s="54"/>
      <c r="B254" s="114"/>
      <c r="C254" s="114"/>
      <c r="D254" s="114"/>
      <c r="E254" s="114"/>
      <c r="F254" s="114"/>
      <c r="G254" s="114"/>
      <c r="H254" s="54"/>
      <c r="I254" s="54"/>
      <c r="J254" s="54"/>
      <c r="K254" s="54"/>
      <c r="L254" s="54"/>
      <c r="M254" s="54"/>
      <c r="P254" s="44"/>
    </row>
    <row r="255">
      <c r="A255" s="54"/>
      <c r="B255" s="114"/>
      <c r="C255" s="114"/>
      <c r="D255" s="114"/>
      <c r="E255" s="114"/>
      <c r="F255" s="114"/>
      <c r="G255" s="114"/>
      <c r="H255" s="54"/>
      <c r="I255" s="54"/>
      <c r="J255" s="54"/>
      <c r="K255" s="54"/>
      <c r="L255" s="54"/>
      <c r="M255" s="54"/>
      <c r="P255" s="44"/>
    </row>
    <row r="256">
      <c r="A256" s="54"/>
      <c r="B256" s="114"/>
      <c r="C256" s="114"/>
      <c r="D256" s="114"/>
      <c r="E256" s="114"/>
      <c r="F256" s="114"/>
      <c r="G256" s="114"/>
      <c r="H256" s="54"/>
      <c r="I256" s="54"/>
      <c r="J256" s="54"/>
      <c r="K256" s="54"/>
      <c r="L256" s="54"/>
      <c r="M256" s="54"/>
      <c r="P256" s="44"/>
    </row>
    <row r="257">
      <c r="A257" s="54"/>
      <c r="B257" s="114"/>
      <c r="C257" s="114"/>
      <c r="D257" s="114"/>
      <c r="E257" s="114"/>
      <c r="F257" s="114"/>
      <c r="G257" s="114"/>
      <c r="H257" s="54"/>
      <c r="I257" s="54"/>
      <c r="J257" s="54"/>
      <c r="K257" s="54"/>
      <c r="L257" s="54"/>
      <c r="M257" s="54"/>
      <c r="P257" s="44"/>
    </row>
    <row r="258">
      <c r="A258" s="54"/>
      <c r="B258" s="114"/>
      <c r="C258" s="114"/>
      <c r="D258" s="114"/>
      <c r="E258" s="114"/>
      <c r="F258" s="114"/>
      <c r="G258" s="114"/>
      <c r="H258" s="54"/>
      <c r="I258" s="54"/>
      <c r="J258" s="54"/>
      <c r="K258" s="54"/>
      <c r="L258" s="54"/>
      <c r="M258" s="54"/>
      <c r="P258" s="44"/>
    </row>
    <row r="259">
      <c r="A259" s="54"/>
      <c r="B259" s="114"/>
      <c r="C259" s="114"/>
      <c r="D259" s="114"/>
      <c r="E259" s="114"/>
      <c r="F259" s="114"/>
      <c r="G259" s="114"/>
      <c r="H259" s="54"/>
      <c r="I259" s="54"/>
      <c r="J259" s="54"/>
      <c r="K259" s="54"/>
      <c r="L259" s="54"/>
      <c r="M259" s="54"/>
      <c r="P259" s="44"/>
    </row>
    <row r="260">
      <c r="A260" s="54"/>
      <c r="B260" s="114"/>
      <c r="C260" s="114"/>
      <c r="D260" s="114"/>
      <c r="E260" s="114"/>
      <c r="F260" s="114"/>
      <c r="G260" s="114"/>
      <c r="H260" s="54"/>
      <c r="I260" s="54"/>
      <c r="J260" s="54"/>
      <c r="K260" s="54"/>
      <c r="L260" s="54"/>
      <c r="M260" s="54"/>
      <c r="P260" s="44"/>
    </row>
    <row r="261">
      <c r="A261" s="54"/>
      <c r="B261" s="114"/>
      <c r="C261" s="114"/>
      <c r="D261" s="114"/>
      <c r="E261" s="114"/>
      <c r="F261" s="114"/>
      <c r="G261" s="114"/>
      <c r="H261" s="54"/>
      <c r="I261" s="54"/>
      <c r="J261" s="54"/>
      <c r="K261" s="54"/>
      <c r="L261" s="54"/>
      <c r="M261" s="54"/>
      <c r="P261" s="44"/>
    </row>
    <row r="262">
      <c r="A262" s="54"/>
      <c r="B262" s="114"/>
      <c r="C262" s="114"/>
      <c r="D262" s="114"/>
      <c r="E262" s="114"/>
      <c r="F262" s="114"/>
      <c r="G262" s="114"/>
      <c r="H262" s="54"/>
      <c r="I262" s="54"/>
      <c r="J262" s="54"/>
      <c r="K262" s="54"/>
      <c r="L262" s="54"/>
      <c r="M262" s="54"/>
      <c r="P262" s="44"/>
    </row>
    <row r="263">
      <c r="A263" s="54"/>
      <c r="B263" s="114"/>
      <c r="C263" s="114"/>
      <c r="D263" s="114"/>
      <c r="E263" s="114"/>
      <c r="F263" s="114"/>
      <c r="G263" s="114"/>
      <c r="H263" s="54"/>
      <c r="I263" s="54"/>
      <c r="J263" s="54"/>
      <c r="K263" s="54"/>
      <c r="L263" s="54"/>
      <c r="M263" s="54"/>
      <c r="P263" s="44"/>
    </row>
    <row r="264">
      <c r="A264" s="54"/>
      <c r="B264" s="114"/>
      <c r="C264" s="114"/>
      <c r="D264" s="114"/>
      <c r="E264" s="114"/>
      <c r="F264" s="114"/>
      <c r="G264" s="114"/>
      <c r="H264" s="54"/>
      <c r="I264" s="54"/>
      <c r="J264" s="54"/>
      <c r="K264" s="54"/>
      <c r="L264" s="54"/>
      <c r="M264" s="54"/>
      <c r="P264" s="44"/>
    </row>
    <row r="265">
      <c r="A265" s="54"/>
      <c r="B265" s="114"/>
      <c r="C265" s="114"/>
      <c r="D265" s="114"/>
      <c r="E265" s="114"/>
      <c r="F265" s="114"/>
      <c r="G265" s="114"/>
      <c r="H265" s="54"/>
      <c r="I265" s="54"/>
      <c r="J265" s="54"/>
      <c r="K265" s="54"/>
      <c r="L265" s="54"/>
      <c r="M265" s="54"/>
      <c r="P265" s="44"/>
    </row>
    <row r="266">
      <c r="A266" s="54"/>
      <c r="B266" s="114"/>
      <c r="C266" s="114"/>
      <c r="D266" s="114"/>
      <c r="E266" s="114"/>
      <c r="F266" s="114"/>
      <c r="G266" s="114"/>
      <c r="H266" s="54"/>
      <c r="I266" s="54"/>
      <c r="J266" s="54"/>
      <c r="K266" s="54"/>
      <c r="L266" s="54"/>
      <c r="M266" s="54"/>
      <c r="P266" s="44"/>
    </row>
    <row r="267">
      <c r="A267" s="54"/>
      <c r="B267" s="114"/>
      <c r="C267" s="114"/>
      <c r="D267" s="114"/>
      <c r="E267" s="114"/>
      <c r="F267" s="114"/>
      <c r="G267" s="114"/>
      <c r="H267" s="54"/>
      <c r="I267" s="54"/>
      <c r="J267" s="54"/>
      <c r="K267" s="54"/>
      <c r="L267" s="54"/>
      <c r="M267" s="54"/>
      <c r="P267" s="44"/>
    </row>
    <row r="268">
      <c r="A268" s="54"/>
      <c r="B268" s="114"/>
      <c r="C268" s="114"/>
      <c r="D268" s="114"/>
      <c r="E268" s="114"/>
      <c r="F268" s="114"/>
      <c r="G268" s="114"/>
      <c r="H268" s="54"/>
      <c r="I268" s="54"/>
      <c r="J268" s="54"/>
      <c r="K268" s="54"/>
      <c r="L268" s="54"/>
      <c r="M268" s="54"/>
      <c r="P268" s="44"/>
    </row>
    <row r="269">
      <c r="A269" s="54"/>
      <c r="B269" s="114"/>
      <c r="C269" s="114"/>
      <c r="D269" s="114"/>
      <c r="E269" s="114"/>
      <c r="F269" s="114"/>
      <c r="G269" s="114"/>
      <c r="H269" s="54"/>
      <c r="I269" s="54"/>
      <c r="J269" s="54"/>
      <c r="K269" s="54"/>
      <c r="L269" s="54"/>
      <c r="M269" s="54"/>
      <c r="P269" s="44"/>
    </row>
    <row r="270">
      <c r="A270" s="54"/>
      <c r="B270" s="114"/>
      <c r="C270" s="114"/>
      <c r="D270" s="114"/>
      <c r="E270" s="114"/>
      <c r="F270" s="114"/>
      <c r="G270" s="114"/>
      <c r="H270" s="54"/>
      <c r="I270" s="54"/>
      <c r="J270" s="54"/>
      <c r="K270" s="54"/>
      <c r="L270" s="54"/>
      <c r="M270" s="54"/>
      <c r="P270" s="44"/>
    </row>
    <row r="271">
      <c r="A271" s="54"/>
      <c r="B271" s="114"/>
      <c r="C271" s="114"/>
      <c r="D271" s="114"/>
      <c r="E271" s="114"/>
      <c r="F271" s="114"/>
      <c r="G271" s="114"/>
      <c r="H271" s="54"/>
      <c r="I271" s="54"/>
      <c r="J271" s="54"/>
      <c r="K271" s="54"/>
      <c r="L271" s="54"/>
      <c r="M271" s="54"/>
      <c r="P271" s="44"/>
    </row>
    <row r="272">
      <c r="A272" s="54"/>
      <c r="B272" s="114"/>
      <c r="C272" s="114"/>
      <c r="D272" s="114"/>
      <c r="E272" s="114"/>
      <c r="F272" s="114"/>
      <c r="G272" s="114"/>
      <c r="H272" s="54"/>
      <c r="I272" s="54"/>
      <c r="J272" s="54"/>
      <c r="K272" s="54"/>
      <c r="L272" s="54"/>
      <c r="M272" s="54"/>
      <c r="P272" s="44"/>
    </row>
    <row r="273">
      <c r="A273" s="54"/>
      <c r="B273" s="114"/>
      <c r="C273" s="114"/>
      <c r="D273" s="114"/>
      <c r="E273" s="114"/>
      <c r="F273" s="114"/>
      <c r="G273" s="114"/>
      <c r="H273" s="54"/>
      <c r="I273" s="54"/>
      <c r="J273" s="54"/>
      <c r="K273" s="54"/>
      <c r="L273" s="54"/>
      <c r="M273" s="54"/>
      <c r="P273" s="44"/>
    </row>
    <row r="274">
      <c r="A274" s="54"/>
      <c r="B274" s="114"/>
      <c r="C274" s="114"/>
      <c r="D274" s="114"/>
      <c r="E274" s="114"/>
      <c r="F274" s="114"/>
      <c r="G274" s="114"/>
      <c r="H274" s="54"/>
      <c r="I274" s="54"/>
      <c r="J274" s="54"/>
      <c r="K274" s="54"/>
      <c r="L274" s="54"/>
      <c r="M274" s="54"/>
      <c r="P274" s="44"/>
    </row>
    <row r="275">
      <c r="A275" s="54"/>
      <c r="B275" s="114"/>
      <c r="C275" s="114"/>
      <c r="D275" s="114"/>
      <c r="E275" s="114"/>
      <c r="F275" s="114"/>
      <c r="G275" s="114"/>
      <c r="H275" s="54"/>
      <c r="I275" s="54"/>
      <c r="J275" s="54"/>
      <c r="K275" s="54"/>
      <c r="L275" s="54"/>
      <c r="M275" s="54"/>
      <c r="P275" s="44"/>
    </row>
    <row r="276">
      <c r="A276" s="54"/>
      <c r="B276" s="114"/>
      <c r="C276" s="114"/>
      <c r="D276" s="114"/>
      <c r="E276" s="114"/>
      <c r="F276" s="114"/>
      <c r="G276" s="114"/>
      <c r="H276" s="54"/>
      <c r="I276" s="54"/>
      <c r="J276" s="54"/>
      <c r="K276" s="54"/>
      <c r="L276" s="54"/>
      <c r="M276" s="54"/>
      <c r="P276" s="44"/>
    </row>
    <row r="277">
      <c r="A277" s="54"/>
      <c r="B277" s="114"/>
      <c r="C277" s="114"/>
      <c r="D277" s="114"/>
      <c r="E277" s="114"/>
      <c r="F277" s="114"/>
      <c r="G277" s="114"/>
      <c r="H277" s="54"/>
      <c r="I277" s="54"/>
      <c r="J277" s="54"/>
      <c r="K277" s="54"/>
      <c r="L277" s="54"/>
      <c r="M277" s="54"/>
      <c r="P277" s="44"/>
    </row>
    <row r="278">
      <c r="A278" s="54"/>
      <c r="B278" s="114"/>
      <c r="C278" s="114"/>
      <c r="D278" s="114"/>
      <c r="E278" s="114"/>
      <c r="F278" s="114"/>
      <c r="G278" s="114"/>
      <c r="H278" s="54"/>
      <c r="I278" s="54"/>
      <c r="J278" s="54"/>
      <c r="K278" s="54"/>
      <c r="L278" s="54"/>
      <c r="M278" s="54"/>
      <c r="P278" s="44"/>
    </row>
    <row r="279">
      <c r="A279" s="54"/>
      <c r="B279" s="114"/>
      <c r="C279" s="114"/>
      <c r="D279" s="114"/>
      <c r="E279" s="114"/>
      <c r="F279" s="114"/>
      <c r="G279" s="114"/>
      <c r="H279" s="54"/>
      <c r="I279" s="54"/>
      <c r="J279" s="54"/>
      <c r="K279" s="54"/>
      <c r="L279" s="54"/>
      <c r="M279" s="54"/>
      <c r="P279" s="44"/>
    </row>
    <row r="280">
      <c r="A280" s="54"/>
      <c r="B280" s="114"/>
      <c r="C280" s="114"/>
      <c r="D280" s="114"/>
      <c r="E280" s="114"/>
      <c r="F280" s="114"/>
      <c r="G280" s="114"/>
      <c r="H280" s="54"/>
      <c r="I280" s="54"/>
      <c r="J280" s="54"/>
      <c r="K280" s="54"/>
      <c r="L280" s="54"/>
      <c r="M280" s="54"/>
      <c r="P280" s="44"/>
    </row>
    <row r="281">
      <c r="A281" s="54"/>
      <c r="B281" s="114"/>
      <c r="C281" s="114"/>
      <c r="D281" s="114"/>
      <c r="E281" s="114"/>
      <c r="F281" s="114"/>
      <c r="G281" s="114"/>
      <c r="H281" s="54"/>
      <c r="I281" s="54"/>
      <c r="J281" s="54"/>
      <c r="K281" s="54"/>
      <c r="L281" s="54"/>
      <c r="M281" s="54"/>
      <c r="P281" s="44"/>
    </row>
    <row r="282">
      <c r="A282" s="54"/>
      <c r="B282" s="114"/>
      <c r="C282" s="114"/>
      <c r="D282" s="114"/>
      <c r="E282" s="114"/>
      <c r="F282" s="114"/>
      <c r="G282" s="114"/>
      <c r="H282" s="54"/>
      <c r="I282" s="54"/>
      <c r="J282" s="54"/>
      <c r="K282" s="54"/>
      <c r="L282" s="54"/>
      <c r="M282" s="54"/>
      <c r="P282" s="44"/>
    </row>
    <row r="283">
      <c r="A283" s="54"/>
      <c r="B283" s="114"/>
      <c r="C283" s="114"/>
      <c r="D283" s="114"/>
      <c r="E283" s="114"/>
      <c r="F283" s="114"/>
      <c r="G283" s="114"/>
      <c r="H283" s="54"/>
      <c r="I283" s="54"/>
      <c r="J283" s="54"/>
      <c r="K283" s="54"/>
      <c r="L283" s="54"/>
      <c r="M283" s="54"/>
      <c r="P283" s="44"/>
    </row>
    <row r="284">
      <c r="A284" s="54"/>
      <c r="B284" s="114"/>
      <c r="C284" s="114"/>
      <c r="D284" s="114"/>
      <c r="E284" s="114"/>
      <c r="F284" s="114"/>
      <c r="G284" s="114"/>
      <c r="H284" s="54"/>
      <c r="I284" s="54"/>
      <c r="J284" s="54"/>
      <c r="K284" s="54"/>
      <c r="L284" s="54"/>
      <c r="M284" s="54"/>
      <c r="P284" s="44"/>
    </row>
    <row r="285">
      <c r="A285" s="54"/>
      <c r="B285" s="114"/>
      <c r="C285" s="114"/>
      <c r="D285" s="114"/>
      <c r="E285" s="114"/>
      <c r="F285" s="114"/>
      <c r="G285" s="114"/>
      <c r="H285" s="54"/>
      <c r="I285" s="54"/>
      <c r="J285" s="54"/>
      <c r="K285" s="54"/>
      <c r="L285" s="54"/>
      <c r="M285" s="54"/>
      <c r="P285" s="44"/>
    </row>
    <row r="286">
      <c r="A286" s="54"/>
      <c r="B286" s="114"/>
      <c r="C286" s="114"/>
      <c r="D286" s="114"/>
      <c r="E286" s="114"/>
      <c r="F286" s="114"/>
      <c r="G286" s="114"/>
      <c r="H286" s="54"/>
      <c r="I286" s="54"/>
      <c r="J286" s="54"/>
      <c r="K286" s="54"/>
      <c r="L286" s="54"/>
      <c r="M286" s="54"/>
      <c r="P286" s="44"/>
    </row>
    <row r="287">
      <c r="A287" s="54"/>
      <c r="B287" s="114"/>
      <c r="C287" s="114"/>
      <c r="D287" s="114"/>
      <c r="E287" s="114"/>
      <c r="F287" s="114"/>
      <c r="G287" s="114"/>
      <c r="H287" s="54"/>
      <c r="I287" s="54"/>
      <c r="J287" s="54"/>
      <c r="K287" s="54"/>
      <c r="L287" s="54"/>
      <c r="M287" s="54"/>
      <c r="P287" s="44"/>
    </row>
    <row r="288">
      <c r="A288" s="54"/>
      <c r="B288" s="114"/>
      <c r="C288" s="114"/>
      <c r="D288" s="114"/>
      <c r="E288" s="114"/>
      <c r="F288" s="114"/>
      <c r="G288" s="114"/>
      <c r="H288" s="54"/>
      <c r="I288" s="54"/>
      <c r="J288" s="54"/>
      <c r="K288" s="54"/>
      <c r="L288" s="54"/>
      <c r="M288" s="54"/>
      <c r="P288" s="44"/>
    </row>
    <row r="289">
      <c r="A289" s="54"/>
      <c r="B289" s="114"/>
      <c r="C289" s="114"/>
      <c r="D289" s="114"/>
      <c r="E289" s="114"/>
      <c r="F289" s="114"/>
      <c r="G289" s="114"/>
      <c r="H289" s="54"/>
      <c r="I289" s="54"/>
      <c r="J289" s="54"/>
      <c r="K289" s="54"/>
      <c r="L289" s="54"/>
      <c r="M289" s="54"/>
      <c r="P289" s="44"/>
    </row>
    <row r="290">
      <c r="A290" s="54"/>
      <c r="B290" s="114"/>
      <c r="C290" s="114"/>
      <c r="D290" s="114"/>
      <c r="E290" s="114"/>
      <c r="F290" s="114"/>
      <c r="G290" s="114"/>
      <c r="H290" s="54"/>
      <c r="I290" s="54"/>
      <c r="J290" s="54"/>
      <c r="K290" s="54"/>
      <c r="L290" s="54"/>
      <c r="M290" s="54"/>
      <c r="P290" s="44"/>
    </row>
    <row r="291">
      <c r="A291" s="54"/>
      <c r="B291" s="114"/>
      <c r="C291" s="114"/>
      <c r="D291" s="114"/>
      <c r="E291" s="114"/>
      <c r="F291" s="114"/>
      <c r="G291" s="114"/>
      <c r="H291" s="54"/>
      <c r="I291" s="54"/>
      <c r="J291" s="54"/>
      <c r="K291" s="54"/>
      <c r="L291" s="54"/>
      <c r="M291" s="54"/>
      <c r="P291" s="44"/>
    </row>
    <row r="292">
      <c r="A292" s="54"/>
      <c r="B292" s="114"/>
      <c r="C292" s="114"/>
      <c r="D292" s="114"/>
      <c r="E292" s="114"/>
      <c r="F292" s="114"/>
      <c r="G292" s="114"/>
      <c r="H292" s="54"/>
      <c r="I292" s="54"/>
      <c r="J292" s="54"/>
      <c r="K292" s="54"/>
      <c r="L292" s="54"/>
      <c r="M292" s="54"/>
      <c r="P292" s="44"/>
    </row>
    <row r="293">
      <c r="A293" s="54"/>
      <c r="B293" s="114"/>
      <c r="C293" s="114"/>
      <c r="D293" s="114"/>
      <c r="E293" s="114"/>
      <c r="F293" s="114"/>
      <c r="G293" s="114"/>
      <c r="H293" s="54"/>
      <c r="I293" s="54"/>
      <c r="J293" s="54"/>
      <c r="K293" s="54"/>
      <c r="L293" s="54"/>
      <c r="M293" s="54"/>
      <c r="P293" s="44"/>
    </row>
    <row r="294">
      <c r="A294" s="54"/>
      <c r="B294" s="114"/>
      <c r="C294" s="114"/>
      <c r="D294" s="114"/>
      <c r="E294" s="114"/>
      <c r="F294" s="114"/>
      <c r="G294" s="114"/>
      <c r="H294" s="54"/>
      <c r="I294" s="54"/>
      <c r="J294" s="54"/>
      <c r="K294" s="54"/>
      <c r="L294" s="54"/>
      <c r="M294" s="54"/>
      <c r="P294" s="44"/>
    </row>
    <row r="295">
      <c r="A295" s="54"/>
      <c r="B295" s="114"/>
      <c r="C295" s="114"/>
      <c r="D295" s="114"/>
      <c r="E295" s="114"/>
      <c r="F295" s="114"/>
      <c r="G295" s="114"/>
      <c r="H295" s="54"/>
      <c r="I295" s="54"/>
      <c r="J295" s="54"/>
      <c r="K295" s="54"/>
      <c r="L295" s="54"/>
      <c r="M295" s="54"/>
      <c r="P295" s="44"/>
    </row>
    <row r="296">
      <c r="A296" s="54"/>
      <c r="B296" s="114"/>
      <c r="C296" s="114"/>
      <c r="D296" s="114"/>
      <c r="E296" s="114"/>
      <c r="F296" s="114"/>
      <c r="G296" s="114"/>
      <c r="H296" s="54"/>
      <c r="I296" s="54"/>
      <c r="J296" s="54"/>
      <c r="K296" s="54"/>
      <c r="L296" s="54"/>
      <c r="M296" s="54"/>
      <c r="P296" s="44"/>
    </row>
    <row r="297">
      <c r="A297" s="54"/>
      <c r="B297" s="114"/>
      <c r="C297" s="114"/>
      <c r="D297" s="114"/>
      <c r="E297" s="114"/>
      <c r="F297" s="114"/>
      <c r="G297" s="114"/>
      <c r="H297" s="54"/>
      <c r="I297" s="54"/>
      <c r="J297" s="54"/>
      <c r="K297" s="54"/>
      <c r="L297" s="54"/>
      <c r="M297" s="54"/>
      <c r="P297" s="44"/>
    </row>
    <row r="298">
      <c r="A298" s="54"/>
      <c r="B298" s="114"/>
      <c r="C298" s="114"/>
      <c r="D298" s="114"/>
      <c r="E298" s="114"/>
      <c r="F298" s="114"/>
      <c r="G298" s="114"/>
      <c r="H298" s="54"/>
      <c r="I298" s="54"/>
      <c r="J298" s="54"/>
      <c r="K298" s="54"/>
      <c r="L298" s="54"/>
      <c r="M298" s="54"/>
      <c r="P298" s="44"/>
    </row>
    <row r="299">
      <c r="A299" s="54"/>
      <c r="B299" s="114"/>
      <c r="C299" s="114"/>
      <c r="D299" s="114"/>
      <c r="E299" s="114"/>
      <c r="F299" s="114"/>
      <c r="G299" s="114"/>
      <c r="H299" s="54"/>
      <c r="I299" s="54"/>
      <c r="J299" s="54"/>
      <c r="K299" s="54"/>
      <c r="L299" s="54"/>
      <c r="M299" s="54"/>
      <c r="P299" s="44"/>
    </row>
    <row r="300">
      <c r="A300" s="54"/>
      <c r="B300" s="114"/>
      <c r="C300" s="114"/>
      <c r="D300" s="114"/>
      <c r="E300" s="114"/>
      <c r="F300" s="114"/>
      <c r="G300" s="114"/>
      <c r="H300" s="54"/>
      <c r="I300" s="54"/>
      <c r="J300" s="54"/>
      <c r="K300" s="54"/>
      <c r="L300" s="54"/>
      <c r="M300" s="54"/>
      <c r="P300" s="44"/>
    </row>
    <row r="301">
      <c r="A301" s="54"/>
      <c r="B301" s="114"/>
      <c r="C301" s="114"/>
      <c r="D301" s="114"/>
      <c r="E301" s="114"/>
      <c r="F301" s="114"/>
      <c r="G301" s="114"/>
      <c r="H301" s="54"/>
      <c r="I301" s="54"/>
      <c r="J301" s="54"/>
      <c r="K301" s="54"/>
      <c r="L301" s="54"/>
      <c r="M301" s="54"/>
      <c r="P301" s="44"/>
    </row>
    <row r="302">
      <c r="A302" s="54"/>
      <c r="B302" s="114"/>
      <c r="C302" s="114"/>
      <c r="D302" s="114"/>
      <c r="E302" s="114"/>
      <c r="F302" s="114"/>
      <c r="G302" s="114"/>
      <c r="H302" s="54"/>
      <c r="I302" s="54"/>
      <c r="J302" s="54"/>
      <c r="K302" s="54"/>
      <c r="L302" s="54"/>
      <c r="M302" s="54"/>
      <c r="P302" s="44"/>
    </row>
    <row r="303">
      <c r="A303" s="54"/>
      <c r="B303" s="114"/>
      <c r="C303" s="114"/>
      <c r="D303" s="114"/>
      <c r="E303" s="114"/>
      <c r="F303" s="114"/>
      <c r="G303" s="114"/>
      <c r="H303" s="54"/>
      <c r="I303" s="54"/>
      <c r="J303" s="54"/>
      <c r="K303" s="54"/>
      <c r="L303" s="54"/>
      <c r="M303" s="54"/>
      <c r="P303" s="44"/>
    </row>
    <row r="304">
      <c r="A304" s="54"/>
      <c r="B304" s="114"/>
      <c r="C304" s="114"/>
      <c r="D304" s="114"/>
      <c r="E304" s="114"/>
      <c r="F304" s="114"/>
      <c r="G304" s="114"/>
      <c r="H304" s="54"/>
      <c r="I304" s="54"/>
      <c r="J304" s="54"/>
      <c r="K304" s="54"/>
      <c r="L304" s="54"/>
      <c r="M304" s="54"/>
      <c r="P304" s="44"/>
    </row>
    <row r="305">
      <c r="A305" s="54"/>
      <c r="B305" s="114"/>
      <c r="C305" s="114"/>
      <c r="D305" s="114"/>
      <c r="E305" s="114"/>
      <c r="F305" s="114"/>
      <c r="G305" s="114"/>
      <c r="H305" s="54"/>
      <c r="I305" s="54"/>
      <c r="J305" s="54"/>
      <c r="K305" s="54"/>
      <c r="L305" s="54"/>
      <c r="M305" s="54"/>
      <c r="P305" s="44"/>
    </row>
    <row r="306">
      <c r="A306" s="54"/>
      <c r="B306" s="114"/>
      <c r="C306" s="114"/>
      <c r="D306" s="114"/>
      <c r="E306" s="114"/>
      <c r="F306" s="114"/>
      <c r="G306" s="114"/>
      <c r="H306" s="54"/>
      <c r="I306" s="54"/>
      <c r="J306" s="54"/>
      <c r="K306" s="54"/>
      <c r="L306" s="54"/>
      <c r="M306" s="54"/>
      <c r="P306" s="44"/>
    </row>
    <row r="307">
      <c r="A307" s="54"/>
      <c r="B307" s="114"/>
      <c r="C307" s="114"/>
      <c r="D307" s="114"/>
      <c r="E307" s="114"/>
      <c r="F307" s="114"/>
      <c r="G307" s="114"/>
      <c r="H307" s="54"/>
      <c r="I307" s="54"/>
      <c r="J307" s="54"/>
      <c r="K307" s="54"/>
      <c r="L307" s="54"/>
      <c r="M307" s="54"/>
      <c r="P307" s="44"/>
    </row>
    <row r="308">
      <c r="A308" s="54"/>
      <c r="B308" s="114"/>
      <c r="C308" s="114"/>
      <c r="D308" s="114"/>
      <c r="E308" s="114"/>
      <c r="F308" s="114"/>
      <c r="G308" s="114"/>
      <c r="H308" s="54"/>
      <c r="I308" s="54"/>
      <c r="J308" s="54"/>
      <c r="K308" s="54"/>
      <c r="L308" s="54"/>
      <c r="M308" s="54"/>
      <c r="P308" s="44"/>
    </row>
    <row r="309">
      <c r="A309" s="54"/>
      <c r="B309" s="114"/>
      <c r="C309" s="114"/>
      <c r="D309" s="114"/>
      <c r="E309" s="114"/>
      <c r="F309" s="114"/>
      <c r="G309" s="114"/>
      <c r="H309" s="54"/>
      <c r="I309" s="54"/>
      <c r="J309" s="54"/>
      <c r="K309" s="54"/>
      <c r="L309" s="54"/>
      <c r="M309" s="54"/>
      <c r="P309" s="44"/>
    </row>
    <row r="310">
      <c r="A310" s="54"/>
      <c r="B310" s="114"/>
      <c r="C310" s="114"/>
      <c r="D310" s="114"/>
      <c r="E310" s="114"/>
      <c r="F310" s="114"/>
      <c r="G310" s="114"/>
      <c r="H310" s="54"/>
      <c r="I310" s="54"/>
      <c r="J310" s="54"/>
      <c r="K310" s="54"/>
      <c r="L310" s="54"/>
      <c r="M310" s="54"/>
      <c r="P310" s="44"/>
    </row>
    <row r="311">
      <c r="A311" s="54"/>
      <c r="B311" s="114"/>
      <c r="C311" s="114"/>
      <c r="D311" s="114"/>
      <c r="E311" s="114"/>
      <c r="F311" s="114"/>
      <c r="G311" s="114"/>
      <c r="H311" s="54"/>
      <c r="I311" s="54"/>
      <c r="J311" s="54"/>
      <c r="K311" s="54"/>
      <c r="L311" s="54"/>
      <c r="M311" s="54"/>
      <c r="P311" s="44"/>
    </row>
    <row r="312">
      <c r="A312" s="54"/>
      <c r="B312" s="114"/>
      <c r="C312" s="114"/>
      <c r="D312" s="114"/>
      <c r="E312" s="114"/>
      <c r="F312" s="114"/>
      <c r="G312" s="114"/>
      <c r="H312" s="54"/>
      <c r="I312" s="54"/>
      <c r="J312" s="54"/>
      <c r="K312" s="54"/>
      <c r="L312" s="54"/>
      <c r="M312" s="54"/>
      <c r="P312" s="44"/>
    </row>
    <row r="313">
      <c r="A313" s="54"/>
      <c r="B313" s="114"/>
      <c r="C313" s="114"/>
      <c r="D313" s="114"/>
      <c r="E313" s="114"/>
      <c r="F313" s="114"/>
      <c r="G313" s="114"/>
      <c r="H313" s="54"/>
      <c r="I313" s="54"/>
      <c r="J313" s="54"/>
      <c r="K313" s="54"/>
      <c r="L313" s="54"/>
      <c r="M313" s="54"/>
      <c r="P313" s="44"/>
    </row>
    <row r="314">
      <c r="A314" s="54"/>
      <c r="B314" s="114"/>
      <c r="C314" s="114"/>
      <c r="D314" s="114"/>
      <c r="E314" s="114"/>
      <c r="F314" s="114"/>
      <c r="G314" s="114"/>
      <c r="H314" s="54"/>
      <c r="I314" s="54"/>
      <c r="J314" s="54"/>
      <c r="K314" s="54"/>
      <c r="L314" s="54"/>
      <c r="M314" s="54"/>
      <c r="P314" s="44"/>
    </row>
    <row r="315">
      <c r="A315" s="54"/>
      <c r="B315" s="114"/>
      <c r="C315" s="114"/>
      <c r="D315" s="114"/>
      <c r="E315" s="114"/>
      <c r="F315" s="114"/>
      <c r="G315" s="114"/>
      <c r="H315" s="54"/>
      <c r="I315" s="54"/>
      <c r="J315" s="54"/>
      <c r="K315" s="54"/>
      <c r="L315" s="54"/>
      <c r="M315" s="54"/>
      <c r="P315" s="44"/>
    </row>
    <row r="316">
      <c r="A316" s="54"/>
      <c r="B316" s="114"/>
      <c r="C316" s="114"/>
      <c r="D316" s="114"/>
      <c r="E316" s="114"/>
      <c r="F316" s="114"/>
      <c r="G316" s="114"/>
      <c r="H316" s="54"/>
      <c r="I316" s="54"/>
      <c r="J316" s="54"/>
      <c r="K316" s="54"/>
      <c r="L316" s="54"/>
      <c r="M316" s="54"/>
      <c r="P316" s="44"/>
    </row>
    <row r="317">
      <c r="A317" s="54"/>
      <c r="B317" s="114"/>
      <c r="C317" s="114"/>
      <c r="D317" s="114"/>
      <c r="E317" s="114"/>
      <c r="F317" s="114"/>
      <c r="G317" s="114"/>
      <c r="H317" s="54"/>
      <c r="I317" s="54"/>
      <c r="J317" s="54"/>
      <c r="K317" s="54"/>
      <c r="L317" s="54"/>
      <c r="M317" s="54"/>
      <c r="P317" s="44"/>
    </row>
    <row r="318">
      <c r="A318" s="54"/>
      <c r="B318" s="114"/>
      <c r="C318" s="114"/>
      <c r="D318" s="114"/>
      <c r="E318" s="114"/>
      <c r="F318" s="114"/>
      <c r="G318" s="114"/>
      <c r="H318" s="54"/>
      <c r="I318" s="54"/>
      <c r="J318" s="54"/>
      <c r="K318" s="54"/>
      <c r="L318" s="54"/>
      <c r="M318" s="54"/>
      <c r="P318" s="44"/>
    </row>
    <row r="319">
      <c r="A319" s="54"/>
      <c r="B319" s="114"/>
      <c r="C319" s="114"/>
      <c r="D319" s="114"/>
      <c r="E319" s="114"/>
      <c r="F319" s="114"/>
      <c r="G319" s="114"/>
      <c r="H319" s="54"/>
      <c r="I319" s="54"/>
      <c r="J319" s="54"/>
      <c r="K319" s="54"/>
      <c r="L319" s="54"/>
      <c r="M319" s="54"/>
      <c r="P319" s="44"/>
    </row>
    <row r="320">
      <c r="A320" s="54"/>
      <c r="B320" s="114"/>
      <c r="C320" s="114"/>
      <c r="D320" s="114"/>
      <c r="E320" s="114"/>
      <c r="F320" s="114"/>
      <c r="G320" s="114"/>
      <c r="H320" s="54"/>
      <c r="I320" s="54"/>
      <c r="J320" s="54"/>
      <c r="K320" s="54"/>
      <c r="L320" s="54"/>
      <c r="M320" s="54"/>
      <c r="P320" s="44"/>
    </row>
    <row r="321">
      <c r="A321" s="54"/>
      <c r="B321" s="114"/>
      <c r="C321" s="114"/>
      <c r="D321" s="114"/>
      <c r="E321" s="114"/>
      <c r="F321" s="114"/>
      <c r="G321" s="114"/>
      <c r="H321" s="54"/>
      <c r="I321" s="54"/>
      <c r="J321" s="54"/>
      <c r="K321" s="54"/>
      <c r="L321" s="54"/>
      <c r="M321" s="54"/>
      <c r="P321" s="44"/>
    </row>
    <row r="322">
      <c r="A322" s="54"/>
      <c r="B322" s="114"/>
      <c r="C322" s="114"/>
      <c r="D322" s="114"/>
      <c r="E322" s="114"/>
      <c r="F322" s="114"/>
      <c r="G322" s="114"/>
      <c r="H322" s="54"/>
      <c r="I322" s="54"/>
      <c r="J322" s="54"/>
      <c r="K322" s="54"/>
      <c r="L322" s="54"/>
      <c r="M322" s="54"/>
      <c r="P322" s="44"/>
    </row>
    <row r="323">
      <c r="A323" s="54"/>
      <c r="B323" s="114"/>
      <c r="C323" s="114"/>
      <c r="D323" s="114"/>
      <c r="E323" s="114"/>
      <c r="F323" s="114"/>
      <c r="G323" s="114"/>
      <c r="H323" s="54"/>
      <c r="I323" s="54"/>
      <c r="J323" s="54"/>
      <c r="K323" s="54"/>
      <c r="L323" s="54"/>
      <c r="M323" s="54"/>
      <c r="P323" s="44"/>
    </row>
    <row r="324">
      <c r="A324" s="54"/>
      <c r="B324" s="114"/>
      <c r="C324" s="114"/>
      <c r="D324" s="114"/>
      <c r="E324" s="114"/>
      <c r="F324" s="114"/>
      <c r="G324" s="114"/>
      <c r="H324" s="54"/>
      <c r="I324" s="54"/>
      <c r="J324" s="54"/>
      <c r="K324" s="54"/>
      <c r="L324" s="54"/>
      <c r="M324" s="54"/>
      <c r="P324" s="44"/>
    </row>
    <row r="325">
      <c r="A325" s="54"/>
      <c r="B325" s="114"/>
      <c r="C325" s="114"/>
      <c r="D325" s="114"/>
      <c r="E325" s="114"/>
      <c r="F325" s="114"/>
      <c r="G325" s="114"/>
      <c r="H325" s="54"/>
      <c r="I325" s="54"/>
      <c r="J325" s="54"/>
      <c r="K325" s="54"/>
      <c r="L325" s="54"/>
      <c r="M325" s="54"/>
      <c r="P325" s="44"/>
    </row>
    <row r="326">
      <c r="A326" s="54"/>
      <c r="B326" s="114"/>
      <c r="C326" s="114"/>
      <c r="D326" s="114"/>
      <c r="E326" s="114"/>
      <c r="F326" s="114"/>
      <c r="G326" s="114"/>
      <c r="H326" s="54"/>
      <c r="I326" s="54"/>
      <c r="J326" s="54"/>
      <c r="K326" s="54"/>
      <c r="L326" s="54"/>
      <c r="M326" s="54"/>
      <c r="P326" s="44"/>
    </row>
    <row r="327">
      <c r="A327" s="54"/>
      <c r="B327" s="114"/>
      <c r="C327" s="114"/>
      <c r="D327" s="114"/>
      <c r="E327" s="114"/>
      <c r="F327" s="114"/>
      <c r="G327" s="114"/>
      <c r="H327" s="54"/>
      <c r="I327" s="54"/>
      <c r="J327" s="54"/>
      <c r="K327" s="54"/>
      <c r="L327" s="54"/>
      <c r="M327" s="54"/>
      <c r="P327" s="44"/>
    </row>
    <row r="328">
      <c r="A328" s="54"/>
      <c r="B328" s="114"/>
      <c r="C328" s="114"/>
      <c r="D328" s="114"/>
      <c r="E328" s="114"/>
      <c r="F328" s="114"/>
      <c r="G328" s="114"/>
      <c r="H328" s="54"/>
      <c r="I328" s="54"/>
      <c r="J328" s="54"/>
      <c r="K328" s="54"/>
      <c r="L328" s="54"/>
      <c r="M328" s="54"/>
      <c r="P328" s="44"/>
    </row>
    <row r="329">
      <c r="A329" s="54"/>
      <c r="B329" s="114"/>
      <c r="C329" s="114"/>
      <c r="D329" s="114"/>
      <c r="E329" s="114"/>
      <c r="F329" s="114"/>
      <c r="G329" s="114"/>
      <c r="H329" s="54"/>
      <c r="I329" s="54"/>
      <c r="J329" s="54"/>
      <c r="K329" s="54"/>
      <c r="L329" s="54"/>
      <c r="M329" s="54"/>
      <c r="P329" s="44"/>
    </row>
    <row r="330">
      <c r="A330" s="54"/>
      <c r="B330" s="114"/>
      <c r="C330" s="114"/>
      <c r="D330" s="114"/>
      <c r="E330" s="114"/>
      <c r="F330" s="114"/>
      <c r="G330" s="114"/>
      <c r="H330" s="54"/>
      <c r="I330" s="54"/>
      <c r="J330" s="54"/>
      <c r="K330" s="54"/>
      <c r="L330" s="54"/>
      <c r="M330" s="54"/>
      <c r="P330" s="44"/>
    </row>
    <row r="331">
      <c r="A331" s="54"/>
      <c r="B331" s="114"/>
      <c r="C331" s="114"/>
      <c r="D331" s="114"/>
      <c r="E331" s="114"/>
      <c r="F331" s="114"/>
      <c r="G331" s="114"/>
      <c r="H331" s="54"/>
      <c r="I331" s="54"/>
      <c r="J331" s="54"/>
      <c r="K331" s="54"/>
      <c r="L331" s="54"/>
      <c r="M331" s="54"/>
      <c r="P331" s="44"/>
    </row>
    <row r="332">
      <c r="A332" s="54"/>
      <c r="B332" s="114"/>
      <c r="C332" s="114"/>
      <c r="D332" s="114"/>
      <c r="E332" s="114"/>
      <c r="F332" s="114"/>
      <c r="G332" s="114"/>
      <c r="H332" s="54"/>
      <c r="I332" s="54"/>
      <c r="J332" s="54"/>
      <c r="K332" s="54"/>
      <c r="L332" s="54"/>
      <c r="M332" s="54"/>
      <c r="P332" s="44"/>
    </row>
    <row r="333">
      <c r="A333" s="54"/>
      <c r="B333" s="114"/>
      <c r="C333" s="114"/>
      <c r="D333" s="114"/>
      <c r="E333" s="114"/>
      <c r="F333" s="114"/>
      <c r="G333" s="114"/>
      <c r="H333" s="54"/>
      <c r="I333" s="54"/>
      <c r="J333" s="54"/>
      <c r="K333" s="54"/>
      <c r="L333" s="54"/>
      <c r="M333" s="54"/>
      <c r="P333" s="44"/>
    </row>
    <row r="334">
      <c r="A334" s="54"/>
      <c r="B334" s="114"/>
      <c r="C334" s="114"/>
      <c r="D334" s="114"/>
      <c r="E334" s="114"/>
      <c r="F334" s="114"/>
      <c r="G334" s="114"/>
      <c r="H334" s="54"/>
      <c r="I334" s="54"/>
      <c r="J334" s="54"/>
      <c r="K334" s="54"/>
      <c r="L334" s="54"/>
      <c r="M334" s="54"/>
      <c r="P334" s="44"/>
    </row>
    <row r="335">
      <c r="A335" s="54"/>
      <c r="B335" s="114"/>
      <c r="C335" s="114"/>
      <c r="D335" s="114"/>
      <c r="E335" s="114"/>
      <c r="F335" s="114"/>
      <c r="G335" s="114"/>
      <c r="H335" s="54"/>
      <c r="I335" s="54"/>
      <c r="J335" s="54"/>
      <c r="K335" s="54"/>
      <c r="L335" s="54"/>
      <c r="M335" s="54"/>
      <c r="P335" s="44"/>
    </row>
    <row r="336">
      <c r="A336" s="54"/>
      <c r="B336" s="114"/>
      <c r="C336" s="114"/>
      <c r="D336" s="114"/>
      <c r="E336" s="114"/>
      <c r="F336" s="114"/>
      <c r="G336" s="114"/>
      <c r="H336" s="54"/>
      <c r="I336" s="54"/>
      <c r="J336" s="54"/>
      <c r="K336" s="54"/>
      <c r="L336" s="54"/>
      <c r="M336" s="54"/>
      <c r="P336" s="44"/>
    </row>
    <row r="337">
      <c r="A337" s="54"/>
      <c r="B337" s="114"/>
      <c r="C337" s="114"/>
      <c r="D337" s="114"/>
      <c r="E337" s="114"/>
      <c r="F337" s="114"/>
      <c r="G337" s="114"/>
      <c r="H337" s="54"/>
      <c r="I337" s="54"/>
      <c r="J337" s="54"/>
      <c r="K337" s="54"/>
      <c r="L337" s="54"/>
      <c r="M337" s="54"/>
      <c r="P337" s="4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P338" s="4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P339" s="4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P340" s="4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P341" s="4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P342" s="4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P343" s="4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P344" s="4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P345" s="4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P346" s="4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P347" s="4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P348" s="4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P349" s="4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P350" s="4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P351" s="4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P352" s="4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P353" s="4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P354" s="4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P355" s="4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P356" s="4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P357" s="4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P358" s="4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P359" s="4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P360" s="4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P361" s="4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P362" s="4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P363" s="4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P364" s="4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P365" s="4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P366" s="4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P367" s="4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P368" s="4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P369" s="4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P370" s="4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P371" s="4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P372" s="4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P373" s="4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P374" s="4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P375" s="4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P376" s="4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P377" s="4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P378" s="4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P379" s="4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P380" s="4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P381" s="4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P382" s="4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P383" s="4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P384" s="4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P385" s="4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P386" s="4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P387" s="4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P388" s="4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P389" s="4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P390" s="4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P391" s="4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P392" s="4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P393" s="4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P394" s="4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P395" s="4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P396" s="4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P397" s="4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P398" s="4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P399" s="4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P400" s="4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P401" s="4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P402" s="4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P403" s="4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P404" s="4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P405" s="4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P406" s="4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P407" s="4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P408" s="4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P409" s="4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P410" s="4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P411" s="4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P412" s="4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P413" s="4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P414" s="4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P415" s="4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P416" s="4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P417" s="4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P418" s="4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P419" s="4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P420" s="4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P421" s="4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P422" s="4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P423" s="4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P424" s="4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P425" s="4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P426" s="4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P427" s="4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P428" s="4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P429" s="4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P430" s="4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P431" s="4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P432" s="4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P433" s="4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P434" s="4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P435" s="4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P436" s="4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P437" s="4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P438" s="4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P439" s="4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P440" s="4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P441" s="4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P442" s="4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P443" s="4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P444" s="4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P445" s="4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P446" s="4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P447" s="4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P448" s="4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P449" s="4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P450" s="4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P451" s="4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P452" s="4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P453" s="4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P454" s="4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P455" s="4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P456" s="4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P457" s="4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P458" s="4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P459" s="4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P460" s="4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P461" s="4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P462" s="4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P463" s="4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P464" s="4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P465" s="4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P466" s="4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P467" s="4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P468" s="4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P469" s="4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P470" s="4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P471" s="4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P472" s="4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P473" s="4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P474" s="4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P475" s="4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P476" s="4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P477" s="4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P478" s="4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P479" s="4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P480" s="4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P481" s="4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P482" s="4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P483" s="4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P484" s="4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P485" s="4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P486" s="4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P487" s="4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P488" s="4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P489" s="4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P490" s="4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P491" s="4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P492" s="4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P493" s="4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P494" s="4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P495" s="4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P496" s="4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P497" s="4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P498" s="4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P499" s="4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P500" s="4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P501" s="4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P502" s="4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P503" s="4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P504" s="4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P505" s="4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P506" s="4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P507" s="4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P508" s="4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P509" s="4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P510" s="4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P511" s="4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P512" s="4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P513" s="4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P514" s="4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P515" s="4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P516" s="4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P517" s="4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P518" s="4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P519" s="4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P520" s="4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P521" s="4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P522" s="4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P523" s="4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P524" s="4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P525" s="4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P526" s="4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P527" s="4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P528" s="4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P529" s="4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P530" s="4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P531" s="4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P532" s="4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P533" s="4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P534" s="4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P535" s="4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P536" s="4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P537" s="4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P538" s="4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P539" s="4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P540" s="4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P541" s="4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P542" s="4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P543" s="4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P544" s="4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P545" s="4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P546" s="4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P547" s="4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P548" s="4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P549" s="4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P550" s="4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P551" s="4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P552" s="4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P553" s="4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P554" s="4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P555" s="4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P556" s="4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P557" s="4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P558" s="4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P559" s="4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P560" s="4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P561" s="4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P562" s="4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P563" s="4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P564" s="4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P565" s="4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P566" s="4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P567" s="4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P568" s="4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P569" s="4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P570" s="4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P571" s="4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P572" s="4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P573" s="4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P574" s="4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P575" s="4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P576" s="4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P577" s="4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P578" s="4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P579" s="4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P580" s="4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P581" s="4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P582" s="4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P583" s="4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P584" s="4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P585" s="4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P586" s="4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P587" s="4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P588" s="4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P589" s="4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P590" s="4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P591" s="4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P592" s="4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P593" s="4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P594" s="4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P595" s="4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P596" s="4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P597" s="4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P598" s="4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P599" s="4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P600" s="4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P601" s="4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P602" s="4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P603" s="4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P604" s="4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P605" s="4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P606" s="4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P607" s="4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P608" s="4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P609" s="4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P610" s="4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P611" s="4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P612" s="4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P613" s="4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P614" s="4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P615" s="4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P616" s="4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P617" s="4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P618" s="4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P619" s="4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P620" s="4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P621" s="4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P622" s="4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P623" s="4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P624" s="4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P625" s="4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P626" s="4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P627" s="4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P628" s="4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P629" s="4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P630" s="4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P631" s="4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P632" s="4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P633" s="4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P634" s="4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P635" s="4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P636" s="4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P637" s="4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P638" s="4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P639" s="4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P640" s="4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P641" s="4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P642" s="4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P643" s="4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P644" s="4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P645" s="4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P646" s="4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P647" s="4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P648" s="4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P649" s="4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P650" s="4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P651" s="4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P652" s="4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P653" s="4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P654" s="4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P655" s="4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P656" s="4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P657" s="4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P658" s="4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P659" s="4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P660" s="4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P661" s="4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P662" s="4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P663" s="4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P664" s="4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P665" s="4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P666" s="4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P667" s="4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P668" s="4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P669" s="4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P670" s="4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P671" s="4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P672" s="4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P673" s="4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P674" s="4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P675" s="4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P676" s="4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P677" s="4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P678" s="4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P679" s="4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P680" s="4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P681" s="4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P682" s="4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P683" s="4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P684" s="4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P685" s="4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P686" s="4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P687" s="4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P688" s="4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P689" s="4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P690" s="4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P691" s="4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P692" s="4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P693" s="4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P694" s="4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P695" s="4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P696" s="4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P697" s="4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P698" s="4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P699" s="4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P700" s="4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P701" s="4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P702" s="4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P703" s="4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P704" s="4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P705" s="4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P706" s="4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P707" s="4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P708" s="4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P709" s="4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P710" s="4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P711" s="4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P712" s="4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P713" s="4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P714" s="4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P715" s="4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P716" s="4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P717" s="4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P718" s="4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P719" s="4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P720" s="4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P721" s="4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P722" s="4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P723" s="4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P724" s="4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P725" s="4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P726" s="4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P727" s="4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P728" s="4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P729" s="4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P730" s="4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P731" s="4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P732" s="4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P733" s="4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P734" s="4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P735" s="4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P736" s="4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P737" s="4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P738" s="4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P739" s="4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P740" s="4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P741" s="4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P742" s="4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P743" s="4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P744" s="4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P745" s="4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P746" s="4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P747" s="4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P748" s="4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P749" s="4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P750" s="4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P751" s="4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P752" s="4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P753" s="4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P754" s="4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P755" s="4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P756" s="4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P757" s="4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P758" s="4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P759" s="4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P760" s="4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P761" s="4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P762" s="4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P763" s="4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P764" s="4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P765" s="4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P766" s="4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P767" s="4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P768" s="4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P769" s="4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P770" s="4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P771" s="4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P772" s="4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P773" s="4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P774" s="4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P775" s="4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P776" s="4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P777" s="4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P778" s="4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P779" s="4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P780" s="4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P781" s="4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P782" s="4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P783" s="4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P784" s="4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P785" s="4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P786" s="4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P787" s="4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P788" s="4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P789" s="4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P790" s="4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P791" s="4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P792" s="4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P793" s="4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P794" s="4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P795" s="4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P796" s="4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P797" s="4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P798" s="4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P799" s="4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P800" s="4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P801" s="4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P802" s="4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P803" s="4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P804" s="4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P805" s="4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P806" s="4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P807" s="4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P808" s="4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P809" s="4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P810" s="4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P811" s="4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P812" s="4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P813" s="4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P814" s="4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P815" s="4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P816" s="4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P817" s="4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P818" s="4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P819" s="4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P820" s="4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P821" s="4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P822" s="4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P823" s="4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P824" s="4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P825" s="4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P826" s="4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P827" s="4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P828" s="4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P829" s="4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P830" s="4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P831" s="4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P832" s="4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P833" s="4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P834" s="4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P835" s="4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P836" s="4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P837" s="4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P838" s="4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P839" s="4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P840" s="4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P841" s="4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P842" s="4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P843" s="4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P844" s="4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P845" s="4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P846" s="4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P847" s="4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P848" s="4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P849" s="4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P850" s="4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P851" s="4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P852" s="4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P853" s="4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P854" s="4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P855" s="4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P856" s="4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P857" s="4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P858" s="4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P859" s="4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P860" s="4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P861" s="4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P862" s="4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P863" s="4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P864" s="4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P865" s="4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P866" s="4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P867" s="4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P868" s="4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P869" s="4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P870" s="4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P871" s="4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P872" s="4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P873" s="4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P874" s="4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P875" s="4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P876" s="4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P877" s="4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P878" s="4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P879" s="4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P880" s="4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P881" s="4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P882" s="4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P883" s="4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P884" s="4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P885" s="4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P886" s="4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P887" s="4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P888" s="4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P889" s="4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P890" s="4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P891" s="4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P892" s="4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P893" s="4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P894" s="4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P895" s="4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P896" s="4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P897" s="4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P898" s="4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P899" s="4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P900" s="4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P901" s="4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P902" s="4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P903" s="4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P904" s="4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P905" s="4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P906" s="4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P907" s="4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P908" s="4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P909" s="4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P910" s="4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P911" s="4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P912" s="4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P913" s="4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P914" s="4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P915" s="4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P916" s="4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P917" s="4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P918" s="4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P919" s="4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P920" s="4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P921" s="4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P922" s="4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P923" s="4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P924" s="4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P925" s="4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P926" s="4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P927" s="4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P928" s="4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P929" s="4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P930" s="4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P931" s="4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P932" s="4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P933" s="4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P934" s="4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P935" s="4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P936" s="4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P937" s="4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P938" s="4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P939" s="4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P940" s="4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P941" s="4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P942" s="4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P943" s="4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P944" s="4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P945" s="4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P946" s="4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P947" s="4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P948" s="4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P949" s="4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P950" s="4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P951" s="4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P952" s="4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P953" s="4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P954" s="4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P955" s="4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P956" s="4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P957" s="4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P958" s="4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P959" s="4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P960" s="4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P961" s="4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P962" s="4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P963" s="4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P964" s="4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P965" s="4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P966" s="4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P967" s="4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P968" s="4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P969" s="4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P970" s="4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P971" s="4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P972" s="4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P973" s="4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P974" s="4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P975" s="4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P976" s="4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P977" s="4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P978" s="4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P979" s="4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P980" s="4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P981" s="4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P982" s="4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P983" s="4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P984" s="4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P985" s="4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P986" s="4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P987" s="4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P988" s="4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P989" s="4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P990" s="4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P991" s="4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P992" s="4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P993" s="4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P994" s="4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P995" s="4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P996" s="44"/>
    </row>
  </sheetData>
  <mergeCells count="43">
    <mergeCell ref="B3:I3"/>
    <mergeCell ref="B8:I8"/>
    <mergeCell ref="M10:O10"/>
    <mergeCell ref="B13:I13"/>
    <mergeCell ref="M15:O15"/>
    <mergeCell ref="B18:I18"/>
    <mergeCell ref="M19:O19"/>
    <mergeCell ref="B23:I23"/>
    <mergeCell ref="M23:O23"/>
    <mergeCell ref="B26:I26"/>
    <mergeCell ref="M27:O27"/>
    <mergeCell ref="B30:I30"/>
    <mergeCell ref="M31:O31"/>
    <mergeCell ref="B34:I34"/>
    <mergeCell ref="B37:I37"/>
    <mergeCell ref="M38:O38"/>
    <mergeCell ref="B42:I42"/>
    <mergeCell ref="M43:Q43"/>
    <mergeCell ref="B47:I47"/>
    <mergeCell ref="M48:Q48"/>
    <mergeCell ref="M52:Q52"/>
    <mergeCell ref="B51:I51"/>
    <mergeCell ref="B56:I56"/>
    <mergeCell ref="B57:I57"/>
    <mergeCell ref="M58:Q58"/>
    <mergeCell ref="B61:I61"/>
    <mergeCell ref="M62:Q62"/>
    <mergeCell ref="M67:Q67"/>
    <mergeCell ref="M78:Q78"/>
    <mergeCell ref="M82:Q82"/>
    <mergeCell ref="B86:I86"/>
    <mergeCell ref="M87:Q87"/>
    <mergeCell ref="B90:I90"/>
    <mergeCell ref="M91:Q91"/>
    <mergeCell ref="B95:I95"/>
    <mergeCell ref="M96:Q96"/>
    <mergeCell ref="B66:I66"/>
    <mergeCell ref="B70:I70"/>
    <mergeCell ref="M70:Q70"/>
    <mergeCell ref="B73:I73"/>
    <mergeCell ref="M74:Q74"/>
    <mergeCell ref="B77:I77"/>
    <mergeCell ref="B81:I81"/>
  </mergeCells>
  <conditionalFormatting sqref="J2">
    <cfRule type="expression" dxfId="0" priority="1">
      <formula>ABS(J2:J997)&gt;5</formula>
    </cfRule>
  </conditionalFormatting>
  <conditionalFormatting sqref="K2">
    <cfRule type="cellIs" dxfId="1" priority="2" operator="greaterThanOrEqual">
      <formula>35</formula>
    </cfRule>
  </conditionalFormatting>
  <conditionalFormatting sqref="K2">
    <cfRule type="cellIs" dxfId="2" priority="3" operator="greaterThanOrEqual">
      <formula>33</formula>
    </cfRule>
  </conditionalFormatting>
  <conditionalFormatting sqref="K2">
    <cfRule type="cellIs" dxfId="3" priority="4" operator="greaterThanOrEqual">
      <formula>33</formula>
    </cfRule>
  </conditionalFormatting>
  <conditionalFormatting sqref="K2">
    <cfRule type="cellIs" dxfId="4" priority="5" operator="greaterThanOrEqual">
      <formula>29</formula>
    </cfRule>
  </conditionalFormatting>
  <conditionalFormatting sqref="J2">
    <cfRule type="expression" dxfId="0" priority="6">
      <formula>ABS(J:J)&gt;10.3</formula>
    </cfRule>
  </conditionalFormatting>
  <conditionalFormatting sqref="K1:K55 K57:K996">
    <cfRule type="cellIs" dxfId="3" priority="7" operator="greaterThanOrEqual">
      <formula>32</formula>
    </cfRule>
  </conditionalFormatting>
  <conditionalFormatting sqref="K1:K55 K57:K996">
    <cfRule type="cellIs" dxfId="4" priority="8" operator="greaterThanOrEqual">
      <formula>31</formula>
    </cfRule>
  </conditionalFormatting>
  <conditionalFormatting sqref="J1:J55 J57:J996">
    <cfRule type="expression" dxfId="0" priority="9">
      <formula>ABS(J:J)&gt;7</formula>
    </cfRule>
  </conditionalFormatting>
  <conditionalFormatting sqref="I28">
    <cfRule type="notContainsBlanks" dxfId="0" priority="10">
      <formula>LEN(TRIM(I28))&gt;0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4" max="14" width="14.13"/>
  </cols>
  <sheetData>
    <row r="1">
      <c r="A1" s="58" t="s">
        <v>54</v>
      </c>
      <c r="B1" s="59" t="s">
        <v>55</v>
      </c>
      <c r="C1" s="12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44"/>
      <c r="P1" s="44"/>
    </row>
    <row r="2">
      <c r="A2" s="121" t="s">
        <v>82</v>
      </c>
      <c r="B2" s="54"/>
      <c r="C2" s="86"/>
      <c r="D2" s="60" t="s">
        <v>83</v>
      </c>
      <c r="E2" s="54"/>
      <c r="F2" s="54">
        <f>SUM(F4:F1001)</f>
        <v>118078</v>
      </c>
      <c r="G2" s="54">
        <f>MAX(G3:G1001)</f>
        <v>1094</v>
      </c>
      <c r="H2" s="54">
        <f t="shared" ref="H2:I2" si="1">SUM(H4:H1001)</f>
        <v>39787</v>
      </c>
      <c r="I2" s="54">
        <f t="shared" si="1"/>
        <v>40184.01</v>
      </c>
      <c r="J2" s="54">
        <f>H2-I2</f>
        <v>-397.01</v>
      </c>
      <c r="K2" s="63">
        <f>I2/F2*100</f>
        <v>34.0317502</v>
      </c>
      <c r="L2" s="64" t="s">
        <v>65</v>
      </c>
      <c r="M2" s="65"/>
      <c r="N2" s="122" t="s">
        <v>84</v>
      </c>
      <c r="P2" s="44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9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94">
        <v>45302.0</v>
      </c>
      <c r="C4" s="123"/>
      <c r="D4" s="96" t="s">
        <v>85</v>
      </c>
      <c r="E4" s="96">
        <v>1348681.0</v>
      </c>
      <c r="F4" s="96">
        <v>2065.0</v>
      </c>
      <c r="G4" s="96"/>
      <c r="H4" s="97">
        <v>832.0</v>
      </c>
      <c r="I4" s="97">
        <v>833.52</v>
      </c>
      <c r="J4" s="97">
        <v>-1.52</v>
      </c>
      <c r="K4" s="97">
        <v>40.36</v>
      </c>
      <c r="L4" s="54"/>
      <c r="M4" s="54"/>
      <c r="P4" s="44"/>
    </row>
    <row r="5">
      <c r="A5" s="54"/>
      <c r="B5" s="94">
        <v>45310.0</v>
      </c>
      <c r="C5" s="123"/>
      <c r="D5" s="96" t="s">
        <v>86</v>
      </c>
      <c r="E5" s="96">
        <v>1350976.0</v>
      </c>
      <c r="F5" s="96">
        <v>2295.0</v>
      </c>
      <c r="G5" s="96">
        <v>1057.0</v>
      </c>
      <c r="H5" s="97">
        <v>865.0</v>
      </c>
      <c r="I5" s="97">
        <v>855.01</v>
      </c>
      <c r="J5" s="97">
        <v>9.99</v>
      </c>
      <c r="K5" s="97">
        <v>37.26</v>
      </c>
      <c r="L5" s="54"/>
      <c r="M5" s="54"/>
      <c r="P5" s="44"/>
    </row>
    <row r="6">
      <c r="A6" s="54"/>
      <c r="B6" s="94">
        <v>45318.0</v>
      </c>
      <c r="C6" s="123"/>
      <c r="D6" s="96" t="s">
        <v>86</v>
      </c>
      <c r="E6" s="96">
        <v>1352897.0</v>
      </c>
      <c r="F6" s="96">
        <v>1921.0</v>
      </c>
      <c r="G6" s="96">
        <v>1057.0</v>
      </c>
      <c r="H6" s="97">
        <v>733.0</v>
      </c>
      <c r="I6" s="97">
        <v>727.59</v>
      </c>
      <c r="J6" s="97">
        <v>5.41</v>
      </c>
      <c r="K6" s="97">
        <v>37.88</v>
      </c>
      <c r="L6" s="54"/>
      <c r="M6" s="54"/>
      <c r="P6" s="44"/>
    </row>
    <row r="7">
      <c r="A7" s="66"/>
      <c r="B7" s="67" t="s">
        <v>68</v>
      </c>
      <c r="J7" s="66"/>
      <c r="K7" s="66"/>
      <c r="L7" s="66"/>
      <c r="M7" s="66"/>
      <c r="N7" s="68"/>
      <c r="O7" s="68"/>
      <c r="P7" s="69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</row>
    <row r="8">
      <c r="A8" s="54"/>
      <c r="B8" s="94">
        <v>45330.0</v>
      </c>
      <c r="C8" s="123"/>
      <c r="D8" s="95"/>
      <c r="E8" s="96">
        <v>1355521.0</v>
      </c>
      <c r="F8" s="96">
        <v>2624.0</v>
      </c>
      <c r="G8" s="96">
        <v>1031.0</v>
      </c>
      <c r="H8" s="97">
        <v>860.0</v>
      </c>
      <c r="I8" s="97">
        <v>858.09</v>
      </c>
      <c r="J8" s="97">
        <v>1.91</v>
      </c>
      <c r="K8" s="97">
        <v>32.7</v>
      </c>
      <c r="L8" s="54"/>
      <c r="M8" s="74" t="s">
        <v>69</v>
      </c>
      <c r="N8" s="75"/>
      <c r="O8" s="76"/>
      <c r="P8" s="44"/>
    </row>
    <row r="9">
      <c r="A9" s="54"/>
      <c r="B9" s="94">
        <v>45339.0</v>
      </c>
      <c r="C9" s="123"/>
      <c r="D9" s="95"/>
      <c r="E9" s="96">
        <v>1357511.0</v>
      </c>
      <c r="F9" s="96">
        <v>1990.0</v>
      </c>
      <c r="G9" s="96">
        <v>1043.0</v>
      </c>
      <c r="H9" s="97">
        <v>770.0</v>
      </c>
      <c r="I9" s="97">
        <v>770.01</v>
      </c>
      <c r="J9" s="97">
        <v>-0.01</v>
      </c>
      <c r="K9" s="97">
        <v>38.69</v>
      </c>
      <c r="L9" s="54"/>
      <c r="M9" s="77" t="s">
        <v>70</v>
      </c>
      <c r="N9" s="78" t="s">
        <v>71</v>
      </c>
      <c r="O9" s="78" t="s">
        <v>27</v>
      </c>
      <c r="P9" s="44"/>
    </row>
    <row r="10">
      <c r="A10" s="54"/>
      <c r="B10" s="94">
        <v>45345.0</v>
      </c>
      <c r="C10" s="123"/>
      <c r="D10" s="95"/>
      <c r="E10" s="96">
        <v>1359169.0</v>
      </c>
      <c r="F10" s="96">
        <v>1658.0</v>
      </c>
      <c r="G10" s="96">
        <v>1056.0</v>
      </c>
      <c r="H10" s="97">
        <v>602.0</v>
      </c>
      <c r="I10" s="97">
        <v>600.0</v>
      </c>
      <c r="J10" s="97">
        <v>2.0</v>
      </c>
      <c r="K10" s="97">
        <v>36.19</v>
      </c>
      <c r="L10" s="54"/>
      <c r="M10" s="79">
        <f>SUM(F8:F10)</f>
        <v>6272</v>
      </c>
      <c r="N10" s="80">
        <f>SUM(I8:I10)</f>
        <v>2228.1</v>
      </c>
      <c r="O10" s="81">
        <f>N10/M10*100</f>
        <v>35.52455357</v>
      </c>
      <c r="P10" s="44"/>
    </row>
    <row r="11">
      <c r="A11" s="66"/>
      <c r="B11" s="67" t="s">
        <v>72</v>
      </c>
      <c r="J11" s="66"/>
      <c r="K11" s="66"/>
      <c r="L11" s="66"/>
      <c r="M11" s="66"/>
      <c r="N11" s="68"/>
      <c r="O11" s="68"/>
      <c r="P11" s="69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</row>
    <row r="12">
      <c r="A12" s="54"/>
      <c r="B12" s="94">
        <v>45353.0</v>
      </c>
      <c r="C12" s="123"/>
      <c r="D12" s="95"/>
      <c r="E12" s="96">
        <v>1360764.0</v>
      </c>
      <c r="F12" s="96">
        <v>1595.0</v>
      </c>
      <c r="G12" s="96">
        <v>1023.0</v>
      </c>
      <c r="H12" s="97">
        <v>501.0</v>
      </c>
      <c r="I12" s="97">
        <v>500.0</v>
      </c>
      <c r="J12" s="97">
        <v>1.0</v>
      </c>
      <c r="K12" s="97">
        <v>31.35</v>
      </c>
      <c r="L12" s="54"/>
      <c r="M12" s="54"/>
      <c r="P12" s="44"/>
    </row>
    <row r="13">
      <c r="A13" s="54"/>
      <c r="B13" s="94">
        <v>45353.0</v>
      </c>
      <c r="C13" s="123"/>
      <c r="D13" s="95"/>
      <c r="E13" s="124" t="s">
        <v>87</v>
      </c>
      <c r="F13" s="75"/>
      <c r="G13" s="76"/>
      <c r="H13" s="97">
        <v>100.0</v>
      </c>
      <c r="I13" s="97"/>
      <c r="J13" s="97"/>
      <c r="K13" s="97"/>
      <c r="L13" s="54"/>
      <c r="M13" s="54"/>
      <c r="P13" s="44"/>
    </row>
    <row r="14">
      <c r="A14" s="54"/>
      <c r="B14" s="94">
        <v>45360.0</v>
      </c>
      <c r="C14" s="123"/>
      <c r="D14" s="95"/>
      <c r="E14" s="96">
        <v>1363074.0</v>
      </c>
      <c r="F14" s="96">
        <v>2310.0</v>
      </c>
      <c r="G14" s="96">
        <v>1045.0</v>
      </c>
      <c r="H14" s="97">
        <v>738.0</v>
      </c>
      <c r="I14" s="97">
        <v>739.37</v>
      </c>
      <c r="J14" s="97">
        <v>-1.37</v>
      </c>
      <c r="K14" s="97">
        <v>32.01</v>
      </c>
      <c r="L14" s="54"/>
      <c r="M14" s="74" t="s">
        <v>73</v>
      </c>
      <c r="N14" s="75"/>
      <c r="O14" s="76"/>
      <c r="P14" s="44"/>
    </row>
    <row r="15">
      <c r="A15" s="54"/>
      <c r="B15" s="94">
        <v>45371.0</v>
      </c>
      <c r="C15" s="123"/>
      <c r="D15" s="95"/>
      <c r="E15" s="96">
        <v>1364933.0</v>
      </c>
      <c r="F15" s="96">
        <v>1859.0</v>
      </c>
      <c r="G15" s="96">
        <v>1016.0</v>
      </c>
      <c r="H15" s="97">
        <v>706.0</v>
      </c>
      <c r="I15" s="97">
        <v>700.0</v>
      </c>
      <c r="J15" s="97">
        <v>6.0</v>
      </c>
      <c r="K15" s="97">
        <v>37.65</v>
      </c>
      <c r="L15" s="54"/>
      <c r="M15" s="77" t="s">
        <v>70</v>
      </c>
      <c r="N15" s="78" t="s">
        <v>71</v>
      </c>
      <c r="O15" s="78" t="s">
        <v>27</v>
      </c>
      <c r="P15" s="44"/>
    </row>
    <row r="16">
      <c r="A16" s="54"/>
      <c r="B16" s="94">
        <v>45380.0</v>
      </c>
      <c r="C16" s="123"/>
      <c r="D16" s="95"/>
      <c r="E16" s="96">
        <v>1367015.0</v>
      </c>
      <c r="F16" s="96">
        <v>2082.0</v>
      </c>
      <c r="G16" s="96">
        <v>1072.0</v>
      </c>
      <c r="H16" s="97">
        <v>756.0</v>
      </c>
      <c r="I16" s="97">
        <v>747.26</v>
      </c>
      <c r="J16" s="97">
        <v>8.74</v>
      </c>
      <c r="K16" s="97">
        <v>35.89</v>
      </c>
      <c r="L16" s="54"/>
      <c r="M16" s="79">
        <f>SUM(F12:F16)</f>
        <v>7846</v>
      </c>
      <c r="N16" s="80">
        <f>SUM(I12:I16)</f>
        <v>2686.63</v>
      </c>
      <c r="O16" s="81">
        <f>N16/M16*100</f>
        <v>34.24203416</v>
      </c>
      <c r="P16" s="44"/>
    </row>
    <row r="17">
      <c r="A17" s="66"/>
      <c r="B17" s="67" t="s">
        <v>74</v>
      </c>
      <c r="J17" s="66"/>
      <c r="K17" s="66"/>
      <c r="L17" s="66"/>
      <c r="M17" s="66"/>
      <c r="N17" s="68"/>
      <c r="O17" s="68"/>
      <c r="P17" s="69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54"/>
      <c r="B18" s="94">
        <v>45389.0</v>
      </c>
      <c r="C18" s="123"/>
      <c r="D18" s="95"/>
      <c r="E18" s="96">
        <v>1368594.0</v>
      </c>
      <c r="F18" s="96">
        <v>1579.0</v>
      </c>
      <c r="G18" s="96">
        <v>1067.0</v>
      </c>
      <c r="H18" s="97">
        <v>498.0</v>
      </c>
      <c r="I18" s="97">
        <v>489.77</v>
      </c>
      <c r="J18" s="97">
        <v>8.23</v>
      </c>
      <c r="K18" s="97">
        <v>31.02</v>
      </c>
      <c r="L18" s="54"/>
      <c r="M18" s="82" t="str">
        <f>"тотал"&amp;" "&amp;B17</f>
        <v>тотал АПРЕЛЬ</v>
      </c>
      <c r="N18" s="75"/>
      <c r="O18" s="76"/>
      <c r="P18" s="44"/>
    </row>
    <row r="19">
      <c r="A19" s="54"/>
      <c r="B19" s="94">
        <v>45401.0</v>
      </c>
      <c r="C19" s="123"/>
      <c r="D19" s="95"/>
      <c r="E19" s="96">
        <v>1371167.0</v>
      </c>
      <c r="F19" s="96">
        <v>2573.0</v>
      </c>
      <c r="G19" s="96">
        <v>1082.0</v>
      </c>
      <c r="H19" s="97">
        <v>901.0</v>
      </c>
      <c r="I19" s="97">
        <v>885.02</v>
      </c>
      <c r="J19" s="97">
        <v>15.98</v>
      </c>
      <c r="K19" s="97">
        <v>34.4</v>
      </c>
      <c r="L19" s="54"/>
      <c r="M19" s="83" t="s">
        <v>70</v>
      </c>
      <c r="N19" s="83" t="s">
        <v>71</v>
      </c>
      <c r="O19" s="83" t="s">
        <v>27</v>
      </c>
      <c r="P19" s="44"/>
    </row>
    <row r="20">
      <c r="A20" s="54"/>
      <c r="B20" s="125">
        <v>45411.0</v>
      </c>
      <c r="C20" s="126"/>
      <c r="D20" s="95"/>
      <c r="E20" s="96">
        <v>1373625.0</v>
      </c>
      <c r="F20" s="96">
        <v>2458.0</v>
      </c>
      <c r="G20" s="96">
        <v>1068.0</v>
      </c>
      <c r="H20" s="97">
        <v>743.0</v>
      </c>
      <c r="I20" s="97">
        <v>731.49</v>
      </c>
      <c r="J20" s="97">
        <v>11.51</v>
      </c>
      <c r="K20" s="97">
        <v>29.76</v>
      </c>
      <c r="L20" s="54"/>
      <c r="M20" s="84">
        <f>SUM(F18:F20)</f>
        <v>6610</v>
      </c>
      <c r="N20" s="84">
        <f>SUM(I18:I20)</f>
        <v>2106.28</v>
      </c>
      <c r="O20" s="85">
        <f>N20/M20*100</f>
        <v>31.86505295</v>
      </c>
      <c r="P20" s="44"/>
    </row>
    <row r="21">
      <c r="A21" s="66"/>
      <c r="B21" s="67" t="s">
        <v>75</v>
      </c>
      <c r="J21" s="66"/>
      <c r="K21" s="66"/>
      <c r="L21" s="66"/>
      <c r="M21" s="66"/>
      <c r="N21" s="68"/>
      <c r="O21" s="68"/>
      <c r="P21" s="69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>
      <c r="A22" s="54"/>
      <c r="B22" s="96" t="s">
        <v>88</v>
      </c>
      <c r="C22" s="127"/>
      <c r="D22" s="95"/>
      <c r="E22" s="96">
        <v>1375457.0</v>
      </c>
      <c r="F22" s="96">
        <v>1832.0</v>
      </c>
      <c r="G22" s="96">
        <v>1080.0</v>
      </c>
      <c r="H22" s="97">
        <v>566.0</v>
      </c>
      <c r="I22" s="97">
        <v>555.05</v>
      </c>
      <c r="J22" s="97">
        <v>10.95</v>
      </c>
      <c r="K22" s="97">
        <v>30.3</v>
      </c>
      <c r="L22" s="54"/>
      <c r="M22" s="82" t="str">
        <f>"тотал"&amp;" "&amp;B21</f>
        <v>тотал МАЙ</v>
      </c>
      <c r="N22" s="75"/>
      <c r="O22" s="76"/>
      <c r="P22" s="44"/>
    </row>
    <row r="23">
      <c r="A23" s="54"/>
      <c r="B23" s="96" t="s">
        <v>89</v>
      </c>
      <c r="C23" s="127"/>
      <c r="D23" s="95"/>
      <c r="E23" s="96">
        <v>1378161.0</v>
      </c>
      <c r="F23" s="96">
        <v>2704.0</v>
      </c>
      <c r="G23" s="96">
        <v>1065.0</v>
      </c>
      <c r="H23" s="97">
        <v>935.0</v>
      </c>
      <c r="I23" s="97">
        <v>900.0</v>
      </c>
      <c r="J23" s="97">
        <v>35.0</v>
      </c>
      <c r="K23" s="97">
        <v>33.28</v>
      </c>
      <c r="L23" s="54"/>
      <c r="M23" s="83" t="s">
        <v>70</v>
      </c>
      <c r="N23" s="83" t="s">
        <v>71</v>
      </c>
      <c r="O23" s="83" t="s">
        <v>27</v>
      </c>
      <c r="P23" s="44"/>
    </row>
    <row r="24">
      <c r="A24" s="54"/>
      <c r="B24" s="94">
        <v>45439.0</v>
      </c>
      <c r="C24" s="123"/>
      <c r="D24" s="95"/>
      <c r="E24" s="96">
        <v>1380158.0</v>
      </c>
      <c r="F24" s="96">
        <v>1997.0</v>
      </c>
      <c r="G24" s="96">
        <v>1089.0</v>
      </c>
      <c r="H24" s="97">
        <v>625.0</v>
      </c>
      <c r="I24" s="97">
        <v>616.25</v>
      </c>
      <c r="J24" s="97">
        <v>8.75</v>
      </c>
      <c r="K24" s="97">
        <v>30.86</v>
      </c>
      <c r="L24" s="54"/>
      <c r="M24" s="84">
        <f>SUM(F22:F24)</f>
        <v>6533</v>
      </c>
      <c r="N24" s="84">
        <f>SUM(I22:I24)</f>
        <v>2071.3</v>
      </c>
      <c r="O24" s="85">
        <f>N24/M24*100</f>
        <v>31.70518904</v>
      </c>
      <c r="P24" s="44"/>
    </row>
    <row r="25">
      <c r="A25" s="66"/>
      <c r="B25" s="67" t="s">
        <v>90</v>
      </c>
      <c r="J25" s="66"/>
      <c r="K25" s="66"/>
      <c r="L25" s="66"/>
      <c r="M25" s="66"/>
      <c r="N25" s="68"/>
      <c r="O25" s="68"/>
      <c r="P25" s="69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>
      <c r="A26" s="54"/>
      <c r="B26" s="94">
        <v>45444.0</v>
      </c>
      <c r="C26" s="123"/>
      <c r="D26" s="95"/>
      <c r="E26" s="96">
        <v>1381778.0</v>
      </c>
      <c r="F26" s="96">
        <v>1620.0</v>
      </c>
      <c r="G26" s="96">
        <v>1086.0</v>
      </c>
      <c r="H26" s="97">
        <v>482.0</v>
      </c>
      <c r="I26" s="97">
        <v>478.8</v>
      </c>
      <c r="J26" s="97">
        <v>3.2</v>
      </c>
      <c r="K26" s="97">
        <v>29.56</v>
      </c>
      <c r="L26" s="54"/>
      <c r="M26" s="74" t="s">
        <v>91</v>
      </c>
      <c r="N26" s="75"/>
      <c r="O26" s="76"/>
      <c r="P26" s="44"/>
    </row>
    <row r="27">
      <c r="A27" s="54"/>
      <c r="B27" s="94">
        <v>45458.0</v>
      </c>
      <c r="C27" s="123"/>
      <c r="D27" s="95"/>
      <c r="E27" s="96">
        <v>1383835.0</v>
      </c>
      <c r="F27" s="96">
        <v>2057.0</v>
      </c>
      <c r="G27" s="96">
        <v>1084.0</v>
      </c>
      <c r="H27" s="97">
        <v>701.0</v>
      </c>
      <c r="I27" s="97">
        <v>684.09</v>
      </c>
      <c r="J27" s="97">
        <v>16.91</v>
      </c>
      <c r="K27" s="97">
        <v>33.26</v>
      </c>
      <c r="L27" s="54"/>
      <c r="M27" s="77" t="s">
        <v>70</v>
      </c>
      <c r="N27" s="78" t="s">
        <v>71</v>
      </c>
      <c r="O27" s="78" t="s">
        <v>27</v>
      </c>
      <c r="P27" s="44"/>
    </row>
    <row r="28">
      <c r="A28" s="54"/>
      <c r="B28" s="94">
        <v>45466.0</v>
      </c>
      <c r="C28" s="123"/>
      <c r="D28" s="95"/>
      <c r="E28" s="96">
        <v>1385180.0</v>
      </c>
      <c r="F28" s="96">
        <v>1345.0</v>
      </c>
      <c r="G28" s="96">
        <v>1084.0</v>
      </c>
      <c r="H28" s="97">
        <v>486.0</v>
      </c>
      <c r="I28" s="97">
        <v>483.48</v>
      </c>
      <c r="J28" s="97">
        <v>2.52</v>
      </c>
      <c r="K28" s="97">
        <v>35.95</v>
      </c>
      <c r="L28" s="54"/>
      <c r="M28" s="79">
        <f>SUM(F26:F29)</f>
        <v>6799</v>
      </c>
      <c r="N28" s="80">
        <f>SUM(I26:I29)</f>
        <v>2165.22</v>
      </c>
      <c r="O28" s="81">
        <f>N28/M28*100</f>
        <v>31.84615385</v>
      </c>
      <c r="P28" s="44"/>
    </row>
    <row r="29">
      <c r="A29" s="54"/>
      <c r="B29" s="94">
        <v>45472.0</v>
      </c>
      <c r="C29" s="123"/>
      <c r="D29" s="95" t="str">
        <f>D33</f>
        <v>Кузнецов</v>
      </c>
      <c r="E29" s="96">
        <v>1386957.0</v>
      </c>
      <c r="F29" s="96">
        <v>1777.0</v>
      </c>
      <c r="G29" s="96">
        <v>1090.0</v>
      </c>
      <c r="H29" s="97">
        <v>524.0</v>
      </c>
      <c r="I29" s="97">
        <v>518.85</v>
      </c>
      <c r="J29" s="97">
        <v>5.15</v>
      </c>
      <c r="K29" s="97">
        <v>29.2</v>
      </c>
      <c r="L29" s="54"/>
      <c r="M29" s="54"/>
      <c r="P29" s="44"/>
    </row>
    <row r="30">
      <c r="A30" s="66"/>
      <c r="B30" s="67" t="s">
        <v>92</v>
      </c>
      <c r="J30" s="66"/>
      <c r="K30" s="66"/>
      <c r="L30" s="66"/>
      <c r="M30" s="66"/>
      <c r="N30" s="68"/>
      <c r="O30" s="68"/>
      <c r="P30" s="69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</row>
    <row r="31">
      <c r="A31" s="54"/>
      <c r="B31" s="96" t="s">
        <v>93</v>
      </c>
      <c r="C31" s="127"/>
      <c r="D31" s="96" t="s">
        <v>86</v>
      </c>
      <c r="E31" s="128">
        <v>1388213.0</v>
      </c>
      <c r="F31" s="96">
        <v>1256.0</v>
      </c>
      <c r="G31" s="96">
        <v>1069.0</v>
      </c>
      <c r="H31" s="97">
        <v>474.0</v>
      </c>
      <c r="I31" s="97">
        <v>470.02</v>
      </c>
      <c r="J31" s="97">
        <v>3.98</v>
      </c>
      <c r="K31" s="97">
        <v>37.42</v>
      </c>
      <c r="L31" s="54"/>
      <c r="M31" s="74" t="s">
        <v>94</v>
      </c>
      <c r="N31" s="75"/>
      <c r="O31" s="76"/>
      <c r="P31" s="44"/>
    </row>
    <row r="32">
      <c r="A32" s="54"/>
      <c r="B32" s="98">
        <v>45486.0</v>
      </c>
      <c r="C32" s="129"/>
      <c r="D32" s="100" t="s">
        <v>86</v>
      </c>
      <c r="E32" s="104">
        <v>1389472.0</v>
      </c>
      <c r="F32" s="99">
        <f t="shared" ref="F32:F34" si="2">E32-E31</f>
        <v>1259</v>
      </c>
      <c r="G32" s="100">
        <v>1089.0</v>
      </c>
      <c r="H32" s="101">
        <v>541.0</v>
      </c>
      <c r="I32" s="101">
        <v>536.0</v>
      </c>
      <c r="J32" s="102">
        <f t="shared" ref="J32:J34" si="3">H32-I32</f>
        <v>5</v>
      </c>
      <c r="K32" s="103">
        <f t="shared" ref="K32:K34" si="4">I32/F32*100</f>
        <v>42.57347101</v>
      </c>
      <c r="L32" s="54"/>
      <c r="M32" s="78" t="s">
        <v>70</v>
      </c>
      <c r="N32" s="78" t="s">
        <v>71</v>
      </c>
      <c r="O32" s="78" t="s">
        <v>27</v>
      </c>
      <c r="P32" s="44"/>
    </row>
    <row r="33">
      <c r="A33" s="54"/>
      <c r="B33" s="98">
        <v>45493.0</v>
      </c>
      <c r="C33" s="129"/>
      <c r="D33" s="101" t="s">
        <v>85</v>
      </c>
      <c r="E33" s="104">
        <v>1390620.0</v>
      </c>
      <c r="F33" s="99">
        <f t="shared" si="2"/>
        <v>1148</v>
      </c>
      <c r="G33" s="100">
        <v>1088.0</v>
      </c>
      <c r="H33" s="101">
        <v>351.0</v>
      </c>
      <c r="I33" s="101">
        <v>345.93</v>
      </c>
      <c r="J33" s="102">
        <f t="shared" si="3"/>
        <v>5.07</v>
      </c>
      <c r="K33" s="103">
        <f t="shared" si="4"/>
        <v>30.13327526</v>
      </c>
      <c r="L33" s="54"/>
      <c r="M33" s="79">
        <f>SUM(F31:F34)</f>
        <v>5318</v>
      </c>
      <c r="N33" s="80">
        <f>SUM(I31:I34)</f>
        <v>1844.17</v>
      </c>
      <c r="O33" s="81">
        <f>N33/M33*100</f>
        <v>34.67788642</v>
      </c>
      <c r="P33" s="44"/>
    </row>
    <row r="34">
      <c r="A34" s="54"/>
      <c r="B34" s="98">
        <v>45501.0</v>
      </c>
      <c r="C34" s="129"/>
      <c r="D34" s="100" t="s">
        <v>85</v>
      </c>
      <c r="E34" s="104">
        <v>1392275.0</v>
      </c>
      <c r="F34" s="99">
        <f t="shared" si="2"/>
        <v>1655</v>
      </c>
      <c r="G34" s="100">
        <v>1089.0</v>
      </c>
      <c r="H34" s="101">
        <v>496.0</v>
      </c>
      <c r="I34" s="101">
        <v>492.22</v>
      </c>
      <c r="J34" s="102">
        <f t="shared" si="3"/>
        <v>3.78</v>
      </c>
      <c r="K34" s="103">
        <f t="shared" si="4"/>
        <v>29.74138973</v>
      </c>
      <c r="L34" s="54"/>
      <c r="M34" s="54"/>
      <c r="P34" s="44"/>
    </row>
    <row r="35">
      <c r="A35" s="66"/>
      <c r="B35" s="67" t="s">
        <v>95</v>
      </c>
      <c r="J35" s="66"/>
      <c r="K35" s="66"/>
      <c r="L35" s="66"/>
      <c r="M35" s="66"/>
      <c r="N35" s="68"/>
      <c r="O35" s="68"/>
      <c r="P35" s="69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>
      <c r="A36" s="54"/>
      <c r="B36" s="98">
        <v>45508.0</v>
      </c>
      <c r="C36" s="129"/>
      <c r="D36" s="100" t="s">
        <v>86</v>
      </c>
      <c r="E36" s="104">
        <v>1393699.0</v>
      </c>
      <c r="F36" s="99">
        <f>E36-E34</f>
        <v>1424</v>
      </c>
      <c r="G36" s="100">
        <v>1080.0</v>
      </c>
      <c r="H36" s="101">
        <v>406.0</v>
      </c>
      <c r="I36" s="101">
        <v>400.0</v>
      </c>
      <c r="J36" s="102">
        <f t="shared" ref="J36:J39" si="5">H36-I36</f>
        <v>6</v>
      </c>
      <c r="K36" s="103">
        <f t="shared" ref="K36:K39" si="6">I36/F36*100</f>
        <v>28.08988764</v>
      </c>
      <c r="L36" s="54"/>
      <c r="M36" s="82" t="str">
        <f>"тотал"&amp;" "&amp;B35</f>
        <v>тотал АВГУСТ</v>
      </c>
      <c r="N36" s="75"/>
      <c r="O36" s="76"/>
      <c r="P36" s="44"/>
    </row>
    <row r="37">
      <c r="A37" s="54"/>
      <c r="B37" s="98">
        <v>45515.0</v>
      </c>
      <c r="C37" s="129"/>
      <c r="D37" s="100" t="s">
        <v>86</v>
      </c>
      <c r="E37" s="100">
        <v>1395065.0</v>
      </c>
      <c r="F37" s="99">
        <f t="shared" ref="F37:F39" si="7">E37-E36</f>
        <v>1366</v>
      </c>
      <c r="G37" s="100">
        <v>1081.0</v>
      </c>
      <c r="H37" s="101">
        <v>462.0</v>
      </c>
      <c r="I37" s="101">
        <v>452.01</v>
      </c>
      <c r="J37" s="102">
        <f t="shared" si="5"/>
        <v>9.99</v>
      </c>
      <c r="K37" s="103">
        <f t="shared" si="6"/>
        <v>33.09004392</v>
      </c>
      <c r="L37" s="54"/>
      <c r="M37" s="83" t="s">
        <v>70</v>
      </c>
      <c r="N37" s="83" t="s">
        <v>71</v>
      </c>
      <c r="O37" s="83" t="s">
        <v>27</v>
      </c>
      <c r="P37" s="44"/>
    </row>
    <row r="38">
      <c r="A38" s="54"/>
      <c r="B38" s="98">
        <v>45521.0</v>
      </c>
      <c r="C38" s="129"/>
      <c r="D38" s="100" t="s">
        <v>85</v>
      </c>
      <c r="E38" s="130">
        <v>1396597.0</v>
      </c>
      <c r="F38" s="99">
        <f t="shared" si="7"/>
        <v>1532</v>
      </c>
      <c r="G38" s="100">
        <v>1084.0</v>
      </c>
      <c r="H38" s="101">
        <v>455.0</v>
      </c>
      <c r="I38" s="101">
        <v>447.22</v>
      </c>
      <c r="J38" s="102">
        <f t="shared" si="5"/>
        <v>7.78</v>
      </c>
      <c r="K38" s="103">
        <f t="shared" si="6"/>
        <v>29.19190601</v>
      </c>
      <c r="L38" s="54"/>
      <c r="M38" s="84">
        <f>SUM(F36:F39)</f>
        <v>6113</v>
      </c>
      <c r="N38" s="84">
        <f>SUM(I36:I39)</f>
        <v>1829.74</v>
      </c>
      <c r="O38" s="85">
        <f>N38/M38*100</f>
        <v>29.93194831</v>
      </c>
      <c r="P38" s="44"/>
    </row>
    <row r="39">
      <c r="A39" s="54"/>
      <c r="B39" s="98">
        <v>45529.0</v>
      </c>
      <c r="C39" s="129"/>
      <c r="D39" s="100" t="s">
        <v>85</v>
      </c>
      <c r="E39" s="104">
        <v>1398388.0</v>
      </c>
      <c r="F39" s="99">
        <f t="shared" si="7"/>
        <v>1791</v>
      </c>
      <c r="G39" s="100">
        <v>1083.0</v>
      </c>
      <c r="H39" s="101">
        <v>537.0</v>
      </c>
      <c r="I39" s="101">
        <v>530.51</v>
      </c>
      <c r="J39" s="102">
        <f t="shared" si="5"/>
        <v>6.49</v>
      </c>
      <c r="K39" s="103">
        <f t="shared" si="6"/>
        <v>29.62088219</v>
      </c>
      <c r="L39" s="54"/>
      <c r="M39" s="54"/>
      <c r="P39" s="44"/>
    </row>
    <row r="40">
      <c r="A40" s="68"/>
      <c r="B40" s="88" t="str">
        <f>IF(L40=4,"АПРЕЛЬ",IF(L40=5,"МАЙ",IF(L40=1,"ЯНВАРЬ",IF(L40=2,"ФЕВРАЛЬ",IF(L40=3,"МАРТ",IF(L40=6,"ИЮНЬ",IF(L40=7,"ИЮЛЬ",IF(L40=8,"АВГУСТ",IF(L40=9,"СЕНТЯБРЬ",IF(L40=10,"ОКТЯБРЬ",IF(L40=11,"НОЯБРЬ",IF(L40=12,"ДЕКАБРЬ"))))))))))))</f>
        <v>СЕНТЯБРЬ</v>
      </c>
      <c r="J40" s="88"/>
      <c r="K40" s="88"/>
      <c r="L40" s="91">
        <f>MONTH(B41)</f>
        <v>9</v>
      </c>
      <c r="M40" s="66"/>
      <c r="N40" s="66"/>
      <c r="O40" s="66"/>
      <c r="P40" s="113"/>
      <c r="Q40" s="66"/>
      <c r="R40" s="66"/>
      <c r="S40" s="68"/>
      <c r="T40" s="68"/>
      <c r="U40" s="68"/>
      <c r="V40" s="68"/>
      <c r="W40" s="68"/>
      <c r="X40" s="68"/>
      <c r="Y40" s="68"/>
      <c r="Z40" s="68"/>
      <c r="AA40" s="68"/>
    </row>
    <row r="41">
      <c r="A41" s="54"/>
      <c r="B41" s="98">
        <v>45536.0</v>
      </c>
      <c r="C41" s="129"/>
      <c r="D41" s="100" t="s">
        <v>86</v>
      </c>
      <c r="E41" s="104">
        <v>1399963.0</v>
      </c>
      <c r="F41" s="99">
        <f>E41-E39</f>
        <v>1575</v>
      </c>
      <c r="G41" s="100">
        <v>1092.0</v>
      </c>
      <c r="H41" s="101">
        <v>550.0</v>
      </c>
      <c r="I41" s="101">
        <v>547.39</v>
      </c>
      <c r="J41" s="102">
        <f t="shared" ref="J41:J43" si="8">H41-I41</f>
        <v>2.61</v>
      </c>
      <c r="K41" s="103">
        <f t="shared" ref="K41:K43" si="9">I41/F41*100</f>
        <v>34.75492063</v>
      </c>
      <c r="L41" s="54"/>
      <c r="M41" s="82" t="str">
        <f>"тотал"&amp;" "&amp;B40</f>
        <v>тотал СЕНТЯБРЬ</v>
      </c>
      <c r="N41" s="75"/>
      <c r="O41" s="76"/>
      <c r="P41" s="44"/>
    </row>
    <row r="42">
      <c r="A42" s="54"/>
      <c r="B42" s="98">
        <v>45545.0</v>
      </c>
      <c r="C42" s="129"/>
      <c r="D42" s="100" t="s">
        <v>86</v>
      </c>
      <c r="E42" s="100">
        <v>1402093.0</v>
      </c>
      <c r="F42" s="99">
        <f t="shared" ref="F42:F43" si="10">E42-E41</f>
        <v>2130</v>
      </c>
      <c r="G42" s="100">
        <v>1084.0</v>
      </c>
      <c r="H42" s="101">
        <v>673.0</v>
      </c>
      <c r="I42" s="101">
        <v>660.02</v>
      </c>
      <c r="J42" s="102">
        <f t="shared" si="8"/>
        <v>12.98</v>
      </c>
      <c r="K42" s="103">
        <f t="shared" si="9"/>
        <v>30.98685446</v>
      </c>
      <c r="L42" s="54"/>
      <c r="M42" s="83" t="s">
        <v>70</v>
      </c>
      <c r="N42" s="83" t="s">
        <v>71</v>
      </c>
      <c r="O42" s="83" t="s">
        <v>27</v>
      </c>
      <c r="P42" s="44"/>
    </row>
    <row r="43">
      <c r="A43" s="54"/>
      <c r="B43" s="98">
        <v>45556.0</v>
      </c>
      <c r="C43" s="129"/>
      <c r="D43" s="100" t="s">
        <v>85</v>
      </c>
      <c r="E43" s="131">
        <v>1404927.0</v>
      </c>
      <c r="F43" s="99">
        <f t="shared" si="10"/>
        <v>2834</v>
      </c>
      <c r="G43" s="100">
        <v>1086.0</v>
      </c>
      <c r="H43" s="101">
        <v>823.0</v>
      </c>
      <c r="I43" s="101">
        <v>807.24</v>
      </c>
      <c r="J43" s="102">
        <f t="shared" si="8"/>
        <v>15.76</v>
      </c>
      <c r="K43" s="103">
        <f t="shared" si="9"/>
        <v>28.48412138</v>
      </c>
      <c r="L43" s="54"/>
      <c r="M43" s="84">
        <f>SUM(F41:F43)</f>
        <v>6539</v>
      </c>
      <c r="N43" s="84">
        <f>SUM(I41:I43)</f>
        <v>2014.65</v>
      </c>
      <c r="O43" s="85">
        <f>N43/M43*100</f>
        <v>30.80975684</v>
      </c>
      <c r="P43" s="44"/>
    </row>
    <row r="44">
      <c r="A44" s="68"/>
      <c r="B44" s="112" t="s">
        <v>96</v>
      </c>
      <c r="J44" s="88"/>
      <c r="K44" s="88"/>
      <c r="L44" s="91">
        <f>MONTH(B45)</f>
        <v>10</v>
      </c>
      <c r="M44" s="66"/>
      <c r="N44" s="66"/>
      <c r="O44" s="66"/>
      <c r="P44" s="113"/>
      <c r="Q44" s="92" t="str">
        <f>RIGHT(YEAR(B45),2)</f>
        <v>24</v>
      </c>
      <c r="R44" s="66"/>
      <c r="S44" s="68"/>
      <c r="T44" s="68"/>
      <c r="U44" s="68"/>
      <c r="V44" s="68"/>
      <c r="W44" s="68"/>
      <c r="X44" s="68"/>
      <c r="Y44" s="68"/>
      <c r="Z44" s="68"/>
      <c r="AA44" s="68"/>
    </row>
    <row r="45">
      <c r="A45" s="54"/>
      <c r="B45" s="98">
        <v>45572.0</v>
      </c>
      <c r="C45" s="129"/>
      <c r="D45" s="102"/>
      <c r="E45" s="124" t="s">
        <v>87</v>
      </c>
      <c r="F45" s="75"/>
      <c r="G45" s="76"/>
      <c r="H45" s="101">
        <v>100.0</v>
      </c>
      <c r="I45" s="101"/>
      <c r="J45" s="102"/>
      <c r="K45" s="102"/>
      <c r="L45" s="54"/>
      <c r="M45" s="132" t="str">
        <f>"тотал"&amp;" "&amp;B44&amp;" "&amp;Q44</f>
        <v>тотал ОКТЯБРЬ 24</v>
      </c>
      <c r="N45" s="75"/>
      <c r="O45" s="75"/>
      <c r="P45" s="75"/>
      <c r="Q45" s="76"/>
    </row>
    <row r="46">
      <c r="A46" s="54"/>
      <c r="B46" s="98">
        <v>45578.0</v>
      </c>
      <c r="C46" s="129"/>
      <c r="D46" s="99"/>
      <c r="E46" s="100">
        <v>1406325.0</v>
      </c>
      <c r="F46" s="99">
        <f>E46-E43</f>
        <v>1398</v>
      </c>
      <c r="G46" s="100">
        <v>1081.0</v>
      </c>
      <c r="H46" s="101">
        <v>472.0</v>
      </c>
      <c r="I46" s="101">
        <v>463.57</v>
      </c>
      <c r="J46" s="102">
        <f t="shared" ref="J46:J47" si="11">H46-I46</f>
        <v>8.43</v>
      </c>
      <c r="K46" s="103">
        <f t="shared" ref="K46:K47" si="12">I46/F46*100</f>
        <v>33.15951359</v>
      </c>
      <c r="L46" s="54"/>
      <c r="M46" s="83" t="s">
        <v>70</v>
      </c>
      <c r="N46" s="83" t="s">
        <v>71</v>
      </c>
      <c r="O46" s="83" t="s">
        <v>27</v>
      </c>
      <c r="P46" s="77" t="s">
        <v>28</v>
      </c>
      <c r="Q46" s="12" t="s">
        <v>78</v>
      </c>
    </row>
    <row r="47">
      <c r="A47" s="54"/>
      <c r="B47" s="98">
        <v>45587.0</v>
      </c>
      <c r="C47" s="129"/>
      <c r="D47" s="99"/>
      <c r="E47" s="100">
        <v>1408116.0</v>
      </c>
      <c r="F47" s="99">
        <f>E47-E46</f>
        <v>1791</v>
      </c>
      <c r="G47" s="100">
        <v>1081.0</v>
      </c>
      <c r="H47" s="101">
        <v>596.0</v>
      </c>
      <c r="I47" s="101">
        <v>584.47</v>
      </c>
      <c r="J47" s="102">
        <f t="shared" si="11"/>
        <v>11.53</v>
      </c>
      <c r="K47" s="103">
        <f t="shared" si="12"/>
        <v>32.63372418</v>
      </c>
      <c r="L47" s="54"/>
      <c r="M47" s="84">
        <f>SUM(F45:F47)</f>
        <v>3189</v>
      </c>
      <c r="N47" s="84">
        <f>SUM(I45:I47)</f>
        <v>1048.04</v>
      </c>
      <c r="O47" s="85">
        <f>N47/M47*100</f>
        <v>32.86422076</v>
      </c>
      <c r="P47" s="79">
        <f>(M47/100)*(O47-Q47)</f>
        <v>59.45</v>
      </c>
      <c r="Q47" s="78">
        <v>31.0</v>
      </c>
    </row>
    <row r="48">
      <c r="A48" s="68"/>
      <c r="B48" s="112" t="s">
        <v>97</v>
      </c>
      <c r="J48" s="88"/>
      <c r="K48" s="88"/>
      <c r="L48" s="91">
        <f>MONTH(B49)</f>
        <v>11</v>
      </c>
      <c r="M48" s="66"/>
      <c r="N48" s="66"/>
      <c r="O48" s="66"/>
      <c r="P48" s="113"/>
      <c r="Q48" s="92" t="str">
        <f>RIGHT(YEAR(B49),2)</f>
        <v>24</v>
      </c>
      <c r="R48" s="66"/>
      <c r="S48" s="68"/>
      <c r="T48" s="68"/>
      <c r="U48" s="68"/>
      <c r="V48" s="68"/>
      <c r="W48" s="68"/>
      <c r="X48" s="68"/>
      <c r="Y48" s="68"/>
      <c r="Z48" s="68"/>
      <c r="AA48" s="68"/>
    </row>
    <row r="49">
      <c r="A49" s="54"/>
      <c r="B49" s="110">
        <v>45598.0</v>
      </c>
      <c r="C49" s="133"/>
      <c r="D49" s="99"/>
      <c r="E49" s="100">
        <v>1409192.0</v>
      </c>
      <c r="F49" s="99">
        <f>E49-E47</f>
        <v>1076</v>
      </c>
      <c r="G49" s="100">
        <v>1089.0</v>
      </c>
      <c r="H49" s="101">
        <v>389.0</v>
      </c>
      <c r="I49" s="101">
        <v>390.0</v>
      </c>
      <c r="J49" s="102">
        <f t="shared" ref="J49:J51" si="13">H49-I49</f>
        <v>-1</v>
      </c>
      <c r="K49" s="103">
        <f t="shared" ref="K49:K51" si="14">I49/F49*100</f>
        <v>36.24535316</v>
      </c>
      <c r="L49" s="54"/>
      <c r="M49" s="132" t="str">
        <f>"тотал"&amp;" "&amp;B48&amp;" "&amp;Q48</f>
        <v>тотал НОЯБРЬ 24</v>
      </c>
      <c r="N49" s="75"/>
      <c r="O49" s="75"/>
      <c r="P49" s="75"/>
      <c r="Q49" s="76"/>
    </row>
    <row r="50">
      <c r="A50" s="54"/>
      <c r="B50" s="110">
        <v>45618.0</v>
      </c>
      <c r="C50" s="133"/>
      <c r="D50" s="99"/>
      <c r="E50" s="100">
        <v>1411435.0</v>
      </c>
      <c r="F50" s="99">
        <f t="shared" ref="F50:F51" si="15">E50-E49</f>
        <v>2243</v>
      </c>
      <c r="G50" s="100">
        <v>987.0</v>
      </c>
      <c r="H50" s="101">
        <v>654.0</v>
      </c>
      <c r="I50" s="101">
        <v>641.43</v>
      </c>
      <c r="J50" s="102">
        <f t="shared" si="13"/>
        <v>12.57</v>
      </c>
      <c r="K50" s="103">
        <f t="shared" si="14"/>
        <v>28.59696835</v>
      </c>
      <c r="L50" s="54"/>
      <c r="M50" s="83" t="s">
        <v>70</v>
      </c>
      <c r="N50" s="83" t="s">
        <v>71</v>
      </c>
      <c r="O50" s="83" t="s">
        <v>27</v>
      </c>
      <c r="P50" s="77" t="s">
        <v>28</v>
      </c>
      <c r="Q50" s="12" t="s">
        <v>78</v>
      </c>
    </row>
    <row r="51">
      <c r="A51" s="54"/>
      <c r="B51" s="110">
        <v>45626.0</v>
      </c>
      <c r="C51" s="133"/>
      <c r="D51" s="99"/>
      <c r="E51" s="100">
        <v>1413602.0</v>
      </c>
      <c r="F51" s="99">
        <f t="shared" si="15"/>
        <v>2167</v>
      </c>
      <c r="G51" s="100">
        <v>1030.0</v>
      </c>
      <c r="H51" s="101">
        <v>802.0</v>
      </c>
      <c r="I51" s="101">
        <v>845.14</v>
      </c>
      <c r="J51" s="102">
        <f t="shared" si="13"/>
        <v>-43.14</v>
      </c>
      <c r="K51" s="103">
        <f t="shared" si="14"/>
        <v>39.00046147</v>
      </c>
      <c r="L51" s="54"/>
      <c r="M51" s="84">
        <f>SUM(F49:F51)</f>
        <v>5486</v>
      </c>
      <c r="N51" s="84">
        <f>SUM(I49:I51)</f>
        <v>1876.57</v>
      </c>
      <c r="O51" s="85">
        <f>N51/M51*100</f>
        <v>34.2065257</v>
      </c>
      <c r="P51" s="79">
        <f>(M51/100)*(O51-Q51)</f>
        <v>175.91</v>
      </c>
      <c r="Q51" s="78">
        <v>31.0</v>
      </c>
    </row>
    <row r="52">
      <c r="A52" s="68"/>
      <c r="B52" s="112" t="s">
        <v>98</v>
      </c>
      <c r="J52" s="88"/>
      <c r="K52" s="88"/>
      <c r="L52" s="91">
        <f>MONTH(B53)</f>
        <v>12</v>
      </c>
      <c r="M52" s="132" t="str">
        <f>"тотал"&amp;" "&amp;B52&amp;" "&amp;Q52</f>
        <v>тотал ДЕКАБРЬ </v>
      </c>
      <c r="N52" s="75"/>
      <c r="O52" s="75"/>
      <c r="P52" s="75"/>
      <c r="Q52" s="76"/>
      <c r="R52" s="66"/>
      <c r="S52" s="68"/>
      <c r="T52" s="68"/>
      <c r="U52" s="68"/>
      <c r="V52" s="68"/>
      <c r="W52" s="68"/>
      <c r="X52" s="68"/>
      <c r="Y52" s="68"/>
      <c r="Z52" s="68"/>
      <c r="AA52" s="68"/>
    </row>
    <row r="53">
      <c r="A53" s="54"/>
      <c r="B53" s="110">
        <v>45638.0</v>
      </c>
      <c r="C53" s="133"/>
      <c r="D53" s="99"/>
      <c r="E53" s="100">
        <v>1415579.0</v>
      </c>
      <c r="F53" s="99">
        <f>E53-E51</f>
        <v>1977</v>
      </c>
      <c r="G53" s="100">
        <v>962.0</v>
      </c>
      <c r="H53" s="101">
        <v>513.0</v>
      </c>
      <c r="I53" s="101">
        <v>608.28</v>
      </c>
      <c r="J53" s="102">
        <f t="shared" ref="J53:J54" si="16">H53-I53</f>
        <v>-95.28</v>
      </c>
      <c r="K53" s="103">
        <f t="shared" ref="K53:K54" si="17">I53/F53*100</f>
        <v>30.76783005</v>
      </c>
      <c r="L53" s="54"/>
      <c r="M53" s="83" t="s">
        <v>70</v>
      </c>
      <c r="N53" s="83" t="s">
        <v>71</v>
      </c>
      <c r="O53" s="83" t="s">
        <v>27</v>
      </c>
      <c r="P53" s="77" t="s">
        <v>28</v>
      </c>
      <c r="Q53" s="12" t="s">
        <v>78</v>
      </c>
    </row>
    <row r="54">
      <c r="A54" s="54"/>
      <c r="B54" s="110">
        <v>45647.0</v>
      </c>
      <c r="C54" s="133"/>
      <c r="D54" s="99"/>
      <c r="E54" s="100">
        <v>1417155.0</v>
      </c>
      <c r="F54" s="99">
        <f>E54-E53</f>
        <v>1576</v>
      </c>
      <c r="G54" s="100">
        <v>1046.0</v>
      </c>
      <c r="H54" s="101">
        <v>569.0</v>
      </c>
      <c r="I54" s="101">
        <v>600.0</v>
      </c>
      <c r="J54" s="102">
        <f t="shared" si="16"/>
        <v>-31</v>
      </c>
      <c r="K54" s="103">
        <f t="shared" si="17"/>
        <v>38.07106599</v>
      </c>
      <c r="L54" s="54"/>
      <c r="M54" s="84">
        <f>SUM(F53:F54)</f>
        <v>3553</v>
      </c>
      <c r="N54" s="84">
        <f>SUM(I53:I54)</f>
        <v>1208.28</v>
      </c>
      <c r="O54" s="85">
        <f>N54/M54*100</f>
        <v>34.00731776</v>
      </c>
      <c r="P54" s="79">
        <f>(M54/100)*(O54-Q54)</f>
        <v>106.85</v>
      </c>
      <c r="Q54" s="78">
        <v>31.0</v>
      </c>
    </row>
    <row r="55">
      <c r="A55" s="68"/>
      <c r="B55" s="134">
        <v>2025.0</v>
      </c>
      <c r="J55" s="88"/>
      <c r="K55" s="88"/>
      <c r="L55" s="91"/>
      <c r="M55" s="66"/>
      <c r="N55" s="66"/>
      <c r="O55" s="66"/>
      <c r="P55" s="113"/>
      <c r="Q55" s="66"/>
      <c r="R55" s="66"/>
      <c r="S55" s="68"/>
      <c r="T55" s="68"/>
      <c r="U55" s="68"/>
      <c r="V55" s="68"/>
      <c r="W55" s="68"/>
      <c r="X55" s="68"/>
      <c r="Y55" s="68"/>
      <c r="Z55" s="68"/>
      <c r="AA55" s="68"/>
    </row>
    <row r="56">
      <c r="A56" s="68"/>
      <c r="B56" s="112" t="s">
        <v>66</v>
      </c>
      <c r="J56" s="88"/>
      <c r="K56" s="88"/>
      <c r="L56" s="91">
        <f>MONTH(B57)</f>
        <v>1</v>
      </c>
      <c r="M56" s="66"/>
      <c r="N56" s="66"/>
      <c r="O56" s="66"/>
      <c r="P56" s="113"/>
      <c r="Q56" s="92" t="str">
        <f>RIGHT(YEAR(B57),2)</f>
        <v>25</v>
      </c>
      <c r="R56" s="66"/>
      <c r="S56" s="68"/>
      <c r="T56" s="68"/>
      <c r="U56" s="68"/>
      <c r="V56" s="68"/>
      <c r="W56" s="68"/>
      <c r="X56" s="68"/>
      <c r="Y56" s="68"/>
      <c r="Z56" s="68"/>
      <c r="AA56" s="68"/>
    </row>
    <row r="57">
      <c r="A57" s="54"/>
      <c r="B57" s="110">
        <v>45667.0</v>
      </c>
      <c r="C57" s="133"/>
      <c r="D57" s="99"/>
      <c r="E57" s="100">
        <v>1419382.0</v>
      </c>
      <c r="F57" s="99">
        <f>E57-E54</f>
        <v>2227</v>
      </c>
      <c r="G57" s="100">
        <v>1041.0</v>
      </c>
      <c r="H57" s="101">
        <v>694.0</v>
      </c>
      <c r="I57" s="101">
        <v>736.67</v>
      </c>
      <c r="J57" s="102">
        <f t="shared" ref="J57:J59" si="18">H57-I57</f>
        <v>-42.67</v>
      </c>
      <c r="K57" s="103">
        <f t="shared" ref="K57:K59" si="19">I57/F57*100</f>
        <v>33.07903009</v>
      </c>
      <c r="L57" s="54"/>
      <c r="M57" s="132" t="str">
        <f>"тотал"&amp;" "&amp;B56&amp;" "&amp;Q56</f>
        <v>тотал ЯНВАРЬ 25</v>
      </c>
      <c r="N57" s="75"/>
      <c r="O57" s="75"/>
      <c r="P57" s="75"/>
      <c r="Q57" s="76"/>
    </row>
    <row r="58">
      <c r="A58" s="54"/>
      <c r="B58" s="110">
        <v>45677.0</v>
      </c>
      <c r="C58" s="133"/>
      <c r="D58" s="99"/>
      <c r="E58" s="100">
        <v>1421635.0</v>
      </c>
      <c r="F58" s="99">
        <f t="shared" ref="F58:F59" si="20">E58-E57</f>
        <v>2253</v>
      </c>
      <c r="G58" s="100">
        <v>974.0</v>
      </c>
      <c r="H58" s="101">
        <v>728.0</v>
      </c>
      <c r="I58" s="101">
        <v>898.29</v>
      </c>
      <c r="J58" s="102">
        <f t="shared" si="18"/>
        <v>-170.29</v>
      </c>
      <c r="K58" s="103">
        <f t="shared" si="19"/>
        <v>39.87083888</v>
      </c>
      <c r="L58" s="54"/>
      <c r="M58" s="83" t="s">
        <v>70</v>
      </c>
      <c r="N58" s="83" t="s">
        <v>71</v>
      </c>
      <c r="O58" s="83" t="s">
        <v>27</v>
      </c>
      <c r="P58" s="77" t="s">
        <v>28</v>
      </c>
      <c r="Q58" s="12" t="s">
        <v>78</v>
      </c>
    </row>
    <row r="59">
      <c r="A59" s="54"/>
      <c r="B59" s="110">
        <v>45683.0</v>
      </c>
      <c r="C59" s="133"/>
      <c r="D59" s="99"/>
      <c r="E59" s="100">
        <v>1422849.0</v>
      </c>
      <c r="F59" s="99">
        <f t="shared" si="20"/>
        <v>1214</v>
      </c>
      <c r="G59" s="100">
        <v>1046.0</v>
      </c>
      <c r="H59" s="101">
        <v>512.0</v>
      </c>
      <c r="I59" s="101">
        <v>529.53</v>
      </c>
      <c r="J59" s="102">
        <f t="shared" si="18"/>
        <v>-17.53</v>
      </c>
      <c r="K59" s="103">
        <f t="shared" si="19"/>
        <v>43.61861614</v>
      </c>
      <c r="L59" s="54"/>
      <c r="M59" s="84">
        <f>SUM(F57:F59)</f>
        <v>5694</v>
      </c>
      <c r="N59" s="84">
        <f>SUM(I57:I59)</f>
        <v>2164.49</v>
      </c>
      <c r="O59" s="85">
        <f>N59/M59*100</f>
        <v>38.01352301</v>
      </c>
      <c r="P59" s="79">
        <f>(M59/100)*(O59-Q59)</f>
        <v>399.35</v>
      </c>
      <c r="Q59" s="78">
        <v>31.0</v>
      </c>
    </row>
    <row r="60">
      <c r="A60" s="87" t="s">
        <v>77</v>
      </c>
      <c r="B60" s="88" t="str">
        <f>IF(L60=4,"АПРЕЛЬ",IF(L60=5,"МАЙ",IF(L60=1,"ЯНВАРЬ",IF(L60=2,"ФЕВРАЛЬ",IF(L60=3,"МАРТ",IF(L60=6,"ИЮНЬ",IF(L60=7,"ИЮЛЬ",IF(L60=8,"АВГУСТ",IF(L60=9,"СЕНТЯБРЬ",IF(L60=10,"ОКТЯБРЬ",IF(L60=11,"НОЯБРЬ",IF(L60=12,"ДЕКАБРЬ"))))))))))))</f>
        <v>ФЕВРАЛЬ</v>
      </c>
      <c r="J60" s="89"/>
      <c r="K60" s="90"/>
      <c r="L60" s="91">
        <f>MONTH(B61)</f>
        <v>2</v>
      </c>
      <c r="M60" s="89"/>
      <c r="N60" s="89"/>
      <c r="O60" s="89"/>
      <c r="P60" s="93"/>
      <c r="Q60" s="92" t="str">
        <f>RIGHT(YEAR(B61),2)</f>
        <v>25</v>
      </c>
      <c r="R60" s="89"/>
      <c r="S60" s="89"/>
      <c r="T60" s="89"/>
      <c r="U60" s="89"/>
      <c r="V60" s="89"/>
      <c r="W60" s="89"/>
      <c r="X60" s="89"/>
      <c r="Y60" s="89"/>
      <c r="Z60" s="89"/>
      <c r="AA60" s="89"/>
    </row>
    <row r="61">
      <c r="A61" s="54"/>
      <c r="B61" s="110">
        <v>45691.0</v>
      </c>
      <c r="C61" s="133"/>
      <c r="D61" s="99"/>
      <c r="E61" s="100">
        <v>1424537.0</v>
      </c>
      <c r="F61" s="99">
        <f>E61-E59</f>
        <v>1688</v>
      </c>
      <c r="G61" s="100">
        <v>1039.0</v>
      </c>
      <c r="H61" s="101">
        <v>479.0</v>
      </c>
      <c r="I61" s="101">
        <v>523.17</v>
      </c>
      <c r="J61" s="102">
        <f t="shared" ref="J61:J64" si="21">H61-I61</f>
        <v>-44.17</v>
      </c>
      <c r="K61" s="103">
        <f t="shared" ref="K61:K64" si="22">I61/F61*100</f>
        <v>30.99348341</v>
      </c>
      <c r="L61" s="54"/>
      <c r="M61" s="132" t="str">
        <f>"тотал"&amp;" "&amp;B60&amp;" "&amp;Q60</f>
        <v>тотал ФЕВРАЛЬ 25</v>
      </c>
      <c r="N61" s="75"/>
      <c r="O61" s="75"/>
      <c r="P61" s="75"/>
      <c r="Q61" s="76"/>
    </row>
    <row r="62">
      <c r="A62" s="54"/>
      <c r="B62" s="110">
        <v>45697.0</v>
      </c>
      <c r="C62" s="133"/>
      <c r="D62" s="99"/>
      <c r="E62" s="100">
        <v>1425968.0</v>
      </c>
      <c r="F62" s="99">
        <f t="shared" ref="F62:F64" si="23">E62-E61</f>
        <v>1431</v>
      </c>
      <c r="G62" s="100">
        <v>1035.0</v>
      </c>
      <c r="H62" s="101">
        <v>412.0</v>
      </c>
      <c r="I62" s="101">
        <v>446.72</v>
      </c>
      <c r="J62" s="102">
        <f t="shared" si="21"/>
        <v>-34.72</v>
      </c>
      <c r="K62" s="103">
        <f t="shared" si="22"/>
        <v>31.21733054</v>
      </c>
      <c r="L62" s="54"/>
      <c r="M62" s="83" t="s">
        <v>70</v>
      </c>
      <c r="N62" s="83" t="s">
        <v>71</v>
      </c>
      <c r="O62" s="83" t="s">
        <v>27</v>
      </c>
      <c r="P62" s="77" t="s">
        <v>28</v>
      </c>
      <c r="Q62" s="12" t="s">
        <v>78</v>
      </c>
    </row>
    <row r="63">
      <c r="A63" s="54"/>
      <c r="B63" s="110">
        <v>45703.0</v>
      </c>
      <c r="C63" s="133"/>
      <c r="D63" s="99"/>
      <c r="E63" s="100">
        <v>1427040.0</v>
      </c>
      <c r="F63" s="99">
        <f t="shared" si="23"/>
        <v>1072</v>
      </c>
      <c r="G63" s="100">
        <v>1049.0</v>
      </c>
      <c r="H63" s="101">
        <v>444.0</v>
      </c>
      <c r="I63" s="101">
        <v>454.91</v>
      </c>
      <c r="J63" s="102">
        <f t="shared" si="21"/>
        <v>-10.91</v>
      </c>
      <c r="K63" s="103">
        <f t="shared" si="22"/>
        <v>42.43563433</v>
      </c>
      <c r="L63" s="54"/>
      <c r="M63" s="84">
        <f>SUM(F61:F64)</f>
        <v>5627</v>
      </c>
      <c r="N63" s="84">
        <f>SUM(I61:I64)</f>
        <v>1665.8</v>
      </c>
      <c r="O63" s="85">
        <f>N63/M63*100</f>
        <v>29.60369646</v>
      </c>
      <c r="P63" s="79">
        <f>(M63/100)*(O63-Q63)</f>
        <v>-78.57</v>
      </c>
      <c r="Q63" s="78">
        <v>31.0</v>
      </c>
    </row>
    <row r="64">
      <c r="A64" s="54"/>
      <c r="B64" s="110">
        <v>45711.0</v>
      </c>
      <c r="C64" s="133"/>
      <c r="D64" s="99"/>
      <c r="E64" s="100">
        <v>1428476.0</v>
      </c>
      <c r="F64" s="99">
        <f t="shared" si="23"/>
        <v>1436</v>
      </c>
      <c r="G64" s="100">
        <v>727.0</v>
      </c>
      <c r="H64" s="101">
        <v>223.0</v>
      </c>
      <c r="I64" s="101">
        <v>241.0</v>
      </c>
      <c r="J64" s="102">
        <f t="shared" si="21"/>
        <v>-18</v>
      </c>
      <c r="K64" s="103">
        <f t="shared" si="22"/>
        <v>16.78272981</v>
      </c>
      <c r="L64" s="54"/>
      <c r="M64" s="54"/>
      <c r="P64" s="44"/>
    </row>
    <row r="65">
      <c r="A65" s="87" t="s">
        <v>77</v>
      </c>
      <c r="B65" s="88" t="str">
        <f>IF(L65=4,"АПРЕЛЬ",IF(L65=5,"МАЙ",IF(L65=1,"ЯНВАРЬ",IF(L65=2,"ФЕВРАЛЬ",IF(L65=3,"МАРТ",IF(L65=6,"ИЮНЬ",IF(L65=7,"ИЮЛЬ",IF(L65=8,"АВГУСТ",IF(L65=9,"СЕНТЯБРЬ",IF(L65=10,"ОКТЯБРЬ",IF(L65=11,"НОЯБРЬ",IF(L65=12,"ДЕКАБРЬ"))))))))))))</f>
        <v>МАРТ</v>
      </c>
      <c r="J65" s="89"/>
      <c r="K65" s="90"/>
      <c r="L65" s="91">
        <f>MONTH(B66)</f>
        <v>3</v>
      </c>
      <c r="M65" s="89"/>
      <c r="N65" s="89"/>
      <c r="O65" s="89"/>
      <c r="P65" s="93"/>
      <c r="Q65" s="92" t="str">
        <f>RIGHT(YEAR(B66),2)</f>
        <v>25</v>
      </c>
      <c r="R65" s="89"/>
      <c r="S65" s="89"/>
      <c r="T65" s="89"/>
      <c r="U65" s="89"/>
      <c r="V65" s="89"/>
      <c r="W65" s="89"/>
      <c r="X65" s="89"/>
      <c r="Y65" s="89"/>
      <c r="Z65" s="89"/>
      <c r="AA65" s="89"/>
    </row>
    <row r="66">
      <c r="A66" s="54"/>
      <c r="B66" s="110">
        <v>45717.0</v>
      </c>
      <c r="C66" s="133"/>
      <c r="D66" s="99"/>
      <c r="E66" s="100">
        <v>1429392.0</v>
      </c>
      <c r="F66" s="99">
        <f>E66-E64</f>
        <v>916</v>
      </c>
      <c r="G66" s="100">
        <v>1063.0</v>
      </c>
      <c r="H66" s="101">
        <v>654.0</v>
      </c>
      <c r="I66" s="101">
        <v>667.83</v>
      </c>
      <c r="J66" s="102">
        <f t="shared" ref="J66:J69" si="24">H66-I66</f>
        <v>-13.83</v>
      </c>
      <c r="K66" s="103">
        <f t="shared" ref="K66:K71" si="25">I66/F66*100</f>
        <v>72.90720524</v>
      </c>
      <c r="L66" s="54"/>
      <c r="M66" s="132" t="str">
        <f>"тотал"&amp;" "&amp;B65&amp;" "&amp;Q65</f>
        <v>тотал МАРТ 25</v>
      </c>
      <c r="N66" s="75"/>
      <c r="O66" s="75"/>
      <c r="P66" s="75"/>
      <c r="Q66" s="76"/>
    </row>
    <row r="67">
      <c r="A67" s="54"/>
      <c r="B67" s="110">
        <v>45725.0</v>
      </c>
      <c r="C67" s="133"/>
      <c r="D67" s="99"/>
      <c r="E67" s="100">
        <v>1430951.0</v>
      </c>
      <c r="F67" s="99">
        <f t="shared" ref="F67:F69" si="26">E67-E66</f>
        <v>1559</v>
      </c>
      <c r="G67" s="100">
        <v>1038.0</v>
      </c>
      <c r="H67" s="101">
        <v>512.0</v>
      </c>
      <c r="I67" s="101">
        <v>545.03</v>
      </c>
      <c r="J67" s="102">
        <f t="shared" si="24"/>
        <v>-33.03</v>
      </c>
      <c r="K67" s="103">
        <f t="shared" si="25"/>
        <v>34.96023092</v>
      </c>
      <c r="L67" s="54"/>
      <c r="M67" s="83" t="s">
        <v>70</v>
      </c>
      <c r="N67" s="83" t="s">
        <v>71</v>
      </c>
      <c r="O67" s="83" t="s">
        <v>27</v>
      </c>
      <c r="P67" s="77" t="s">
        <v>28</v>
      </c>
      <c r="Q67" s="12" t="s">
        <v>78</v>
      </c>
    </row>
    <row r="68">
      <c r="A68" s="54"/>
      <c r="B68" s="110">
        <v>45733.0</v>
      </c>
      <c r="C68" s="133"/>
      <c r="D68" s="99"/>
      <c r="E68" s="100">
        <v>1432427.0</v>
      </c>
      <c r="F68" s="99">
        <f t="shared" si="26"/>
        <v>1476</v>
      </c>
      <c r="G68" s="100">
        <v>1068.0</v>
      </c>
      <c r="H68" s="101">
        <v>586.0</v>
      </c>
      <c r="I68" s="101">
        <v>585.01</v>
      </c>
      <c r="J68" s="102">
        <f t="shared" si="24"/>
        <v>0.99</v>
      </c>
      <c r="K68" s="103">
        <f t="shared" si="25"/>
        <v>39.63482385</v>
      </c>
      <c r="L68" s="54"/>
      <c r="M68" s="84">
        <f>SUM(F66:F71)</f>
        <v>7313</v>
      </c>
      <c r="N68" s="84">
        <f>SUM(I66:I71)</f>
        <v>2880.45</v>
      </c>
      <c r="O68" s="85">
        <f>N68/M68*100</f>
        <v>39.38807603</v>
      </c>
      <c r="P68" s="79">
        <f>(M68/100)*(O68-Q68)</f>
        <v>613.42</v>
      </c>
      <c r="Q68" s="78">
        <v>31.0</v>
      </c>
    </row>
    <row r="69">
      <c r="A69" s="54"/>
      <c r="B69" s="110">
        <v>45739.0</v>
      </c>
      <c r="C69" s="133"/>
      <c r="D69" s="99"/>
      <c r="E69" s="100">
        <v>1433598.0</v>
      </c>
      <c r="F69" s="99">
        <f t="shared" si="26"/>
        <v>1171</v>
      </c>
      <c r="G69" s="100">
        <v>1072.0</v>
      </c>
      <c r="H69" s="101">
        <v>419.0</v>
      </c>
      <c r="I69" s="101">
        <v>487.59</v>
      </c>
      <c r="J69" s="102">
        <f t="shared" si="24"/>
        <v>-68.59</v>
      </c>
      <c r="K69" s="103">
        <f t="shared" si="25"/>
        <v>41.63877028</v>
      </c>
      <c r="L69" s="54"/>
      <c r="M69" s="54"/>
      <c r="P69" s="44"/>
    </row>
    <row r="70">
      <c r="A70" s="54"/>
      <c r="B70" s="110">
        <v>45743.0</v>
      </c>
      <c r="C70" s="133"/>
      <c r="D70" s="99"/>
      <c r="E70" s="99"/>
      <c r="F70" s="135">
        <v>1095.5</v>
      </c>
      <c r="G70" s="99"/>
      <c r="H70" s="102"/>
      <c r="I70" s="101">
        <v>223.98</v>
      </c>
      <c r="J70" s="102"/>
      <c r="K70" s="103">
        <f t="shared" si="25"/>
        <v>20.44545869</v>
      </c>
      <c r="L70" s="54"/>
      <c r="M70" s="54"/>
      <c r="P70" s="44"/>
    </row>
    <row r="71">
      <c r="A71" s="54"/>
      <c r="B71" s="110">
        <v>45744.0</v>
      </c>
      <c r="C71" s="133"/>
      <c r="D71" s="99"/>
      <c r="E71" s="100">
        <v>1435789.0</v>
      </c>
      <c r="F71" s="135">
        <v>1095.5</v>
      </c>
      <c r="G71" s="100">
        <v>1038.0</v>
      </c>
      <c r="H71" s="101">
        <v>269.0</v>
      </c>
      <c r="I71" s="101">
        <v>371.01</v>
      </c>
      <c r="J71" s="102">
        <f>H71-I71</f>
        <v>-102.01</v>
      </c>
      <c r="K71" s="103">
        <f t="shared" si="25"/>
        <v>33.86672752</v>
      </c>
      <c r="L71" s="54"/>
      <c r="M71" s="54"/>
      <c r="P71" s="44"/>
    </row>
    <row r="72">
      <c r="A72" s="87" t="s">
        <v>77</v>
      </c>
      <c r="B72" s="88" t="str">
        <f>IF(L72=4,"АПРЕЛЬ",IF(L72=5,"МАЙ",IF(L72=1,"ЯНВАРЬ",IF(L72=2,"ФЕВРАЛЬ",IF(L72=3,"МАРТ",IF(L72=6,"ИЮНЬ",IF(L72=7,"ИЮЛЬ",IF(L72=8,"АВГУСТ",IF(L72=9,"СЕНТЯБРЬ",IF(L72=10,"ОКТЯБРЬ",IF(L72=11,"НОЯБРЬ",IF(L72=12,"ДЕКАБРЬ"))))))))))))</f>
        <v>АПРЕЛЬ</v>
      </c>
      <c r="J72" s="89"/>
      <c r="K72" s="90"/>
      <c r="L72" s="91">
        <f>MONTH(B73)</f>
        <v>4</v>
      </c>
      <c r="M72" s="132" t="str">
        <f>"тотал"&amp;" "&amp;B72&amp;" "&amp;Q72</f>
        <v>тотал АПРЕЛЬ </v>
      </c>
      <c r="N72" s="75"/>
      <c r="O72" s="75"/>
      <c r="P72" s="75"/>
      <c r="Q72" s="76"/>
      <c r="R72" s="89"/>
      <c r="S72" s="89"/>
      <c r="T72" s="89"/>
      <c r="U72" s="89"/>
      <c r="V72" s="89"/>
      <c r="W72" s="89"/>
      <c r="X72" s="89"/>
      <c r="Y72" s="89"/>
      <c r="Z72" s="89"/>
      <c r="AA72" s="89"/>
    </row>
    <row r="73">
      <c r="A73" s="54"/>
      <c r="B73" s="110">
        <v>45759.0</v>
      </c>
      <c r="C73" s="133"/>
      <c r="D73" s="99"/>
      <c r="E73" s="100">
        <v>1437967.0</v>
      </c>
      <c r="F73" s="99">
        <f>E73-E71</f>
        <v>2178</v>
      </c>
      <c r="G73" s="100">
        <v>1085.0</v>
      </c>
      <c r="H73" s="101">
        <v>851.0</v>
      </c>
      <c r="I73" s="101">
        <v>831.39</v>
      </c>
      <c r="J73" s="102">
        <f t="shared" ref="J73:J74" si="27">H73-I73</f>
        <v>19.61</v>
      </c>
      <c r="K73" s="103">
        <f t="shared" ref="K73:K74" si="28">I73/F73*100</f>
        <v>38.17217631</v>
      </c>
      <c r="L73" s="54"/>
      <c r="M73" s="84" t="s">
        <v>70</v>
      </c>
      <c r="N73" s="84" t="s">
        <v>71</v>
      </c>
      <c r="O73" s="84" t="s">
        <v>27</v>
      </c>
      <c r="P73" s="77" t="s">
        <v>28</v>
      </c>
      <c r="Q73" s="12" t="s">
        <v>78</v>
      </c>
    </row>
    <row r="74">
      <c r="A74" s="54"/>
      <c r="B74" s="110">
        <v>45769.0</v>
      </c>
      <c r="C74" s="133"/>
      <c r="D74" s="99"/>
      <c r="E74" s="100">
        <v>1440092.0</v>
      </c>
      <c r="F74" s="99">
        <f>E74-E73</f>
        <v>2125</v>
      </c>
      <c r="G74" s="100">
        <v>1076.0</v>
      </c>
      <c r="H74" s="101">
        <v>625.0</v>
      </c>
      <c r="I74" s="101">
        <v>612.01</v>
      </c>
      <c r="J74" s="102">
        <f t="shared" si="27"/>
        <v>12.99</v>
      </c>
      <c r="K74" s="103">
        <f t="shared" si="28"/>
        <v>28.80047059</v>
      </c>
      <c r="L74" s="54"/>
      <c r="M74" s="84">
        <f>SUM(F73:F74)</f>
        <v>4303</v>
      </c>
      <c r="N74" s="84">
        <f>SUM(I73:I74)</f>
        <v>1443.4</v>
      </c>
      <c r="O74" s="85">
        <f>N74/M74*100</f>
        <v>33.54403904</v>
      </c>
      <c r="P74" s="79">
        <f>(M74/100)*(O74-Q74)</f>
        <v>109.47</v>
      </c>
      <c r="Q74" s="78">
        <v>31.0</v>
      </c>
    </row>
    <row r="75">
      <c r="A75" s="87" t="s">
        <v>77</v>
      </c>
      <c r="B75" s="88" t="str">
        <f>IF(L75=4,"АПРЕЛЬ",IF(L75=5,"МАЙ",IF(L75=1,"ЯНВАРЬ",IF(L75=2,"ФЕВРАЛЬ",IF(L75=3,"МАРТ",IF(L75=6,"ИЮНЬ",IF(L75=7,"ИЮЛЬ",IF(L75=8,"АВГУСТ",IF(L75=9,"СЕНТЯБРЬ",IF(L75=10,"ОКТЯБРЬ",IF(L75=11,"НОЯБРЬ",IF(L75=12,"ДЕКАБРЬ"))))))))))))</f>
        <v>МАЙ</v>
      </c>
      <c r="J75" s="89"/>
      <c r="K75" s="90"/>
      <c r="L75" s="91">
        <f>MONTH(B76)</f>
        <v>5</v>
      </c>
      <c r="M75" s="89"/>
      <c r="N75" s="89"/>
      <c r="O75" s="89"/>
      <c r="P75" s="93"/>
      <c r="Q75" s="92" t="str">
        <f>RIGHT(YEAR(B76),2)</f>
        <v>25</v>
      </c>
      <c r="R75" s="89"/>
      <c r="S75" s="89"/>
      <c r="T75" s="89"/>
      <c r="U75" s="89"/>
      <c r="V75" s="89"/>
      <c r="W75" s="89"/>
      <c r="X75" s="89"/>
      <c r="Y75" s="89"/>
      <c r="Z75" s="89"/>
      <c r="AA75" s="89"/>
    </row>
    <row r="76">
      <c r="A76" s="54"/>
      <c r="B76" s="110">
        <v>45780.0</v>
      </c>
      <c r="C76" s="133"/>
      <c r="D76" s="99"/>
      <c r="E76" s="100">
        <v>1442106.0</v>
      </c>
      <c r="F76" s="99">
        <f>E76-E74</f>
        <v>2014</v>
      </c>
      <c r="G76" s="100">
        <v>1086.0</v>
      </c>
      <c r="H76" s="101">
        <v>660.0</v>
      </c>
      <c r="I76" s="101">
        <v>645.91</v>
      </c>
      <c r="J76" s="102">
        <f t="shared" ref="J76:J79" si="29">H76-I76</f>
        <v>14.09</v>
      </c>
      <c r="K76" s="103">
        <f t="shared" ref="K76:K79" si="30">I76/F76*100</f>
        <v>32.07100298</v>
      </c>
      <c r="L76" s="54"/>
      <c r="M76" s="82" t="str">
        <f>"тотал"&amp;" "&amp;B75&amp;" "&amp;Q75</f>
        <v>тотал МАЙ 25</v>
      </c>
      <c r="N76" s="75"/>
      <c r="O76" s="75"/>
      <c r="P76" s="75"/>
      <c r="Q76" s="76"/>
    </row>
    <row r="77">
      <c r="A77" s="54"/>
      <c r="B77" s="110">
        <v>45789.0</v>
      </c>
      <c r="C77" s="133"/>
      <c r="D77" s="99"/>
      <c r="E77" s="100">
        <v>1443149.0</v>
      </c>
      <c r="F77" s="99">
        <f t="shared" ref="F77:F79" si="31">E77-E76</f>
        <v>1043</v>
      </c>
      <c r="G77" s="100">
        <v>1093.0</v>
      </c>
      <c r="H77" s="101">
        <v>329.0</v>
      </c>
      <c r="I77" s="101">
        <v>334.0</v>
      </c>
      <c r="J77" s="102">
        <f t="shared" si="29"/>
        <v>-5</v>
      </c>
      <c r="K77" s="103">
        <f t="shared" si="30"/>
        <v>32.02301055</v>
      </c>
      <c r="L77" s="54"/>
      <c r="M77" s="83" t="s">
        <v>70</v>
      </c>
      <c r="N77" s="83" t="s">
        <v>71</v>
      </c>
      <c r="O77" s="83" t="s">
        <v>27</v>
      </c>
      <c r="P77" s="77" t="s">
        <v>28</v>
      </c>
      <c r="Q77" s="12" t="s">
        <v>78</v>
      </c>
    </row>
    <row r="78">
      <c r="A78" s="54"/>
      <c r="B78" s="110">
        <v>45797.0</v>
      </c>
      <c r="C78" s="77" t="s">
        <v>99</v>
      </c>
      <c r="D78" s="100" t="s">
        <v>86</v>
      </c>
      <c r="E78" s="100">
        <v>1444234.0</v>
      </c>
      <c r="F78" s="99">
        <f t="shared" si="31"/>
        <v>1085</v>
      </c>
      <c r="G78" s="100">
        <v>1090.0</v>
      </c>
      <c r="H78" s="101">
        <v>368.0</v>
      </c>
      <c r="I78" s="101">
        <v>369.23</v>
      </c>
      <c r="J78" s="102">
        <f t="shared" si="29"/>
        <v>-1.23</v>
      </c>
      <c r="K78" s="103">
        <f t="shared" si="30"/>
        <v>34.03041475</v>
      </c>
      <c r="L78" s="54"/>
      <c r="M78" s="84">
        <f>SUM(F76:F79)</f>
        <v>5138</v>
      </c>
      <c r="N78" s="84">
        <f>SUM(I76:I79)</f>
        <v>1702.19</v>
      </c>
      <c r="O78" s="85">
        <f>N78/M78*100</f>
        <v>33.12942779</v>
      </c>
      <c r="P78" s="79">
        <f>(M78/100)*(O78-Q78)</f>
        <v>109.41</v>
      </c>
      <c r="Q78" s="78">
        <v>31.0</v>
      </c>
    </row>
    <row r="79">
      <c r="A79" s="54"/>
      <c r="B79" s="110">
        <v>45801.0</v>
      </c>
      <c r="C79" s="77" t="s">
        <v>99</v>
      </c>
      <c r="D79" s="100" t="s">
        <v>86</v>
      </c>
      <c r="E79" s="100">
        <v>1445230.0</v>
      </c>
      <c r="F79" s="99">
        <f t="shared" si="31"/>
        <v>996</v>
      </c>
      <c r="G79" s="100">
        <v>1090.0</v>
      </c>
      <c r="H79" s="101">
        <v>351.0</v>
      </c>
      <c r="I79" s="101">
        <v>353.05</v>
      </c>
      <c r="J79" s="102">
        <f t="shared" si="29"/>
        <v>-2.05</v>
      </c>
      <c r="K79" s="103">
        <f t="shared" si="30"/>
        <v>35.44678715</v>
      </c>
      <c r="L79" s="54"/>
      <c r="M79" s="54"/>
      <c r="P79" s="44"/>
    </row>
    <row r="80">
      <c r="A80" s="87" t="s">
        <v>77</v>
      </c>
      <c r="B80" s="88" t="str">
        <f>IF(L80=4,"АПРЕЛЬ",IF(L80=5,"МАЙ",IF(L80=1,"ЯНВАРЬ",IF(L80=2,"ФЕВРАЛЬ",IF(L80=3,"МАРТ",IF(L80=6,"ИЮНЬ",IF(L80=7,"ИЮЛЬ",IF(L80=8,"АВГУСТ",IF(L80=9,"СЕНТЯБРЬ",IF(L80=10,"ОКТЯБРЬ",IF(L80=11,"НОЯБРЬ",IF(L80=12,"ДЕКАБРЬ"))))))))))))</f>
        <v>ИЮНЬ</v>
      </c>
      <c r="J80" s="89"/>
      <c r="K80" s="90"/>
      <c r="L80" s="91">
        <f>MONTH(B81)</f>
        <v>6</v>
      </c>
      <c r="M80" s="89"/>
      <c r="N80" s="89"/>
      <c r="O80" s="89"/>
      <c r="P80" s="93"/>
      <c r="Q80" s="92" t="str">
        <f>RIGHT(YEAR(B81),2)</f>
        <v>25</v>
      </c>
      <c r="R80" s="89"/>
      <c r="S80" s="89"/>
      <c r="T80" s="89"/>
      <c r="U80" s="89"/>
      <c r="V80" s="89"/>
      <c r="W80" s="89"/>
      <c r="X80" s="89"/>
      <c r="Y80" s="89"/>
      <c r="Z80" s="89"/>
      <c r="AA80" s="89"/>
    </row>
    <row r="81">
      <c r="A81" s="54"/>
      <c r="B81" s="110">
        <v>45817.0</v>
      </c>
      <c r="C81" s="77" t="s">
        <v>99</v>
      </c>
      <c r="D81" s="100" t="s">
        <v>86</v>
      </c>
      <c r="E81" s="100">
        <v>1446797.0</v>
      </c>
      <c r="F81" s="99">
        <f>E81-E79</f>
        <v>1567</v>
      </c>
      <c r="G81" s="100">
        <v>861.0</v>
      </c>
      <c r="H81" s="101">
        <v>315.0</v>
      </c>
      <c r="I81" s="101">
        <v>300.0</v>
      </c>
      <c r="J81" s="102">
        <f t="shared" ref="J81:J83" si="32">H81-I81</f>
        <v>15</v>
      </c>
      <c r="K81" s="103">
        <f t="shared" ref="K81:K83" si="33">I81/F81*100</f>
        <v>19.1448628</v>
      </c>
      <c r="L81" s="54"/>
      <c r="M81" s="82" t="str">
        <f>"тотал"&amp;" "&amp;B80&amp;" "&amp;Q80</f>
        <v>тотал ИЮНЬ 25</v>
      </c>
      <c r="N81" s="75"/>
      <c r="O81" s="75"/>
      <c r="P81" s="75"/>
      <c r="Q81" s="76"/>
    </row>
    <row r="82">
      <c r="A82" s="54"/>
      <c r="B82" s="110">
        <v>45824.0</v>
      </c>
      <c r="C82" s="77" t="s">
        <v>99</v>
      </c>
      <c r="D82" s="100" t="s">
        <v>86</v>
      </c>
      <c r="E82" s="100">
        <v>1447326.0</v>
      </c>
      <c r="F82" s="99">
        <f t="shared" ref="F82:F83" si="34">E82-E81</f>
        <v>529</v>
      </c>
      <c r="G82" s="100">
        <v>1094.0</v>
      </c>
      <c r="H82" s="101">
        <v>446.0</v>
      </c>
      <c r="I82" s="101">
        <v>448.16</v>
      </c>
      <c r="J82" s="102">
        <f t="shared" si="32"/>
        <v>-2.16</v>
      </c>
      <c r="K82" s="103">
        <f t="shared" si="33"/>
        <v>84.71833648</v>
      </c>
      <c r="L82" s="54"/>
      <c r="M82" s="83" t="s">
        <v>70</v>
      </c>
      <c r="N82" s="83" t="s">
        <v>71</v>
      </c>
      <c r="O82" s="83" t="s">
        <v>27</v>
      </c>
      <c r="P82" s="77" t="s">
        <v>28</v>
      </c>
      <c r="Q82" s="12" t="s">
        <v>78</v>
      </c>
    </row>
    <row r="83">
      <c r="A83" s="54"/>
      <c r="B83" s="110">
        <v>45837.0</v>
      </c>
      <c r="C83" s="77" t="s">
        <v>99</v>
      </c>
      <c r="D83" s="100" t="s">
        <v>86</v>
      </c>
      <c r="E83" s="100">
        <v>1449760.0</v>
      </c>
      <c r="F83" s="99">
        <f t="shared" si="34"/>
        <v>2434</v>
      </c>
      <c r="G83" s="100">
        <v>1092.0</v>
      </c>
      <c r="H83" s="101">
        <v>829.0</v>
      </c>
      <c r="I83" s="101">
        <v>820.15</v>
      </c>
      <c r="J83" s="102">
        <f t="shared" si="32"/>
        <v>8.85</v>
      </c>
      <c r="K83" s="103">
        <f t="shared" si="33"/>
        <v>33.69556286</v>
      </c>
      <c r="L83" s="54"/>
      <c r="M83" s="84">
        <f>SUM(F81:F83)</f>
        <v>4530</v>
      </c>
      <c r="N83" s="84">
        <f>SUM(I81:I83)</f>
        <v>1568.31</v>
      </c>
      <c r="O83" s="85">
        <f>N83/M83*100</f>
        <v>34.6205298</v>
      </c>
      <c r="P83" s="79">
        <f>(M83/100)*(O83-Q83)</f>
        <v>164.01</v>
      </c>
      <c r="Q83" s="78">
        <v>31.0</v>
      </c>
    </row>
    <row r="84">
      <c r="A84" s="87" t="s">
        <v>77</v>
      </c>
      <c r="B84" s="88" t="str">
        <f>IF(L84=4,"АПРЕЛЬ",IF(L84=5,"МАЙ",IF(L84=1,"ЯНВАРЬ",IF(L84=2,"ФЕВРАЛЬ",IF(L84=3,"МАРТ",IF(L84=6,"ИЮНЬ",IF(L84=7,"ИЮЛЬ",IF(L84=8,"АВГУСТ",IF(L84=9,"СЕНТЯБРЬ",IF(L84=10,"ОКТЯБРЬ",IF(L84=11,"НОЯБРЬ",IF(L84=12,"ДЕКАБРЬ"))))))))))))</f>
        <v>ИЮЛЬ</v>
      </c>
      <c r="J84" s="89"/>
      <c r="K84" s="90"/>
      <c r="L84" s="91">
        <f>MONTH(B85)</f>
        <v>7</v>
      </c>
      <c r="M84" s="89"/>
      <c r="N84" s="89"/>
      <c r="O84" s="89"/>
      <c r="P84" s="93"/>
      <c r="Q84" s="92" t="str">
        <f>RIGHT(YEAR(B85),2)</f>
        <v>25</v>
      </c>
      <c r="R84" s="89"/>
      <c r="S84" s="89"/>
      <c r="T84" s="89"/>
      <c r="U84" s="89"/>
      <c r="V84" s="89"/>
      <c r="W84" s="89"/>
      <c r="X84" s="89"/>
      <c r="Y84" s="89"/>
      <c r="Z84" s="89"/>
      <c r="AA84" s="89"/>
    </row>
    <row r="85">
      <c r="A85" s="54"/>
      <c r="B85" s="110">
        <v>45852.0</v>
      </c>
      <c r="C85" s="77" t="s">
        <v>99</v>
      </c>
      <c r="D85" s="100" t="s">
        <v>86</v>
      </c>
      <c r="E85" s="100">
        <v>1451206.0</v>
      </c>
      <c r="F85" s="99">
        <f>E85-E83</f>
        <v>1446</v>
      </c>
      <c r="G85" s="100">
        <v>1093.0</v>
      </c>
      <c r="H85" s="101">
        <v>579.0</v>
      </c>
      <c r="I85" s="101">
        <v>578.29</v>
      </c>
      <c r="J85" s="102">
        <f t="shared" ref="J85:J87" si="35">H85-I85</f>
        <v>0.71</v>
      </c>
      <c r="K85" s="103">
        <f t="shared" ref="K85:K87" si="36">I85/F85*100</f>
        <v>39.99239281</v>
      </c>
      <c r="L85" s="54"/>
      <c r="M85" s="82" t="str">
        <f>"тотал"&amp;" "&amp;B84&amp;" "&amp;RIGHT(YEAR(B85),2)</f>
        <v>тотал ИЮЛЬ 25</v>
      </c>
      <c r="N85" s="75"/>
      <c r="O85" s="75"/>
      <c r="P85" s="75"/>
      <c r="Q85" s="76"/>
    </row>
    <row r="86">
      <c r="A86" s="54"/>
      <c r="B86" s="110">
        <v>45858.0</v>
      </c>
      <c r="C86" s="77" t="s">
        <v>99</v>
      </c>
      <c r="D86" s="100" t="s">
        <v>100</v>
      </c>
      <c r="E86" s="100">
        <v>1452161.0</v>
      </c>
      <c r="F86" s="99">
        <f t="shared" ref="F86:F87" si="37">E86-E85</f>
        <v>955</v>
      </c>
      <c r="G86" s="100">
        <v>1092.0</v>
      </c>
      <c r="H86" s="101">
        <v>322.0</v>
      </c>
      <c r="I86" s="101">
        <v>331.79</v>
      </c>
      <c r="J86" s="102">
        <f t="shared" si="35"/>
        <v>-9.79</v>
      </c>
      <c r="K86" s="103">
        <f t="shared" si="36"/>
        <v>34.74240838</v>
      </c>
      <c r="L86" s="54"/>
      <c r="M86" s="83" t="s">
        <v>70</v>
      </c>
      <c r="N86" s="83" t="s">
        <v>71</v>
      </c>
      <c r="O86" s="83" t="s">
        <v>27</v>
      </c>
      <c r="P86" s="77" t="s">
        <v>28</v>
      </c>
      <c r="Q86" s="12" t="s">
        <v>78</v>
      </c>
    </row>
    <row r="87">
      <c r="A87" s="54"/>
      <c r="B87" s="110">
        <v>45865.0</v>
      </c>
      <c r="C87" s="77" t="s">
        <v>99</v>
      </c>
      <c r="D87" s="100" t="s">
        <v>86</v>
      </c>
      <c r="E87" s="100">
        <v>1453533.0</v>
      </c>
      <c r="F87" s="99">
        <f t="shared" si="37"/>
        <v>1372</v>
      </c>
      <c r="G87" s="100">
        <v>1082.0</v>
      </c>
      <c r="H87" s="101">
        <v>401.0</v>
      </c>
      <c r="I87" s="101">
        <v>395.0</v>
      </c>
      <c r="J87" s="102">
        <f t="shared" si="35"/>
        <v>6</v>
      </c>
      <c r="K87" s="103">
        <f t="shared" si="36"/>
        <v>28.79008746</v>
      </c>
      <c r="L87" s="54"/>
      <c r="M87" s="84">
        <f>SUM(F85:F87)</f>
        <v>3773</v>
      </c>
      <c r="N87" s="84">
        <f>SUM(I85:I87)</f>
        <v>1305.08</v>
      </c>
      <c r="O87" s="85">
        <f>N87/M87*100</f>
        <v>34.58998145</v>
      </c>
      <c r="P87" s="79">
        <f>(M87/100)*(O87-Q87)</f>
        <v>135.45</v>
      </c>
      <c r="Q87" s="78">
        <v>31.0</v>
      </c>
    </row>
    <row r="88">
      <c r="A88" s="87" t="s">
        <v>77</v>
      </c>
      <c r="B88" s="88" t="str">
        <f>IF(L88=4,"АПРЕЛЬ",IF(L88=5,"МАЙ",IF(L88=1,"ЯНВАРЬ",IF(L88=2,"ФЕВРАЛЬ",IF(L88=3,"МАРТ",IF(L88=6,"ИЮНЬ",IF(L88=7,"ИЮЛЬ",IF(L88=8,"АВГУСТ",IF(L88=9,"СЕНТЯБРЬ",IF(L88=10,"ОКТЯБРЬ",IF(L88=11,"НОЯБРЬ",IF(L88=12,"ДЕКАБРЬ"))))))))))))</f>
        <v>АВГУСТ</v>
      </c>
      <c r="J88" s="89"/>
      <c r="K88" s="90"/>
      <c r="L88" s="91">
        <f>MONTH(B89)</f>
        <v>8</v>
      </c>
      <c r="M88" s="89"/>
      <c r="N88" s="89"/>
      <c r="O88" s="89"/>
      <c r="P88" s="93"/>
      <c r="Q88" s="92" t="str">
        <f>RIGHT(YEAR(B89),2)</f>
        <v>25</v>
      </c>
      <c r="R88" s="89"/>
      <c r="S88" s="89"/>
      <c r="T88" s="89"/>
      <c r="U88" s="89"/>
      <c r="V88" s="89"/>
      <c r="W88" s="89"/>
      <c r="X88" s="89"/>
      <c r="Y88" s="89"/>
      <c r="Z88" s="89"/>
      <c r="AA88" s="89"/>
    </row>
    <row r="89">
      <c r="A89" s="54"/>
      <c r="B89" s="110">
        <v>45873.0</v>
      </c>
      <c r="C89" s="77" t="s">
        <v>99</v>
      </c>
      <c r="D89" s="100" t="s">
        <v>86</v>
      </c>
      <c r="E89" s="100">
        <v>1454923.0</v>
      </c>
      <c r="F89" s="99">
        <f>E89-E87</f>
        <v>1390</v>
      </c>
      <c r="G89" s="100">
        <v>1092.0</v>
      </c>
      <c r="H89" s="101">
        <v>520.0</v>
      </c>
      <c r="I89" s="101">
        <v>522.19</v>
      </c>
      <c r="J89" s="102">
        <f t="shared" ref="J89:J91" si="38">H89-I89</f>
        <v>-2.19</v>
      </c>
      <c r="K89" s="103">
        <f t="shared" ref="K89:K91" si="39">I89/F89*100</f>
        <v>37.5676259</v>
      </c>
      <c r="L89" s="54"/>
      <c r="M89" s="82" t="str">
        <f>"тотал"&amp;" "&amp;B88&amp;" "&amp;RIGHT(YEAR(B89),2)</f>
        <v>тотал АВГУСТ 25</v>
      </c>
      <c r="N89" s="75"/>
      <c r="O89" s="75"/>
      <c r="P89" s="75"/>
      <c r="Q89" s="76"/>
    </row>
    <row r="90">
      <c r="A90" s="54"/>
      <c r="B90" s="110">
        <v>45888.0</v>
      </c>
      <c r="C90" s="77" t="s">
        <v>99</v>
      </c>
      <c r="D90" s="100" t="s">
        <v>86</v>
      </c>
      <c r="E90" s="100">
        <v>1456556.0</v>
      </c>
      <c r="F90" s="99">
        <f t="shared" ref="F90:F91" si="40">E90-E89</f>
        <v>1633</v>
      </c>
      <c r="G90" s="100">
        <v>1092.0</v>
      </c>
      <c r="H90" s="101">
        <v>551.0</v>
      </c>
      <c r="I90" s="101">
        <v>555.79</v>
      </c>
      <c r="J90" s="102">
        <f t="shared" si="38"/>
        <v>-4.79</v>
      </c>
      <c r="K90" s="103">
        <f t="shared" si="39"/>
        <v>34.03490508</v>
      </c>
      <c r="L90" s="54"/>
      <c r="M90" s="83" t="s">
        <v>70</v>
      </c>
      <c r="N90" s="83" t="s">
        <v>71</v>
      </c>
      <c r="O90" s="83" t="s">
        <v>27</v>
      </c>
      <c r="P90" s="77" t="s">
        <v>28</v>
      </c>
      <c r="Q90" s="12" t="s">
        <v>78</v>
      </c>
    </row>
    <row r="91">
      <c r="A91" s="54"/>
      <c r="B91" s="110">
        <v>45894.0</v>
      </c>
      <c r="C91" s="77" t="s">
        <v>99</v>
      </c>
      <c r="D91" s="100" t="s">
        <v>86</v>
      </c>
      <c r="E91" s="100">
        <v>1457690.0</v>
      </c>
      <c r="F91" s="99">
        <f t="shared" si="40"/>
        <v>1134</v>
      </c>
      <c r="G91" s="100">
        <v>1092.0</v>
      </c>
      <c r="H91" s="101">
        <v>380.0</v>
      </c>
      <c r="I91" s="101">
        <v>390.02</v>
      </c>
      <c r="J91" s="102">
        <f t="shared" si="38"/>
        <v>-10.02</v>
      </c>
      <c r="K91" s="103">
        <f t="shared" si="39"/>
        <v>34.39329806</v>
      </c>
      <c r="L91" s="54"/>
      <c r="M91" s="84">
        <f>SUM(F89:F91)</f>
        <v>4157</v>
      </c>
      <c r="N91" s="84">
        <f>SUM(I89:I91)</f>
        <v>1468</v>
      </c>
      <c r="O91" s="85">
        <f>N91/M91*100</f>
        <v>35.31392831</v>
      </c>
      <c r="P91" s="79">
        <f>(M91/100)*(O91-Q91)</f>
        <v>179.33</v>
      </c>
      <c r="Q91" s="78">
        <v>31.0</v>
      </c>
    </row>
    <row r="92">
      <c r="A92" s="87" t="s">
        <v>77</v>
      </c>
      <c r="B92" s="88" t="str">
        <f>IF(L92=4,"АПРЕЛЬ",IF(L92=5,"МАЙ",IF(L92=1,"ЯНВАРЬ",IF(L92=2,"ФЕВРАЛЬ",IF(L92=3,"МАРТ",IF(L92=6,"ИЮНЬ",IF(L92=7,"ИЮЛЬ",IF(L92=8,"АВГУСТ",IF(L92=9,"СЕНТЯБРЬ",IF(L92=10,"ОКТЯБРЬ",IF(L92=11,"НОЯБРЬ",IF(L92=12,"ДЕКАБРЬ"))))))))))))</f>
        <v>СЕНТЯБРЬ</v>
      </c>
      <c r="J92" s="89"/>
      <c r="K92" s="90"/>
      <c r="L92" s="91">
        <f>MONTH(B93)</f>
        <v>9</v>
      </c>
      <c r="M92" s="89"/>
      <c r="N92" s="89"/>
      <c r="O92" s="89"/>
      <c r="P92" s="93"/>
      <c r="Q92" s="92" t="str">
        <f>RIGHT(YEAR(B93),2)</f>
        <v>25</v>
      </c>
      <c r="R92" s="89"/>
      <c r="S92" s="89"/>
      <c r="T92" s="89"/>
      <c r="U92" s="89"/>
      <c r="V92" s="89"/>
      <c r="W92" s="89"/>
      <c r="X92" s="89"/>
      <c r="Y92" s="89"/>
      <c r="Z92" s="89"/>
      <c r="AA92" s="89"/>
    </row>
    <row r="93">
      <c r="A93" s="54"/>
      <c r="B93" s="110">
        <v>45914.0</v>
      </c>
      <c r="C93" s="77" t="s">
        <v>99</v>
      </c>
      <c r="D93" s="100" t="s">
        <v>86</v>
      </c>
      <c r="E93" s="100">
        <v>1459991.0</v>
      </c>
      <c r="F93" s="99">
        <f>E93-E91</f>
        <v>2301</v>
      </c>
      <c r="G93" s="100">
        <v>1089.0</v>
      </c>
      <c r="H93" s="101">
        <v>823.0</v>
      </c>
      <c r="I93" s="102">
        <f>455--350</f>
        <v>805</v>
      </c>
      <c r="J93" s="102">
        <f t="shared" ref="J93:J94" si="41">H93-I93</f>
        <v>18</v>
      </c>
      <c r="K93" s="103">
        <f t="shared" ref="K93:K94" si="42">I93/F93*100</f>
        <v>34.98478922</v>
      </c>
      <c r="L93" s="54"/>
      <c r="M93" s="82" t="str">
        <f>"тотал"&amp;" "&amp;B92&amp;" "&amp;RIGHT(YEAR(B93),2)</f>
        <v>тотал СЕНТЯБРЬ 25</v>
      </c>
      <c r="N93" s="75"/>
      <c r="O93" s="75"/>
      <c r="P93" s="75"/>
      <c r="Q93" s="76"/>
    </row>
    <row r="94">
      <c r="A94" s="54"/>
      <c r="B94" s="110">
        <v>45926.0</v>
      </c>
      <c r="C94" s="77" t="s">
        <v>99</v>
      </c>
      <c r="D94" s="100" t="s">
        <v>101</v>
      </c>
      <c r="E94" s="100">
        <v>1462351.0</v>
      </c>
      <c r="F94" s="99">
        <f>E94-E93</f>
        <v>2360</v>
      </c>
      <c r="G94" s="100">
        <v>1087.0</v>
      </c>
      <c r="H94" s="101">
        <v>872.0</v>
      </c>
      <c r="I94" s="101">
        <f>397.79--462.83</f>
        <v>860.62</v>
      </c>
      <c r="J94" s="102">
        <f t="shared" si="41"/>
        <v>11.38</v>
      </c>
      <c r="K94" s="103">
        <f t="shared" si="42"/>
        <v>36.46694915</v>
      </c>
      <c r="L94" s="54"/>
      <c r="M94" s="83" t="s">
        <v>70</v>
      </c>
      <c r="N94" s="83" t="s">
        <v>71</v>
      </c>
      <c r="O94" s="83" t="s">
        <v>27</v>
      </c>
      <c r="P94" s="77" t="s">
        <v>28</v>
      </c>
      <c r="Q94" s="12" t="s">
        <v>78</v>
      </c>
    </row>
    <row r="95">
      <c r="A95" s="54"/>
      <c r="B95" s="99"/>
      <c r="C95" s="99"/>
      <c r="D95" s="99"/>
      <c r="E95" s="99"/>
      <c r="F95" s="99"/>
      <c r="G95" s="99"/>
      <c r="H95" s="102"/>
      <c r="I95" s="102"/>
      <c r="J95" s="102"/>
      <c r="K95" s="102"/>
      <c r="L95" s="54"/>
      <c r="M95" s="84">
        <f>SUM(F93:F95)</f>
        <v>4661</v>
      </c>
      <c r="N95" s="84">
        <f>SUM(I93:I95)</f>
        <v>1665.62</v>
      </c>
      <c r="O95" s="85">
        <f>N95/M95*100</f>
        <v>35.73524995</v>
      </c>
      <c r="P95" s="79">
        <f>(M95/100)*(O95-Q95)</f>
        <v>220.71</v>
      </c>
      <c r="Q95" s="78">
        <v>31.0</v>
      </c>
    </row>
    <row r="96">
      <c r="A96" s="87" t="s">
        <v>77</v>
      </c>
      <c r="B96" s="88" t="str">
        <f>IF(L96=4,"АПРЕЛЬ",IF(L96=5,"МАЙ",IF(L96=1,"ЯНВАРЬ",IF(L96=2,"ФЕВРАЛЬ",IF(L96=3,"МАРТ",IF(L96=6,"ИЮНЬ",IF(L96=7,"ИЮЛЬ",IF(L96=8,"АВГУСТ",IF(L96=9,"СЕНТЯБРЬ",IF(L96=10,"ОКТЯБРЬ",IF(L96=11,"НОЯБРЬ",IF(L96=12,"ДЕКАБРЬ"))))))))))))</f>
        <v>ОКТЯБРЬ</v>
      </c>
      <c r="J96" s="89"/>
      <c r="K96" s="90"/>
      <c r="L96" s="91">
        <f>MONTH(B97)</f>
        <v>10</v>
      </c>
      <c r="M96" s="89"/>
      <c r="N96" s="89"/>
      <c r="O96" s="89"/>
      <c r="P96" s="93"/>
      <c r="Q96" s="92" t="str">
        <f>RIGHT(YEAR(B97),2)</f>
        <v>25</v>
      </c>
      <c r="R96" s="89"/>
      <c r="S96" s="89"/>
      <c r="T96" s="89"/>
      <c r="U96" s="89"/>
      <c r="V96" s="89"/>
      <c r="W96" s="89"/>
      <c r="X96" s="89"/>
      <c r="Y96" s="89"/>
      <c r="Z96" s="89"/>
      <c r="AA96" s="89"/>
    </row>
    <row r="97">
      <c r="A97" s="54"/>
      <c r="B97" s="110">
        <v>45937.0</v>
      </c>
      <c r="C97" s="77" t="s">
        <v>99</v>
      </c>
      <c r="D97" s="100" t="s">
        <v>101</v>
      </c>
      <c r="E97" s="100">
        <v>1464694.0</v>
      </c>
      <c r="F97" s="99">
        <f>E97-E94</f>
        <v>2343</v>
      </c>
      <c r="G97" s="100">
        <v>1088.0</v>
      </c>
      <c r="H97" s="101">
        <v>846.0</v>
      </c>
      <c r="I97" s="102">
        <f>23.11--44.13--454.65--303.68</f>
        <v>825.57</v>
      </c>
      <c r="J97" s="102">
        <f>H97-I97</f>
        <v>20.43</v>
      </c>
      <c r="K97" s="103">
        <f>I97/F97*100</f>
        <v>35.23559539</v>
      </c>
      <c r="L97" s="54"/>
      <c r="M97" s="82" t="str">
        <f>"тотал"&amp;" "&amp;B96&amp;" "&amp;RIGHT(YEAR(B97),2)</f>
        <v>тотал ОКТЯБРЬ 25</v>
      </c>
      <c r="N97" s="75"/>
      <c r="O97" s="75"/>
      <c r="P97" s="75"/>
      <c r="Q97" s="76"/>
    </row>
    <row r="98">
      <c r="A98" s="54"/>
      <c r="B98" s="99"/>
      <c r="C98" s="99"/>
      <c r="D98" s="99"/>
      <c r="E98" s="99"/>
      <c r="F98" s="99"/>
      <c r="G98" s="99"/>
      <c r="H98" s="102"/>
      <c r="I98" s="102"/>
      <c r="J98" s="102"/>
      <c r="K98" s="102"/>
      <c r="L98" s="54"/>
      <c r="M98" s="83" t="s">
        <v>70</v>
      </c>
      <c r="N98" s="83" t="s">
        <v>71</v>
      </c>
      <c r="O98" s="83" t="s">
        <v>27</v>
      </c>
      <c r="P98" s="77" t="s">
        <v>28</v>
      </c>
      <c r="Q98" s="12" t="s">
        <v>78</v>
      </c>
    </row>
    <row r="99">
      <c r="A99" s="54"/>
      <c r="B99" s="99"/>
      <c r="C99" s="99"/>
      <c r="D99" s="99"/>
      <c r="E99" s="99"/>
      <c r="F99" s="99"/>
      <c r="G99" s="99"/>
      <c r="H99" s="102"/>
      <c r="I99" s="102"/>
      <c r="J99" s="102"/>
      <c r="K99" s="102"/>
      <c r="L99" s="54"/>
      <c r="M99" s="84">
        <f>SUM(F97:F99)</f>
        <v>2343</v>
      </c>
      <c r="N99" s="84">
        <f>SUM(I97:I99)</f>
        <v>825.57</v>
      </c>
      <c r="O99" s="85">
        <f>N99/M99*100</f>
        <v>35.23559539</v>
      </c>
      <c r="P99" s="79">
        <f>(M99/100)*(O99-Q99)</f>
        <v>99.24</v>
      </c>
      <c r="Q99" s="78">
        <v>31.0</v>
      </c>
    </row>
    <row r="100">
      <c r="A100" s="54"/>
      <c r="B100" s="99"/>
      <c r="C100" s="99"/>
      <c r="D100" s="99"/>
      <c r="E100" s="99"/>
      <c r="F100" s="99"/>
      <c r="G100" s="99"/>
      <c r="H100" s="102"/>
      <c r="I100" s="102"/>
      <c r="J100" s="102"/>
      <c r="K100" s="102"/>
      <c r="L100" s="54"/>
      <c r="M100" s="54"/>
      <c r="P100" s="44"/>
    </row>
    <row r="101">
      <c r="A101" s="54"/>
      <c r="B101" s="99"/>
      <c r="C101" s="99"/>
      <c r="D101" s="99"/>
      <c r="E101" s="99"/>
      <c r="F101" s="99"/>
      <c r="G101" s="99"/>
      <c r="H101" s="102"/>
      <c r="I101" s="102"/>
      <c r="J101" s="102"/>
      <c r="K101" s="102"/>
      <c r="L101" s="54"/>
      <c r="M101" s="54"/>
      <c r="P101" s="44"/>
    </row>
    <row r="102">
      <c r="A102" s="54"/>
      <c r="B102" s="99"/>
      <c r="C102" s="99"/>
      <c r="D102" s="99"/>
      <c r="E102" s="99"/>
      <c r="F102" s="99"/>
      <c r="G102" s="99"/>
      <c r="H102" s="102"/>
      <c r="I102" s="102"/>
      <c r="J102" s="102"/>
      <c r="K102" s="102"/>
      <c r="L102" s="54"/>
      <c r="M102" s="54"/>
      <c r="P102" s="44"/>
    </row>
    <row r="103">
      <c r="A103" s="54"/>
      <c r="B103" s="99"/>
      <c r="C103" s="99"/>
      <c r="D103" s="99"/>
      <c r="E103" s="99"/>
      <c r="F103" s="99"/>
      <c r="G103" s="99"/>
      <c r="H103" s="102"/>
      <c r="I103" s="102"/>
      <c r="J103" s="102"/>
      <c r="K103" s="102"/>
      <c r="L103" s="54"/>
      <c r="M103" s="54"/>
      <c r="P103" s="44"/>
    </row>
    <row r="104">
      <c r="A104" s="54"/>
      <c r="B104" s="99"/>
      <c r="C104" s="99"/>
      <c r="D104" s="99"/>
      <c r="E104" s="99"/>
      <c r="F104" s="99"/>
      <c r="G104" s="99"/>
      <c r="H104" s="102"/>
      <c r="I104" s="102"/>
      <c r="J104" s="102"/>
      <c r="K104" s="102"/>
      <c r="L104" s="54"/>
      <c r="M104" s="54"/>
      <c r="P104" s="44"/>
    </row>
    <row r="105">
      <c r="A105" s="54"/>
      <c r="B105" s="99"/>
      <c r="C105" s="99"/>
      <c r="D105" s="99"/>
      <c r="E105" s="99"/>
      <c r="F105" s="99"/>
      <c r="G105" s="99"/>
      <c r="H105" s="102"/>
      <c r="I105" s="102"/>
      <c r="J105" s="102"/>
      <c r="K105" s="102"/>
      <c r="L105" s="54"/>
      <c r="M105" s="54"/>
      <c r="P105" s="44"/>
    </row>
    <row r="106">
      <c r="A106" s="54"/>
      <c r="B106" s="99"/>
      <c r="C106" s="99"/>
      <c r="D106" s="99"/>
      <c r="E106" s="99"/>
      <c r="F106" s="99"/>
      <c r="G106" s="99"/>
      <c r="H106" s="102"/>
      <c r="I106" s="102"/>
      <c r="J106" s="102"/>
      <c r="K106" s="102"/>
      <c r="L106" s="54"/>
      <c r="M106" s="54"/>
      <c r="P106" s="44"/>
    </row>
    <row r="107">
      <c r="A107" s="54"/>
      <c r="B107" s="99"/>
      <c r="C107" s="99"/>
      <c r="D107" s="99"/>
      <c r="E107" s="99"/>
      <c r="F107" s="99"/>
      <c r="G107" s="99"/>
      <c r="H107" s="102"/>
      <c r="I107" s="102"/>
      <c r="J107" s="102"/>
      <c r="K107" s="102"/>
      <c r="L107" s="54"/>
      <c r="M107" s="54"/>
      <c r="P107" s="44"/>
    </row>
    <row r="108">
      <c r="A108" s="54"/>
      <c r="B108" s="99"/>
      <c r="C108" s="99"/>
      <c r="D108" s="99"/>
      <c r="E108" s="99"/>
      <c r="F108" s="99"/>
      <c r="G108" s="99"/>
      <c r="H108" s="102"/>
      <c r="I108" s="102"/>
      <c r="J108" s="102"/>
      <c r="K108" s="102"/>
      <c r="L108" s="54"/>
      <c r="M108" s="54"/>
      <c r="P108" s="44"/>
    </row>
    <row r="109">
      <c r="A109" s="54"/>
      <c r="B109" s="99"/>
      <c r="C109" s="99"/>
      <c r="D109" s="99"/>
      <c r="E109" s="99"/>
      <c r="F109" s="99"/>
      <c r="G109" s="99"/>
      <c r="H109" s="102"/>
      <c r="I109" s="102"/>
      <c r="J109" s="102"/>
      <c r="K109" s="102"/>
      <c r="L109" s="54"/>
      <c r="M109" s="54"/>
      <c r="P109" s="44"/>
    </row>
    <row r="110">
      <c r="A110" s="54"/>
      <c r="B110" s="99"/>
      <c r="C110" s="99"/>
      <c r="D110" s="99"/>
      <c r="E110" s="99"/>
      <c r="F110" s="99"/>
      <c r="G110" s="99"/>
      <c r="H110" s="102"/>
      <c r="I110" s="102"/>
      <c r="J110" s="102"/>
      <c r="K110" s="102"/>
      <c r="L110" s="54"/>
      <c r="M110" s="54"/>
      <c r="P110" s="44"/>
    </row>
    <row r="111">
      <c r="A111" s="54"/>
      <c r="B111" s="99"/>
      <c r="C111" s="99"/>
      <c r="D111" s="99"/>
      <c r="E111" s="99"/>
      <c r="F111" s="99"/>
      <c r="G111" s="99"/>
      <c r="H111" s="102"/>
      <c r="I111" s="102"/>
      <c r="J111" s="102"/>
      <c r="K111" s="102"/>
      <c r="L111" s="54"/>
      <c r="M111" s="54"/>
      <c r="P111" s="44"/>
    </row>
    <row r="112">
      <c r="A112" s="54"/>
      <c r="B112" s="99"/>
      <c r="C112" s="99"/>
      <c r="D112" s="99"/>
      <c r="E112" s="99"/>
      <c r="F112" s="99"/>
      <c r="G112" s="99"/>
      <c r="H112" s="102"/>
      <c r="I112" s="102"/>
      <c r="J112" s="102"/>
      <c r="K112" s="102"/>
      <c r="L112" s="54"/>
      <c r="M112" s="54"/>
      <c r="P112" s="44"/>
    </row>
    <row r="113">
      <c r="A113" s="54"/>
      <c r="B113" s="99"/>
      <c r="C113" s="99"/>
      <c r="D113" s="99"/>
      <c r="E113" s="99"/>
      <c r="F113" s="99"/>
      <c r="G113" s="99"/>
      <c r="H113" s="102"/>
      <c r="I113" s="102"/>
      <c r="J113" s="102"/>
      <c r="K113" s="102"/>
      <c r="L113" s="54"/>
      <c r="M113" s="54"/>
      <c r="P113" s="44"/>
    </row>
    <row r="114">
      <c r="A114" s="54"/>
      <c r="B114" s="99"/>
      <c r="C114" s="99"/>
      <c r="D114" s="99"/>
      <c r="E114" s="99"/>
      <c r="F114" s="99"/>
      <c r="G114" s="99"/>
      <c r="H114" s="102"/>
      <c r="I114" s="102"/>
      <c r="J114" s="102"/>
      <c r="K114" s="102"/>
      <c r="L114" s="54"/>
      <c r="M114" s="54"/>
      <c r="P114" s="44"/>
    </row>
    <row r="115">
      <c r="A115" s="54"/>
      <c r="B115" s="99"/>
      <c r="C115" s="99"/>
      <c r="D115" s="99"/>
      <c r="E115" s="99"/>
      <c r="F115" s="99"/>
      <c r="G115" s="99"/>
      <c r="H115" s="102"/>
      <c r="I115" s="102"/>
      <c r="J115" s="102"/>
      <c r="K115" s="102"/>
      <c r="L115" s="54"/>
      <c r="M115" s="54"/>
      <c r="P115" s="44"/>
    </row>
    <row r="116">
      <c r="A116" s="54"/>
      <c r="B116" s="99"/>
      <c r="C116" s="99"/>
      <c r="D116" s="99"/>
      <c r="E116" s="99"/>
      <c r="F116" s="99"/>
      <c r="G116" s="99"/>
      <c r="H116" s="102"/>
      <c r="I116" s="102"/>
      <c r="J116" s="102"/>
      <c r="K116" s="102"/>
      <c r="L116" s="54"/>
      <c r="M116" s="54"/>
      <c r="P116" s="44"/>
    </row>
    <row r="117">
      <c r="A117" s="54"/>
      <c r="B117" s="99"/>
      <c r="C117" s="99"/>
      <c r="D117" s="99"/>
      <c r="E117" s="99"/>
      <c r="F117" s="99"/>
      <c r="G117" s="99"/>
      <c r="H117" s="102"/>
      <c r="I117" s="102"/>
      <c r="J117" s="102"/>
      <c r="K117" s="102"/>
      <c r="L117" s="54"/>
      <c r="M117" s="54"/>
      <c r="P117" s="44"/>
    </row>
    <row r="118">
      <c r="A118" s="54"/>
      <c r="B118" s="99"/>
      <c r="C118" s="99"/>
      <c r="D118" s="99"/>
      <c r="E118" s="99"/>
      <c r="F118" s="99"/>
      <c r="G118" s="99"/>
      <c r="H118" s="102"/>
      <c r="I118" s="102"/>
      <c r="J118" s="102"/>
      <c r="K118" s="102"/>
      <c r="L118" s="54"/>
      <c r="M118" s="54"/>
      <c r="P118" s="44"/>
    </row>
    <row r="119">
      <c r="A119" s="54"/>
      <c r="B119" s="99"/>
      <c r="C119" s="99"/>
      <c r="D119" s="99"/>
      <c r="E119" s="99"/>
      <c r="F119" s="99"/>
      <c r="G119" s="99"/>
      <c r="H119" s="102"/>
      <c r="I119" s="102"/>
      <c r="J119" s="102"/>
      <c r="K119" s="102"/>
      <c r="L119" s="54"/>
      <c r="M119" s="54"/>
      <c r="P119" s="44"/>
    </row>
    <row r="120">
      <c r="A120" s="54"/>
      <c r="B120" s="99"/>
      <c r="C120" s="99"/>
      <c r="D120" s="99"/>
      <c r="E120" s="99"/>
      <c r="F120" s="99"/>
      <c r="G120" s="99"/>
      <c r="H120" s="102"/>
      <c r="I120" s="102"/>
      <c r="J120" s="102"/>
      <c r="K120" s="102"/>
      <c r="L120" s="54"/>
      <c r="M120" s="54"/>
      <c r="P120" s="44"/>
    </row>
    <row r="121">
      <c r="A121" s="54"/>
      <c r="B121" s="99"/>
      <c r="C121" s="99"/>
      <c r="D121" s="99"/>
      <c r="E121" s="99"/>
      <c r="F121" s="99"/>
      <c r="G121" s="99"/>
      <c r="H121" s="102"/>
      <c r="I121" s="102"/>
      <c r="J121" s="102"/>
      <c r="K121" s="102"/>
      <c r="L121" s="54"/>
      <c r="M121" s="54"/>
      <c r="P121" s="44"/>
    </row>
    <row r="122">
      <c r="A122" s="54"/>
      <c r="B122" s="99"/>
      <c r="C122" s="99"/>
      <c r="D122" s="99"/>
      <c r="E122" s="99"/>
      <c r="F122" s="99"/>
      <c r="G122" s="99"/>
      <c r="H122" s="102"/>
      <c r="I122" s="102"/>
      <c r="J122" s="102"/>
      <c r="K122" s="102"/>
      <c r="L122" s="54"/>
      <c r="M122" s="54"/>
      <c r="P122" s="44"/>
    </row>
    <row r="123">
      <c r="A123" s="54"/>
      <c r="B123" s="99"/>
      <c r="C123" s="99"/>
      <c r="D123" s="99"/>
      <c r="E123" s="99"/>
      <c r="F123" s="99"/>
      <c r="G123" s="99"/>
      <c r="H123" s="102"/>
      <c r="I123" s="102"/>
      <c r="J123" s="102"/>
      <c r="K123" s="102"/>
      <c r="L123" s="54"/>
      <c r="M123" s="54"/>
      <c r="P123" s="44"/>
    </row>
    <row r="124">
      <c r="A124" s="54"/>
      <c r="B124" s="99"/>
      <c r="C124" s="99"/>
      <c r="D124" s="99"/>
      <c r="E124" s="99"/>
      <c r="F124" s="99"/>
      <c r="G124" s="99"/>
      <c r="H124" s="102"/>
      <c r="I124" s="102"/>
      <c r="J124" s="102"/>
      <c r="K124" s="102"/>
      <c r="L124" s="54"/>
      <c r="M124" s="54"/>
      <c r="P124" s="44"/>
    </row>
    <row r="125">
      <c r="A125" s="54"/>
      <c r="B125" s="99"/>
      <c r="C125" s="99"/>
      <c r="D125" s="99"/>
      <c r="E125" s="99"/>
      <c r="F125" s="99"/>
      <c r="G125" s="99"/>
      <c r="H125" s="102"/>
      <c r="I125" s="102"/>
      <c r="J125" s="102"/>
      <c r="K125" s="102"/>
      <c r="L125" s="54"/>
      <c r="M125" s="54"/>
      <c r="P125" s="44"/>
    </row>
    <row r="126">
      <c r="A126" s="54"/>
      <c r="B126" s="99"/>
      <c r="C126" s="99"/>
      <c r="D126" s="99"/>
      <c r="E126" s="99"/>
      <c r="F126" s="99"/>
      <c r="G126" s="99"/>
      <c r="H126" s="102"/>
      <c r="I126" s="102"/>
      <c r="J126" s="102"/>
      <c r="K126" s="102"/>
      <c r="L126" s="54"/>
      <c r="M126" s="54"/>
      <c r="P126" s="44"/>
    </row>
    <row r="127">
      <c r="A127" s="54"/>
      <c r="B127" s="99"/>
      <c r="C127" s="99"/>
      <c r="D127" s="99"/>
      <c r="E127" s="99"/>
      <c r="F127" s="99"/>
      <c r="G127" s="99"/>
      <c r="H127" s="102"/>
      <c r="I127" s="102"/>
      <c r="J127" s="102"/>
      <c r="K127" s="102"/>
      <c r="L127" s="54"/>
      <c r="M127" s="54"/>
      <c r="P127" s="44"/>
    </row>
    <row r="128">
      <c r="A128" s="54"/>
      <c r="B128" s="99"/>
      <c r="C128" s="99"/>
      <c r="D128" s="99"/>
      <c r="E128" s="99"/>
      <c r="F128" s="99"/>
      <c r="G128" s="99"/>
      <c r="H128" s="102"/>
      <c r="I128" s="102"/>
      <c r="J128" s="102"/>
      <c r="K128" s="102"/>
      <c r="L128" s="54"/>
      <c r="M128" s="54"/>
      <c r="P128" s="44"/>
    </row>
    <row r="129">
      <c r="A129" s="54"/>
      <c r="B129" s="99"/>
      <c r="C129" s="99"/>
      <c r="D129" s="99"/>
      <c r="E129" s="99"/>
      <c r="F129" s="99"/>
      <c r="G129" s="99"/>
      <c r="H129" s="102"/>
      <c r="I129" s="102"/>
      <c r="J129" s="102"/>
      <c r="K129" s="102"/>
      <c r="L129" s="54"/>
      <c r="M129" s="54"/>
      <c r="P129" s="44"/>
    </row>
    <row r="130">
      <c r="A130" s="54"/>
      <c r="B130" s="99"/>
      <c r="C130" s="99"/>
      <c r="D130" s="99"/>
      <c r="E130" s="99"/>
      <c r="F130" s="99"/>
      <c r="G130" s="99"/>
      <c r="H130" s="102"/>
      <c r="I130" s="102"/>
      <c r="J130" s="102"/>
      <c r="K130" s="102"/>
      <c r="L130" s="54"/>
      <c r="M130" s="54"/>
      <c r="P130" s="44"/>
    </row>
    <row r="131">
      <c r="A131" s="54"/>
      <c r="B131" s="99"/>
      <c r="C131" s="99"/>
      <c r="D131" s="99"/>
      <c r="E131" s="99"/>
      <c r="F131" s="99"/>
      <c r="G131" s="99"/>
      <c r="H131" s="102"/>
      <c r="I131" s="102"/>
      <c r="J131" s="102"/>
      <c r="K131" s="102"/>
      <c r="L131" s="54"/>
      <c r="M131" s="54"/>
      <c r="P131" s="44"/>
    </row>
    <row r="132">
      <c r="A132" s="54"/>
      <c r="B132" s="99"/>
      <c r="C132" s="99"/>
      <c r="D132" s="99"/>
      <c r="E132" s="99"/>
      <c r="F132" s="99"/>
      <c r="G132" s="99"/>
      <c r="H132" s="102"/>
      <c r="I132" s="102"/>
      <c r="J132" s="102"/>
      <c r="K132" s="102"/>
      <c r="L132" s="54"/>
      <c r="M132" s="54"/>
      <c r="P132" s="44"/>
    </row>
    <row r="133">
      <c r="A133" s="54"/>
      <c r="B133" s="99"/>
      <c r="C133" s="99"/>
      <c r="D133" s="99"/>
      <c r="E133" s="99"/>
      <c r="F133" s="99"/>
      <c r="G133" s="99"/>
      <c r="H133" s="102"/>
      <c r="I133" s="102"/>
      <c r="J133" s="102"/>
      <c r="K133" s="102"/>
      <c r="L133" s="54"/>
      <c r="M133" s="54"/>
      <c r="P133" s="44"/>
    </row>
    <row r="134">
      <c r="A134" s="54"/>
      <c r="B134" s="99"/>
      <c r="C134" s="99"/>
      <c r="D134" s="99"/>
      <c r="E134" s="99"/>
      <c r="F134" s="99"/>
      <c r="G134" s="99"/>
      <c r="H134" s="102"/>
      <c r="I134" s="102"/>
      <c r="J134" s="102"/>
      <c r="K134" s="102"/>
      <c r="L134" s="54"/>
      <c r="M134" s="54"/>
      <c r="P134" s="44"/>
    </row>
    <row r="135">
      <c r="A135" s="54"/>
      <c r="B135" s="99"/>
      <c r="C135" s="99"/>
      <c r="D135" s="99"/>
      <c r="E135" s="99"/>
      <c r="F135" s="99"/>
      <c r="G135" s="99"/>
      <c r="H135" s="102"/>
      <c r="I135" s="102"/>
      <c r="J135" s="102"/>
      <c r="K135" s="102"/>
      <c r="L135" s="54"/>
      <c r="M135" s="54"/>
      <c r="P135" s="44"/>
    </row>
    <row r="136">
      <c r="A136" s="54"/>
      <c r="B136" s="99"/>
      <c r="C136" s="99"/>
      <c r="D136" s="99"/>
      <c r="E136" s="99"/>
      <c r="F136" s="99"/>
      <c r="G136" s="99"/>
      <c r="H136" s="102"/>
      <c r="I136" s="102"/>
      <c r="J136" s="102"/>
      <c r="K136" s="102"/>
      <c r="L136" s="54"/>
      <c r="M136" s="54"/>
      <c r="P136" s="44"/>
    </row>
    <row r="137">
      <c r="A137" s="54"/>
      <c r="B137" s="99"/>
      <c r="C137" s="99"/>
      <c r="D137" s="99"/>
      <c r="E137" s="99"/>
      <c r="F137" s="99"/>
      <c r="G137" s="99"/>
      <c r="H137" s="102"/>
      <c r="I137" s="102"/>
      <c r="J137" s="102"/>
      <c r="K137" s="102"/>
      <c r="L137" s="54"/>
      <c r="M137" s="54"/>
      <c r="P137" s="44"/>
    </row>
    <row r="138">
      <c r="A138" s="54"/>
      <c r="B138" s="99"/>
      <c r="C138" s="99"/>
      <c r="D138" s="99"/>
      <c r="E138" s="99"/>
      <c r="F138" s="99"/>
      <c r="G138" s="99"/>
      <c r="H138" s="102"/>
      <c r="I138" s="102"/>
      <c r="J138" s="102"/>
      <c r="K138" s="102"/>
      <c r="L138" s="54"/>
      <c r="M138" s="54"/>
      <c r="P138" s="44"/>
    </row>
    <row r="139">
      <c r="A139" s="54"/>
      <c r="B139" s="99"/>
      <c r="C139" s="99"/>
      <c r="D139" s="99"/>
      <c r="E139" s="99"/>
      <c r="F139" s="99"/>
      <c r="G139" s="99"/>
      <c r="H139" s="102"/>
      <c r="I139" s="102"/>
      <c r="J139" s="102"/>
      <c r="K139" s="102"/>
      <c r="L139" s="54"/>
      <c r="M139" s="54"/>
      <c r="P139" s="44"/>
    </row>
    <row r="140">
      <c r="A140" s="54"/>
      <c r="B140" s="99"/>
      <c r="C140" s="99"/>
      <c r="D140" s="99"/>
      <c r="E140" s="99"/>
      <c r="F140" s="99"/>
      <c r="G140" s="99"/>
      <c r="H140" s="102"/>
      <c r="I140" s="102"/>
      <c r="J140" s="102"/>
      <c r="K140" s="102"/>
      <c r="L140" s="54"/>
      <c r="M140" s="54"/>
      <c r="P140" s="44"/>
    </row>
    <row r="141">
      <c r="A141" s="54"/>
      <c r="B141" s="99"/>
      <c r="C141" s="99"/>
      <c r="D141" s="99"/>
      <c r="E141" s="99"/>
      <c r="F141" s="99"/>
      <c r="G141" s="99"/>
      <c r="H141" s="102"/>
      <c r="I141" s="102"/>
      <c r="J141" s="102"/>
      <c r="K141" s="102"/>
      <c r="L141" s="54"/>
      <c r="M141" s="54"/>
      <c r="P141" s="44"/>
    </row>
    <row r="142">
      <c r="A142" s="54"/>
      <c r="B142" s="99"/>
      <c r="C142" s="99"/>
      <c r="D142" s="99"/>
      <c r="E142" s="99"/>
      <c r="F142" s="99"/>
      <c r="G142" s="99"/>
      <c r="H142" s="102"/>
      <c r="I142" s="102"/>
      <c r="J142" s="102"/>
      <c r="K142" s="102"/>
      <c r="L142" s="54"/>
      <c r="M142" s="54"/>
      <c r="P142" s="44"/>
    </row>
    <row r="143">
      <c r="A143" s="54"/>
      <c r="B143" s="99"/>
      <c r="C143" s="99"/>
      <c r="D143" s="99"/>
      <c r="E143" s="99"/>
      <c r="F143" s="99"/>
      <c r="G143" s="99"/>
      <c r="H143" s="102"/>
      <c r="I143" s="102"/>
      <c r="J143" s="102"/>
      <c r="K143" s="102"/>
      <c r="L143" s="54"/>
      <c r="M143" s="54"/>
      <c r="P143" s="44"/>
    </row>
    <row r="144">
      <c r="A144" s="54"/>
      <c r="B144" s="99"/>
      <c r="C144" s="99"/>
      <c r="D144" s="99"/>
      <c r="E144" s="99"/>
      <c r="F144" s="99"/>
      <c r="G144" s="99"/>
      <c r="H144" s="102"/>
      <c r="I144" s="102"/>
      <c r="J144" s="102"/>
      <c r="K144" s="102"/>
      <c r="L144" s="54"/>
      <c r="M144" s="54"/>
      <c r="P144" s="44"/>
    </row>
    <row r="145">
      <c r="A145" s="54"/>
      <c r="B145" s="99"/>
      <c r="C145" s="99"/>
      <c r="D145" s="99"/>
      <c r="E145" s="99"/>
      <c r="F145" s="99"/>
      <c r="G145" s="99"/>
      <c r="H145" s="102"/>
      <c r="I145" s="102"/>
      <c r="J145" s="102"/>
      <c r="K145" s="102"/>
      <c r="L145" s="54"/>
      <c r="M145" s="54"/>
      <c r="P145" s="44"/>
    </row>
    <row r="146">
      <c r="A146" s="54"/>
      <c r="B146" s="99"/>
      <c r="C146" s="99"/>
      <c r="D146" s="99"/>
      <c r="E146" s="99"/>
      <c r="F146" s="99"/>
      <c r="G146" s="99"/>
      <c r="H146" s="102"/>
      <c r="I146" s="102"/>
      <c r="J146" s="102"/>
      <c r="K146" s="102"/>
      <c r="L146" s="54"/>
      <c r="M146" s="54"/>
      <c r="P146" s="44"/>
    </row>
    <row r="147">
      <c r="A147" s="54"/>
      <c r="B147" s="99"/>
      <c r="C147" s="99"/>
      <c r="D147" s="99"/>
      <c r="E147" s="99"/>
      <c r="F147" s="99"/>
      <c r="G147" s="99"/>
      <c r="H147" s="102"/>
      <c r="I147" s="102"/>
      <c r="J147" s="102"/>
      <c r="K147" s="102"/>
      <c r="L147" s="54"/>
      <c r="M147" s="54"/>
      <c r="P147" s="44"/>
    </row>
    <row r="148">
      <c r="A148" s="54"/>
      <c r="B148" s="99"/>
      <c r="C148" s="99"/>
      <c r="D148" s="99"/>
      <c r="E148" s="99"/>
      <c r="F148" s="99"/>
      <c r="G148" s="99"/>
      <c r="H148" s="102"/>
      <c r="I148" s="102"/>
      <c r="J148" s="102"/>
      <c r="K148" s="102"/>
      <c r="L148" s="54"/>
      <c r="M148" s="54"/>
      <c r="P148" s="44"/>
    </row>
    <row r="149">
      <c r="A149" s="54"/>
      <c r="B149" s="99"/>
      <c r="C149" s="99"/>
      <c r="D149" s="99"/>
      <c r="E149" s="99"/>
      <c r="F149" s="99"/>
      <c r="G149" s="99"/>
      <c r="H149" s="102"/>
      <c r="I149" s="102"/>
      <c r="J149" s="102"/>
      <c r="K149" s="102"/>
      <c r="L149" s="54"/>
      <c r="M149" s="54"/>
      <c r="P149" s="44"/>
    </row>
    <row r="150">
      <c r="A150" s="54"/>
      <c r="B150" s="99"/>
      <c r="C150" s="99"/>
      <c r="D150" s="99"/>
      <c r="E150" s="99"/>
      <c r="F150" s="99"/>
      <c r="G150" s="99"/>
      <c r="H150" s="102"/>
      <c r="I150" s="102"/>
      <c r="J150" s="102"/>
      <c r="K150" s="102"/>
      <c r="L150" s="54"/>
      <c r="M150" s="54"/>
      <c r="P150" s="44"/>
    </row>
    <row r="151">
      <c r="A151" s="54"/>
      <c r="B151" s="99"/>
      <c r="C151" s="99"/>
      <c r="D151" s="99"/>
      <c r="E151" s="99"/>
      <c r="F151" s="99"/>
      <c r="G151" s="99"/>
      <c r="H151" s="102"/>
      <c r="I151" s="102"/>
      <c r="J151" s="102"/>
      <c r="K151" s="102"/>
      <c r="L151" s="54"/>
      <c r="M151" s="54"/>
      <c r="P151" s="44"/>
    </row>
    <row r="152">
      <c r="A152" s="54"/>
      <c r="B152" s="99"/>
      <c r="C152" s="99"/>
      <c r="D152" s="99"/>
      <c r="E152" s="99"/>
      <c r="F152" s="99"/>
      <c r="G152" s="99"/>
      <c r="H152" s="102"/>
      <c r="I152" s="102"/>
      <c r="J152" s="102"/>
      <c r="K152" s="102"/>
      <c r="L152" s="54"/>
      <c r="M152" s="54"/>
      <c r="P152" s="44"/>
    </row>
    <row r="153">
      <c r="A153" s="54"/>
      <c r="B153" s="99"/>
      <c r="C153" s="99"/>
      <c r="D153" s="99"/>
      <c r="E153" s="99"/>
      <c r="F153" s="99"/>
      <c r="G153" s="99"/>
      <c r="H153" s="102"/>
      <c r="I153" s="102"/>
      <c r="J153" s="102"/>
      <c r="K153" s="102"/>
      <c r="L153" s="54"/>
      <c r="M153" s="54"/>
      <c r="P153" s="44"/>
    </row>
    <row r="154">
      <c r="A154" s="54"/>
      <c r="B154" s="99"/>
      <c r="C154" s="99"/>
      <c r="D154" s="99"/>
      <c r="E154" s="99"/>
      <c r="F154" s="99"/>
      <c r="G154" s="99"/>
      <c r="H154" s="102"/>
      <c r="I154" s="102"/>
      <c r="J154" s="102"/>
      <c r="K154" s="102"/>
      <c r="L154" s="54"/>
      <c r="M154" s="54"/>
      <c r="P154" s="44"/>
    </row>
    <row r="155">
      <c r="A155" s="54"/>
      <c r="B155" s="99"/>
      <c r="C155" s="99"/>
      <c r="D155" s="99"/>
      <c r="E155" s="99"/>
      <c r="F155" s="99"/>
      <c r="G155" s="99"/>
      <c r="H155" s="102"/>
      <c r="I155" s="102"/>
      <c r="J155" s="102"/>
      <c r="K155" s="102"/>
      <c r="L155" s="54"/>
      <c r="M155" s="54"/>
      <c r="P155" s="44"/>
    </row>
    <row r="156">
      <c r="A156" s="54"/>
      <c r="B156" s="99"/>
      <c r="C156" s="99"/>
      <c r="D156" s="99"/>
      <c r="E156" s="99"/>
      <c r="F156" s="99"/>
      <c r="G156" s="99"/>
      <c r="H156" s="102"/>
      <c r="I156" s="102"/>
      <c r="J156" s="102"/>
      <c r="K156" s="102"/>
      <c r="L156" s="54"/>
      <c r="M156" s="54"/>
      <c r="P156" s="44"/>
    </row>
    <row r="157">
      <c r="A157" s="54"/>
      <c r="B157" s="99"/>
      <c r="C157" s="99"/>
      <c r="D157" s="99"/>
      <c r="E157" s="99"/>
      <c r="F157" s="99"/>
      <c r="G157" s="99"/>
      <c r="H157" s="102"/>
      <c r="I157" s="102"/>
      <c r="J157" s="102"/>
      <c r="K157" s="102"/>
      <c r="L157" s="54"/>
      <c r="M157" s="54"/>
      <c r="P157" s="44"/>
    </row>
    <row r="158">
      <c r="A158" s="54"/>
      <c r="B158" s="99"/>
      <c r="C158" s="99"/>
      <c r="D158" s="99"/>
      <c r="E158" s="99"/>
      <c r="F158" s="99"/>
      <c r="G158" s="99"/>
      <c r="H158" s="102"/>
      <c r="I158" s="102"/>
      <c r="J158" s="102"/>
      <c r="K158" s="102"/>
      <c r="L158" s="54"/>
      <c r="M158" s="54"/>
      <c r="P158" s="44"/>
    </row>
    <row r="159">
      <c r="A159" s="54"/>
      <c r="B159" s="99"/>
      <c r="C159" s="99"/>
      <c r="D159" s="99"/>
      <c r="E159" s="99"/>
      <c r="F159" s="99"/>
      <c r="G159" s="99"/>
      <c r="H159" s="102"/>
      <c r="I159" s="102"/>
      <c r="J159" s="102"/>
      <c r="K159" s="102"/>
      <c r="L159" s="54"/>
      <c r="M159" s="54"/>
      <c r="P159" s="44"/>
    </row>
    <row r="160">
      <c r="A160" s="54"/>
      <c r="B160" s="99"/>
      <c r="C160" s="99"/>
      <c r="D160" s="99"/>
      <c r="E160" s="99"/>
      <c r="F160" s="99"/>
      <c r="G160" s="99"/>
      <c r="H160" s="102"/>
      <c r="I160" s="102"/>
      <c r="J160" s="102"/>
      <c r="K160" s="102"/>
      <c r="L160" s="54"/>
      <c r="M160" s="54"/>
      <c r="P160" s="44"/>
    </row>
    <row r="161">
      <c r="A161" s="54"/>
      <c r="B161" s="99"/>
      <c r="C161" s="99"/>
      <c r="D161" s="99"/>
      <c r="E161" s="99"/>
      <c r="F161" s="99"/>
      <c r="G161" s="99"/>
      <c r="H161" s="102"/>
      <c r="I161" s="102"/>
      <c r="J161" s="102"/>
      <c r="K161" s="102"/>
      <c r="L161" s="54"/>
      <c r="M161" s="54"/>
      <c r="P161" s="44"/>
    </row>
    <row r="162">
      <c r="A162" s="54"/>
      <c r="B162" s="99"/>
      <c r="C162" s="99"/>
      <c r="D162" s="99"/>
      <c r="E162" s="99"/>
      <c r="F162" s="99"/>
      <c r="G162" s="99"/>
      <c r="H162" s="102"/>
      <c r="I162" s="102"/>
      <c r="J162" s="102"/>
      <c r="K162" s="102"/>
      <c r="L162" s="54"/>
      <c r="M162" s="54"/>
      <c r="P162" s="44"/>
    </row>
    <row r="163">
      <c r="A163" s="54"/>
      <c r="B163" s="99"/>
      <c r="C163" s="99"/>
      <c r="D163" s="99"/>
      <c r="E163" s="99"/>
      <c r="F163" s="99"/>
      <c r="G163" s="99"/>
      <c r="H163" s="102"/>
      <c r="I163" s="102"/>
      <c r="J163" s="102"/>
      <c r="K163" s="102"/>
      <c r="L163" s="54"/>
      <c r="M163" s="54"/>
      <c r="P163" s="44"/>
    </row>
    <row r="164">
      <c r="A164" s="54"/>
      <c r="B164" s="99"/>
      <c r="C164" s="99"/>
      <c r="D164" s="99"/>
      <c r="E164" s="99"/>
      <c r="F164" s="99"/>
      <c r="G164" s="99"/>
      <c r="H164" s="102"/>
      <c r="I164" s="102"/>
      <c r="J164" s="102"/>
      <c r="K164" s="102"/>
      <c r="L164" s="54"/>
      <c r="M164" s="54"/>
      <c r="P164" s="44"/>
    </row>
    <row r="165">
      <c r="A165" s="54"/>
      <c r="B165" s="99"/>
      <c r="C165" s="99"/>
      <c r="D165" s="99"/>
      <c r="E165" s="99"/>
      <c r="F165" s="99"/>
      <c r="G165" s="99"/>
      <c r="H165" s="102"/>
      <c r="I165" s="102"/>
      <c r="J165" s="102"/>
      <c r="K165" s="102"/>
      <c r="L165" s="54"/>
      <c r="M165" s="54"/>
      <c r="P165" s="44"/>
    </row>
    <row r="166">
      <c r="A166" s="54"/>
      <c r="B166" s="99"/>
      <c r="C166" s="99"/>
      <c r="D166" s="99"/>
      <c r="E166" s="99"/>
      <c r="F166" s="99"/>
      <c r="G166" s="99"/>
      <c r="H166" s="102"/>
      <c r="I166" s="102"/>
      <c r="J166" s="102"/>
      <c r="K166" s="102"/>
      <c r="L166" s="54"/>
      <c r="M166" s="54"/>
      <c r="P166" s="44"/>
    </row>
    <row r="167">
      <c r="A167" s="54"/>
      <c r="B167" s="99"/>
      <c r="C167" s="99"/>
      <c r="D167" s="99"/>
      <c r="E167" s="99"/>
      <c r="F167" s="99"/>
      <c r="G167" s="99"/>
      <c r="H167" s="102"/>
      <c r="I167" s="102"/>
      <c r="J167" s="102"/>
      <c r="K167" s="102"/>
      <c r="L167" s="54"/>
      <c r="M167" s="54"/>
      <c r="P167" s="44"/>
    </row>
    <row r="168">
      <c r="A168" s="54"/>
      <c r="B168" s="99"/>
      <c r="C168" s="99"/>
      <c r="D168" s="99"/>
      <c r="E168" s="99"/>
      <c r="F168" s="99"/>
      <c r="G168" s="99"/>
      <c r="H168" s="102"/>
      <c r="I168" s="102"/>
      <c r="J168" s="102"/>
      <c r="K168" s="102"/>
      <c r="L168" s="54"/>
      <c r="M168" s="54"/>
      <c r="P168" s="44"/>
    </row>
    <row r="169">
      <c r="A169" s="54"/>
      <c r="B169" s="99"/>
      <c r="C169" s="99"/>
      <c r="D169" s="99"/>
      <c r="E169" s="99"/>
      <c r="F169" s="99"/>
      <c r="G169" s="99"/>
      <c r="H169" s="102"/>
      <c r="I169" s="102"/>
      <c r="J169" s="102"/>
      <c r="K169" s="102"/>
      <c r="L169" s="54"/>
      <c r="M169" s="54"/>
      <c r="P169" s="44"/>
    </row>
    <row r="170">
      <c r="A170" s="54"/>
      <c r="B170" s="99"/>
      <c r="C170" s="99"/>
      <c r="D170" s="99"/>
      <c r="E170" s="99"/>
      <c r="F170" s="99"/>
      <c r="G170" s="99"/>
      <c r="H170" s="102"/>
      <c r="I170" s="102"/>
      <c r="J170" s="102"/>
      <c r="K170" s="102"/>
      <c r="L170" s="54"/>
      <c r="M170" s="54"/>
      <c r="P170" s="44"/>
    </row>
    <row r="171">
      <c r="A171" s="54"/>
      <c r="B171" s="99"/>
      <c r="C171" s="99"/>
      <c r="D171" s="99"/>
      <c r="E171" s="99"/>
      <c r="F171" s="99"/>
      <c r="G171" s="99"/>
      <c r="H171" s="102"/>
      <c r="I171" s="102"/>
      <c r="J171" s="102"/>
      <c r="K171" s="102"/>
      <c r="L171" s="54"/>
      <c r="M171" s="54"/>
      <c r="P171" s="44"/>
    </row>
    <row r="172">
      <c r="A172" s="54"/>
      <c r="B172" s="99"/>
      <c r="C172" s="99"/>
      <c r="D172" s="99"/>
      <c r="E172" s="99"/>
      <c r="F172" s="99"/>
      <c r="G172" s="99"/>
      <c r="H172" s="102"/>
      <c r="I172" s="102"/>
      <c r="J172" s="102"/>
      <c r="K172" s="102"/>
      <c r="L172" s="54"/>
      <c r="M172" s="54"/>
      <c r="P172" s="44"/>
    </row>
    <row r="173">
      <c r="A173" s="54"/>
      <c r="B173" s="99"/>
      <c r="C173" s="99"/>
      <c r="D173" s="99"/>
      <c r="E173" s="99"/>
      <c r="F173" s="99"/>
      <c r="G173" s="99"/>
      <c r="H173" s="102"/>
      <c r="I173" s="102"/>
      <c r="J173" s="102"/>
      <c r="K173" s="102"/>
      <c r="L173" s="54"/>
      <c r="M173" s="54"/>
      <c r="P173" s="44"/>
    </row>
    <row r="174">
      <c r="A174" s="54"/>
      <c r="B174" s="99"/>
      <c r="C174" s="99"/>
      <c r="D174" s="99"/>
      <c r="E174" s="99"/>
      <c r="F174" s="99"/>
      <c r="G174" s="99"/>
      <c r="H174" s="102"/>
      <c r="I174" s="102"/>
      <c r="J174" s="102"/>
      <c r="K174" s="102"/>
      <c r="L174" s="54"/>
      <c r="M174" s="54"/>
      <c r="P174" s="44"/>
    </row>
    <row r="175">
      <c r="A175" s="54"/>
      <c r="B175" s="99"/>
      <c r="C175" s="99"/>
      <c r="D175" s="99"/>
      <c r="E175" s="99"/>
      <c r="F175" s="99"/>
      <c r="G175" s="99"/>
      <c r="H175" s="102"/>
      <c r="I175" s="102"/>
      <c r="J175" s="102"/>
      <c r="K175" s="102"/>
      <c r="L175" s="54"/>
      <c r="M175" s="54"/>
      <c r="P175" s="44"/>
    </row>
    <row r="176">
      <c r="A176" s="54"/>
      <c r="B176" s="99"/>
      <c r="C176" s="99"/>
      <c r="D176" s="99"/>
      <c r="E176" s="99"/>
      <c r="F176" s="99"/>
      <c r="G176" s="99"/>
      <c r="H176" s="102"/>
      <c r="I176" s="102"/>
      <c r="J176" s="102"/>
      <c r="K176" s="102"/>
      <c r="L176" s="54"/>
      <c r="M176" s="54"/>
      <c r="P176" s="44"/>
    </row>
    <row r="177">
      <c r="A177" s="54"/>
      <c r="B177" s="99"/>
      <c r="C177" s="99"/>
      <c r="D177" s="99"/>
      <c r="E177" s="99"/>
      <c r="F177" s="99"/>
      <c r="G177" s="99"/>
      <c r="H177" s="102"/>
      <c r="I177" s="102"/>
      <c r="J177" s="102"/>
      <c r="K177" s="102"/>
      <c r="L177" s="54"/>
      <c r="M177" s="54"/>
      <c r="P177" s="44"/>
    </row>
    <row r="178">
      <c r="A178" s="54"/>
      <c r="B178" s="99"/>
      <c r="C178" s="99"/>
      <c r="D178" s="99"/>
      <c r="E178" s="99"/>
      <c r="F178" s="99"/>
      <c r="G178" s="99"/>
      <c r="H178" s="102"/>
      <c r="I178" s="102"/>
      <c r="J178" s="102"/>
      <c r="K178" s="102"/>
      <c r="L178" s="54"/>
      <c r="M178" s="54"/>
      <c r="P178" s="44"/>
    </row>
    <row r="179">
      <c r="A179" s="54"/>
      <c r="B179" s="99"/>
      <c r="C179" s="99"/>
      <c r="D179" s="99"/>
      <c r="E179" s="99"/>
      <c r="F179" s="99"/>
      <c r="G179" s="99"/>
      <c r="H179" s="102"/>
      <c r="I179" s="102"/>
      <c r="J179" s="102"/>
      <c r="K179" s="102"/>
      <c r="L179" s="54"/>
      <c r="M179" s="54"/>
      <c r="P179" s="44"/>
    </row>
    <row r="180">
      <c r="A180" s="54"/>
      <c r="B180" s="99"/>
      <c r="C180" s="99"/>
      <c r="D180" s="99"/>
      <c r="E180" s="99"/>
      <c r="F180" s="99"/>
      <c r="G180" s="99"/>
      <c r="H180" s="102"/>
      <c r="I180" s="102"/>
      <c r="J180" s="102"/>
      <c r="K180" s="102"/>
      <c r="L180" s="54"/>
      <c r="M180" s="54"/>
      <c r="P180" s="44"/>
    </row>
    <row r="181">
      <c r="A181" s="54"/>
      <c r="B181" s="99"/>
      <c r="C181" s="99"/>
      <c r="D181" s="99"/>
      <c r="E181" s="99"/>
      <c r="F181" s="99"/>
      <c r="G181" s="99"/>
      <c r="H181" s="102"/>
      <c r="I181" s="102"/>
      <c r="J181" s="102"/>
      <c r="K181" s="102"/>
      <c r="L181" s="54"/>
      <c r="M181" s="54"/>
      <c r="P181" s="44"/>
    </row>
    <row r="182">
      <c r="A182" s="54"/>
      <c r="B182" s="99"/>
      <c r="C182" s="99"/>
      <c r="D182" s="99"/>
      <c r="E182" s="99"/>
      <c r="F182" s="99"/>
      <c r="G182" s="99"/>
      <c r="H182" s="102"/>
      <c r="I182" s="102"/>
      <c r="J182" s="102"/>
      <c r="K182" s="102"/>
      <c r="L182" s="54"/>
      <c r="M182" s="54"/>
      <c r="P182" s="44"/>
    </row>
    <row r="183">
      <c r="A183" s="54"/>
      <c r="B183" s="99"/>
      <c r="C183" s="99"/>
      <c r="D183" s="99"/>
      <c r="E183" s="99"/>
      <c r="F183" s="99"/>
      <c r="G183" s="99"/>
      <c r="H183" s="102"/>
      <c r="I183" s="102"/>
      <c r="J183" s="102"/>
      <c r="K183" s="102"/>
      <c r="L183" s="54"/>
      <c r="M183" s="54"/>
      <c r="P183" s="44"/>
    </row>
    <row r="184">
      <c r="A184" s="54"/>
      <c r="B184" s="99"/>
      <c r="C184" s="99"/>
      <c r="D184" s="99"/>
      <c r="E184" s="99"/>
      <c r="F184" s="99"/>
      <c r="G184" s="99"/>
      <c r="H184" s="102"/>
      <c r="I184" s="102"/>
      <c r="J184" s="102"/>
      <c r="K184" s="102"/>
      <c r="L184" s="54"/>
      <c r="M184" s="54"/>
      <c r="P184" s="44"/>
    </row>
    <row r="185">
      <c r="A185" s="54"/>
      <c r="B185" s="99"/>
      <c r="C185" s="99"/>
      <c r="D185" s="99"/>
      <c r="E185" s="99"/>
      <c r="F185" s="99"/>
      <c r="G185" s="99"/>
      <c r="H185" s="102"/>
      <c r="I185" s="102"/>
      <c r="J185" s="102"/>
      <c r="K185" s="102"/>
      <c r="L185" s="54"/>
      <c r="M185" s="54"/>
      <c r="P185" s="44"/>
    </row>
    <row r="186">
      <c r="A186" s="54"/>
      <c r="B186" s="99"/>
      <c r="C186" s="99"/>
      <c r="D186" s="99"/>
      <c r="E186" s="99"/>
      <c r="F186" s="99"/>
      <c r="G186" s="99"/>
      <c r="H186" s="102"/>
      <c r="I186" s="102"/>
      <c r="J186" s="102"/>
      <c r="K186" s="102"/>
      <c r="L186" s="54"/>
      <c r="M186" s="54"/>
      <c r="P186" s="44"/>
    </row>
    <row r="187">
      <c r="A187" s="54"/>
      <c r="B187" s="99"/>
      <c r="C187" s="99"/>
      <c r="D187" s="99"/>
      <c r="E187" s="99"/>
      <c r="F187" s="99"/>
      <c r="G187" s="99"/>
      <c r="H187" s="102"/>
      <c r="I187" s="102"/>
      <c r="J187" s="102"/>
      <c r="K187" s="102"/>
      <c r="L187" s="54"/>
      <c r="M187" s="54"/>
      <c r="P187" s="44"/>
    </row>
    <row r="188">
      <c r="A188" s="54"/>
      <c r="B188" s="99"/>
      <c r="C188" s="99"/>
      <c r="D188" s="99"/>
      <c r="E188" s="99"/>
      <c r="F188" s="99"/>
      <c r="G188" s="99"/>
      <c r="H188" s="102"/>
      <c r="I188" s="102"/>
      <c r="J188" s="102"/>
      <c r="K188" s="102"/>
      <c r="L188" s="54"/>
      <c r="M188" s="54"/>
      <c r="P188" s="44"/>
    </row>
    <row r="189">
      <c r="A189" s="54"/>
      <c r="B189" s="99"/>
      <c r="C189" s="99"/>
      <c r="D189" s="99"/>
      <c r="E189" s="99"/>
      <c r="F189" s="99"/>
      <c r="G189" s="99"/>
      <c r="H189" s="102"/>
      <c r="I189" s="102"/>
      <c r="J189" s="102"/>
      <c r="K189" s="102"/>
      <c r="L189" s="54"/>
      <c r="M189" s="54"/>
      <c r="P189" s="44"/>
    </row>
    <row r="190">
      <c r="A190" s="54"/>
      <c r="B190" s="99"/>
      <c r="C190" s="99"/>
      <c r="D190" s="99"/>
      <c r="E190" s="99"/>
      <c r="F190" s="99"/>
      <c r="G190" s="99"/>
      <c r="H190" s="102"/>
      <c r="I190" s="102"/>
      <c r="J190" s="102"/>
      <c r="K190" s="102"/>
      <c r="L190" s="54"/>
      <c r="M190" s="54"/>
      <c r="P190" s="44"/>
    </row>
    <row r="191">
      <c r="A191" s="54"/>
      <c r="B191" s="99"/>
      <c r="C191" s="99"/>
      <c r="D191" s="99"/>
      <c r="E191" s="99"/>
      <c r="F191" s="99"/>
      <c r="G191" s="99"/>
      <c r="H191" s="102"/>
      <c r="I191" s="102"/>
      <c r="J191" s="102"/>
      <c r="K191" s="102"/>
      <c r="L191" s="54"/>
      <c r="M191" s="54"/>
      <c r="P191" s="44"/>
    </row>
    <row r="192">
      <c r="A192" s="54"/>
      <c r="B192" s="99"/>
      <c r="C192" s="99"/>
      <c r="D192" s="99"/>
      <c r="E192" s="99"/>
      <c r="F192" s="99"/>
      <c r="G192" s="99"/>
      <c r="H192" s="102"/>
      <c r="I192" s="102"/>
      <c r="J192" s="102"/>
      <c r="K192" s="102"/>
      <c r="L192" s="54"/>
      <c r="M192" s="54"/>
      <c r="P192" s="44"/>
    </row>
    <row r="193">
      <c r="A193" s="54"/>
      <c r="B193" s="99"/>
      <c r="C193" s="99"/>
      <c r="D193" s="99"/>
      <c r="E193" s="99"/>
      <c r="F193" s="99"/>
      <c r="G193" s="99"/>
      <c r="H193" s="102"/>
      <c r="I193" s="102"/>
      <c r="J193" s="102"/>
      <c r="K193" s="102"/>
      <c r="L193" s="54"/>
      <c r="M193" s="54"/>
      <c r="P193" s="44"/>
    </row>
    <row r="194">
      <c r="A194" s="54"/>
      <c r="B194" s="99"/>
      <c r="C194" s="99"/>
      <c r="D194" s="99"/>
      <c r="E194" s="99"/>
      <c r="F194" s="99"/>
      <c r="G194" s="99"/>
      <c r="H194" s="102"/>
      <c r="I194" s="102"/>
      <c r="J194" s="102"/>
      <c r="K194" s="102"/>
      <c r="L194" s="54"/>
      <c r="M194" s="54"/>
      <c r="P194" s="44"/>
    </row>
    <row r="195">
      <c r="A195" s="54"/>
      <c r="B195" s="99"/>
      <c r="C195" s="99"/>
      <c r="D195" s="99"/>
      <c r="E195" s="99"/>
      <c r="F195" s="99"/>
      <c r="G195" s="99"/>
      <c r="H195" s="102"/>
      <c r="I195" s="102"/>
      <c r="J195" s="102"/>
      <c r="K195" s="102"/>
      <c r="L195" s="54"/>
      <c r="M195" s="54"/>
      <c r="P195" s="44"/>
    </row>
    <row r="196">
      <c r="A196" s="54"/>
      <c r="B196" s="99"/>
      <c r="C196" s="99"/>
      <c r="D196" s="99"/>
      <c r="E196" s="99"/>
      <c r="F196" s="99"/>
      <c r="G196" s="99"/>
      <c r="H196" s="102"/>
      <c r="I196" s="102"/>
      <c r="J196" s="102"/>
      <c r="K196" s="102"/>
      <c r="L196" s="54"/>
      <c r="M196" s="54"/>
      <c r="P196" s="44"/>
    </row>
    <row r="197">
      <c r="A197" s="54"/>
      <c r="B197" s="99"/>
      <c r="C197" s="99"/>
      <c r="D197" s="99"/>
      <c r="E197" s="99"/>
      <c r="F197" s="99"/>
      <c r="G197" s="99"/>
      <c r="H197" s="102"/>
      <c r="I197" s="102"/>
      <c r="J197" s="102"/>
      <c r="K197" s="102"/>
      <c r="L197" s="54"/>
      <c r="M197" s="54"/>
      <c r="P197" s="44"/>
    </row>
    <row r="198">
      <c r="A198" s="54"/>
      <c r="B198" s="99"/>
      <c r="C198" s="99"/>
      <c r="D198" s="99"/>
      <c r="E198" s="99"/>
      <c r="F198" s="99"/>
      <c r="G198" s="99"/>
      <c r="H198" s="102"/>
      <c r="I198" s="102"/>
      <c r="J198" s="102"/>
      <c r="K198" s="102"/>
      <c r="L198" s="54"/>
      <c r="M198" s="54"/>
      <c r="P198" s="44"/>
    </row>
    <row r="199">
      <c r="A199" s="54"/>
      <c r="B199" s="99"/>
      <c r="C199" s="99"/>
      <c r="D199" s="99"/>
      <c r="E199" s="99"/>
      <c r="F199" s="99"/>
      <c r="G199" s="99"/>
      <c r="H199" s="102"/>
      <c r="I199" s="102"/>
      <c r="J199" s="102"/>
      <c r="K199" s="102"/>
      <c r="L199" s="54"/>
      <c r="M199" s="54"/>
      <c r="P199" s="44"/>
    </row>
    <row r="200">
      <c r="A200" s="54"/>
      <c r="B200" s="99"/>
      <c r="C200" s="99"/>
      <c r="D200" s="99"/>
      <c r="E200" s="99"/>
      <c r="F200" s="99"/>
      <c r="G200" s="99"/>
      <c r="H200" s="102"/>
      <c r="I200" s="102"/>
      <c r="J200" s="102"/>
      <c r="K200" s="102"/>
      <c r="L200" s="54"/>
      <c r="M200" s="54"/>
      <c r="P200" s="44"/>
    </row>
    <row r="201">
      <c r="A201" s="54"/>
      <c r="B201" s="99"/>
      <c r="C201" s="99"/>
      <c r="D201" s="99"/>
      <c r="E201" s="99"/>
      <c r="F201" s="99"/>
      <c r="G201" s="99"/>
      <c r="H201" s="102"/>
      <c r="I201" s="102"/>
      <c r="J201" s="102"/>
      <c r="K201" s="102"/>
      <c r="L201" s="54"/>
      <c r="M201" s="54"/>
      <c r="P201" s="44"/>
    </row>
    <row r="202">
      <c r="A202" s="54"/>
      <c r="B202" s="99"/>
      <c r="C202" s="99"/>
      <c r="D202" s="99"/>
      <c r="E202" s="99"/>
      <c r="F202" s="99"/>
      <c r="G202" s="99"/>
      <c r="H202" s="102"/>
      <c r="I202" s="102"/>
      <c r="J202" s="102"/>
      <c r="K202" s="102"/>
      <c r="L202" s="54"/>
      <c r="M202" s="54"/>
      <c r="P202" s="44"/>
    </row>
    <row r="203">
      <c r="A203" s="54"/>
      <c r="B203" s="99"/>
      <c r="C203" s="99"/>
      <c r="D203" s="99"/>
      <c r="E203" s="99"/>
      <c r="F203" s="99"/>
      <c r="G203" s="99"/>
      <c r="H203" s="102"/>
      <c r="I203" s="102"/>
      <c r="J203" s="102"/>
      <c r="K203" s="102"/>
      <c r="L203" s="54"/>
      <c r="M203" s="54"/>
      <c r="P203" s="44"/>
    </row>
    <row r="204">
      <c r="A204" s="54"/>
      <c r="B204" s="99"/>
      <c r="C204" s="99"/>
      <c r="D204" s="99"/>
      <c r="E204" s="99"/>
      <c r="F204" s="99"/>
      <c r="G204" s="99"/>
      <c r="H204" s="102"/>
      <c r="I204" s="102"/>
      <c r="J204" s="102"/>
      <c r="K204" s="102"/>
      <c r="L204" s="54"/>
      <c r="M204" s="54"/>
      <c r="P204" s="44"/>
    </row>
    <row r="205">
      <c r="A205" s="54"/>
      <c r="B205" s="99"/>
      <c r="C205" s="99"/>
      <c r="D205" s="99"/>
      <c r="E205" s="99"/>
      <c r="F205" s="99"/>
      <c r="G205" s="99"/>
      <c r="H205" s="102"/>
      <c r="I205" s="102"/>
      <c r="J205" s="102"/>
      <c r="K205" s="102"/>
      <c r="L205" s="54"/>
      <c r="M205" s="54"/>
      <c r="P205" s="44"/>
    </row>
    <row r="206">
      <c r="A206" s="54"/>
      <c r="B206" s="99"/>
      <c r="C206" s="99"/>
      <c r="D206" s="99"/>
      <c r="E206" s="99"/>
      <c r="F206" s="99"/>
      <c r="G206" s="99"/>
      <c r="H206" s="102"/>
      <c r="I206" s="102"/>
      <c r="J206" s="102"/>
      <c r="K206" s="102"/>
      <c r="L206" s="54"/>
      <c r="M206" s="54"/>
      <c r="P206" s="44"/>
    </row>
    <row r="207">
      <c r="A207" s="54"/>
      <c r="B207" s="99"/>
      <c r="C207" s="99"/>
      <c r="D207" s="99"/>
      <c r="E207" s="99"/>
      <c r="F207" s="99"/>
      <c r="G207" s="99"/>
      <c r="H207" s="102"/>
      <c r="I207" s="102"/>
      <c r="J207" s="102"/>
      <c r="K207" s="102"/>
      <c r="L207" s="54"/>
      <c r="M207" s="54"/>
      <c r="P207" s="44"/>
    </row>
    <row r="208">
      <c r="A208" s="54"/>
      <c r="B208" s="99"/>
      <c r="C208" s="99"/>
      <c r="D208" s="99"/>
      <c r="E208" s="99"/>
      <c r="F208" s="99"/>
      <c r="G208" s="99"/>
      <c r="H208" s="102"/>
      <c r="I208" s="102"/>
      <c r="J208" s="102"/>
      <c r="K208" s="102"/>
      <c r="L208" s="54"/>
      <c r="M208" s="54"/>
      <c r="P208" s="44"/>
    </row>
    <row r="209">
      <c r="A209" s="54"/>
      <c r="B209" s="99"/>
      <c r="C209" s="99"/>
      <c r="D209" s="99"/>
      <c r="E209" s="99"/>
      <c r="F209" s="99"/>
      <c r="G209" s="99"/>
      <c r="H209" s="102"/>
      <c r="I209" s="102"/>
      <c r="J209" s="102"/>
      <c r="K209" s="102"/>
      <c r="L209" s="54"/>
      <c r="M209" s="54"/>
      <c r="P209" s="44"/>
    </row>
    <row r="210">
      <c r="A210" s="54"/>
      <c r="B210" s="99"/>
      <c r="C210" s="99"/>
      <c r="D210" s="99"/>
      <c r="E210" s="99"/>
      <c r="F210" s="99"/>
      <c r="G210" s="99"/>
      <c r="H210" s="102"/>
      <c r="I210" s="102"/>
      <c r="J210" s="102"/>
      <c r="K210" s="102"/>
      <c r="L210" s="54"/>
      <c r="M210" s="54"/>
      <c r="P210" s="44"/>
    </row>
    <row r="211">
      <c r="A211" s="54"/>
      <c r="B211" s="99"/>
      <c r="C211" s="99"/>
      <c r="D211" s="99"/>
      <c r="E211" s="99"/>
      <c r="F211" s="99"/>
      <c r="G211" s="99"/>
      <c r="H211" s="102"/>
      <c r="I211" s="102"/>
      <c r="J211" s="102"/>
      <c r="K211" s="102"/>
      <c r="L211" s="54"/>
      <c r="M211" s="54"/>
      <c r="P211" s="44"/>
    </row>
    <row r="212">
      <c r="A212" s="54"/>
      <c r="B212" s="99"/>
      <c r="C212" s="99"/>
      <c r="D212" s="99"/>
      <c r="E212" s="99"/>
      <c r="F212" s="99"/>
      <c r="G212" s="99"/>
      <c r="H212" s="102"/>
      <c r="I212" s="102"/>
      <c r="J212" s="102"/>
      <c r="K212" s="102"/>
      <c r="L212" s="54"/>
      <c r="M212" s="54"/>
      <c r="P212" s="44"/>
    </row>
    <row r="213">
      <c r="A213" s="54"/>
      <c r="B213" s="99"/>
      <c r="C213" s="99"/>
      <c r="D213" s="99"/>
      <c r="E213" s="99"/>
      <c r="F213" s="99"/>
      <c r="G213" s="99"/>
      <c r="H213" s="102"/>
      <c r="I213" s="102"/>
      <c r="J213" s="102"/>
      <c r="K213" s="102"/>
      <c r="L213" s="54"/>
      <c r="M213" s="54"/>
      <c r="P213" s="44"/>
    </row>
    <row r="214">
      <c r="A214" s="54"/>
      <c r="B214" s="99"/>
      <c r="C214" s="99"/>
      <c r="D214" s="99"/>
      <c r="E214" s="99"/>
      <c r="F214" s="99"/>
      <c r="G214" s="99"/>
      <c r="H214" s="102"/>
      <c r="I214" s="102"/>
      <c r="J214" s="102"/>
      <c r="K214" s="102"/>
      <c r="L214" s="54"/>
      <c r="M214" s="54"/>
      <c r="P214" s="44"/>
    </row>
    <row r="215">
      <c r="A215" s="54"/>
      <c r="B215" s="99"/>
      <c r="C215" s="99"/>
      <c r="D215" s="99"/>
      <c r="E215" s="99"/>
      <c r="F215" s="99"/>
      <c r="G215" s="99"/>
      <c r="H215" s="102"/>
      <c r="I215" s="102"/>
      <c r="J215" s="102"/>
      <c r="K215" s="102"/>
      <c r="L215" s="54"/>
      <c r="M215" s="54"/>
      <c r="P215" s="44"/>
    </row>
    <row r="216">
      <c r="A216" s="54"/>
      <c r="B216" s="99"/>
      <c r="C216" s="99"/>
      <c r="D216" s="99"/>
      <c r="E216" s="99"/>
      <c r="F216" s="99"/>
      <c r="G216" s="99"/>
      <c r="H216" s="102"/>
      <c r="I216" s="102"/>
      <c r="J216" s="102"/>
      <c r="K216" s="102"/>
      <c r="L216" s="54"/>
      <c r="M216" s="54"/>
      <c r="P216" s="44"/>
    </row>
    <row r="217">
      <c r="A217" s="54"/>
      <c r="B217" s="99"/>
      <c r="C217" s="99"/>
      <c r="D217" s="99"/>
      <c r="E217" s="99"/>
      <c r="F217" s="99"/>
      <c r="G217" s="99"/>
      <c r="H217" s="102"/>
      <c r="I217" s="102"/>
      <c r="J217" s="102"/>
      <c r="K217" s="102"/>
      <c r="L217" s="54"/>
      <c r="M217" s="54"/>
      <c r="P217" s="44"/>
    </row>
    <row r="218">
      <c r="A218" s="54"/>
      <c r="B218" s="99"/>
      <c r="C218" s="99"/>
      <c r="D218" s="99"/>
      <c r="E218" s="99"/>
      <c r="F218" s="99"/>
      <c r="G218" s="99"/>
      <c r="H218" s="102"/>
      <c r="I218" s="102"/>
      <c r="J218" s="102"/>
      <c r="K218" s="102"/>
      <c r="L218" s="54"/>
      <c r="M218" s="54"/>
      <c r="P218" s="44"/>
    </row>
    <row r="219">
      <c r="A219" s="54"/>
      <c r="B219" s="99"/>
      <c r="C219" s="99"/>
      <c r="D219" s="99"/>
      <c r="E219" s="99"/>
      <c r="F219" s="99"/>
      <c r="G219" s="99"/>
      <c r="H219" s="102"/>
      <c r="I219" s="102"/>
      <c r="J219" s="102"/>
      <c r="K219" s="102"/>
      <c r="L219" s="54"/>
      <c r="M219" s="54"/>
      <c r="P219" s="44"/>
    </row>
    <row r="220">
      <c r="A220" s="54"/>
      <c r="B220" s="99"/>
      <c r="C220" s="99"/>
      <c r="D220" s="99"/>
      <c r="E220" s="99"/>
      <c r="F220" s="99"/>
      <c r="G220" s="99"/>
      <c r="H220" s="102"/>
      <c r="I220" s="102"/>
      <c r="J220" s="102"/>
      <c r="K220" s="102"/>
      <c r="L220" s="54"/>
      <c r="M220" s="54"/>
      <c r="P220" s="44"/>
    </row>
    <row r="221">
      <c r="A221" s="54"/>
      <c r="B221" s="99"/>
      <c r="C221" s="99"/>
      <c r="D221" s="99"/>
      <c r="E221" s="99"/>
      <c r="F221" s="99"/>
      <c r="G221" s="99"/>
      <c r="H221" s="102"/>
      <c r="I221" s="102"/>
      <c r="J221" s="102"/>
      <c r="K221" s="102"/>
      <c r="L221" s="54"/>
      <c r="M221" s="54"/>
      <c r="P221" s="44"/>
    </row>
    <row r="222">
      <c r="A222" s="54"/>
      <c r="B222" s="99"/>
      <c r="C222" s="99"/>
      <c r="D222" s="99"/>
      <c r="E222" s="99"/>
      <c r="F222" s="99"/>
      <c r="G222" s="99"/>
      <c r="H222" s="102"/>
      <c r="I222" s="102"/>
      <c r="J222" s="102"/>
      <c r="K222" s="102"/>
      <c r="L222" s="54"/>
      <c r="M222" s="54"/>
      <c r="P222" s="44"/>
    </row>
    <row r="223">
      <c r="A223" s="54"/>
      <c r="B223" s="99"/>
      <c r="C223" s="99"/>
      <c r="D223" s="99"/>
      <c r="E223" s="99"/>
      <c r="F223" s="99"/>
      <c r="G223" s="99"/>
      <c r="H223" s="102"/>
      <c r="I223" s="102"/>
      <c r="J223" s="102"/>
      <c r="K223" s="102"/>
      <c r="L223" s="54"/>
      <c r="M223" s="54"/>
      <c r="P223" s="44"/>
    </row>
    <row r="224">
      <c r="A224" s="54"/>
      <c r="B224" s="99"/>
      <c r="C224" s="99"/>
      <c r="D224" s="99"/>
      <c r="E224" s="99"/>
      <c r="F224" s="99"/>
      <c r="G224" s="99"/>
      <c r="H224" s="102"/>
      <c r="I224" s="102"/>
      <c r="J224" s="102"/>
      <c r="K224" s="102"/>
      <c r="L224" s="54"/>
      <c r="M224" s="54"/>
      <c r="P224" s="44"/>
    </row>
    <row r="225">
      <c r="A225" s="54"/>
      <c r="B225" s="99"/>
      <c r="C225" s="99"/>
      <c r="D225" s="99"/>
      <c r="E225" s="99"/>
      <c r="F225" s="99"/>
      <c r="G225" s="99"/>
      <c r="H225" s="102"/>
      <c r="I225" s="102"/>
      <c r="J225" s="102"/>
      <c r="K225" s="102"/>
      <c r="L225" s="54"/>
      <c r="M225" s="54"/>
      <c r="P225" s="44"/>
    </row>
    <row r="226">
      <c r="A226" s="54"/>
      <c r="B226" s="99"/>
      <c r="C226" s="99"/>
      <c r="D226" s="99"/>
      <c r="E226" s="99"/>
      <c r="F226" s="99"/>
      <c r="G226" s="99"/>
      <c r="H226" s="102"/>
      <c r="I226" s="102"/>
      <c r="J226" s="102"/>
      <c r="K226" s="102"/>
      <c r="L226" s="54"/>
      <c r="M226" s="54"/>
      <c r="P226" s="44"/>
    </row>
    <row r="227">
      <c r="A227" s="54"/>
      <c r="B227" s="99"/>
      <c r="C227" s="99"/>
      <c r="D227" s="99"/>
      <c r="E227" s="99"/>
      <c r="F227" s="99"/>
      <c r="G227" s="99"/>
      <c r="H227" s="102"/>
      <c r="I227" s="102"/>
      <c r="J227" s="102"/>
      <c r="K227" s="102"/>
      <c r="L227" s="54"/>
      <c r="M227" s="54"/>
      <c r="P227" s="44"/>
    </row>
    <row r="228">
      <c r="A228" s="54"/>
      <c r="B228" s="99"/>
      <c r="C228" s="99"/>
      <c r="D228" s="99"/>
      <c r="E228" s="99"/>
      <c r="F228" s="99"/>
      <c r="G228" s="99"/>
      <c r="H228" s="102"/>
      <c r="I228" s="102"/>
      <c r="J228" s="102"/>
      <c r="K228" s="102"/>
      <c r="L228" s="54"/>
      <c r="M228" s="54"/>
      <c r="P228" s="44"/>
    </row>
    <row r="229">
      <c r="A229" s="54"/>
      <c r="B229" s="99"/>
      <c r="C229" s="99"/>
      <c r="D229" s="99"/>
      <c r="E229" s="99"/>
      <c r="F229" s="99"/>
      <c r="G229" s="99"/>
      <c r="H229" s="102"/>
      <c r="I229" s="102"/>
      <c r="J229" s="102"/>
      <c r="K229" s="102"/>
      <c r="L229" s="54"/>
      <c r="M229" s="54"/>
      <c r="P229" s="44"/>
    </row>
    <row r="230">
      <c r="A230" s="54"/>
      <c r="B230" s="99"/>
      <c r="C230" s="99"/>
      <c r="D230" s="99"/>
      <c r="E230" s="99"/>
      <c r="F230" s="99"/>
      <c r="G230" s="99"/>
      <c r="H230" s="102"/>
      <c r="I230" s="102"/>
      <c r="J230" s="102"/>
      <c r="K230" s="102"/>
      <c r="L230" s="54"/>
      <c r="M230" s="54"/>
      <c r="P230" s="44"/>
    </row>
    <row r="231">
      <c r="A231" s="54"/>
      <c r="B231" s="99"/>
      <c r="C231" s="99"/>
      <c r="D231" s="99"/>
      <c r="E231" s="99"/>
      <c r="F231" s="99"/>
      <c r="G231" s="99"/>
      <c r="H231" s="102"/>
      <c r="I231" s="102"/>
      <c r="J231" s="102"/>
      <c r="K231" s="102"/>
      <c r="L231" s="54"/>
      <c r="M231" s="54"/>
      <c r="P231" s="44"/>
    </row>
    <row r="232">
      <c r="A232" s="54"/>
      <c r="B232" s="99"/>
      <c r="C232" s="99"/>
      <c r="D232" s="99"/>
      <c r="E232" s="99"/>
      <c r="F232" s="99"/>
      <c r="G232" s="99"/>
      <c r="H232" s="102"/>
      <c r="I232" s="102"/>
      <c r="J232" s="102"/>
      <c r="K232" s="102"/>
      <c r="L232" s="54"/>
      <c r="M232" s="54"/>
      <c r="P232" s="44"/>
    </row>
    <row r="233">
      <c r="A233" s="54"/>
      <c r="B233" s="99"/>
      <c r="C233" s="99"/>
      <c r="D233" s="99"/>
      <c r="E233" s="99"/>
      <c r="F233" s="99"/>
      <c r="G233" s="99"/>
      <c r="H233" s="102"/>
      <c r="I233" s="102"/>
      <c r="J233" s="102"/>
      <c r="K233" s="102"/>
      <c r="L233" s="54"/>
      <c r="M233" s="54"/>
      <c r="P233" s="44"/>
    </row>
    <row r="234">
      <c r="A234" s="54"/>
      <c r="B234" s="99"/>
      <c r="C234" s="99"/>
      <c r="D234" s="99"/>
      <c r="E234" s="99"/>
      <c r="F234" s="99"/>
      <c r="G234" s="99"/>
      <c r="H234" s="102"/>
      <c r="I234" s="102"/>
      <c r="J234" s="102"/>
      <c r="K234" s="102"/>
      <c r="L234" s="54"/>
      <c r="M234" s="54"/>
      <c r="P234" s="44"/>
    </row>
    <row r="235">
      <c r="A235" s="54"/>
      <c r="B235" s="99"/>
      <c r="C235" s="99"/>
      <c r="D235" s="99"/>
      <c r="E235" s="99"/>
      <c r="F235" s="99"/>
      <c r="G235" s="99"/>
      <c r="H235" s="102"/>
      <c r="I235" s="102"/>
      <c r="J235" s="102"/>
      <c r="K235" s="102"/>
      <c r="L235" s="54"/>
      <c r="M235" s="54"/>
      <c r="P235" s="44"/>
    </row>
    <row r="236">
      <c r="A236" s="54"/>
      <c r="B236" s="99"/>
      <c r="C236" s="99"/>
      <c r="D236" s="99"/>
      <c r="E236" s="99"/>
      <c r="F236" s="99"/>
      <c r="G236" s="99"/>
      <c r="H236" s="102"/>
      <c r="I236" s="102"/>
      <c r="J236" s="102"/>
      <c r="K236" s="102"/>
      <c r="L236" s="54"/>
      <c r="M236" s="54"/>
      <c r="P236" s="44"/>
    </row>
    <row r="237">
      <c r="A237" s="54"/>
      <c r="B237" s="99"/>
      <c r="C237" s="99"/>
      <c r="D237" s="99"/>
      <c r="E237" s="99"/>
      <c r="F237" s="99"/>
      <c r="G237" s="99"/>
      <c r="H237" s="102"/>
      <c r="I237" s="102"/>
      <c r="J237" s="102"/>
      <c r="K237" s="102"/>
      <c r="L237" s="54"/>
      <c r="M237" s="54"/>
      <c r="P237" s="44"/>
    </row>
    <row r="238">
      <c r="A238" s="54"/>
      <c r="B238" s="99"/>
      <c r="C238" s="99"/>
      <c r="D238" s="99"/>
      <c r="E238" s="99"/>
      <c r="F238" s="99"/>
      <c r="G238" s="99"/>
      <c r="H238" s="102"/>
      <c r="I238" s="102"/>
      <c r="J238" s="102"/>
      <c r="K238" s="102"/>
      <c r="L238" s="54"/>
      <c r="M238" s="54"/>
      <c r="P238" s="44"/>
    </row>
    <row r="239">
      <c r="A239" s="54"/>
      <c r="B239" s="99"/>
      <c r="C239" s="99"/>
      <c r="D239" s="99"/>
      <c r="E239" s="99"/>
      <c r="F239" s="99"/>
      <c r="G239" s="99"/>
      <c r="H239" s="102"/>
      <c r="I239" s="102"/>
      <c r="J239" s="102"/>
      <c r="K239" s="102"/>
      <c r="L239" s="54"/>
      <c r="M239" s="54"/>
      <c r="P239" s="44"/>
    </row>
    <row r="240">
      <c r="A240" s="54"/>
      <c r="B240" s="99"/>
      <c r="C240" s="99"/>
      <c r="D240" s="99"/>
      <c r="E240" s="99"/>
      <c r="F240" s="99"/>
      <c r="G240" s="99"/>
      <c r="H240" s="102"/>
      <c r="I240" s="102"/>
      <c r="J240" s="102"/>
      <c r="K240" s="102"/>
      <c r="L240" s="54"/>
      <c r="M240" s="54"/>
      <c r="P240" s="44"/>
    </row>
    <row r="241">
      <c r="A241" s="54"/>
      <c r="B241" s="99"/>
      <c r="C241" s="99"/>
      <c r="D241" s="99"/>
      <c r="E241" s="99"/>
      <c r="F241" s="99"/>
      <c r="G241" s="99"/>
      <c r="H241" s="102"/>
      <c r="I241" s="102"/>
      <c r="J241" s="102"/>
      <c r="K241" s="102"/>
      <c r="L241" s="54"/>
      <c r="M241" s="54"/>
      <c r="P241" s="44"/>
    </row>
    <row r="242">
      <c r="A242" s="54"/>
      <c r="B242" s="99"/>
      <c r="C242" s="99"/>
      <c r="D242" s="99"/>
      <c r="E242" s="99"/>
      <c r="F242" s="99"/>
      <c r="G242" s="99"/>
      <c r="H242" s="102"/>
      <c r="I242" s="102"/>
      <c r="J242" s="102"/>
      <c r="K242" s="102"/>
      <c r="L242" s="54"/>
      <c r="M242" s="54"/>
      <c r="P242" s="44"/>
    </row>
    <row r="243">
      <c r="A243" s="54"/>
      <c r="B243" s="99"/>
      <c r="C243" s="99"/>
      <c r="D243" s="99"/>
      <c r="E243" s="99"/>
      <c r="F243" s="99"/>
      <c r="G243" s="99"/>
      <c r="H243" s="102"/>
      <c r="I243" s="102"/>
      <c r="J243" s="102"/>
      <c r="K243" s="102"/>
      <c r="L243" s="54"/>
      <c r="M243" s="54"/>
      <c r="P243" s="44"/>
    </row>
    <row r="244">
      <c r="A244" s="54"/>
      <c r="B244" s="99"/>
      <c r="C244" s="99"/>
      <c r="D244" s="99"/>
      <c r="E244" s="99"/>
      <c r="F244" s="99"/>
      <c r="G244" s="99"/>
      <c r="H244" s="102"/>
      <c r="I244" s="102"/>
      <c r="J244" s="102"/>
      <c r="K244" s="102"/>
      <c r="L244" s="54"/>
      <c r="M244" s="54"/>
      <c r="P244" s="44"/>
    </row>
    <row r="245">
      <c r="A245" s="54"/>
      <c r="B245" s="114"/>
      <c r="C245" s="114"/>
      <c r="D245" s="114"/>
      <c r="E245" s="114"/>
      <c r="F245" s="114"/>
      <c r="G245" s="114"/>
      <c r="H245" s="54"/>
      <c r="I245" s="54"/>
      <c r="J245" s="54"/>
      <c r="K245" s="54"/>
      <c r="L245" s="54"/>
      <c r="M245" s="54"/>
      <c r="P245" s="44"/>
    </row>
    <row r="246">
      <c r="A246" s="54"/>
      <c r="B246" s="114"/>
      <c r="C246" s="114"/>
      <c r="D246" s="114"/>
      <c r="E246" s="114"/>
      <c r="F246" s="114"/>
      <c r="G246" s="114"/>
      <c r="H246" s="54"/>
      <c r="I246" s="54"/>
      <c r="J246" s="54"/>
      <c r="K246" s="54"/>
      <c r="L246" s="54"/>
      <c r="M246" s="54"/>
      <c r="P246" s="44"/>
    </row>
    <row r="247">
      <c r="A247" s="54"/>
      <c r="B247" s="114"/>
      <c r="C247" s="114"/>
      <c r="D247" s="114"/>
      <c r="E247" s="114"/>
      <c r="F247" s="114"/>
      <c r="G247" s="114"/>
      <c r="H247" s="54"/>
      <c r="I247" s="54"/>
      <c r="J247" s="54"/>
      <c r="K247" s="54"/>
      <c r="L247" s="54"/>
      <c r="M247" s="54"/>
      <c r="P247" s="44"/>
    </row>
    <row r="248">
      <c r="A248" s="54"/>
      <c r="B248" s="114"/>
      <c r="C248" s="114"/>
      <c r="D248" s="114"/>
      <c r="E248" s="114"/>
      <c r="F248" s="114"/>
      <c r="G248" s="114"/>
      <c r="H248" s="54"/>
      <c r="I248" s="54"/>
      <c r="J248" s="54"/>
      <c r="K248" s="54"/>
      <c r="L248" s="54"/>
      <c r="M248" s="54"/>
      <c r="P248" s="44"/>
    </row>
    <row r="249">
      <c r="A249" s="54"/>
      <c r="B249" s="114"/>
      <c r="C249" s="114"/>
      <c r="D249" s="114"/>
      <c r="E249" s="114"/>
      <c r="F249" s="114"/>
      <c r="G249" s="114"/>
      <c r="H249" s="54"/>
      <c r="I249" s="54"/>
      <c r="J249" s="54"/>
      <c r="K249" s="54"/>
      <c r="L249" s="54"/>
      <c r="M249" s="54"/>
      <c r="P249" s="44"/>
    </row>
    <row r="250">
      <c r="A250" s="54"/>
      <c r="B250" s="114"/>
      <c r="C250" s="114"/>
      <c r="D250" s="114"/>
      <c r="E250" s="114"/>
      <c r="F250" s="114"/>
      <c r="G250" s="114"/>
      <c r="H250" s="54"/>
      <c r="I250" s="54"/>
      <c r="J250" s="54"/>
      <c r="K250" s="54"/>
      <c r="L250" s="54"/>
      <c r="M250" s="54"/>
      <c r="P250" s="44"/>
    </row>
    <row r="251">
      <c r="A251" s="54"/>
      <c r="B251" s="114"/>
      <c r="C251" s="114"/>
      <c r="D251" s="114"/>
      <c r="E251" s="114"/>
      <c r="F251" s="114"/>
      <c r="G251" s="114"/>
      <c r="H251" s="54"/>
      <c r="I251" s="54"/>
      <c r="J251" s="54"/>
      <c r="K251" s="54"/>
      <c r="L251" s="54"/>
      <c r="M251" s="54"/>
      <c r="P251" s="44"/>
    </row>
    <row r="252">
      <c r="A252" s="54"/>
      <c r="B252" s="114"/>
      <c r="C252" s="114"/>
      <c r="D252" s="114"/>
      <c r="E252" s="114"/>
      <c r="F252" s="114"/>
      <c r="G252" s="114"/>
      <c r="H252" s="54"/>
      <c r="I252" s="54"/>
      <c r="J252" s="54"/>
      <c r="K252" s="54"/>
      <c r="L252" s="54"/>
      <c r="M252" s="54"/>
      <c r="P252" s="44"/>
    </row>
    <row r="253">
      <c r="A253" s="54"/>
      <c r="B253" s="114"/>
      <c r="C253" s="114"/>
      <c r="D253" s="114"/>
      <c r="E253" s="114"/>
      <c r="F253" s="114"/>
      <c r="G253" s="114"/>
      <c r="H253" s="54"/>
      <c r="I253" s="54"/>
      <c r="J253" s="54"/>
      <c r="K253" s="54"/>
      <c r="L253" s="54"/>
      <c r="M253" s="54"/>
      <c r="P253" s="44"/>
    </row>
    <row r="254">
      <c r="A254" s="54"/>
      <c r="B254" s="114"/>
      <c r="C254" s="114"/>
      <c r="D254" s="114"/>
      <c r="E254" s="114"/>
      <c r="F254" s="114"/>
      <c r="G254" s="114"/>
      <c r="H254" s="54"/>
      <c r="I254" s="54"/>
      <c r="J254" s="54"/>
      <c r="K254" s="54"/>
      <c r="L254" s="54"/>
      <c r="M254" s="54"/>
      <c r="P254" s="44"/>
    </row>
    <row r="255">
      <c r="A255" s="54"/>
      <c r="B255" s="114"/>
      <c r="C255" s="114"/>
      <c r="D255" s="114"/>
      <c r="E255" s="114"/>
      <c r="F255" s="114"/>
      <c r="G255" s="114"/>
      <c r="H255" s="54"/>
      <c r="I255" s="54"/>
      <c r="J255" s="54"/>
      <c r="K255" s="54"/>
      <c r="L255" s="54"/>
      <c r="M255" s="54"/>
      <c r="P255" s="44"/>
    </row>
    <row r="256">
      <c r="A256" s="54"/>
      <c r="B256" s="114"/>
      <c r="C256" s="114"/>
      <c r="D256" s="114"/>
      <c r="E256" s="114"/>
      <c r="F256" s="114"/>
      <c r="G256" s="114"/>
      <c r="H256" s="54"/>
      <c r="I256" s="54"/>
      <c r="J256" s="54"/>
      <c r="K256" s="54"/>
      <c r="L256" s="54"/>
      <c r="M256" s="54"/>
      <c r="P256" s="44"/>
    </row>
    <row r="257">
      <c r="A257" s="54"/>
      <c r="B257" s="114"/>
      <c r="C257" s="114"/>
      <c r="D257" s="114"/>
      <c r="E257" s="114"/>
      <c r="F257" s="114"/>
      <c r="G257" s="114"/>
      <c r="H257" s="54"/>
      <c r="I257" s="54"/>
      <c r="J257" s="54"/>
      <c r="K257" s="54"/>
      <c r="L257" s="54"/>
      <c r="M257" s="54"/>
      <c r="P257" s="44"/>
    </row>
    <row r="258">
      <c r="A258" s="54"/>
      <c r="B258" s="114"/>
      <c r="C258" s="114"/>
      <c r="D258" s="114"/>
      <c r="E258" s="114"/>
      <c r="F258" s="114"/>
      <c r="G258" s="114"/>
      <c r="H258" s="54"/>
      <c r="I258" s="54"/>
      <c r="J258" s="54"/>
      <c r="K258" s="54"/>
      <c r="L258" s="54"/>
      <c r="M258" s="54"/>
      <c r="P258" s="44"/>
    </row>
    <row r="259">
      <c r="A259" s="54"/>
      <c r="B259" s="114"/>
      <c r="C259" s="114"/>
      <c r="D259" s="114"/>
      <c r="E259" s="114"/>
      <c r="F259" s="114"/>
      <c r="G259" s="114"/>
      <c r="H259" s="54"/>
      <c r="I259" s="54"/>
      <c r="J259" s="54"/>
      <c r="K259" s="54"/>
      <c r="L259" s="54"/>
      <c r="M259" s="54"/>
      <c r="P259" s="44"/>
    </row>
    <row r="260">
      <c r="A260" s="54"/>
      <c r="B260" s="114"/>
      <c r="C260" s="114"/>
      <c r="D260" s="114"/>
      <c r="E260" s="114"/>
      <c r="F260" s="114"/>
      <c r="G260" s="114"/>
      <c r="H260" s="54"/>
      <c r="I260" s="54"/>
      <c r="J260" s="54"/>
      <c r="K260" s="54"/>
      <c r="L260" s="54"/>
      <c r="M260" s="54"/>
      <c r="P260" s="44"/>
    </row>
    <row r="261">
      <c r="A261" s="54"/>
      <c r="B261" s="114"/>
      <c r="C261" s="114"/>
      <c r="D261" s="114"/>
      <c r="E261" s="114"/>
      <c r="F261" s="114"/>
      <c r="G261" s="114"/>
      <c r="H261" s="54"/>
      <c r="I261" s="54"/>
      <c r="J261" s="54"/>
      <c r="K261" s="54"/>
      <c r="L261" s="54"/>
      <c r="M261" s="54"/>
      <c r="P261" s="44"/>
    </row>
    <row r="262">
      <c r="A262" s="54"/>
      <c r="B262" s="114"/>
      <c r="C262" s="114"/>
      <c r="D262" s="114"/>
      <c r="E262" s="114"/>
      <c r="F262" s="114"/>
      <c r="G262" s="114"/>
      <c r="H262" s="54"/>
      <c r="I262" s="54"/>
      <c r="J262" s="54"/>
      <c r="K262" s="54"/>
      <c r="L262" s="54"/>
      <c r="M262" s="54"/>
      <c r="P262" s="44"/>
    </row>
    <row r="263">
      <c r="A263" s="54"/>
      <c r="B263" s="114"/>
      <c r="C263" s="114"/>
      <c r="D263" s="114"/>
      <c r="E263" s="114"/>
      <c r="F263" s="114"/>
      <c r="G263" s="114"/>
      <c r="H263" s="54"/>
      <c r="I263" s="54"/>
      <c r="J263" s="54"/>
      <c r="K263" s="54"/>
      <c r="L263" s="54"/>
      <c r="M263" s="54"/>
      <c r="P263" s="44"/>
    </row>
    <row r="264">
      <c r="A264" s="54"/>
      <c r="B264" s="114"/>
      <c r="C264" s="114"/>
      <c r="D264" s="114"/>
      <c r="E264" s="114"/>
      <c r="F264" s="114"/>
      <c r="G264" s="114"/>
      <c r="H264" s="54"/>
      <c r="I264" s="54"/>
      <c r="J264" s="54"/>
      <c r="K264" s="54"/>
      <c r="L264" s="54"/>
      <c r="M264" s="54"/>
      <c r="P264" s="44"/>
    </row>
    <row r="265">
      <c r="A265" s="54"/>
      <c r="B265" s="114"/>
      <c r="C265" s="114"/>
      <c r="D265" s="114"/>
      <c r="E265" s="114"/>
      <c r="F265" s="114"/>
      <c r="G265" s="114"/>
      <c r="H265" s="54"/>
      <c r="I265" s="54"/>
      <c r="J265" s="54"/>
      <c r="K265" s="54"/>
      <c r="L265" s="54"/>
      <c r="M265" s="54"/>
      <c r="P265" s="44"/>
    </row>
    <row r="266">
      <c r="A266" s="54"/>
      <c r="B266" s="114"/>
      <c r="C266" s="114"/>
      <c r="D266" s="114"/>
      <c r="E266" s="114"/>
      <c r="F266" s="114"/>
      <c r="G266" s="114"/>
      <c r="H266" s="54"/>
      <c r="I266" s="54"/>
      <c r="J266" s="54"/>
      <c r="K266" s="54"/>
      <c r="L266" s="54"/>
      <c r="M266" s="54"/>
      <c r="P266" s="44"/>
    </row>
    <row r="267">
      <c r="A267" s="54"/>
      <c r="B267" s="114"/>
      <c r="C267" s="114"/>
      <c r="D267" s="114"/>
      <c r="E267" s="114"/>
      <c r="F267" s="114"/>
      <c r="G267" s="114"/>
      <c r="H267" s="54"/>
      <c r="I267" s="54"/>
      <c r="J267" s="54"/>
      <c r="K267" s="54"/>
      <c r="L267" s="54"/>
      <c r="M267" s="54"/>
      <c r="P267" s="44"/>
    </row>
    <row r="268">
      <c r="A268" s="54"/>
      <c r="B268" s="114"/>
      <c r="C268" s="114"/>
      <c r="D268" s="114"/>
      <c r="E268" s="114"/>
      <c r="F268" s="114"/>
      <c r="G268" s="114"/>
      <c r="H268" s="54"/>
      <c r="I268" s="54"/>
      <c r="J268" s="54"/>
      <c r="K268" s="54"/>
      <c r="L268" s="54"/>
      <c r="M268" s="54"/>
      <c r="P268" s="44"/>
    </row>
    <row r="269">
      <c r="A269" s="54"/>
      <c r="B269" s="114"/>
      <c r="C269" s="114"/>
      <c r="D269" s="114"/>
      <c r="E269" s="114"/>
      <c r="F269" s="114"/>
      <c r="G269" s="114"/>
      <c r="H269" s="54"/>
      <c r="I269" s="54"/>
      <c r="J269" s="54"/>
      <c r="K269" s="54"/>
      <c r="L269" s="54"/>
      <c r="M269" s="54"/>
      <c r="P269" s="44"/>
    </row>
    <row r="270">
      <c r="A270" s="54"/>
      <c r="B270" s="114"/>
      <c r="C270" s="114"/>
      <c r="D270" s="114"/>
      <c r="E270" s="114"/>
      <c r="F270" s="114"/>
      <c r="G270" s="114"/>
      <c r="H270" s="54"/>
      <c r="I270" s="54"/>
      <c r="J270" s="54"/>
      <c r="K270" s="54"/>
      <c r="L270" s="54"/>
      <c r="M270" s="54"/>
      <c r="P270" s="44"/>
    </row>
    <row r="271">
      <c r="A271" s="54"/>
      <c r="B271" s="114"/>
      <c r="C271" s="114"/>
      <c r="D271" s="114"/>
      <c r="E271" s="114"/>
      <c r="F271" s="114"/>
      <c r="G271" s="114"/>
      <c r="H271" s="54"/>
      <c r="I271" s="54"/>
      <c r="J271" s="54"/>
      <c r="K271" s="54"/>
      <c r="L271" s="54"/>
      <c r="M271" s="54"/>
      <c r="P271" s="44"/>
    </row>
    <row r="272">
      <c r="A272" s="54"/>
      <c r="B272" s="114"/>
      <c r="C272" s="114"/>
      <c r="D272" s="114"/>
      <c r="E272" s="114"/>
      <c r="F272" s="114"/>
      <c r="G272" s="114"/>
      <c r="H272" s="54"/>
      <c r="I272" s="54"/>
      <c r="J272" s="54"/>
      <c r="K272" s="54"/>
      <c r="L272" s="54"/>
      <c r="M272" s="54"/>
      <c r="P272" s="44"/>
    </row>
    <row r="273">
      <c r="A273" s="54"/>
      <c r="B273" s="114"/>
      <c r="C273" s="114"/>
      <c r="D273" s="114"/>
      <c r="E273" s="114"/>
      <c r="F273" s="114"/>
      <c r="G273" s="114"/>
      <c r="H273" s="54"/>
      <c r="I273" s="54"/>
      <c r="J273" s="54"/>
      <c r="K273" s="54"/>
      <c r="L273" s="54"/>
      <c r="M273" s="54"/>
      <c r="P273" s="44"/>
    </row>
    <row r="274">
      <c r="A274" s="54"/>
      <c r="B274" s="114"/>
      <c r="C274" s="114"/>
      <c r="D274" s="114"/>
      <c r="E274" s="114"/>
      <c r="F274" s="114"/>
      <c r="G274" s="114"/>
      <c r="H274" s="54"/>
      <c r="I274" s="54"/>
      <c r="J274" s="54"/>
      <c r="K274" s="54"/>
      <c r="L274" s="54"/>
      <c r="M274" s="54"/>
      <c r="P274" s="44"/>
    </row>
    <row r="275">
      <c r="A275" s="54"/>
      <c r="B275" s="114"/>
      <c r="C275" s="114"/>
      <c r="D275" s="114"/>
      <c r="E275" s="114"/>
      <c r="F275" s="114"/>
      <c r="G275" s="114"/>
      <c r="H275" s="54"/>
      <c r="I275" s="54"/>
      <c r="J275" s="54"/>
      <c r="K275" s="54"/>
      <c r="L275" s="54"/>
      <c r="M275" s="54"/>
      <c r="P275" s="44"/>
    </row>
    <row r="276">
      <c r="A276" s="54"/>
      <c r="B276" s="114"/>
      <c r="C276" s="114"/>
      <c r="D276" s="114"/>
      <c r="E276" s="114"/>
      <c r="F276" s="114"/>
      <c r="G276" s="114"/>
      <c r="H276" s="54"/>
      <c r="I276" s="54"/>
      <c r="J276" s="54"/>
      <c r="K276" s="54"/>
      <c r="L276" s="54"/>
      <c r="M276" s="54"/>
      <c r="P276" s="44"/>
    </row>
    <row r="277">
      <c r="A277" s="54"/>
      <c r="B277" s="114"/>
      <c r="C277" s="114"/>
      <c r="D277" s="114"/>
      <c r="E277" s="114"/>
      <c r="F277" s="114"/>
      <c r="G277" s="114"/>
      <c r="H277" s="54"/>
      <c r="I277" s="54"/>
      <c r="J277" s="54"/>
      <c r="K277" s="54"/>
      <c r="L277" s="54"/>
      <c r="M277" s="54"/>
      <c r="P277" s="44"/>
    </row>
    <row r="278">
      <c r="A278" s="54"/>
      <c r="B278" s="114"/>
      <c r="C278" s="114"/>
      <c r="D278" s="114"/>
      <c r="E278" s="114"/>
      <c r="F278" s="114"/>
      <c r="G278" s="114"/>
      <c r="H278" s="54"/>
      <c r="I278" s="54"/>
      <c r="J278" s="54"/>
      <c r="K278" s="54"/>
      <c r="L278" s="54"/>
      <c r="M278" s="54"/>
      <c r="P278" s="44"/>
    </row>
    <row r="279">
      <c r="A279" s="54"/>
      <c r="B279" s="114"/>
      <c r="C279" s="114"/>
      <c r="D279" s="114"/>
      <c r="E279" s="114"/>
      <c r="F279" s="114"/>
      <c r="G279" s="114"/>
      <c r="H279" s="54"/>
      <c r="I279" s="54"/>
      <c r="J279" s="54"/>
      <c r="K279" s="54"/>
      <c r="L279" s="54"/>
      <c r="M279" s="54"/>
      <c r="P279" s="44"/>
    </row>
    <row r="280">
      <c r="A280" s="54"/>
      <c r="B280" s="114"/>
      <c r="C280" s="114"/>
      <c r="D280" s="114"/>
      <c r="E280" s="114"/>
      <c r="F280" s="114"/>
      <c r="G280" s="114"/>
      <c r="H280" s="54"/>
      <c r="I280" s="54"/>
      <c r="J280" s="54"/>
      <c r="K280" s="54"/>
      <c r="L280" s="54"/>
      <c r="M280" s="54"/>
      <c r="P280" s="44"/>
    </row>
    <row r="281">
      <c r="A281" s="54"/>
      <c r="B281" s="114"/>
      <c r="C281" s="114"/>
      <c r="D281" s="114"/>
      <c r="E281" s="114"/>
      <c r="F281" s="114"/>
      <c r="G281" s="114"/>
      <c r="H281" s="54"/>
      <c r="I281" s="54"/>
      <c r="J281" s="54"/>
      <c r="K281" s="54"/>
      <c r="L281" s="54"/>
      <c r="M281" s="54"/>
      <c r="P281" s="44"/>
    </row>
    <row r="282">
      <c r="A282" s="54"/>
      <c r="B282" s="114"/>
      <c r="C282" s="114"/>
      <c r="D282" s="114"/>
      <c r="E282" s="114"/>
      <c r="F282" s="114"/>
      <c r="G282" s="114"/>
      <c r="H282" s="54"/>
      <c r="I282" s="54"/>
      <c r="J282" s="54"/>
      <c r="K282" s="54"/>
      <c r="L282" s="54"/>
      <c r="M282" s="54"/>
      <c r="P282" s="44"/>
    </row>
    <row r="283">
      <c r="A283" s="54"/>
      <c r="B283" s="114"/>
      <c r="C283" s="114"/>
      <c r="D283" s="114"/>
      <c r="E283" s="114"/>
      <c r="F283" s="114"/>
      <c r="G283" s="114"/>
      <c r="H283" s="54"/>
      <c r="I283" s="54"/>
      <c r="J283" s="54"/>
      <c r="K283" s="54"/>
      <c r="L283" s="54"/>
      <c r="M283" s="54"/>
      <c r="P283" s="44"/>
    </row>
    <row r="284">
      <c r="A284" s="54"/>
      <c r="B284" s="54"/>
      <c r="C284" s="86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P284" s="44"/>
    </row>
    <row r="285">
      <c r="A285" s="54"/>
      <c r="B285" s="54"/>
      <c r="C285" s="86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P285" s="44"/>
    </row>
    <row r="286">
      <c r="A286" s="54"/>
      <c r="B286" s="54"/>
      <c r="C286" s="86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P286" s="44"/>
    </row>
    <row r="287">
      <c r="A287" s="54"/>
      <c r="B287" s="54"/>
      <c r="C287" s="86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P287" s="44"/>
    </row>
    <row r="288">
      <c r="A288" s="54"/>
      <c r="B288" s="54"/>
      <c r="C288" s="86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P288" s="44"/>
    </row>
    <row r="289">
      <c r="A289" s="54"/>
      <c r="B289" s="54"/>
      <c r="C289" s="86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P289" s="44"/>
    </row>
    <row r="290">
      <c r="A290" s="54"/>
      <c r="B290" s="54"/>
      <c r="C290" s="86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P290" s="44"/>
    </row>
    <row r="291">
      <c r="A291" s="54"/>
      <c r="B291" s="54"/>
      <c r="C291" s="86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P291" s="44"/>
    </row>
    <row r="292">
      <c r="A292" s="54"/>
      <c r="B292" s="54"/>
      <c r="C292" s="86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P292" s="44"/>
    </row>
    <row r="293">
      <c r="A293" s="54"/>
      <c r="B293" s="54"/>
      <c r="C293" s="86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P293" s="44"/>
    </row>
    <row r="294">
      <c r="A294" s="54"/>
      <c r="B294" s="54"/>
      <c r="C294" s="86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P294" s="44"/>
    </row>
    <row r="295">
      <c r="A295" s="54"/>
      <c r="B295" s="54"/>
      <c r="C295" s="86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P295" s="44"/>
    </row>
    <row r="296">
      <c r="A296" s="54"/>
      <c r="B296" s="54"/>
      <c r="C296" s="86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P296" s="44"/>
    </row>
    <row r="297">
      <c r="A297" s="54"/>
      <c r="B297" s="54"/>
      <c r="C297" s="86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P297" s="44"/>
    </row>
    <row r="298">
      <c r="A298" s="54"/>
      <c r="B298" s="54"/>
      <c r="C298" s="86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P298" s="44"/>
    </row>
    <row r="299">
      <c r="A299" s="54"/>
      <c r="B299" s="54"/>
      <c r="C299" s="86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P299" s="44"/>
    </row>
    <row r="300">
      <c r="A300" s="54"/>
      <c r="B300" s="54"/>
      <c r="C300" s="86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P300" s="44"/>
    </row>
    <row r="301">
      <c r="A301" s="54"/>
      <c r="B301" s="54"/>
      <c r="C301" s="86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P301" s="44"/>
    </row>
    <row r="302">
      <c r="A302" s="54"/>
      <c r="B302" s="54"/>
      <c r="C302" s="86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P302" s="44"/>
    </row>
    <row r="303">
      <c r="A303" s="54"/>
      <c r="B303" s="54"/>
      <c r="C303" s="86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P303" s="44"/>
    </row>
    <row r="304">
      <c r="A304" s="54"/>
      <c r="B304" s="54"/>
      <c r="C304" s="86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P304" s="44"/>
    </row>
    <row r="305">
      <c r="A305" s="54"/>
      <c r="B305" s="54"/>
      <c r="C305" s="86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P305" s="44"/>
    </row>
    <row r="306">
      <c r="A306" s="54"/>
      <c r="B306" s="54"/>
      <c r="C306" s="86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P306" s="44"/>
    </row>
    <row r="307">
      <c r="A307" s="54"/>
      <c r="B307" s="54"/>
      <c r="C307" s="86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P307" s="44"/>
    </row>
    <row r="308">
      <c r="A308" s="54"/>
      <c r="B308" s="54"/>
      <c r="C308" s="86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P308" s="44"/>
    </row>
    <row r="309">
      <c r="A309" s="54"/>
      <c r="B309" s="54"/>
      <c r="C309" s="86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P309" s="44"/>
    </row>
    <row r="310">
      <c r="A310" s="54"/>
      <c r="B310" s="54"/>
      <c r="C310" s="86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P310" s="44"/>
    </row>
    <row r="311">
      <c r="A311" s="54"/>
      <c r="B311" s="54"/>
      <c r="C311" s="86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P311" s="44"/>
    </row>
    <row r="312">
      <c r="A312" s="54"/>
      <c r="B312" s="54"/>
      <c r="C312" s="86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P312" s="44"/>
    </row>
    <row r="313">
      <c r="A313" s="54"/>
      <c r="B313" s="54"/>
      <c r="C313" s="86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P313" s="44"/>
    </row>
    <row r="314">
      <c r="A314" s="54"/>
      <c r="B314" s="54"/>
      <c r="C314" s="86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P314" s="44"/>
    </row>
    <row r="315">
      <c r="A315" s="54"/>
      <c r="B315" s="54"/>
      <c r="C315" s="86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P315" s="44"/>
    </row>
    <row r="316">
      <c r="A316" s="54"/>
      <c r="B316" s="54"/>
      <c r="C316" s="86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P316" s="44"/>
    </row>
    <row r="317">
      <c r="A317" s="54"/>
      <c r="B317" s="54"/>
      <c r="C317" s="86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P317" s="44"/>
    </row>
    <row r="318">
      <c r="A318" s="54"/>
      <c r="B318" s="54"/>
      <c r="C318" s="86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P318" s="44"/>
    </row>
    <row r="319">
      <c r="A319" s="54"/>
      <c r="B319" s="54"/>
      <c r="C319" s="86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P319" s="44"/>
    </row>
    <row r="320">
      <c r="A320" s="54"/>
      <c r="B320" s="54"/>
      <c r="C320" s="86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P320" s="44"/>
    </row>
    <row r="321">
      <c r="A321" s="54"/>
      <c r="B321" s="54"/>
      <c r="C321" s="86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P321" s="44"/>
    </row>
    <row r="322">
      <c r="A322" s="54"/>
      <c r="B322" s="54"/>
      <c r="C322" s="86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P322" s="44"/>
    </row>
    <row r="323">
      <c r="A323" s="54"/>
      <c r="B323" s="54"/>
      <c r="C323" s="86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P323" s="44"/>
    </row>
    <row r="324">
      <c r="A324" s="54"/>
      <c r="B324" s="54"/>
      <c r="C324" s="86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P324" s="44"/>
    </row>
    <row r="325">
      <c r="A325" s="54"/>
      <c r="B325" s="54"/>
      <c r="C325" s="86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P325" s="44"/>
    </row>
    <row r="326">
      <c r="A326" s="54"/>
      <c r="B326" s="54"/>
      <c r="C326" s="86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P326" s="44"/>
    </row>
    <row r="327">
      <c r="A327" s="54"/>
      <c r="B327" s="54"/>
      <c r="C327" s="86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P327" s="44"/>
    </row>
    <row r="328">
      <c r="A328" s="54"/>
      <c r="B328" s="54"/>
      <c r="C328" s="86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P328" s="44"/>
    </row>
    <row r="329">
      <c r="A329" s="54"/>
      <c r="B329" s="54"/>
      <c r="C329" s="86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P329" s="44"/>
    </row>
    <row r="330">
      <c r="A330" s="54"/>
      <c r="B330" s="54"/>
      <c r="C330" s="86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P330" s="44"/>
    </row>
    <row r="331">
      <c r="A331" s="54"/>
      <c r="B331" s="54"/>
      <c r="C331" s="86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P331" s="44"/>
    </row>
    <row r="332">
      <c r="A332" s="54"/>
      <c r="B332" s="54"/>
      <c r="C332" s="86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P332" s="44"/>
    </row>
    <row r="333">
      <c r="A333" s="54"/>
      <c r="B333" s="54"/>
      <c r="C333" s="86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P333" s="44"/>
    </row>
    <row r="334">
      <c r="A334" s="54"/>
      <c r="B334" s="54"/>
      <c r="C334" s="86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P334" s="44"/>
    </row>
    <row r="335">
      <c r="A335" s="54"/>
      <c r="B335" s="54"/>
      <c r="C335" s="86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P335" s="44"/>
    </row>
    <row r="336">
      <c r="A336" s="54"/>
      <c r="B336" s="54"/>
      <c r="C336" s="86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P336" s="44"/>
    </row>
    <row r="337">
      <c r="A337" s="54"/>
      <c r="B337" s="54"/>
      <c r="C337" s="86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P337" s="44"/>
    </row>
    <row r="338">
      <c r="A338" s="54"/>
      <c r="B338" s="54"/>
      <c r="C338" s="86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P338" s="44"/>
    </row>
    <row r="339">
      <c r="A339" s="54"/>
      <c r="B339" s="54"/>
      <c r="C339" s="86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P339" s="44"/>
    </row>
    <row r="340">
      <c r="A340" s="54"/>
      <c r="B340" s="54"/>
      <c r="C340" s="86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P340" s="44"/>
    </row>
    <row r="341">
      <c r="A341" s="54"/>
      <c r="B341" s="54"/>
      <c r="C341" s="86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P341" s="44"/>
    </row>
    <row r="342">
      <c r="A342" s="54"/>
      <c r="B342" s="54"/>
      <c r="C342" s="86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P342" s="44"/>
    </row>
    <row r="343">
      <c r="A343" s="54"/>
      <c r="B343" s="54"/>
      <c r="C343" s="86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P343" s="44"/>
    </row>
    <row r="344">
      <c r="A344" s="54"/>
      <c r="B344" s="54"/>
      <c r="C344" s="86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P344" s="44"/>
    </row>
    <row r="345">
      <c r="A345" s="54"/>
      <c r="B345" s="54"/>
      <c r="C345" s="86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P345" s="44"/>
    </row>
    <row r="346">
      <c r="A346" s="54"/>
      <c r="B346" s="54"/>
      <c r="C346" s="86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P346" s="44"/>
    </row>
    <row r="347">
      <c r="A347" s="54"/>
      <c r="B347" s="54"/>
      <c r="C347" s="86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P347" s="44"/>
    </row>
    <row r="348">
      <c r="A348" s="54"/>
      <c r="B348" s="54"/>
      <c r="C348" s="86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P348" s="44"/>
    </row>
    <row r="349">
      <c r="A349" s="54"/>
      <c r="B349" s="54"/>
      <c r="C349" s="86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P349" s="44"/>
    </row>
    <row r="350">
      <c r="A350" s="54"/>
      <c r="B350" s="54"/>
      <c r="C350" s="86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P350" s="44"/>
    </row>
    <row r="351">
      <c r="A351" s="54"/>
      <c r="B351" s="54"/>
      <c r="C351" s="86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P351" s="44"/>
    </row>
    <row r="352">
      <c r="A352" s="54"/>
      <c r="B352" s="54"/>
      <c r="C352" s="86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P352" s="44"/>
    </row>
    <row r="353">
      <c r="A353" s="54"/>
      <c r="B353" s="54"/>
      <c r="C353" s="86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P353" s="44"/>
    </row>
    <row r="354">
      <c r="A354" s="54"/>
      <c r="B354" s="54"/>
      <c r="C354" s="86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P354" s="44"/>
    </row>
    <row r="355">
      <c r="A355" s="54"/>
      <c r="B355" s="54"/>
      <c r="C355" s="86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P355" s="44"/>
    </row>
    <row r="356">
      <c r="A356" s="54"/>
      <c r="B356" s="54"/>
      <c r="C356" s="86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P356" s="44"/>
    </row>
    <row r="357">
      <c r="A357" s="54"/>
      <c r="B357" s="54"/>
      <c r="C357" s="86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P357" s="44"/>
    </row>
    <row r="358">
      <c r="A358" s="54"/>
      <c r="B358" s="54"/>
      <c r="C358" s="86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P358" s="44"/>
    </row>
    <row r="359">
      <c r="A359" s="54"/>
      <c r="B359" s="54"/>
      <c r="C359" s="86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P359" s="44"/>
    </row>
    <row r="360">
      <c r="A360" s="54"/>
      <c r="B360" s="54"/>
      <c r="C360" s="86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P360" s="44"/>
    </row>
    <row r="361">
      <c r="A361" s="54"/>
      <c r="B361" s="54"/>
      <c r="C361" s="86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P361" s="44"/>
    </row>
    <row r="362">
      <c r="A362" s="54"/>
      <c r="B362" s="54"/>
      <c r="C362" s="86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P362" s="44"/>
    </row>
    <row r="363">
      <c r="A363" s="54"/>
      <c r="B363" s="54"/>
      <c r="C363" s="86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P363" s="44"/>
    </row>
    <row r="364">
      <c r="A364" s="54"/>
      <c r="B364" s="54"/>
      <c r="C364" s="86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P364" s="44"/>
    </row>
    <row r="365">
      <c r="A365" s="54"/>
      <c r="B365" s="54"/>
      <c r="C365" s="86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P365" s="44"/>
    </row>
    <row r="366">
      <c r="A366" s="54"/>
      <c r="B366" s="54"/>
      <c r="C366" s="86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P366" s="44"/>
    </row>
    <row r="367">
      <c r="A367" s="54"/>
      <c r="B367" s="54"/>
      <c r="C367" s="86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P367" s="44"/>
    </row>
    <row r="368">
      <c r="A368" s="54"/>
      <c r="B368" s="54"/>
      <c r="C368" s="86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P368" s="44"/>
    </row>
    <row r="369">
      <c r="A369" s="54"/>
      <c r="B369" s="54"/>
      <c r="C369" s="86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P369" s="44"/>
    </row>
    <row r="370">
      <c r="A370" s="54"/>
      <c r="B370" s="54"/>
      <c r="C370" s="86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P370" s="44"/>
    </row>
    <row r="371">
      <c r="A371" s="54"/>
      <c r="B371" s="54"/>
      <c r="C371" s="86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P371" s="44"/>
    </row>
    <row r="372">
      <c r="A372" s="54"/>
      <c r="B372" s="54"/>
      <c r="C372" s="86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P372" s="44"/>
    </row>
    <row r="373">
      <c r="A373" s="54"/>
      <c r="B373" s="54"/>
      <c r="C373" s="86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P373" s="44"/>
    </row>
    <row r="374">
      <c r="A374" s="54"/>
      <c r="B374" s="54"/>
      <c r="C374" s="86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P374" s="44"/>
    </row>
    <row r="375">
      <c r="A375" s="54"/>
      <c r="B375" s="54"/>
      <c r="C375" s="86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P375" s="44"/>
    </row>
    <row r="376">
      <c r="A376" s="54"/>
      <c r="B376" s="54"/>
      <c r="C376" s="86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P376" s="44"/>
    </row>
    <row r="377">
      <c r="A377" s="54"/>
      <c r="B377" s="54"/>
      <c r="C377" s="86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P377" s="44"/>
    </row>
    <row r="378">
      <c r="A378" s="54"/>
      <c r="B378" s="54"/>
      <c r="C378" s="86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P378" s="44"/>
    </row>
    <row r="379">
      <c r="A379" s="54"/>
      <c r="B379" s="54"/>
      <c r="C379" s="86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P379" s="44"/>
    </row>
    <row r="380">
      <c r="A380" s="54"/>
      <c r="B380" s="54"/>
      <c r="C380" s="86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P380" s="44"/>
    </row>
    <row r="381">
      <c r="A381" s="54"/>
      <c r="B381" s="54"/>
      <c r="C381" s="86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P381" s="44"/>
    </row>
    <row r="382">
      <c r="A382" s="54"/>
      <c r="B382" s="54"/>
      <c r="C382" s="86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P382" s="44"/>
    </row>
    <row r="383">
      <c r="A383" s="54"/>
      <c r="B383" s="54"/>
      <c r="C383" s="86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P383" s="44"/>
    </row>
    <row r="384">
      <c r="A384" s="54"/>
      <c r="B384" s="54"/>
      <c r="C384" s="86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P384" s="44"/>
    </row>
    <row r="385">
      <c r="A385" s="54"/>
      <c r="B385" s="54"/>
      <c r="C385" s="86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P385" s="44"/>
    </row>
    <row r="386">
      <c r="A386" s="54"/>
      <c r="B386" s="54"/>
      <c r="C386" s="86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P386" s="44"/>
    </row>
    <row r="387">
      <c r="A387" s="54"/>
      <c r="B387" s="54"/>
      <c r="C387" s="86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P387" s="44"/>
    </row>
    <row r="388">
      <c r="A388" s="54"/>
      <c r="B388" s="54"/>
      <c r="C388" s="86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P388" s="44"/>
    </row>
    <row r="389">
      <c r="A389" s="54"/>
      <c r="B389" s="54"/>
      <c r="C389" s="86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P389" s="44"/>
    </row>
    <row r="390">
      <c r="A390" s="54"/>
      <c r="B390" s="54"/>
      <c r="C390" s="86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P390" s="44"/>
    </row>
    <row r="391">
      <c r="A391" s="54"/>
      <c r="B391" s="54"/>
      <c r="C391" s="86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P391" s="44"/>
    </row>
    <row r="392">
      <c r="A392" s="54"/>
      <c r="B392" s="54"/>
      <c r="C392" s="86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P392" s="44"/>
    </row>
    <row r="393">
      <c r="A393" s="54"/>
      <c r="B393" s="54"/>
      <c r="C393" s="86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P393" s="44"/>
    </row>
    <row r="394">
      <c r="A394" s="54"/>
      <c r="B394" s="54"/>
      <c r="C394" s="86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P394" s="44"/>
    </row>
    <row r="395">
      <c r="A395" s="54"/>
      <c r="B395" s="54"/>
      <c r="C395" s="86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P395" s="44"/>
    </row>
    <row r="396">
      <c r="A396" s="54"/>
      <c r="B396" s="54"/>
      <c r="C396" s="86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P396" s="44"/>
    </row>
    <row r="397">
      <c r="A397" s="54"/>
      <c r="B397" s="54"/>
      <c r="C397" s="86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P397" s="44"/>
    </row>
    <row r="398">
      <c r="A398" s="54"/>
      <c r="B398" s="54"/>
      <c r="C398" s="86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P398" s="44"/>
    </row>
    <row r="399">
      <c r="A399" s="54"/>
      <c r="B399" s="54"/>
      <c r="C399" s="86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P399" s="44"/>
    </row>
    <row r="400">
      <c r="A400" s="54"/>
      <c r="B400" s="54"/>
      <c r="C400" s="86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P400" s="44"/>
    </row>
    <row r="401">
      <c r="A401" s="54"/>
      <c r="B401" s="54"/>
      <c r="C401" s="86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P401" s="44"/>
    </row>
    <row r="402">
      <c r="A402" s="54"/>
      <c r="B402" s="54"/>
      <c r="C402" s="86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P402" s="44"/>
    </row>
    <row r="403">
      <c r="A403" s="54"/>
      <c r="B403" s="54"/>
      <c r="C403" s="86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P403" s="44"/>
    </row>
    <row r="404">
      <c r="A404" s="54"/>
      <c r="B404" s="54"/>
      <c r="C404" s="86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P404" s="44"/>
    </row>
    <row r="405">
      <c r="A405" s="54"/>
      <c r="B405" s="54"/>
      <c r="C405" s="86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P405" s="44"/>
    </row>
    <row r="406">
      <c r="A406" s="54"/>
      <c r="B406" s="54"/>
      <c r="C406" s="86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P406" s="44"/>
    </row>
    <row r="407">
      <c r="A407" s="54"/>
      <c r="B407" s="54"/>
      <c r="C407" s="86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P407" s="44"/>
    </row>
    <row r="408">
      <c r="A408" s="54"/>
      <c r="B408" s="54"/>
      <c r="C408" s="86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P408" s="44"/>
    </row>
    <row r="409">
      <c r="A409" s="54"/>
      <c r="B409" s="54"/>
      <c r="C409" s="86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P409" s="44"/>
    </row>
    <row r="410">
      <c r="A410" s="54"/>
      <c r="B410" s="54"/>
      <c r="C410" s="86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P410" s="44"/>
    </row>
    <row r="411">
      <c r="A411" s="54"/>
      <c r="B411" s="54"/>
      <c r="C411" s="86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P411" s="44"/>
    </row>
    <row r="412">
      <c r="A412" s="54"/>
      <c r="B412" s="54"/>
      <c r="C412" s="86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P412" s="44"/>
    </row>
    <row r="413">
      <c r="A413" s="54"/>
      <c r="B413" s="54"/>
      <c r="C413" s="86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P413" s="44"/>
    </row>
    <row r="414">
      <c r="A414" s="54"/>
      <c r="B414" s="54"/>
      <c r="C414" s="86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P414" s="44"/>
    </row>
    <row r="415">
      <c r="A415" s="54"/>
      <c r="B415" s="54"/>
      <c r="C415" s="86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P415" s="44"/>
    </row>
    <row r="416">
      <c r="A416" s="54"/>
      <c r="B416" s="54"/>
      <c r="C416" s="86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P416" s="44"/>
    </row>
    <row r="417">
      <c r="A417" s="54"/>
      <c r="B417" s="54"/>
      <c r="C417" s="86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P417" s="44"/>
    </row>
    <row r="418">
      <c r="A418" s="54"/>
      <c r="B418" s="54"/>
      <c r="C418" s="86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P418" s="44"/>
    </row>
    <row r="419">
      <c r="A419" s="54"/>
      <c r="B419" s="54"/>
      <c r="C419" s="86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P419" s="44"/>
    </row>
    <row r="420">
      <c r="A420" s="54"/>
      <c r="B420" s="54"/>
      <c r="C420" s="86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P420" s="44"/>
    </row>
    <row r="421">
      <c r="A421" s="54"/>
      <c r="B421" s="54"/>
      <c r="C421" s="86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P421" s="44"/>
    </row>
    <row r="422">
      <c r="A422" s="54"/>
      <c r="B422" s="54"/>
      <c r="C422" s="86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P422" s="44"/>
    </row>
    <row r="423">
      <c r="A423" s="54"/>
      <c r="B423" s="54"/>
      <c r="C423" s="86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P423" s="44"/>
    </row>
    <row r="424">
      <c r="A424" s="54"/>
      <c r="B424" s="54"/>
      <c r="C424" s="86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P424" s="44"/>
    </row>
    <row r="425">
      <c r="A425" s="54"/>
      <c r="B425" s="54"/>
      <c r="C425" s="86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P425" s="44"/>
    </row>
    <row r="426">
      <c r="A426" s="54"/>
      <c r="B426" s="54"/>
      <c r="C426" s="86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P426" s="44"/>
    </row>
    <row r="427">
      <c r="A427" s="54"/>
      <c r="B427" s="54"/>
      <c r="C427" s="86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P427" s="44"/>
    </row>
    <row r="428">
      <c r="A428" s="54"/>
      <c r="B428" s="54"/>
      <c r="C428" s="86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P428" s="44"/>
    </row>
    <row r="429">
      <c r="A429" s="54"/>
      <c r="B429" s="54"/>
      <c r="C429" s="86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P429" s="44"/>
    </row>
    <row r="430">
      <c r="A430" s="54"/>
      <c r="B430" s="54"/>
      <c r="C430" s="86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P430" s="44"/>
    </row>
    <row r="431">
      <c r="A431" s="54"/>
      <c r="B431" s="54"/>
      <c r="C431" s="86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P431" s="44"/>
    </row>
    <row r="432">
      <c r="A432" s="54"/>
      <c r="B432" s="54"/>
      <c r="C432" s="86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P432" s="44"/>
    </row>
    <row r="433">
      <c r="A433" s="54"/>
      <c r="B433" s="54"/>
      <c r="C433" s="86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P433" s="44"/>
    </row>
    <row r="434">
      <c r="A434" s="54"/>
      <c r="B434" s="54"/>
      <c r="C434" s="86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P434" s="44"/>
    </row>
    <row r="435">
      <c r="A435" s="54"/>
      <c r="B435" s="54"/>
      <c r="C435" s="86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P435" s="44"/>
    </row>
    <row r="436">
      <c r="A436" s="54"/>
      <c r="B436" s="54"/>
      <c r="C436" s="86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P436" s="44"/>
    </row>
    <row r="437">
      <c r="A437" s="54"/>
      <c r="B437" s="54"/>
      <c r="C437" s="86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P437" s="44"/>
    </row>
    <row r="438">
      <c r="A438" s="54"/>
      <c r="B438" s="54"/>
      <c r="C438" s="86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P438" s="44"/>
    </row>
    <row r="439">
      <c r="A439" s="54"/>
      <c r="B439" s="54"/>
      <c r="C439" s="86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P439" s="44"/>
    </row>
    <row r="440">
      <c r="A440" s="54"/>
      <c r="B440" s="54"/>
      <c r="C440" s="86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P440" s="44"/>
    </row>
    <row r="441">
      <c r="A441" s="54"/>
      <c r="B441" s="54"/>
      <c r="C441" s="86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P441" s="44"/>
    </row>
    <row r="442">
      <c r="A442" s="54"/>
      <c r="B442" s="54"/>
      <c r="C442" s="86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P442" s="44"/>
    </row>
    <row r="443">
      <c r="A443" s="54"/>
      <c r="B443" s="54"/>
      <c r="C443" s="86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P443" s="44"/>
    </row>
    <row r="444">
      <c r="A444" s="54"/>
      <c r="B444" s="54"/>
      <c r="C444" s="86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P444" s="44"/>
    </row>
    <row r="445">
      <c r="A445" s="54"/>
      <c r="B445" s="54"/>
      <c r="C445" s="86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P445" s="44"/>
    </row>
    <row r="446">
      <c r="A446" s="54"/>
      <c r="B446" s="54"/>
      <c r="C446" s="86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P446" s="44"/>
    </row>
    <row r="447">
      <c r="A447" s="54"/>
      <c r="B447" s="54"/>
      <c r="C447" s="86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P447" s="44"/>
    </row>
    <row r="448">
      <c r="A448" s="54"/>
      <c r="B448" s="54"/>
      <c r="C448" s="86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P448" s="44"/>
    </row>
    <row r="449">
      <c r="A449" s="54"/>
      <c r="B449" s="54"/>
      <c r="C449" s="86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P449" s="44"/>
    </row>
    <row r="450">
      <c r="A450" s="54"/>
      <c r="B450" s="54"/>
      <c r="C450" s="86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P450" s="44"/>
    </row>
    <row r="451">
      <c r="A451" s="54"/>
      <c r="B451" s="54"/>
      <c r="C451" s="86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P451" s="44"/>
    </row>
    <row r="452">
      <c r="A452" s="54"/>
      <c r="B452" s="54"/>
      <c r="C452" s="86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P452" s="44"/>
    </row>
    <row r="453">
      <c r="A453" s="54"/>
      <c r="B453" s="54"/>
      <c r="C453" s="86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P453" s="44"/>
    </row>
    <row r="454">
      <c r="A454" s="54"/>
      <c r="B454" s="54"/>
      <c r="C454" s="86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P454" s="44"/>
    </row>
    <row r="455">
      <c r="A455" s="54"/>
      <c r="B455" s="54"/>
      <c r="C455" s="86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P455" s="44"/>
    </row>
    <row r="456">
      <c r="A456" s="54"/>
      <c r="B456" s="54"/>
      <c r="C456" s="86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P456" s="44"/>
    </row>
    <row r="457">
      <c r="A457" s="54"/>
      <c r="B457" s="54"/>
      <c r="C457" s="86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P457" s="44"/>
    </row>
    <row r="458">
      <c r="A458" s="54"/>
      <c r="B458" s="54"/>
      <c r="C458" s="86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P458" s="44"/>
    </row>
    <row r="459">
      <c r="A459" s="54"/>
      <c r="B459" s="54"/>
      <c r="C459" s="86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P459" s="44"/>
    </row>
    <row r="460">
      <c r="A460" s="54"/>
      <c r="B460" s="54"/>
      <c r="C460" s="86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P460" s="44"/>
    </row>
    <row r="461">
      <c r="A461" s="54"/>
      <c r="B461" s="54"/>
      <c r="C461" s="86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P461" s="44"/>
    </row>
    <row r="462">
      <c r="A462" s="54"/>
      <c r="B462" s="54"/>
      <c r="C462" s="86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P462" s="44"/>
    </row>
    <row r="463">
      <c r="A463" s="54"/>
      <c r="B463" s="54"/>
      <c r="C463" s="86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P463" s="44"/>
    </row>
    <row r="464">
      <c r="A464" s="54"/>
      <c r="B464" s="54"/>
      <c r="C464" s="86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P464" s="44"/>
    </row>
    <row r="465">
      <c r="A465" s="54"/>
      <c r="B465" s="54"/>
      <c r="C465" s="86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P465" s="44"/>
    </row>
    <row r="466">
      <c r="A466" s="54"/>
      <c r="B466" s="54"/>
      <c r="C466" s="86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P466" s="44"/>
    </row>
    <row r="467">
      <c r="A467" s="54"/>
      <c r="B467" s="54"/>
      <c r="C467" s="86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P467" s="44"/>
    </row>
    <row r="468">
      <c r="A468" s="54"/>
      <c r="B468" s="54"/>
      <c r="C468" s="86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P468" s="44"/>
    </row>
    <row r="469">
      <c r="A469" s="54"/>
      <c r="B469" s="54"/>
      <c r="C469" s="86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P469" s="44"/>
    </row>
    <row r="470">
      <c r="A470" s="54"/>
      <c r="B470" s="54"/>
      <c r="C470" s="86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P470" s="44"/>
    </row>
    <row r="471">
      <c r="A471" s="54"/>
      <c r="B471" s="54"/>
      <c r="C471" s="86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P471" s="44"/>
    </row>
    <row r="472">
      <c r="A472" s="54"/>
      <c r="B472" s="54"/>
      <c r="C472" s="86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P472" s="44"/>
    </row>
    <row r="473">
      <c r="A473" s="54"/>
      <c r="B473" s="54"/>
      <c r="C473" s="86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P473" s="44"/>
    </row>
    <row r="474">
      <c r="A474" s="54"/>
      <c r="B474" s="54"/>
      <c r="C474" s="86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P474" s="44"/>
    </row>
    <row r="475">
      <c r="A475" s="54"/>
      <c r="B475" s="54"/>
      <c r="C475" s="86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P475" s="44"/>
    </row>
    <row r="476">
      <c r="A476" s="54"/>
      <c r="B476" s="54"/>
      <c r="C476" s="86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P476" s="44"/>
    </row>
    <row r="477">
      <c r="A477" s="54"/>
      <c r="B477" s="54"/>
      <c r="C477" s="86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P477" s="44"/>
    </row>
    <row r="478">
      <c r="A478" s="54"/>
      <c r="B478" s="54"/>
      <c r="C478" s="86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P478" s="44"/>
    </row>
    <row r="479">
      <c r="A479" s="54"/>
      <c r="B479" s="54"/>
      <c r="C479" s="86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P479" s="44"/>
    </row>
    <row r="480">
      <c r="A480" s="54"/>
      <c r="B480" s="54"/>
      <c r="C480" s="86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P480" s="44"/>
    </row>
    <row r="481">
      <c r="A481" s="54"/>
      <c r="B481" s="54"/>
      <c r="C481" s="86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P481" s="44"/>
    </row>
    <row r="482">
      <c r="A482" s="54"/>
      <c r="B482" s="54"/>
      <c r="C482" s="86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P482" s="44"/>
    </row>
    <row r="483">
      <c r="A483" s="54"/>
      <c r="B483" s="54"/>
      <c r="C483" s="86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P483" s="44"/>
    </row>
    <row r="484">
      <c r="A484" s="54"/>
      <c r="B484" s="54"/>
      <c r="C484" s="86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P484" s="44"/>
    </row>
    <row r="485">
      <c r="A485" s="54"/>
      <c r="B485" s="54"/>
      <c r="C485" s="86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P485" s="44"/>
    </row>
    <row r="486">
      <c r="A486" s="54"/>
      <c r="B486" s="54"/>
      <c r="C486" s="86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P486" s="44"/>
    </row>
    <row r="487">
      <c r="A487" s="54"/>
      <c r="B487" s="54"/>
      <c r="C487" s="86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P487" s="44"/>
    </row>
    <row r="488">
      <c r="A488" s="54"/>
      <c r="B488" s="54"/>
      <c r="C488" s="86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P488" s="44"/>
    </row>
    <row r="489">
      <c r="A489" s="54"/>
      <c r="B489" s="54"/>
      <c r="C489" s="86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P489" s="44"/>
    </row>
    <row r="490">
      <c r="A490" s="54"/>
      <c r="B490" s="54"/>
      <c r="C490" s="86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P490" s="44"/>
    </row>
    <row r="491">
      <c r="A491" s="54"/>
      <c r="B491" s="54"/>
      <c r="C491" s="86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P491" s="44"/>
    </row>
    <row r="492">
      <c r="A492" s="54"/>
      <c r="B492" s="54"/>
      <c r="C492" s="86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P492" s="44"/>
    </row>
    <row r="493">
      <c r="A493" s="54"/>
      <c r="B493" s="54"/>
      <c r="C493" s="86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P493" s="44"/>
    </row>
    <row r="494">
      <c r="A494" s="54"/>
      <c r="B494" s="54"/>
      <c r="C494" s="86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P494" s="44"/>
    </row>
    <row r="495">
      <c r="A495" s="54"/>
      <c r="B495" s="54"/>
      <c r="C495" s="86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P495" s="44"/>
    </row>
    <row r="496">
      <c r="A496" s="54"/>
      <c r="B496" s="54"/>
      <c r="C496" s="86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P496" s="44"/>
    </row>
    <row r="497">
      <c r="A497" s="54"/>
      <c r="B497" s="54"/>
      <c r="C497" s="86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P497" s="44"/>
    </row>
    <row r="498">
      <c r="A498" s="54"/>
      <c r="B498" s="54"/>
      <c r="C498" s="86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P498" s="44"/>
    </row>
    <row r="499">
      <c r="A499" s="54"/>
      <c r="B499" s="54"/>
      <c r="C499" s="86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P499" s="44"/>
    </row>
    <row r="500">
      <c r="A500" s="54"/>
      <c r="B500" s="54"/>
      <c r="C500" s="86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P500" s="44"/>
    </row>
    <row r="501">
      <c r="A501" s="54"/>
      <c r="B501" s="54"/>
      <c r="C501" s="86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P501" s="44"/>
    </row>
    <row r="502">
      <c r="A502" s="54"/>
      <c r="B502" s="54"/>
      <c r="C502" s="86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P502" s="44"/>
    </row>
    <row r="503">
      <c r="A503" s="54"/>
      <c r="B503" s="54"/>
      <c r="C503" s="86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P503" s="44"/>
    </row>
    <row r="504">
      <c r="A504" s="54"/>
      <c r="B504" s="54"/>
      <c r="C504" s="86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P504" s="44"/>
    </row>
    <row r="505">
      <c r="A505" s="54"/>
      <c r="B505" s="54"/>
      <c r="C505" s="86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P505" s="44"/>
    </row>
    <row r="506">
      <c r="A506" s="54"/>
      <c r="B506" s="54"/>
      <c r="C506" s="86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P506" s="44"/>
    </row>
    <row r="507">
      <c r="A507" s="54"/>
      <c r="B507" s="54"/>
      <c r="C507" s="86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P507" s="44"/>
    </row>
    <row r="508">
      <c r="A508" s="54"/>
      <c r="B508" s="54"/>
      <c r="C508" s="86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P508" s="44"/>
    </row>
    <row r="509">
      <c r="A509" s="54"/>
      <c r="B509" s="54"/>
      <c r="C509" s="86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P509" s="44"/>
    </row>
    <row r="510">
      <c r="A510" s="54"/>
      <c r="B510" s="54"/>
      <c r="C510" s="86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P510" s="44"/>
    </row>
    <row r="511">
      <c r="A511" s="54"/>
      <c r="B511" s="54"/>
      <c r="C511" s="86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P511" s="44"/>
    </row>
    <row r="512">
      <c r="A512" s="54"/>
      <c r="B512" s="54"/>
      <c r="C512" s="86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P512" s="44"/>
    </row>
    <row r="513">
      <c r="A513" s="54"/>
      <c r="B513" s="54"/>
      <c r="C513" s="86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P513" s="44"/>
    </row>
    <row r="514">
      <c r="A514" s="54"/>
      <c r="B514" s="54"/>
      <c r="C514" s="86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P514" s="44"/>
    </row>
    <row r="515">
      <c r="A515" s="54"/>
      <c r="B515" s="54"/>
      <c r="C515" s="86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P515" s="44"/>
    </row>
    <row r="516">
      <c r="A516" s="54"/>
      <c r="B516" s="54"/>
      <c r="C516" s="86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P516" s="44"/>
    </row>
    <row r="517">
      <c r="A517" s="54"/>
      <c r="B517" s="54"/>
      <c r="C517" s="86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P517" s="44"/>
    </row>
    <row r="518">
      <c r="A518" s="54"/>
      <c r="B518" s="54"/>
      <c r="C518" s="86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P518" s="44"/>
    </row>
    <row r="519">
      <c r="A519" s="54"/>
      <c r="B519" s="54"/>
      <c r="C519" s="86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P519" s="44"/>
    </row>
    <row r="520">
      <c r="A520" s="54"/>
      <c r="B520" s="54"/>
      <c r="C520" s="86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P520" s="44"/>
    </row>
    <row r="521">
      <c r="A521" s="54"/>
      <c r="B521" s="54"/>
      <c r="C521" s="86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P521" s="44"/>
    </row>
    <row r="522">
      <c r="A522" s="54"/>
      <c r="B522" s="54"/>
      <c r="C522" s="86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P522" s="44"/>
    </row>
    <row r="523">
      <c r="A523" s="54"/>
      <c r="B523" s="54"/>
      <c r="C523" s="86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P523" s="44"/>
    </row>
    <row r="524">
      <c r="A524" s="54"/>
      <c r="B524" s="54"/>
      <c r="C524" s="86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P524" s="44"/>
    </row>
    <row r="525">
      <c r="A525" s="54"/>
      <c r="B525" s="54"/>
      <c r="C525" s="86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P525" s="44"/>
    </row>
    <row r="526">
      <c r="A526" s="54"/>
      <c r="B526" s="54"/>
      <c r="C526" s="86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P526" s="44"/>
    </row>
    <row r="527">
      <c r="A527" s="54"/>
      <c r="B527" s="54"/>
      <c r="C527" s="86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P527" s="44"/>
    </row>
    <row r="528">
      <c r="A528" s="54"/>
      <c r="B528" s="54"/>
      <c r="C528" s="86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P528" s="44"/>
    </row>
    <row r="529">
      <c r="A529" s="54"/>
      <c r="B529" s="54"/>
      <c r="C529" s="86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P529" s="44"/>
    </row>
    <row r="530">
      <c r="A530" s="54"/>
      <c r="B530" s="54"/>
      <c r="C530" s="86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P530" s="44"/>
    </row>
    <row r="531">
      <c r="A531" s="54"/>
      <c r="B531" s="54"/>
      <c r="C531" s="86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P531" s="44"/>
    </row>
    <row r="532">
      <c r="A532" s="54"/>
      <c r="B532" s="54"/>
      <c r="C532" s="86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P532" s="44"/>
    </row>
    <row r="533">
      <c r="A533" s="54"/>
      <c r="B533" s="54"/>
      <c r="C533" s="86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P533" s="44"/>
    </row>
    <row r="534">
      <c r="A534" s="54"/>
      <c r="B534" s="54"/>
      <c r="C534" s="86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P534" s="44"/>
    </row>
    <row r="535">
      <c r="A535" s="54"/>
      <c r="B535" s="54"/>
      <c r="C535" s="86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P535" s="44"/>
    </row>
    <row r="536">
      <c r="A536" s="54"/>
      <c r="B536" s="54"/>
      <c r="C536" s="86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P536" s="44"/>
    </row>
    <row r="537">
      <c r="A537" s="54"/>
      <c r="B537" s="54"/>
      <c r="C537" s="86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P537" s="44"/>
    </row>
    <row r="538">
      <c r="A538" s="54"/>
      <c r="B538" s="54"/>
      <c r="C538" s="86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P538" s="44"/>
    </row>
    <row r="539">
      <c r="A539" s="54"/>
      <c r="B539" s="54"/>
      <c r="C539" s="86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P539" s="44"/>
    </row>
    <row r="540">
      <c r="A540" s="54"/>
      <c r="B540" s="54"/>
      <c r="C540" s="86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P540" s="44"/>
    </row>
    <row r="541">
      <c r="A541" s="54"/>
      <c r="B541" s="54"/>
      <c r="C541" s="86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P541" s="44"/>
    </row>
    <row r="542">
      <c r="A542" s="54"/>
      <c r="B542" s="54"/>
      <c r="C542" s="86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P542" s="44"/>
    </row>
    <row r="543">
      <c r="A543" s="54"/>
      <c r="B543" s="54"/>
      <c r="C543" s="86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P543" s="44"/>
    </row>
    <row r="544">
      <c r="A544" s="54"/>
      <c r="B544" s="54"/>
      <c r="C544" s="86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P544" s="44"/>
    </row>
    <row r="545">
      <c r="A545" s="54"/>
      <c r="B545" s="54"/>
      <c r="C545" s="86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P545" s="44"/>
    </row>
    <row r="546">
      <c r="A546" s="54"/>
      <c r="B546" s="54"/>
      <c r="C546" s="86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P546" s="44"/>
    </row>
    <row r="547">
      <c r="A547" s="54"/>
      <c r="B547" s="54"/>
      <c r="C547" s="86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P547" s="44"/>
    </row>
    <row r="548">
      <c r="A548" s="54"/>
      <c r="B548" s="54"/>
      <c r="C548" s="86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P548" s="44"/>
    </row>
    <row r="549">
      <c r="A549" s="54"/>
      <c r="B549" s="54"/>
      <c r="C549" s="86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P549" s="44"/>
    </row>
    <row r="550">
      <c r="A550" s="54"/>
      <c r="B550" s="54"/>
      <c r="C550" s="86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P550" s="44"/>
    </row>
    <row r="551">
      <c r="A551" s="54"/>
      <c r="B551" s="54"/>
      <c r="C551" s="86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P551" s="44"/>
    </row>
    <row r="552">
      <c r="A552" s="54"/>
      <c r="B552" s="54"/>
      <c r="C552" s="86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P552" s="44"/>
    </row>
    <row r="553">
      <c r="A553" s="54"/>
      <c r="B553" s="54"/>
      <c r="C553" s="86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P553" s="44"/>
    </row>
    <row r="554">
      <c r="A554" s="54"/>
      <c r="B554" s="54"/>
      <c r="C554" s="86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P554" s="44"/>
    </row>
    <row r="555">
      <c r="A555" s="54"/>
      <c r="B555" s="54"/>
      <c r="C555" s="86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P555" s="44"/>
    </row>
    <row r="556">
      <c r="A556" s="54"/>
      <c r="B556" s="54"/>
      <c r="C556" s="86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P556" s="44"/>
    </row>
    <row r="557">
      <c r="A557" s="54"/>
      <c r="B557" s="54"/>
      <c r="C557" s="86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P557" s="44"/>
    </row>
    <row r="558">
      <c r="A558" s="54"/>
      <c r="B558" s="54"/>
      <c r="C558" s="86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P558" s="44"/>
    </row>
    <row r="559">
      <c r="A559" s="54"/>
      <c r="B559" s="54"/>
      <c r="C559" s="86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P559" s="44"/>
    </row>
    <row r="560">
      <c r="A560" s="54"/>
      <c r="B560" s="54"/>
      <c r="C560" s="86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P560" s="44"/>
    </row>
    <row r="561">
      <c r="A561" s="54"/>
      <c r="B561" s="54"/>
      <c r="C561" s="86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P561" s="44"/>
    </row>
    <row r="562">
      <c r="A562" s="54"/>
      <c r="B562" s="54"/>
      <c r="C562" s="86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P562" s="44"/>
    </row>
    <row r="563">
      <c r="A563" s="54"/>
      <c r="B563" s="54"/>
      <c r="C563" s="86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P563" s="44"/>
    </row>
    <row r="564">
      <c r="A564" s="54"/>
      <c r="B564" s="54"/>
      <c r="C564" s="86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P564" s="44"/>
    </row>
    <row r="565">
      <c r="A565" s="54"/>
      <c r="B565" s="54"/>
      <c r="C565" s="86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P565" s="44"/>
    </row>
    <row r="566">
      <c r="A566" s="54"/>
      <c r="B566" s="54"/>
      <c r="C566" s="86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P566" s="44"/>
    </row>
    <row r="567">
      <c r="A567" s="54"/>
      <c r="B567" s="54"/>
      <c r="C567" s="86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P567" s="44"/>
    </row>
    <row r="568">
      <c r="A568" s="54"/>
      <c r="B568" s="54"/>
      <c r="C568" s="86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P568" s="44"/>
    </row>
    <row r="569">
      <c r="A569" s="54"/>
      <c r="B569" s="54"/>
      <c r="C569" s="86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P569" s="44"/>
    </row>
    <row r="570">
      <c r="A570" s="54"/>
      <c r="B570" s="54"/>
      <c r="C570" s="86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P570" s="44"/>
    </row>
    <row r="571">
      <c r="A571" s="54"/>
      <c r="B571" s="54"/>
      <c r="C571" s="86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P571" s="44"/>
    </row>
    <row r="572">
      <c r="A572" s="54"/>
      <c r="B572" s="54"/>
      <c r="C572" s="86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P572" s="44"/>
    </row>
    <row r="573">
      <c r="A573" s="54"/>
      <c r="B573" s="54"/>
      <c r="C573" s="86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P573" s="44"/>
    </row>
    <row r="574">
      <c r="A574" s="54"/>
      <c r="B574" s="54"/>
      <c r="C574" s="86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P574" s="44"/>
    </row>
    <row r="575">
      <c r="A575" s="54"/>
      <c r="B575" s="54"/>
      <c r="C575" s="86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P575" s="44"/>
    </row>
    <row r="576">
      <c r="A576" s="54"/>
      <c r="B576" s="54"/>
      <c r="C576" s="86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P576" s="44"/>
    </row>
    <row r="577">
      <c r="A577" s="54"/>
      <c r="B577" s="54"/>
      <c r="C577" s="86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P577" s="44"/>
    </row>
    <row r="578">
      <c r="A578" s="54"/>
      <c r="B578" s="54"/>
      <c r="C578" s="86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P578" s="44"/>
    </row>
    <row r="579">
      <c r="A579" s="54"/>
      <c r="B579" s="54"/>
      <c r="C579" s="86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P579" s="44"/>
    </row>
    <row r="580">
      <c r="A580" s="54"/>
      <c r="B580" s="54"/>
      <c r="C580" s="86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P580" s="44"/>
    </row>
    <row r="581">
      <c r="A581" s="54"/>
      <c r="B581" s="54"/>
      <c r="C581" s="86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P581" s="44"/>
    </row>
    <row r="582">
      <c r="A582" s="54"/>
      <c r="B582" s="54"/>
      <c r="C582" s="86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P582" s="44"/>
    </row>
    <row r="583">
      <c r="A583" s="54"/>
      <c r="B583" s="54"/>
      <c r="C583" s="86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P583" s="44"/>
    </row>
    <row r="584">
      <c r="A584" s="54"/>
      <c r="B584" s="54"/>
      <c r="C584" s="86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P584" s="44"/>
    </row>
    <row r="585">
      <c r="A585" s="54"/>
      <c r="B585" s="54"/>
      <c r="C585" s="86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P585" s="44"/>
    </row>
    <row r="586">
      <c r="A586" s="54"/>
      <c r="B586" s="54"/>
      <c r="C586" s="86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P586" s="44"/>
    </row>
    <row r="587">
      <c r="A587" s="54"/>
      <c r="B587" s="54"/>
      <c r="C587" s="86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P587" s="44"/>
    </row>
    <row r="588">
      <c r="A588" s="54"/>
      <c r="B588" s="54"/>
      <c r="C588" s="86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P588" s="44"/>
    </row>
    <row r="589">
      <c r="A589" s="54"/>
      <c r="B589" s="54"/>
      <c r="C589" s="86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P589" s="44"/>
    </row>
    <row r="590">
      <c r="A590" s="54"/>
      <c r="B590" s="54"/>
      <c r="C590" s="86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P590" s="44"/>
    </row>
    <row r="591">
      <c r="A591" s="54"/>
      <c r="B591" s="54"/>
      <c r="C591" s="86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P591" s="44"/>
    </row>
    <row r="592">
      <c r="A592" s="54"/>
      <c r="B592" s="54"/>
      <c r="C592" s="86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P592" s="44"/>
    </row>
    <row r="593">
      <c r="A593" s="54"/>
      <c r="B593" s="54"/>
      <c r="C593" s="86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P593" s="44"/>
    </row>
    <row r="594">
      <c r="A594" s="54"/>
      <c r="B594" s="54"/>
      <c r="C594" s="86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P594" s="44"/>
    </row>
    <row r="595">
      <c r="A595" s="54"/>
      <c r="B595" s="54"/>
      <c r="C595" s="86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P595" s="44"/>
    </row>
    <row r="596">
      <c r="A596" s="54"/>
      <c r="B596" s="54"/>
      <c r="C596" s="86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P596" s="44"/>
    </row>
    <row r="597">
      <c r="A597" s="54"/>
      <c r="B597" s="54"/>
      <c r="C597" s="86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P597" s="44"/>
    </row>
    <row r="598">
      <c r="A598" s="54"/>
      <c r="B598" s="54"/>
      <c r="C598" s="86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P598" s="44"/>
    </row>
    <row r="599">
      <c r="A599" s="54"/>
      <c r="B599" s="54"/>
      <c r="C599" s="86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P599" s="44"/>
    </row>
    <row r="600">
      <c r="A600" s="54"/>
      <c r="B600" s="54"/>
      <c r="C600" s="86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P600" s="44"/>
    </row>
    <row r="601">
      <c r="A601" s="54"/>
      <c r="B601" s="54"/>
      <c r="C601" s="86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P601" s="44"/>
    </row>
    <row r="602">
      <c r="A602" s="54"/>
      <c r="B602" s="54"/>
      <c r="C602" s="86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P602" s="44"/>
    </row>
    <row r="603">
      <c r="A603" s="54"/>
      <c r="B603" s="54"/>
      <c r="C603" s="86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P603" s="44"/>
    </row>
    <row r="604">
      <c r="A604" s="54"/>
      <c r="B604" s="54"/>
      <c r="C604" s="86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P604" s="44"/>
    </row>
    <row r="605">
      <c r="A605" s="54"/>
      <c r="B605" s="54"/>
      <c r="C605" s="86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P605" s="44"/>
    </row>
    <row r="606">
      <c r="A606" s="54"/>
      <c r="B606" s="54"/>
      <c r="C606" s="86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P606" s="44"/>
    </row>
    <row r="607">
      <c r="A607" s="54"/>
      <c r="B607" s="54"/>
      <c r="C607" s="86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P607" s="44"/>
    </row>
    <row r="608">
      <c r="A608" s="54"/>
      <c r="B608" s="54"/>
      <c r="C608" s="86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P608" s="44"/>
    </row>
    <row r="609">
      <c r="A609" s="54"/>
      <c r="B609" s="54"/>
      <c r="C609" s="86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P609" s="44"/>
    </row>
    <row r="610">
      <c r="A610" s="54"/>
      <c r="B610" s="54"/>
      <c r="C610" s="86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P610" s="44"/>
    </row>
    <row r="611">
      <c r="A611" s="54"/>
      <c r="B611" s="54"/>
      <c r="C611" s="86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P611" s="44"/>
    </row>
    <row r="612">
      <c r="A612" s="54"/>
      <c r="B612" s="54"/>
      <c r="C612" s="86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P612" s="44"/>
    </row>
    <row r="613">
      <c r="A613" s="54"/>
      <c r="B613" s="54"/>
      <c r="C613" s="86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P613" s="44"/>
    </row>
    <row r="614">
      <c r="A614" s="54"/>
      <c r="B614" s="54"/>
      <c r="C614" s="86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P614" s="44"/>
    </row>
    <row r="615">
      <c r="A615" s="54"/>
      <c r="B615" s="54"/>
      <c r="C615" s="86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P615" s="44"/>
    </row>
    <row r="616">
      <c r="A616" s="54"/>
      <c r="B616" s="54"/>
      <c r="C616" s="86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P616" s="44"/>
    </row>
    <row r="617">
      <c r="A617" s="54"/>
      <c r="B617" s="54"/>
      <c r="C617" s="86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P617" s="44"/>
    </row>
    <row r="618">
      <c r="A618" s="54"/>
      <c r="B618" s="54"/>
      <c r="C618" s="86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P618" s="44"/>
    </row>
    <row r="619">
      <c r="A619" s="54"/>
      <c r="B619" s="54"/>
      <c r="C619" s="86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P619" s="44"/>
    </row>
    <row r="620">
      <c r="A620" s="54"/>
      <c r="B620" s="54"/>
      <c r="C620" s="86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P620" s="44"/>
    </row>
    <row r="621">
      <c r="A621" s="54"/>
      <c r="B621" s="54"/>
      <c r="C621" s="86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P621" s="44"/>
    </row>
    <row r="622">
      <c r="A622" s="54"/>
      <c r="B622" s="54"/>
      <c r="C622" s="86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P622" s="44"/>
    </row>
    <row r="623">
      <c r="A623" s="54"/>
      <c r="B623" s="54"/>
      <c r="C623" s="86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P623" s="44"/>
    </row>
    <row r="624">
      <c r="A624" s="54"/>
      <c r="B624" s="54"/>
      <c r="C624" s="86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P624" s="44"/>
    </row>
    <row r="625">
      <c r="A625" s="54"/>
      <c r="B625" s="54"/>
      <c r="C625" s="86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P625" s="44"/>
    </row>
    <row r="626">
      <c r="A626" s="54"/>
      <c r="B626" s="54"/>
      <c r="C626" s="86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P626" s="44"/>
    </row>
    <row r="627">
      <c r="A627" s="54"/>
      <c r="B627" s="54"/>
      <c r="C627" s="86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P627" s="44"/>
    </row>
    <row r="628">
      <c r="A628" s="54"/>
      <c r="B628" s="54"/>
      <c r="C628" s="86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P628" s="44"/>
    </row>
    <row r="629">
      <c r="A629" s="54"/>
      <c r="B629" s="54"/>
      <c r="C629" s="86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P629" s="44"/>
    </row>
    <row r="630">
      <c r="A630" s="54"/>
      <c r="B630" s="54"/>
      <c r="C630" s="86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P630" s="44"/>
    </row>
    <row r="631">
      <c r="A631" s="54"/>
      <c r="B631" s="54"/>
      <c r="C631" s="86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P631" s="44"/>
    </row>
    <row r="632">
      <c r="A632" s="54"/>
      <c r="B632" s="54"/>
      <c r="C632" s="86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P632" s="44"/>
    </row>
    <row r="633">
      <c r="A633" s="54"/>
      <c r="B633" s="54"/>
      <c r="C633" s="86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P633" s="44"/>
    </row>
    <row r="634">
      <c r="A634" s="54"/>
      <c r="B634" s="54"/>
      <c r="C634" s="86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P634" s="44"/>
    </row>
    <row r="635">
      <c r="A635" s="54"/>
      <c r="B635" s="54"/>
      <c r="C635" s="86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P635" s="44"/>
    </row>
    <row r="636">
      <c r="A636" s="54"/>
      <c r="B636" s="54"/>
      <c r="C636" s="86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P636" s="44"/>
    </row>
    <row r="637">
      <c r="A637" s="54"/>
      <c r="B637" s="54"/>
      <c r="C637" s="86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P637" s="44"/>
    </row>
    <row r="638">
      <c r="A638" s="54"/>
      <c r="B638" s="54"/>
      <c r="C638" s="86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P638" s="44"/>
    </row>
    <row r="639">
      <c r="A639" s="54"/>
      <c r="B639" s="54"/>
      <c r="C639" s="86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P639" s="44"/>
    </row>
    <row r="640">
      <c r="A640" s="54"/>
      <c r="B640" s="54"/>
      <c r="C640" s="86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P640" s="44"/>
    </row>
    <row r="641">
      <c r="A641" s="54"/>
      <c r="B641" s="54"/>
      <c r="C641" s="86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P641" s="44"/>
    </row>
    <row r="642">
      <c r="A642" s="54"/>
      <c r="B642" s="54"/>
      <c r="C642" s="86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P642" s="44"/>
    </row>
    <row r="643">
      <c r="A643" s="54"/>
      <c r="B643" s="54"/>
      <c r="C643" s="86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P643" s="44"/>
    </row>
    <row r="644">
      <c r="A644" s="54"/>
      <c r="B644" s="54"/>
      <c r="C644" s="86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P644" s="44"/>
    </row>
    <row r="645">
      <c r="A645" s="54"/>
      <c r="B645" s="54"/>
      <c r="C645" s="86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P645" s="44"/>
    </row>
    <row r="646">
      <c r="A646" s="54"/>
      <c r="B646" s="54"/>
      <c r="C646" s="86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P646" s="44"/>
    </row>
    <row r="647">
      <c r="A647" s="54"/>
      <c r="B647" s="54"/>
      <c r="C647" s="86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P647" s="44"/>
    </row>
    <row r="648">
      <c r="A648" s="54"/>
      <c r="B648" s="54"/>
      <c r="C648" s="86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P648" s="44"/>
    </row>
    <row r="649">
      <c r="A649" s="54"/>
      <c r="B649" s="54"/>
      <c r="C649" s="86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P649" s="44"/>
    </row>
    <row r="650">
      <c r="A650" s="54"/>
      <c r="B650" s="54"/>
      <c r="C650" s="86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P650" s="44"/>
    </row>
    <row r="651">
      <c r="A651" s="54"/>
      <c r="B651" s="54"/>
      <c r="C651" s="86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P651" s="44"/>
    </row>
    <row r="652">
      <c r="A652" s="54"/>
      <c r="B652" s="54"/>
      <c r="C652" s="86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P652" s="44"/>
    </row>
    <row r="653">
      <c r="A653" s="54"/>
      <c r="B653" s="54"/>
      <c r="C653" s="86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P653" s="44"/>
    </row>
    <row r="654">
      <c r="A654" s="54"/>
      <c r="B654" s="54"/>
      <c r="C654" s="86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P654" s="44"/>
    </row>
    <row r="655">
      <c r="A655" s="54"/>
      <c r="B655" s="54"/>
      <c r="C655" s="86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P655" s="44"/>
    </row>
    <row r="656">
      <c r="A656" s="54"/>
      <c r="B656" s="54"/>
      <c r="C656" s="86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P656" s="44"/>
    </row>
    <row r="657">
      <c r="A657" s="54"/>
      <c r="B657" s="54"/>
      <c r="C657" s="86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P657" s="44"/>
    </row>
    <row r="658">
      <c r="A658" s="54"/>
      <c r="B658" s="54"/>
      <c r="C658" s="86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P658" s="44"/>
    </row>
    <row r="659">
      <c r="A659" s="54"/>
      <c r="B659" s="54"/>
      <c r="C659" s="86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P659" s="44"/>
    </row>
    <row r="660">
      <c r="A660" s="54"/>
      <c r="B660" s="54"/>
      <c r="C660" s="86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P660" s="44"/>
    </row>
    <row r="661">
      <c r="A661" s="54"/>
      <c r="B661" s="54"/>
      <c r="C661" s="86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P661" s="44"/>
    </row>
    <row r="662">
      <c r="A662" s="54"/>
      <c r="B662" s="54"/>
      <c r="C662" s="86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P662" s="44"/>
    </row>
    <row r="663">
      <c r="A663" s="54"/>
      <c r="B663" s="54"/>
      <c r="C663" s="86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P663" s="44"/>
    </row>
    <row r="664">
      <c r="A664" s="54"/>
      <c r="B664" s="54"/>
      <c r="C664" s="86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P664" s="44"/>
    </row>
    <row r="665">
      <c r="A665" s="54"/>
      <c r="B665" s="54"/>
      <c r="C665" s="86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P665" s="44"/>
    </row>
    <row r="666">
      <c r="A666" s="54"/>
      <c r="B666" s="54"/>
      <c r="C666" s="86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P666" s="44"/>
    </row>
    <row r="667">
      <c r="A667" s="54"/>
      <c r="B667" s="54"/>
      <c r="C667" s="86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P667" s="44"/>
    </row>
    <row r="668">
      <c r="A668" s="54"/>
      <c r="B668" s="54"/>
      <c r="C668" s="86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P668" s="44"/>
    </row>
    <row r="669">
      <c r="A669" s="54"/>
      <c r="B669" s="54"/>
      <c r="C669" s="86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P669" s="44"/>
    </row>
    <row r="670">
      <c r="A670" s="54"/>
      <c r="B670" s="54"/>
      <c r="C670" s="86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P670" s="44"/>
    </row>
    <row r="671">
      <c r="A671" s="54"/>
      <c r="B671" s="54"/>
      <c r="C671" s="86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P671" s="44"/>
    </row>
    <row r="672">
      <c r="A672" s="54"/>
      <c r="B672" s="54"/>
      <c r="C672" s="86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P672" s="44"/>
    </row>
    <row r="673">
      <c r="A673" s="54"/>
      <c r="B673" s="54"/>
      <c r="C673" s="86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P673" s="44"/>
    </row>
    <row r="674">
      <c r="A674" s="54"/>
      <c r="B674" s="54"/>
      <c r="C674" s="86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P674" s="44"/>
    </row>
    <row r="675">
      <c r="A675" s="54"/>
      <c r="B675" s="54"/>
      <c r="C675" s="86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P675" s="44"/>
    </row>
    <row r="676">
      <c r="A676" s="54"/>
      <c r="B676" s="54"/>
      <c r="C676" s="86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P676" s="44"/>
    </row>
    <row r="677">
      <c r="A677" s="54"/>
      <c r="B677" s="54"/>
      <c r="C677" s="86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P677" s="44"/>
    </row>
    <row r="678">
      <c r="A678" s="54"/>
      <c r="B678" s="54"/>
      <c r="C678" s="86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P678" s="44"/>
    </row>
    <row r="679">
      <c r="A679" s="54"/>
      <c r="B679" s="54"/>
      <c r="C679" s="86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P679" s="44"/>
    </row>
    <row r="680">
      <c r="A680" s="54"/>
      <c r="B680" s="54"/>
      <c r="C680" s="86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P680" s="44"/>
    </row>
    <row r="681">
      <c r="A681" s="54"/>
      <c r="B681" s="54"/>
      <c r="C681" s="86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P681" s="44"/>
    </row>
    <row r="682">
      <c r="A682" s="54"/>
      <c r="B682" s="54"/>
      <c r="C682" s="86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P682" s="44"/>
    </row>
    <row r="683">
      <c r="A683" s="54"/>
      <c r="B683" s="54"/>
      <c r="C683" s="86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P683" s="44"/>
    </row>
    <row r="684">
      <c r="A684" s="54"/>
      <c r="B684" s="54"/>
      <c r="C684" s="86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P684" s="44"/>
    </row>
    <row r="685">
      <c r="A685" s="54"/>
      <c r="B685" s="54"/>
      <c r="C685" s="86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P685" s="44"/>
    </row>
    <row r="686">
      <c r="A686" s="54"/>
      <c r="B686" s="54"/>
      <c r="C686" s="86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P686" s="44"/>
    </row>
    <row r="687">
      <c r="A687" s="54"/>
      <c r="B687" s="54"/>
      <c r="C687" s="86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P687" s="44"/>
    </row>
    <row r="688">
      <c r="A688" s="54"/>
      <c r="B688" s="54"/>
      <c r="C688" s="86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P688" s="44"/>
    </row>
    <row r="689">
      <c r="A689" s="54"/>
      <c r="B689" s="54"/>
      <c r="C689" s="86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P689" s="44"/>
    </row>
    <row r="690">
      <c r="A690" s="54"/>
      <c r="B690" s="54"/>
      <c r="C690" s="86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P690" s="44"/>
    </row>
    <row r="691">
      <c r="A691" s="54"/>
      <c r="B691" s="54"/>
      <c r="C691" s="86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P691" s="44"/>
    </row>
    <row r="692">
      <c r="A692" s="54"/>
      <c r="B692" s="54"/>
      <c r="C692" s="86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P692" s="44"/>
    </row>
    <row r="693">
      <c r="A693" s="54"/>
      <c r="B693" s="54"/>
      <c r="C693" s="86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P693" s="44"/>
    </row>
    <row r="694">
      <c r="A694" s="54"/>
      <c r="B694" s="54"/>
      <c r="C694" s="86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P694" s="44"/>
    </row>
    <row r="695">
      <c r="A695" s="54"/>
      <c r="B695" s="54"/>
      <c r="C695" s="86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P695" s="44"/>
    </row>
    <row r="696">
      <c r="A696" s="54"/>
      <c r="B696" s="54"/>
      <c r="C696" s="86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P696" s="44"/>
    </row>
    <row r="697">
      <c r="A697" s="54"/>
      <c r="B697" s="54"/>
      <c r="C697" s="86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P697" s="44"/>
    </row>
    <row r="698">
      <c r="A698" s="54"/>
      <c r="B698" s="54"/>
      <c r="C698" s="86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P698" s="44"/>
    </row>
    <row r="699">
      <c r="A699" s="54"/>
      <c r="B699" s="54"/>
      <c r="C699" s="86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P699" s="44"/>
    </row>
    <row r="700">
      <c r="A700" s="54"/>
      <c r="B700" s="54"/>
      <c r="C700" s="86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P700" s="44"/>
    </row>
    <row r="701">
      <c r="A701" s="54"/>
      <c r="B701" s="54"/>
      <c r="C701" s="86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P701" s="44"/>
    </row>
    <row r="702">
      <c r="A702" s="54"/>
      <c r="B702" s="54"/>
      <c r="C702" s="86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P702" s="44"/>
    </row>
    <row r="703">
      <c r="A703" s="54"/>
      <c r="B703" s="54"/>
      <c r="C703" s="86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P703" s="44"/>
    </row>
    <row r="704">
      <c r="A704" s="54"/>
      <c r="B704" s="54"/>
      <c r="C704" s="86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P704" s="44"/>
    </row>
    <row r="705">
      <c r="A705" s="54"/>
      <c r="B705" s="54"/>
      <c r="C705" s="86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P705" s="44"/>
    </row>
    <row r="706">
      <c r="A706" s="54"/>
      <c r="B706" s="54"/>
      <c r="C706" s="86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P706" s="44"/>
    </row>
    <row r="707">
      <c r="A707" s="54"/>
      <c r="B707" s="54"/>
      <c r="C707" s="86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P707" s="44"/>
    </row>
    <row r="708">
      <c r="A708" s="54"/>
      <c r="B708" s="54"/>
      <c r="C708" s="86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P708" s="44"/>
    </row>
    <row r="709">
      <c r="A709" s="54"/>
      <c r="B709" s="54"/>
      <c r="C709" s="86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P709" s="44"/>
    </row>
    <row r="710">
      <c r="A710" s="54"/>
      <c r="B710" s="54"/>
      <c r="C710" s="86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P710" s="44"/>
    </row>
    <row r="711">
      <c r="A711" s="54"/>
      <c r="B711" s="54"/>
      <c r="C711" s="86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P711" s="44"/>
    </row>
    <row r="712">
      <c r="A712" s="54"/>
      <c r="B712" s="54"/>
      <c r="C712" s="86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P712" s="44"/>
    </row>
    <row r="713">
      <c r="A713" s="54"/>
      <c r="B713" s="54"/>
      <c r="C713" s="86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P713" s="44"/>
    </row>
    <row r="714">
      <c r="A714" s="54"/>
      <c r="B714" s="54"/>
      <c r="C714" s="86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P714" s="44"/>
    </row>
    <row r="715">
      <c r="A715" s="54"/>
      <c r="B715" s="54"/>
      <c r="C715" s="86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P715" s="44"/>
    </row>
    <row r="716">
      <c r="A716" s="54"/>
      <c r="B716" s="54"/>
      <c r="C716" s="86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P716" s="44"/>
    </row>
    <row r="717">
      <c r="A717" s="54"/>
      <c r="B717" s="54"/>
      <c r="C717" s="86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P717" s="44"/>
    </row>
    <row r="718">
      <c r="A718" s="54"/>
      <c r="B718" s="54"/>
      <c r="C718" s="86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P718" s="44"/>
    </row>
    <row r="719">
      <c r="A719" s="54"/>
      <c r="B719" s="54"/>
      <c r="C719" s="86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P719" s="44"/>
    </row>
    <row r="720">
      <c r="A720" s="54"/>
      <c r="B720" s="54"/>
      <c r="C720" s="86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P720" s="44"/>
    </row>
    <row r="721">
      <c r="A721" s="54"/>
      <c r="B721" s="54"/>
      <c r="C721" s="86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P721" s="44"/>
    </row>
    <row r="722">
      <c r="A722" s="54"/>
      <c r="B722" s="54"/>
      <c r="C722" s="86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P722" s="44"/>
    </row>
    <row r="723">
      <c r="A723" s="54"/>
      <c r="B723" s="54"/>
      <c r="C723" s="86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P723" s="44"/>
    </row>
    <row r="724">
      <c r="A724" s="54"/>
      <c r="B724" s="54"/>
      <c r="C724" s="86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P724" s="44"/>
    </row>
    <row r="725">
      <c r="A725" s="54"/>
      <c r="B725" s="54"/>
      <c r="C725" s="86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P725" s="44"/>
    </row>
    <row r="726">
      <c r="A726" s="54"/>
      <c r="B726" s="54"/>
      <c r="C726" s="86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P726" s="44"/>
    </row>
    <row r="727">
      <c r="A727" s="54"/>
      <c r="B727" s="54"/>
      <c r="C727" s="86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P727" s="44"/>
    </row>
    <row r="728">
      <c r="A728" s="54"/>
      <c r="B728" s="54"/>
      <c r="C728" s="86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P728" s="44"/>
    </row>
    <row r="729">
      <c r="A729" s="54"/>
      <c r="B729" s="54"/>
      <c r="C729" s="86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P729" s="44"/>
    </row>
    <row r="730">
      <c r="A730" s="54"/>
      <c r="B730" s="54"/>
      <c r="C730" s="86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P730" s="44"/>
    </row>
    <row r="731">
      <c r="A731" s="54"/>
      <c r="B731" s="54"/>
      <c r="C731" s="86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P731" s="44"/>
    </row>
    <row r="732">
      <c r="A732" s="54"/>
      <c r="B732" s="54"/>
      <c r="C732" s="86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P732" s="44"/>
    </row>
    <row r="733">
      <c r="A733" s="54"/>
      <c r="B733" s="54"/>
      <c r="C733" s="86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P733" s="44"/>
    </row>
    <row r="734">
      <c r="A734" s="54"/>
      <c r="B734" s="54"/>
      <c r="C734" s="86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P734" s="44"/>
    </row>
    <row r="735">
      <c r="A735" s="54"/>
      <c r="B735" s="54"/>
      <c r="C735" s="86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P735" s="44"/>
    </row>
    <row r="736">
      <c r="A736" s="54"/>
      <c r="B736" s="54"/>
      <c r="C736" s="86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P736" s="44"/>
    </row>
    <row r="737">
      <c r="A737" s="54"/>
      <c r="B737" s="54"/>
      <c r="C737" s="86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P737" s="44"/>
    </row>
    <row r="738">
      <c r="A738" s="54"/>
      <c r="B738" s="54"/>
      <c r="C738" s="86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P738" s="44"/>
    </row>
    <row r="739">
      <c r="A739" s="54"/>
      <c r="B739" s="54"/>
      <c r="C739" s="86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P739" s="44"/>
    </row>
    <row r="740">
      <c r="A740" s="54"/>
      <c r="B740" s="54"/>
      <c r="C740" s="86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P740" s="44"/>
    </row>
    <row r="741">
      <c r="A741" s="54"/>
      <c r="B741" s="54"/>
      <c r="C741" s="86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P741" s="44"/>
    </row>
    <row r="742">
      <c r="A742" s="54"/>
      <c r="B742" s="54"/>
      <c r="C742" s="86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P742" s="44"/>
    </row>
    <row r="743">
      <c r="A743" s="54"/>
      <c r="B743" s="54"/>
      <c r="C743" s="86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P743" s="44"/>
    </row>
    <row r="744">
      <c r="A744" s="54"/>
      <c r="B744" s="54"/>
      <c r="C744" s="86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P744" s="44"/>
    </row>
    <row r="745">
      <c r="A745" s="54"/>
      <c r="B745" s="54"/>
      <c r="C745" s="86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P745" s="44"/>
    </row>
    <row r="746">
      <c r="A746" s="54"/>
      <c r="B746" s="54"/>
      <c r="C746" s="86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P746" s="44"/>
    </row>
    <row r="747">
      <c r="A747" s="54"/>
      <c r="B747" s="54"/>
      <c r="C747" s="86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P747" s="44"/>
    </row>
    <row r="748">
      <c r="A748" s="54"/>
      <c r="B748" s="54"/>
      <c r="C748" s="86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P748" s="44"/>
    </row>
    <row r="749">
      <c r="A749" s="54"/>
      <c r="B749" s="54"/>
      <c r="C749" s="86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P749" s="44"/>
    </row>
    <row r="750">
      <c r="A750" s="54"/>
      <c r="B750" s="54"/>
      <c r="C750" s="86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P750" s="44"/>
    </row>
    <row r="751">
      <c r="A751" s="54"/>
      <c r="B751" s="54"/>
      <c r="C751" s="86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P751" s="44"/>
    </row>
    <row r="752">
      <c r="A752" s="54"/>
      <c r="B752" s="54"/>
      <c r="C752" s="86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P752" s="44"/>
    </row>
    <row r="753">
      <c r="A753" s="54"/>
      <c r="B753" s="54"/>
      <c r="C753" s="86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P753" s="44"/>
    </row>
    <row r="754">
      <c r="A754" s="54"/>
      <c r="B754" s="54"/>
      <c r="C754" s="86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P754" s="44"/>
    </row>
    <row r="755">
      <c r="A755" s="54"/>
      <c r="B755" s="54"/>
      <c r="C755" s="86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P755" s="44"/>
    </row>
    <row r="756">
      <c r="A756" s="54"/>
      <c r="B756" s="54"/>
      <c r="C756" s="86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P756" s="44"/>
    </row>
    <row r="757">
      <c r="A757" s="54"/>
      <c r="B757" s="54"/>
      <c r="C757" s="86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P757" s="44"/>
    </row>
    <row r="758">
      <c r="A758" s="54"/>
      <c r="B758" s="54"/>
      <c r="C758" s="86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P758" s="44"/>
    </row>
    <row r="759">
      <c r="A759" s="54"/>
      <c r="B759" s="54"/>
      <c r="C759" s="86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P759" s="44"/>
    </row>
    <row r="760">
      <c r="A760" s="54"/>
      <c r="B760" s="54"/>
      <c r="C760" s="86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P760" s="44"/>
    </row>
    <row r="761">
      <c r="A761" s="54"/>
      <c r="B761" s="54"/>
      <c r="C761" s="86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P761" s="44"/>
    </row>
    <row r="762">
      <c r="A762" s="54"/>
      <c r="B762" s="54"/>
      <c r="C762" s="86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P762" s="44"/>
    </row>
    <row r="763">
      <c r="A763" s="54"/>
      <c r="B763" s="54"/>
      <c r="C763" s="86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P763" s="44"/>
    </row>
    <row r="764">
      <c r="A764" s="54"/>
      <c r="B764" s="54"/>
      <c r="C764" s="86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P764" s="44"/>
    </row>
    <row r="765">
      <c r="A765" s="54"/>
      <c r="B765" s="54"/>
      <c r="C765" s="86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P765" s="44"/>
    </row>
    <row r="766">
      <c r="A766" s="54"/>
      <c r="B766" s="54"/>
      <c r="C766" s="86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P766" s="44"/>
    </row>
    <row r="767">
      <c r="A767" s="54"/>
      <c r="B767" s="54"/>
      <c r="C767" s="86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P767" s="44"/>
    </row>
    <row r="768">
      <c r="A768" s="54"/>
      <c r="B768" s="54"/>
      <c r="C768" s="86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P768" s="44"/>
    </row>
    <row r="769">
      <c r="A769" s="54"/>
      <c r="B769" s="54"/>
      <c r="C769" s="86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P769" s="44"/>
    </row>
    <row r="770">
      <c r="A770" s="54"/>
      <c r="B770" s="54"/>
      <c r="C770" s="86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P770" s="44"/>
    </row>
    <row r="771">
      <c r="A771" s="54"/>
      <c r="B771" s="54"/>
      <c r="C771" s="86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P771" s="44"/>
    </row>
    <row r="772">
      <c r="A772" s="54"/>
      <c r="B772" s="54"/>
      <c r="C772" s="86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P772" s="44"/>
    </row>
    <row r="773">
      <c r="A773" s="54"/>
      <c r="B773" s="54"/>
      <c r="C773" s="86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P773" s="44"/>
    </row>
    <row r="774">
      <c r="A774" s="54"/>
      <c r="B774" s="54"/>
      <c r="C774" s="86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P774" s="44"/>
    </row>
    <row r="775">
      <c r="A775" s="54"/>
      <c r="B775" s="54"/>
      <c r="C775" s="86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P775" s="44"/>
    </row>
    <row r="776">
      <c r="A776" s="54"/>
      <c r="B776" s="54"/>
      <c r="C776" s="86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P776" s="44"/>
    </row>
    <row r="777">
      <c r="A777" s="54"/>
      <c r="B777" s="54"/>
      <c r="C777" s="86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P777" s="44"/>
    </row>
    <row r="778">
      <c r="A778" s="54"/>
      <c r="B778" s="54"/>
      <c r="C778" s="86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P778" s="44"/>
    </row>
    <row r="779">
      <c r="A779" s="54"/>
      <c r="B779" s="54"/>
      <c r="C779" s="86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P779" s="44"/>
    </row>
    <row r="780">
      <c r="A780" s="54"/>
      <c r="B780" s="54"/>
      <c r="C780" s="86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P780" s="44"/>
    </row>
    <row r="781">
      <c r="A781" s="54"/>
      <c r="B781" s="54"/>
      <c r="C781" s="86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P781" s="44"/>
    </row>
    <row r="782">
      <c r="A782" s="54"/>
      <c r="B782" s="54"/>
      <c r="C782" s="86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P782" s="44"/>
    </row>
    <row r="783">
      <c r="A783" s="54"/>
      <c r="B783" s="54"/>
      <c r="C783" s="86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P783" s="44"/>
    </row>
    <row r="784">
      <c r="A784" s="54"/>
      <c r="B784" s="54"/>
      <c r="C784" s="86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P784" s="44"/>
    </row>
    <row r="785">
      <c r="A785" s="54"/>
      <c r="B785" s="54"/>
      <c r="C785" s="86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P785" s="44"/>
    </row>
    <row r="786">
      <c r="A786" s="54"/>
      <c r="B786" s="54"/>
      <c r="C786" s="86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P786" s="44"/>
    </row>
    <row r="787">
      <c r="A787" s="54"/>
      <c r="B787" s="54"/>
      <c r="C787" s="86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P787" s="44"/>
    </row>
    <row r="788">
      <c r="A788" s="54"/>
      <c r="B788" s="54"/>
      <c r="C788" s="86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P788" s="44"/>
    </row>
    <row r="789">
      <c r="A789" s="54"/>
      <c r="B789" s="54"/>
      <c r="C789" s="86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P789" s="44"/>
    </row>
    <row r="790">
      <c r="A790" s="54"/>
      <c r="B790" s="54"/>
      <c r="C790" s="86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P790" s="44"/>
    </row>
    <row r="791">
      <c r="A791" s="54"/>
      <c r="B791" s="54"/>
      <c r="C791" s="86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P791" s="44"/>
    </row>
    <row r="792">
      <c r="A792" s="54"/>
      <c r="B792" s="54"/>
      <c r="C792" s="86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P792" s="44"/>
    </row>
    <row r="793">
      <c r="A793" s="54"/>
      <c r="B793" s="54"/>
      <c r="C793" s="86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P793" s="44"/>
    </row>
    <row r="794">
      <c r="A794" s="54"/>
      <c r="B794" s="54"/>
      <c r="C794" s="86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P794" s="44"/>
    </row>
    <row r="795">
      <c r="A795" s="54"/>
      <c r="B795" s="54"/>
      <c r="C795" s="86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P795" s="44"/>
    </row>
    <row r="796">
      <c r="A796" s="54"/>
      <c r="B796" s="54"/>
      <c r="C796" s="86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P796" s="44"/>
    </row>
    <row r="797">
      <c r="A797" s="54"/>
      <c r="B797" s="54"/>
      <c r="C797" s="86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P797" s="44"/>
    </row>
    <row r="798">
      <c r="A798" s="54"/>
      <c r="B798" s="54"/>
      <c r="C798" s="86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P798" s="44"/>
    </row>
    <row r="799">
      <c r="A799" s="54"/>
      <c r="B799" s="54"/>
      <c r="C799" s="86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P799" s="44"/>
    </row>
    <row r="800">
      <c r="A800" s="54"/>
      <c r="B800" s="54"/>
      <c r="C800" s="86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P800" s="44"/>
    </row>
    <row r="801">
      <c r="A801" s="54"/>
      <c r="B801" s="54"/>
      <c r="C801" s="86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P801" s="44"/>
    </row>
    <row r="802">
      <c r="A802" s="54"/>
      <c r="B802" s="54"/>
      <c r="C802" s="86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P802" s="44"/>
    </row>
    <row r="803">
      <c r="A803" s="54"/>
      <c r="B803" s="54"/>
      <c r="C803" s="86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P803" s="44"/>
    </row>
    <row r="804">
      <c r="A804" s="54"/>
      <c r="B804" s="54"/>
      <c r="C804" s="86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P804" s="44"/>
    </row>
    <row r="805">
      <c r="A805" s="54"/>
      <c r="B805" s="54"/>
      <c r="C805" s="86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P805" s="44"/>
    </row>
    <row r="806">
      <c r="A806" s="54"/>
      <c r="B806" s="54"/>
      <c r="C806" s="86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P806" s="44"/>
    </row>
    <row r="807">
      <c r="A807" s="54"/>
      <c r="B807" s="54"/>
      <c r="C807" s="86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P807" s="44"/>
    </row>
    <row r="808">
      <c r="A808" s="54"/>
      <c r="B808" s="54"/>
      <c r="C808" s="86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P808" s="44"/>
    </row>
    <row r="809">
      <c r="A809" s="54"/>
      <c r="B809" s="54"/>
      <c r="C809" s="86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P809" s="44"/>
    </row>
    <row r="810">
      <c r="A810" s="54"/>
      <c r="B810" s="54"/>
      <c r="C810" s="86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P810" s="44"/>
    </row>
    <row r="811">
      <c r="A811" s="54"/>
      <c r="B811" s="54"/>
      <c r="C811" s="86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P811" s="44"/>
    </row>
    <row r="812">
      <c r="A812" s="54"/>
      <c r="B812" s="54"/>
      <c r="C812" s="86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P812" s="44"/>
    </row>
    <row r="813">
      <c r="A813" s="54"/>
      <c r="B813" s="54"/>
      <c r="C813" s="86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P813" s="44"/>
    </row>
    <row r="814">
      <c r="A814" s="54"/>
      <c r="B814" s="54"/>
      <c r="C814" s="86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P814" s="44"/>
    </row>
    <row r="815">
      <c r="A815" s="54"/>
      <c r="B815" s="54"/>
      <c r="C815" s="86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P815" s="44"/>
    </row>
    <row r="816">
      <c r="A816" s="54"/>
      <c r="B816" s="54"/>
      <c r="C816" s="86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P816" s="44"/>
    </row>
    <row r="817">
      <c r="A817" s="54"/>
      <c r="B817" s="54"/>
      <c r="C817" s="86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P817" s="44"/>
    </row>
    <row r="818">
      <c r="A818" s="54"/>
      <c r="B818" s="54"/>
      <c r="C818" s="86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P818" s="44"/>
    </row>
    <row r="819">
      <c r="A819" s="54"/>
      <c r="B819" s="54"/>
      <c r="C819" s="86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P819" s="44"/>
    </row>
    <row r="820">
      <c r="A820" s="54"/>
      <c r="B820" s="54"/>
      <c r="C820" s="86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P820" s="44"/>
    </row>
    <row r="821">
      <c r="A821" s="54"/>
      <c r="B821" s="54"/>
      <c r="C821" s="86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P821" s="44"/>
    </row>
    <row r="822">
      <c r="A822" s="54"/>
      <c r="B822" s="54"/>
      <c r="C822" s="86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P822" s="44"/>
    </row>
    <row r="823">
      <c r="A823" s="54"/>
      <c r="B823" s="54"/>
      <c r="C823" s="86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P823" s="44"/>
    </row>
    <row r="824">
      <c r="A824" s="54"/>
      <c r="B824" s="54"/>
      <c r="C824" s="86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P824" s="44"/>
    </row>
    <row r="825">
      <c r="A825" s="54"/>
      <c r="B825" s="54"/>
      <c r="C825" s="86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P825" s="44"/>
    </row>
    <row r="826">
      <c r="A826" s="54"/>
      <c r="B826" s="54"/>
      <c r="C826" s="86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P826" s="44"/>
    </row>
    <row r="827">
      <c r="A827" s="54"/>
      <c r="B827" s="54"/>
      <c r="C827" s="86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P827" s="44"/>
    </row>
    <row r="828">
      <c r="A828" s="54"/>
      <c r="B828" s="54"/>
      <c r="C828" s="86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P828" s="44"/>
    </row>
    <row r="829">
      <c r="A829" s="54"/>
      <c r="B829" s="54"/>
      <c r="C829" s="86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P829" s="44"/>
    </row>
    <row r="830">
      <c r="A830" s="54"/>
      <c r="B830" s="54"/>
      <c r="C830" s="86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P830" s="44"/>
    </row>
    <row r="831">
      <c r="A831" s="54"/>
      <c r="B831" s="54"/>
      <c r="C831" s="86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P831" s="44"/>
    </row>
    <row r="832">
      <c r="A832" s="54"/>
      <c r="B832" s="54"/>
      <c r="C832" s="86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P832" s="44"/>
    </row>
    <row r="833">
      <c r="A833" s="54"/>
      <c r="B833" s="54"/>
      <c r="C833" s="86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P833" s="44"/>
    </row>
    <row r="834">
      <c r="A834" s="54"/>
      <c r="B834" s="54"/>
      <c r="C834" s="86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P834" s="44"/>
    </row>
    <row r="835">
      <c r="A835" s="54"/>
      <c r="B835" s="54"/>
      <c r="C835" s="86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P835" s="44"/>
    </row>
    <row r="836">
      <c r="A836" s="54"/>
      <c r="B836" s="54"/>
      <c r="C836" s="86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P836" s="44"/>
    </row>
    <row r="837">
      <c r="A837" s="54"/>
      <c r="B837" s="54"/>
      <c r="C837" s="86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P837" s="44"/>
    </row>
    <row r="838">
      <c r="A838" s="54"/>
      <c r="B838" s="54"/>
      <c r="C838" s="86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P838" s="44"/>
    </row>
    <row r="839">
      <c r="A839" s="54"/>
      <c r="B839" s="54"/>
      <c r="C839" s="86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P839" s="44"/>
    </row>
    <row r="840">
      <c r="A840" s="54"/>
      <c r="B840" s="54"/>
      <c r="C840" s="86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P840" s="44"/>
    </row>
    <row r="841">
      <c r="A841" s="54"/>
      <c r="B841" s="54"/>
      <c r="C841" s="86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P841" s="44"/>
    </row>
    <row r="842">
      <c r="A842" s="54"/>
      <c r="B842" s="54"/>
      <c r="C842" s="86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P842" s="44"/>
    </row>
    <row r="843">
      <c r="A843" s="54"/>
      <c r="B843" s="54"/>
      <c r="C843" s="86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P843" s="44"/>
    </row>
    <row r="844">
      <c r="A844" s="54"/>
      <c r="B844" s="54"/>
      <c r="C844" s="86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P844" s="44"/>
    </row>
    <row r="845">
      <c r="A845" s="54"/>
      <c r="B845" s="54"/>
      <c r="C845" s="86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P845" s="44"/>
    </row>
    <row r="846">
      <c r="A846" s="54"/>
      <c r="B846" s="54"/>
      <c r="C846" s="86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P846" s="44"/>
    </row>
    <row r="847">
      <c r="A847" s="54"/>
      <c r="B847" s="54"/>
      <c r="C847" s="86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P847" s="44"/>
    </row>
    <row r="848">
      <c r="A848" s="54"/>
      <c r="B848" s="54"/>
      <c r="C848" s="86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P848" s="44"/>
    </row>
    <row r="849">
      <c r="A849" s="54"/>
      <c r="B849" s="54"/>
      <c r="C849" s="86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P849" s="44"/>
    </row>
    <row r="850">
      <c r="A850" s="54"/>
      <c r="B850" s="54"/>
      <c r="C850" s="86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P850" s="44"/>
    </row>
    <row r="851">
      <c r="A851" s="54"/>
      <c r="B851" s="54"/>
      <c r="C851" s="86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P851" s="44"/>
    </row>
    <row r="852">
      <c r="A852" s="54"/>
      <c r="B852" s="54"/>
      <c r="C852" s="86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P852" s="44"/>
    </row>
    <row r="853">
      <c r="A853" s="54"/>
      <c r="B853" s="54"/>
      <c r="C853" s="86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P853" s="44"/>
    </row>
    <row r="854">
      <c r="A854" s="54"/>
      <c r="B854" s="54"/>
      <c r="C854" s="86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P854" s="44"/>
    </row>
    <row r="855">
      <c r="A855" s="54"/>
      <c r="B855" s="54"/>
      <c r="C855" s="86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P855" s="44"/>
    </row>
    <row r="856">
      <c r="A856" s="54"/>
      <c r="B856" s="54"/>
      <c r="C856" s="86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P856" s="44"/>
    </row>
    <row r="857">
      <c r="A857" s="54"/>
      <c r="B857" s="54"/>
      <c r="C857" s="86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P857" s="44"/>
    </row>
    <row r="858">
      <c r="A858" s="54"/>
      <c r="B858" s="54"/>
      <c r="C858" s="86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P858" s="44"/>
    </row>
    <row r="859">
      <c r="A859" s="54"/>
      <c r="B859" s="54"/>
      <c r="C859" s="86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P859" s="44"/>
    </row>
    <row r="860">
      <c r="A860" s="54"/>
      <c r="B860" s="54"/>
      <c r="C860" s="86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P860" s="44"/>
    </row>
    <row r="861">
      <c r="A861" s="54"/>
      <c r="B861" s="54"/>
      <c r="C861" s="86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P861" s="44"/>
    </row>
    <row r="862">
      <c r="A862" s="54"/>
      <c r="B862" s="54"/>
      <c r="C862" s="86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P862" s="44"/>
    </row>
    <row r="863">
      <c r="A863" s="54"/>
      <c r="B863" s="54"/>
      <c r="C863" s="86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P863" s="44"/>
    </row>
    <row r="864">
      <c r="A864" s="54"/>
      <c r="B864" s="54"/>
      <c r="C864" s="86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P864" s="44"/>
    </row>
    <row r="865">
      <c r="A865" s="54"/>
      <c r="B865" s="54"/>
      <c r="C865" s="86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P865" s="44"/>
    </row>
    <row r="866">
      <c r="A866" s="54"/>
      <c r="B866" s="54"/>
      <c r="C866" s="86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P866" s="44"/>
    </row>
    <row r="867">
      <c r="A867" s="54"/>
      <c r="B867" s="54"/>
      <c r="C867" s="86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P867" s="44"/>
    </row>
    <row r="868">
      <c r="A868" s="54"/>
      <c r="B868" s="54"/>
      <c r="C868" s="86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P868" s="44"/>
    </row>
    <row r="869">
      <c r="A869" s="54"/>
      <c r="B869" s="54"/>
      <c r="C869" s="86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P869" s="44"/>
    </row>
    <row r="870">
      <c r="A870" s="54"/>
      <c r="B870" s="54"/>
      <c r="C870" s="86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P870" s="44"/>
    </row>
    <row r="871">
      <c r="A871" s="54"/>
      <c r="B871" s="54"/>
      <c r="C871" s="86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P871" s="44"/>
    </row>
    <row r="872">
      <c r="A872" s="54"/>
      <c r="B872" s="54"/>
      <c r="C872" s="86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P872" s="44"/>
    </row>
    <row r="873">
      <c r="A873" s="54"/>
      <c r="B873" s="54"/>
      <c r="C873" s="86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P873" s="44"/>
    </row>
    <row r="874">
      <c r="A874" s="54"/>
      <c r="B874" s="54"/>
      <c r="C874" s="86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P874" s="44"/>
    </row>
    <row r="875">
      <c r="A875" s="54"/>
      <c r="B875" s="54"/>
      <c r="C875" s="86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P875" s="44"/>
    </row>
    <row r="876">
      <c r="A876" s="54"/>
      <c r="B876" s="54"/>
      <c r="C876" s="86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P876" s="44"/>
    </row>
    <row r="877">
      <c r="A877" s="54"/>
      <c r="B877" s="54"/>
      <c r="C877" s="86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P877" s="44"/>
    </row>
    <row r="878">
      <c r="A878" s="54"/>
      <c r="B878" s="54"/>
      <c r="C878" s="86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P878" s="44"/>
    </row>
    <row r="879">
      <c r="A879" s="54"/>
      <c r="B879" s="54"/>
      <c r="C879" s="86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P879" s="44"/>
    </row>
    <row r="880">
      <c r="A880" s="54"/>
      <c r="B880" s="54"/>
      <c r="C880" s="86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P880" s="44"/>
    </row>
    <row r="881">
      <c r="A881" s="54"/>
      <c r="B881" s="54"/>
      <c r="C881" s="86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P881" s="44"/>
    </row>
    <row r="882">
      <c r="A882" s="54"/>
      <c r="B882" s="54"/>
      <c r="C882" s="86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P882" s="44"/>
    </row>
    <row r="883">
      <c r="A883" s="54"/>
      <c r="B883" s="54"/>
      <c r="C883" s="86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P883" s="44"/>
    </row>
    <row r="884">
      <c r="A884" s="54"/>
      <c r="B884" s="54"/>
      <c r="C884" s="86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P884" s="44"/>
    </row>
    <row r="885">
      <c r="A885" s="54"/>
      <c r="B885" s="54"/>
      <c r="C885" s="86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P885" s="44"/>
    </row>
    <row r="886">
      <c r="A886" s="54"/>
      <c r="B886" s="54"/>
      <c r="C886" s="86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P886" s="44"/>
    </row>
    <row r="887">
      <c r="A887" s="54"/>
      <c r="B887" s="54"/>
      <c r="C887" s="86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P887" s="44"/>
    </row>
    <row r="888">
      <c r="A888" s="54"/>
      <c r="B888" s="54"/>
      <c r="C888" s="86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P888" s="44"/>
    </row>
    <row r="889">
      <c r="A889" s="54"/>
      <c r="B889" s="54"/>
      <c r="C889" s="86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P889" s="44"/>
    </row>
    <row r="890">
      <c r="A890" s="54"/>
      <c r="B890" s="54"/>
      <c r="C890" s="86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P890" s="44"/>
    </row>
    <row r="891">
      <c r="A891" s="54"/>
      <c r="B891" s="54"/>
      <c r="C891" s="86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P891" s="44"/>
    </row>
    <row r="892">
      <c r="A892" s="54"/>
      <c r="B892" s="54"/>
      <c r="C892" s="86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P892" s="44"/>
    </row>
    <row r="893">
      <c r="A893" s="54"/>
      <c r="B893" s="54"/>
      <c r="C893" s="86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P893" s="44"/>
    </row>
    <row r="894">
      <c r="A894" s="54"/>
      <c r="B894" s="54"/>
      <c r="C894" s="86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P894" s="44"/>
    </row>
    <row r="895">
      <c r="A895" s="54"/>
      <c r="B895" s="54"/>
      <c r="C895" s="86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P895" s="44"/>
    </row>
    <row r="896">
      <c r="A896" s="54"/>
      <c r="B896" s="54"/>
      <c r="C896" s="86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P896" s="44"/>
    </row>
    <row r="897">
      <c r="A897" s="54"/>
      <c r="B897" s="54"/>
      <c r="C897" s="86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P897" s="44"/>
    </row>
    <row r="898">
      <c r="A898" s="54"/>
      <c r="B898" s="54"/>
      <c r="C898" s="86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P898" s="44"/>
    </row>
    <row r="899">
      <c r="A899" s="54"/>
      <c r="B899" s="54"/>
      <c r="C899" s="86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P899" s="44"/>
    </row>
    <row r="900">
      <c r="A900" s="54"/>
      <c r="B900" s="54"/>
      <c r="C900" s="86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P900" s="44"/>
    </row>
    <row r="901">
      <c r="A901" s="54"/>
      <c r="B901" s="54"/>
      <c r="C901" s="86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P901" s="44"/>
    </row>
    <row r="902">
      <c r="A902" s="54"/>
      <c r="B902" s="54"/>
      <c r="C902" s="86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P902" s="44"/>
    </row>
    <row r="903">
      <c r="A903" s="54"/>
      <c r="B903" s="54"/>
      <c r="C903" s="86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P903" s="44"/>
    </row>
    <row r="904">
      <c r="A904" s="54"/>
      <c r="B904" s="54"/>
      <c r="C904" s="86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P904" s="44"/>
    </row>
    <row r="905">
      <c r="A905" s="54"/>
      <c r="B905" s="54"/>
      <c r="C905" s="86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P905" s="44"/>
    </row>
    <row r="906">
      <c r="A906" s="54"/>
      <c r="B906" s="54"/>
      <c r="C906" s="86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P906" s="44"/>
    </row>
    <row r="907">
      <c r="A907" s="54"/>
      <c r="B907" s="54"/>
      <c r="C907" s="86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P907" s="44"/>
    </row>
    <row r="908">
      <c r="A908" s="54"/>
      <c r="B908" s="54"/>
      <c r="C908" s="86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P908" s="44"/>
    </row>
    <row r="909">
      <c r="A909" s="54"/>
      <c r="B909" s="54"/>
      <c r="C909" s="86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P909" s="44"/>
    </row>
    <row r="910">
      <c r="A910" s="54"/>
      <c r="B910" s="54"/>
      <c r="C910" s="86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P910" s="44"/>
    </row>
    <row r="911">
      <c r="A911" s="54"/>
      <c r="B911" s="54"/>
      <c r="C911" s="86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P911" s="44"/>
    </row>
    <row r="912">
      <c r="A912" s="54"/>
      <c r="B912" s="54"/>
      <c r="C912" s="86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P912" s="44"/>
    </row>
    <row r="913">
      <c r="A913" s="54"/>
      <c r="B913" s="54"/>
      <c r="C913" s="86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P913" s="44"/>
    </row>
    <row r="914">
      <c r="A914" s="54"/>
      <c r="B914" s="54"/>
      <c r="C914" s="86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P914" s="44"/>
    </row>
    <row r="915">
      <c r="A915" s="54"/>
      <c r="B915" s="54"/>
      <c r="C915" s="86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P915" s="44"/>
    </row>
    <row r="916">
      <c r="A916" s="54"/>
      <c r="B916" s="54"/>
      <c r="C916" s="86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P916" s="44"/>
    </row>
    <row r="917">
      <c r="A917" s="54"/>
      <c r="B917" s="54"/>
      <c r="C917" s="86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P917" s="44"/>
    </row>
    <row r="918">
      <c r="A918" s="54"/>
      <c r="B918" s="54"/>
      <c r="C918" s="86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P918" s="44"/>
    </row>
    <row r="919">
      <c r="A919" s="54"/>
      <c r="B919" s="54"/>
      <c r="C919" s="86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P919" s="44"/>
    </row>
    <row r="920">
      <c r="A920" s="54"/>
      <c r="B920" s="54"/>
      <c r="C920" s="86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P920" s="44"/>
    </row>
    <row r="921">
      <c r="A921" s="54"/>
      <c r="B921" s="54"/>
      <c r="C921" s="86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P921" s="44"/>
    </row>
    <row r="922">
      <c r="A922" s="54"/>
      <c r="B922" s="54"/>
      <c r="C922" s="86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P922" s="44"/>
    </row>
    <row r="923">
      <c r="A923" s="54"/>
      <c r="B923" s="54"/>
      <c r="C923" s="86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P923" s="44"/>
    </row>
    <row r="924">
      <c r="A924" s="54"/>
      <c r="B924" s="54"/>
      <c r="C924" s="86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P924" s="44"/>
    </row>
    <row r="925">
      <c r="A925" s="54"/>
      <c r="B925" s="54"/>
      <c r="C925" s="86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P925" s="44"/>
    </row>
    <row r="926">
      <c r="A926" s="54"/>
      <c r="B926" s="54"/>
      <c r="C926" s="86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P926" s="44"/>
    </row>
    <row r="927">
      <c r="A927" s="54"/>
      <c r="B927" s="54"/>
      <c r="C927" s="86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P927" s="44"/>
    </row>
    <row r="928">
      <c r="A928" s="54"/>
      <c r="B928" s="54"/>
      <c r="C928" s="86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P928" s="44"/>
    </row>
    <row r="929">
      <c r="A929" s="54"/>
      <c r="B929" s="54"/>
      <c r="C929" s="86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P929" s="44"/>
    </row>
    <row r="930">
      <c r="A930" s="54"/>
      <c r="B930" s="54"/>
      <c r="C930" s="86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P930" s="44"/>
    </row>
    <row r="931">
      <c r="A931" s="54"/>
      <c r="B931" s="54"/>
      <c r="C931" s="86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P931" s="44"/>
    </row>
    <row r="932">
      <c r="A932" s="54"/>
      <c r="B932" s="54"/>
      <c r="C932" s="86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P932" s="44"/>
    </row>
    <row r="933">
      <c r="A933" s="54"/>
      <c r="B933" s="54"/>
      <c r="C933" s="86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P933" s="44"/>
    </row>
    <row r="934">
      <c r="A934" s="54"/>
      <c r="B934" s="54"/>
      <c r="C934" s="86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P934" s="44"/>
    </row>
    <row r="935">
      <c r="A935" s="54"/>
      <c r="B935" s="54"/>
      <c r="C935" s="86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P935" s="44"/>
    </row>
    <row r="936">
      <c r="A936" s="54"/>
      <c r="B936" s="54"/>
      <c r="C936" s="86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P936" s="44"/>
    </row>
    <row r="937">
      <c r="A937" s="54"/>
      <c r="B937" s="54"/>
      <c r="C937" s="86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P937" s="44"/>
    </row>
    <row r="938">
      <c r="A938" s="54"/>
      <c r="B938" s="54"/>
      <c r="C938" s="86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P938" s="44"/>
    </row>
    <row r="939">
      <c r="A939" s="54"/>
      <c r="B939" s="54"/>
      <c r="C939" s="86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P939" s="44"/>
    </row>
    <row r="940">
      <c r="A940" s="54"/>
      <c r="B940" s="54"/>
      <c r="C940" s="86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P940" s="44"/>
    </row>
    <row r="941">
      <c r="A941" s="54"/>
      <c r="B941" s="54"/>
      <c r="C941" s="86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P941" s="44"/>
    </row>
    <row r="942">
      <c r="A942" s="54"/>
      <c r="B942" s="54"/>
      <c r="C942" s="86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P942" s="44"/>
    </row>
    <row r="943">
      <c r="A943" s="54"/>
      <c r="B943" s="54"/>
      <c r="C943" s="86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P943" s="44"/>
    </row>
    <row r="944">
      <c r="A944" s="54"/>
      <c r="B944" s="54"/>
      <c r="C944" s="86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P944" s="44"/>
    </row>
    <row r="945">
      <c r="A945" s="54"/>
      <c r="B945" s="54"/>
      <c r="C945" s="86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P945" s="44"/>
    </row>
    <row r="946">
      <c r="A946" s="54"/>
      <c r="B946" s="54"/>
      <c r="C946" s="86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P946" s="44"/>
    </row>
    <row r="947">
      <c r="A947" s="54"/>
      <c r="B947" s="54"/>
      <c r="C947" s="86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P947" s="44"/>
    </row>
    <row r="948">
      <c r="A948" s="54"/>
      <c r="B948" s="54"/>
      <c r="C948" s="86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P948" s="44"/>
    </row>
    <row r="949">
      <c r="A949" s="54"/>
      <c r="B949" s="54"/>
      <c r="C949" s="86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P949" s="44"/>
    </row>
    <row r="950">
      <c r="A950" s="54"/>
      <c r="B950" s="54"/>
      <c r="C950" s="86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P950" s="44"/>
    </row>
    <row r="951">
      <c r="A951" s="54"/>
      <c r="B951" s="54"/>
      <c r="C951" s="86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P951" s="44"/>
    </row>
    <row r="952">
      <c r="A952" s="54"/>
      <c r="B952" s="54"/>
      <c r="C952" s="86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P952" s="44"/>
    </row>
    <row r="953">
      <c r="A953" s="54"/>
      <c r="B953" s="54"/>
      <c r="C953" s="86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P953" s="44"/>
    </row>
    <row r="954">
      <c r="A954" s="54"/>
      <c r="B954" s="54"/>
      <c r="C954" s="86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P954" s="44"/>
    </row>
    <row r="955">
      <c r="A955" s="54"/>
      <c r="B955" s="54"/>
      <c r="C955" s="86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P955" s="44"/>
    </row>
    <row r="956">
      <c r="A956" s="54"/>
      <c r="B956" s="54"/>
      <c r="C956" s="86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P956" s="44"/>
    </row>
    <row r="957">
      <c r="A957" s="54"/>
      <c r="B957" s="54"/>
      <c r="C957" s="86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P957" s="44"/>
    </row>
    <row r="958">
      <c r="A958" s="54"/>
      <c r="B958" s="54"/>
      <c r="C958" s="86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P958" s="44"/>
    </row>
    <row r="959">
      <c r="A959" s="54"/>
      <c r="B959" s="54"/>
      <c r="C959" s="86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P959" s="44"/>
    </row>
    <row r="960">
      <c r="A960" s="54"/>
      <c r="B960" s="54"/>
      <c r="C960" s="86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P960" s="44"/>
    </row>
    <row r="961">
      <c r="A961" s="54"/>
      <c r="B961" s="54"/>
      <c r="C961" s="86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P961" s="44"/>
    </row>
    <row r="962">
      <c r="A962" s="54"/>
      <c r="B962" s="54"/>
      <c r="C962" s="86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P962" s="44"/>
    </row>
    <row r="963">
      <c r="A963" s="54"/>
      <c r="B963" s="54"/>
      <c r="C963" s="86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P963" s="44"/>
    </row>
    <row r="964">
      <c r="A964" s="54"/>
      <c r="B964" s="54"/>
      <c r="C964" s="86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P964" s="44"/>
    </row>
    <row r="965">
      <c r="A965" s="54"/>
      <c r="B965" s="54"/>
      <c r="C965" s="86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P965" s="44"/>
    </row>
    <row r="966">
      <c r="A966" s="54"/>
      <c r="B966" s="54"/>
      <c r="C966" s="86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P966" s="44"/>
    </row>
    <row r="967">
      <c r="A967" s="54"/>
      <c r="B967" s="54"/>
      <c r="C967" s="86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P967" s="44"/>
    </row>
    <row r="968">
      <c r="A968" s="54"/>
      <c r="B968" s="54"/>
      <c r="C968" s="86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P968" s="44"/>
    </row>
    <row r="969">
      <c r="A969" s="54"/>
      <c r="B969" s="54"/>
      <c r="C969" s="86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P969" s="44"/>
    </row>
    <row r="970">
      <c r="A970" s="54"/>
      <c r="B970" s="54"/>
      <c r="C970" s="86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P970" s="44"/>
    </row>
    <row r="971">
      <c r="A971" s="54"/>
      <c r="B971" s="54"/>
      <c r="C971" s="86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P971" s="44"/>
    </row>
    <row r="972">
      <c r="A972" s="54"/>
      <c r="B972" s="54"/>
      <c r="C972" s="86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P972" s="44"/>
    </row>
    <row r="973">
      <c r="A973" s="54"/>
      <c r="B973" s="54"/>
      <c r="C973" s="86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P973" s="44"/>
    </row>
    <row r="974">
      <c r="A974" s="54"/>
      <c r="B974" s="54"/>
      <c r="C974" s="86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P974" s="44"/>
    </row>
    <row r="975">
      <c r="A975" s="54"/>
      <c r="B975" s="54"/>
      <c r="C975" s="86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P975" s="44"/>
    </row>
    <row r="976">
      <c r="A976" s="54"/>
      <c r="B976" s="54"/>
      <c r="C976" s="86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P976" s="44"/>
    </row>
    <row r="977">
      <c r="A977" s="54"/>
      <c r="B977" s="54"/>
      <c r="C977" s="86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P977" s="44"/>
    </row>
    <row r="978">
      <c r="A978" s="54"/>
      <c r="B978" s="54"/>
      <c r="C978" s="86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P978" s="44"/>
    </row>
    <row r="979">
      <c r="A979" s="54"/>
      <c r="B979" s="54"/>
      <c r="C979" s="86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P979" s="44"/>
    </row>
    <row r="980">
      <c r="A980" s="54"/>
      <c r="B980" s="54"/>
      <c r="C980" s="86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P980" s="44"/>
    </row>
    <row r="981">
      <c r="A981" s="54"/>
      <c r="B981" s="54"/>
      <c r="C981" s="86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P981" s="44"/>
    </row>
    <row r="982">
      <c r="A982" s="54"/>
      <c r="B982" s="54"/>
      <c r="C982" s="86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P982" s="44"/>
    </row>
    <row r="983">
      <c r="A983" s="54"/>
      <c r="B983" s="54"/>
      <c r="C983" s="86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P983" s="44"/>
    </row>
    <row r="984">
      <c r="A984" s="54"/>
      <c r="B984" s="54"/>
      <c r="C984" s="86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P984" s="44"/>
    </row>
    <row r="985">
      <c r="A985" s="54"/>
      <c r="B985" s="54"/>
      <c r="C985" s="86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P985" s="44"/>
    </row>
    <row r="986">
      <c r="A986" s="54"/>
      <c r="B986" s="54"/>
      <c r="C986" s="86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P986" s="44"/>
    </row>
    <row r="987">
      <c r="A987" s="54"/>
      <c r="B987" s="54"/>
      <c r="C987" s="86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P987" s="44"/>
    </row>
    <row r="988">
      <c r="A988" s="54"/>
      <c r="B988" s="54"/>
      <c r="C988" s="86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P988" s="44"/>
    </row>
    <row r="989">
      <c r="A989" s="54"/>
      <c r="B989" s="54"/>
      <c r="C989" s="86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P989" s="44"/>
    </row>
    <row r="990">
      <c r="A990" s="54"/>
      <c r="B990" s="54"/>
      <c r="C990" s="86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P990" s="44"/>
    </row>
    <row r="991">
      <c r="A991" s="54"/>
      <c r="B991" s="54"/>
      <c r="C991" s="86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P991" s="44"/>
    </row>
    <row r="992">
      <c r="A992" s="54"/>
      <c r="B992" s="54"/>
      <c r="C992" s="86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P992" s="44"/>
    </row>
    <row r="993">
      <c r="A993" s="54"/>
      <c r="B993" s="54"/>
      <c r="C993" s="86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P993" s="44"/>
    </row>
    <row r="994">
      <c r="A994" s="54"/>
      <c r="B994" s="54"/>
      <c r="C994" s="86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P994" s="44"/>
    </row>
    <row r="995">
      <c r="A995" s="54"/>
      <c r="B995" s="54"/>
      <c r="C995" s="86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P995" s="44"/>
    </row>
    <row r="996">
      <c r="A996" s="54"/>
      <c r="B996" s="54"/>
      <c r="C996" s="86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P996" s="44"/>
    </row>
    <row r="997">
      <c r="A997" s="54"/>
      <c r="B997" s="54"/>
      <c r="C997" s="86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P997" s="44"/>
    </row>
    <row r="998">
      <c r="A998" s="54"/>
      <c r="B998" s="54"/>
      <c r="C998" s="86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P998" s="44"/>
    </row>
    <row r="999">
      <c r="A999" s="54"/>
      <c r="B999" s="54"/>
      <c r="C999" s="86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P999" s="44"/>
    </row>
    <row r="1000">
      <c r="A1000" s="54"/>
      <c r="B1000" s="54"/>
      <c r="C1000" s="86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P1000" s="44"/>
    </row>
    <row r="1001">
      <c r="A1001" s="54"/>
      <c r="B1001" s="54"/>
      <c r="C1001" s="86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P1001" s="44"/>
    </row>
  </sheetData>
  <mergeCells count="46">
    <mergeCell ref="B3:I3"/>
    <mergeCell ref="B7:I7"/>
    <mergeCell ref="M8:O8"/>
    <mergeCell ref="B11:I11"/>
    <mergeCell ref="E13:G13"/>
    <mergeCell ref="M14:O14"/>
    <mergeCell ref="M18:O18"/>
    <mergeCell ref="M31:O31"/>
    <mergeCell ref="M36:O36"/>
    <mergeCell ref="B17:I17"/>
    <mergeCell ref="B21:I21"/>
    <mergeCell ref="M22:O22"/>
    <mergeCell ref="B25:I25"/>
    <mergeCell ref="M26:O26"/>
    <mergeCell ref="B30:I30"/>
    <mergeCell ref="B35:I35"/>
    <mergeCell ref="B40:I40"/>
    <mergeCell ref="M41:O41"/>
    <mergeCell ref="B44:I44"/>
    <mergeCell ref="E45:G45"/>
    <mergeCell ref="M45:Q45"/>
    <mergeCell ref="B48:I48"/>
    <mergeCell ref="M49:Q49"/>
    <mergeCell ref="B52:I52"/>
    <mergeCell ref="M52:Q52"/>
    <mergeCell ref="B55:I55"/>
    <mergeCell ref="B56:I56"/>
    <mergeCell ref="M57:Q57"/>
    <mergeCell ref="B60:I60"/>
    <mergeCell ref="M61:Q61"/>
    <mergeCell ref="B65:I65"/>
    <mergeCell ref="M66:Q66"/>
    <mergeCell ref="B72:I72"/>
    <mergeCell ref="M72:Q72"/>
    <mergeCell ref="B75:I75"/>
    <mergeCell ref="M76:Q76"/>
    <mergeCell ref="M81:Q81"/>
    <mergeCell ref="M93:Q93"/>
    <mergeCell ref="M97:Q97"/>
    <mergeCell ref="B80:I80"/>
    <mergeCell ref="B84:I84"/>
    <mergeCell ref="M85:Q85"/>
    <mergeCell ref="B88:I88"/>
    <mergeCell ref="M89:Q89"/>
    <mergeCell ref="B92:I92"/>
    <mergeCell ref="B96:I96"/>
  </mergeCells>
  <conditionalFormatting sqref="J60 J65 J72 J75 J80 J84 J88 J92 J96">
    <cfRule type="expression" dxfId="0" priority="1">
      <formula>ABS(J:J)&gt;7</formula>
    </cfRule>
  </conditionalFormatting>
  <conditionalFormatting sqref="J2">
    <cfRule type="expression" dxfId="0" priority="2">
      <formula>ABS(J2:J1002)&gt;5</formula>
    </cfRule>
  </conditionalFormatting>
  <conditionalFormatting sqref="K2">
    <cfRule type="cellIs" dxfId="1" priority="3" operator="greaterThanOrEqual">
      <formula>35</formula>
    </cfRule>
  </conditionalFormatting>
  <conditionalFormatting sqref="K2">
    <cfRule type="cellIs" dxfId="2" priority="4" operator="greaterThanOrEqual">
      <formula>33</formula>
    </cfRule>
  </conditionalFormatting>
  <conditionalFormatting sqref="K2">
    <cfRule type="cellIs" dxfId="3" priority="5" operator="greaterThanOrEqual">
      <formula>33</formula>
    </cfRule>
  </conditionalFormatting>
  <conditionalFormatting sqref="K2">
    <cfRule type="cellIs" dxfId="4" priority="6" operator="greaterThanOrEqual">
      <formula>29</formula>
    </cfRule>
  </conditionalFormatting>
  <conditionalFormatting sqref="J2">
    <cfRule type="expression" dxfId="0" priority="7">
      <formula>ABS(J:J)&gt;10.3</formula>
    </cfRule>
  </conditionalFormatting>
  <conditionalFormatting sqref="K1:K39 K41:K43 K45:K47 K49:K51 K53:K54 K57:K1001">
    <cfRule type="cellIs" dxfId="3" priority="8" operator="greaterThanOrEqual">
      <formula>34</formula>
    </cfRule>
  </conditionalFormatting>
  <conditionalFormatting sqref="K1:K39 K41:K43 K45:K47 K49:K51 K53:K54 K57:K1001">
    <cfRule type="cellIs" dxfId="4" priority="9" operator="greaterThanOrEqual">
      <formula>31</formula>
    </cfRule>
  </conditionalFormatting>
  <conditionalFormatting sqref="J1:J39 J41:J43 J45:J47 J49:J51 J53:J54 J57:J59 J61:J1001">
    <cfRule type="expression" dxfId="0" priority="10">
      <formula>ABS(J:J)&gt;5</formula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136" t="s">
        <v>55</v>
      </c>
      <c r="C1" s="120" t="s">
        <v>56</v>
      </c>
      <c r="D1" s="120" t="s">
        <v>57</v>
      </c>
      <c r="E1" s="137" t="s">
        <v>58</v>
      </c>
      <c r="F1" s="137" t="s">
        <v>59</v>
      </c>
      <c r="G1" s="120" t="s">
        <v>60</v>
      </c>
      <c r="H1" s="120" t="s">
        <v>61</v>
      </c>
      <c r="I1" s="120" t="s">
        <v>62</v>
      </c>
      <c r="J1" s="137" t="s">
        <v>63</v>
      </c>
      <c r="K1" s="138" t="s">
        <v>64</v>
      </c>
      <c r="L1" s="44"/>
      <c r="P1" s="86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139" t="s">
        <v>102</v>
      </c>
      <c r="B2" s="140"/>
      <c r="C2" s="140"/>
      <c r="D2" s="54"/>
      <c r="E2" s="141"/>
      <c r="F2" s="141">
        <f>SUM(F6:F9,F11:F16,F18:F22,F24,F30:F37,F39:F45,F47:F54,F56:F63,F65:F74,F76:F79,F84:F85,F87:F91,F93:F98,F100:F106,F108:F117,F119:F128,F131:F135,F137,F139:F145,F147:F152,F154:F155,F157:F160,F162:F165,F167:F170,F172:F175,F177:F178,F180,F182,F186:F187,F189:F191,F196:F198,F202:F203,F205:F208,F210,F212:F214,F216,F218:F219,F221:F222,F224:F226,F231,F237,F239:F240,F247,F249:F250,F252,F252:F253,F255:F996)</f>
        <v>216973</v>
      </c>
      <c r="G2" s="141">
        <f>MAX(G5:G996)</f>
        <v>752</v>
      </c>
      <c r="H2" s="141">
        <f t="shared" ref="H2:I2" si="1">SUM(H6:H9,H11:H16,H18:H22,H24,H30:H37,H39:H45,H47:H54,H56:H63,H65:H74,H76:H79,H84:H85,H87:H91,H93:H98,H100:H106,H108:H117,H119:H128,H131:H135,H137,H139:H145,H147:H152,H154:H155,H157:H160,H162:H165,H167:H170,H172:H175,H177:H178,H180,H182,H186:H187,H189:H191,H196:H198,H202:H203,H205:H208,H210,H212:H214,H216,H218:H219,H221:H222,H224:H226,H231,H237,H239:H240,H247,H249:H250,H252,H252:H253,H255:H996)</f>
        <v>88811.7</v>
      </c>
      <c r="I2" s="141">
        <f t="shared" si="1"/>
        <v>93026.21</v>
      </c>
      <c r="J2" s="141">
        <f>H2-I2</f>
        <v>-4214.51</v>
      </c>
      <c r="K2" s="63">
        <f>I2/F2*100</f>
        <v>42.87455582</v>
      </c>
      <c r="L2" s="64" t="s">
        <v>103</v>
      </c>
      <c r="M2" s="65"/>
      <c r="N2" s="65"/>
      <c r="O2" s="54"/>
      <c r="P2" s="86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</row>
    <row r="3">
      <c r="A3" s="66"/>
      <c r="B3" s="67">
        <v>2020.0</v>
      </c>
      <c r="J3" s="142"/>
      <c r="K3" s="143"/>
      <c r="L3" s="144"/>
      <c r="M3" s="144"/>
      <c r="N3" s="142"/>
      <c r="O3" s="68"/>
      <c r="P3" s="69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66"/>
      <c r="B4" s="67" t="s">
        <v>104</v>
      </c>
      <c r="J4" s="66"/>
      <c r="K4" s="66"/>
      <c r="L4" s="66"/>
      <c r="M4" s="66"/>
      <c r="N4" s="66"/>
      <c r="O4" s="68"/>
      <c r="P4" s="69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</row>
    <row r="5">
      <c r="A5" s="54"/>
      <c r="B5" s="145">
        <v>44071.0</v>
      </c>
      <c r="C5" s="146"/>
      <c r="D5" s="147" t="s">
        <v>105</v>
      </c>
      <c r="E5" s="148">
        <v>263715.0</v>
      </c>
      <c r="F5" s="149"/>
      <c r="G5" s="97">
        <v>690.0</v>
      </c>
      <c r="H5" s="97">
        <v>487.64</v>
      </c>
      <c r="I5" s="97">
        <v>500.0</v>
      </c>
      <c r="J5" s="102">
        <f t="shared" ref="J5:J9" si="2">I5-H5</f>
        <v>12.36</v>
      </c>
      <c r="K5" s="103" t="str">
        <f t="shared" ref="K5:K9" si="3">I5/F5*100</f>
        <v>#DIV/0!</v>
      </c>
      <c r="L5" s="54"/>
      <c r="M5" s="54"/>
      <c r="N5" s="54"/>
      <c r="P5" s="44"/>
    </row>
    <row r="6">
      <c r="A6" s="54"/>
      <c r="B6" s="150">
        <v>44080.0</v>
      </c>
      <c r="C6" s="151"/>
      <c r="D6" s="152" t="s">
        <v>106</v>
      </c>
      <c r="E6" s="153">
        <v>264797.0</v>
      </c>
      <c r="F6" s="153">
        <v>1082.0</v>
      </c>
      <c r="G6" s="154">
        <v>655.0</v>
      </c>
      <c r="H6" s="154">
        <v>395.4</v>
      </c>
      <c r="I6" s="154">
        <v>407.76</v>
      </c>
      <c r="J6" s="102">
        <f t="shared" si="2"/>
        <v>12.36</v>
      </c>
      <c r="K6" s="103">
        <f t="shared" si="3"/>
        <v>37.6857671</v>
      </c>
      <c r="L6" s="54"/>
      <c r="M6" s="54"/>
      <c r="N6" s="54"/>
      <c r="P6" s="44"/>
    </row>
    <row r="7">
      <c r="A7" s="54"/>
      <c r="B7" s="150">
        <v>44085.0</v>
      </c>
      <c r="C7" s="151"/>
      <c r="D7" s="152" t="s">
        <v>106</v>
      </c>
      <c r="E7" s="153">
        <v>265538.0</v>
      </c>
      <c r="F7" s="153">
        <v>741.0</v>
      </c>
      <c r="G7" s="154">
        <v>647.0</v>
      </c>
      <c r="H7" s="154">
        <v>290.9</v>
      </c>
      <c r="I7" s="154">
        <v>304.98</v>
      </c>
      <c r="J7" s="102">
        <f t="shared" si="2"/>
        <v>14.08</v>
      </c>
      <c r="K7" s="103">
        <f t="shared" si="3"/>
        <v>41.15789474</v>
      </c>
      <c r="L7" s="54"/>
      <c r="M7" s="54"/>
      <c r="N7" s="54"/>
      <c r="P7" s="44"/>
    </row>
    <row r="8">
      <c r="A8" s="54"/>
      <c r="B8" s="150">
        <v>44092.0</v>
      </c>
      <c r="C8" s="151"/>
      <c r="D8" s="152" t="s">
        <v>107</v>
      </c>
      <c r="E8" s="153">
        <v>266646.0</v>
      </c>
      <c r="F8" s="153">
        <v>1108.0</v>
      </c>
      <c r="G8" s="154">
        <v>746.0</v>
      </c>
      <c r="H8" s="154">
        <v>493.24</v>
      </c>
      <c r="I8" s="154">
        <v>493.61</v>
      </c>
      <c r="J8" s="102">
        <f t="shared" si="2"/>
        <v>0.37</v>
      </c>
      <c r="K8" s="103">
        <f t="shared" si="3"/>
        <v>44.54963899</v>
      </c>
      <c r="L8" s="54"/>
      <c r="M8" s="54"/>
      <c r="N8" s="54"/>
      <c r="P8" s="44"/>
    </row>
    <row r="9">
      <c r="A9" s="54"/>
      <c r="B9" s="150">
        <v>44103.0</v>
      </c>
      <c r="C9" s="151"/>
      <c r="D9" s="152" t="s">
        <v>107</v>
      </c>
      <c r="E9" s="153">
        <v>267995.0</v>
      </c>
      <c r="F9" s="153">
        <v>1349.0</v>
      </c>
      <c r="G9" s="154">
        <v>589.0</v>
      </c>
      <c r="H9" s="154">
        <v>295.28</v>
      </c>
      <c r="I9" s="154">
        <v>300.0</v>
      </c>
      <c r="J9" s="102">
        <f t="shared" si="2"/>
        <v>4.72</v>
      </c>
      <c r="K9" s="103">
        <f t="shared" si="3"/>
        <v>22.23869533</v>
      </c>
      <c r="L9" s="54"/>
      <c r="M9" s="54"/>
      <c r="N9" s="54"/>
      <c r="P9" s="44"/>
    </row>
    <row r="10">
      <c r="A10" s="66"/>
      <c r="B10" s="67" t="s">
        <v>96</v>
      </c>
      <c r="J10" s="66"/>
      <c r="K10" s="66"/>
      <c r="L10" s="66"/>
      <c r="M10" s="66"/>
      <c r="N10" s="66"/>
      <c r="O10" s="68"/>
      <c r="P10" s="69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</row>
    <row r="11">
      <c r="A11" s="54"/>
      <c r="B11" s="150">
        <v>44110.0</v>
      </c>
      <c r="C11" s="151"/>
      <c r="D11" s="152" t="s">
        <v>107</v>
      </c>
      <c r="E11" s="153">
        <v>269287.0</v>
      </c>
      <c r="F11" s="153">
        <v>1292.0</v>
      </c>
      <c r="G11" s="154">
        <v>472.0</v>
      </c>
      <c r="H11" s="154">
        <v>297.36</v>
      </c>
      <c r="I11" s="154">
        <v>300.0</v>
      </c>
      <c r="J11" s="102">
        <f t="shared" ref="J11:J16" si="4">I11-H11</f>
        <v>2.64</v>
      </c>
      <c r="K11" s="103">
        <f t="shared" ref="K11:K16" si="5">I11/F11*100</f>
        <v>23.21981424</v>
      </c>
      <c r="L11" s="54"/>
      <c r="M11" s="54"/>
      <c r="N11" s="54"/>
      <c r="P11" s="44"/>
    </row>
    <row r="12">
      <c r="A12" s="54"/>
      <c r="B12" s="150">
        <v>44113.0</v>
      </c>
      <c r="C12" s="151"/>
      <c r="D12" s="152" t="s">
        <v>107</v>
      </c>
      <c r="E12" s="153">
        <v>269801.0</v>
      </c>
      <c r="F12" s="153">
        <v>514.0</v>
      </c>
      <c r="G12" s="154">
        <v>600.0</v>
      </c>
      <c r="H12" s="154">
        <v>283.22</v>
      </c>
      <c r="I12" s="154">
        <v>300.0</v>
      </c>
      <c r="J12" s="102">
        <f t="shared" si="4"/>
        <v>16.78</v>
      </c>
      <c r="K12" s="103">
        <f t="shared" si="5"/>
        <v>58.36575875</v>
      </c>
      <c r="L12" s="54"/>
      <c r="M12" s="54"/>
      <c r="N12" s="54"/>
      <c r="P12" s="44"/>
    </row>
    <row r="13">
      <c r="A13" s="54"/>
      <c r="B13" s="155">
        <v>44117.0</v>
      </c>
      <c r="C13" s="156"/>
      <c r="D13" s="152" t="s">
        <v>107</v>
      </c>
      <c r="E13" s="153">
        <v>270434.0</v>
      </c>
      <c r="F13" s="153">
        <v>633.0</v>
      </c>
      <c r="G13" s="154">
        <v>688.0</v>
      </c>
      <c r="H13" s="154">
        <v>284.84</v>
      </c>
      <c r="I13" s="154">
        <v>300.0</v>
      </c>
      <c r="J13" s="102">
        <f t="shared" si="4"/>
        <v>15.16</v>
      </c>
      <c r="K13" s="103">
        <f t="shared" si="5"/>
        <v>47.39336493</v>
      </c>
      <c r="L13" s="54"/>
      <c r="M13" s="54"/>
      <c r="N13" s="54"/>
      <c r="P13" s="44"/>
    </row>
    <row r="14">
      <c r="A14" s="54"/>
      <c r="B14" s="155">
        <v>44126.0</v>
      </c>
      <c r="C14" s="156"/>
      <c r="D14" s="152" t="s">
        <v>107</v>
      </c>
      <c r="E14" s="153">
        <v>271135.0</v>
      </c>
      <c r="F14" s="153">
        <v>701.0</v>
      </c>
      <c r="G14" s="154">
        <v>539.0</v>
      </c>
      <c r="H14" s="154">
        <v>192.45</v>
      </c>
      <c r="I14" s="154">
        <v>200.0</v>
      </c>
      <c r="J14" s="102">
        <f t="shared" si="4"/>
        <v>7.55</v>
      </c>
      <c r="K14" s="103">
        <f t="shared" si="5"/>
        <v>28.53067047</v>
      </c>
      <c r="L14" s="54"/>
      <c r="M14" s="54"/>
      <c r="N14" s="54"/>
      <c r="P14" s="44"/>
    </row>
    <row r="15">
      <c r="A15" s="54"/>
      <c r="B15" s="155">
        <v>44131.0</v>
      </c>
      <c r="C15" s="156"/>
      <c r="D15" s="152" t="s">
        <v>107</v>
      </c>
      <c r="E15" s="153">
        <v>271416.0</v>
      </c>
      <c r="F15" s="153">
        <v>281.0</v>
      </c>
      <c r="G15" s="154">
        <v>694.0</v>
      </c>
      <c r="H15" s="154">
        <v>289.27</v>
      </c>
      <c r="I15" s="154">
        <v>305.55</v>
      </c>
      <c r="J15" s="102">
        <f t="shared" si="4"/>
        <v>16.28</v>
      </c>
      <c r="K15" s="103">
        <f t="shared" si="5"/>
        <v>108.7366548</v>
      </c>
      <c r="L15" s="54"/>
      <c r="M15" s="54"/>
      <c r="N15" s="54"/>
      <c r="P15" s="44"/>
    </row>
    <row r="16">
      <c r="A16" s="54"/>
      <c r="B16" s="155">
        <v>44135.0</v>
      </c>
      <c r="C16" s="156"/>
      <c r="D16" s="152" t="s">
        <v>107</v>
      </c>
      <c r="E16" s="153">
        <v>271800.0</v>
      </c>
      <c r="F16" s="153">
        <v>384.0</v>
      </c>
      <c r="G16" s="154">
        <v>658.0</v>
      </c>
      <c r="H16" s="154">
        <v>143.79</v>
      </c>
      <c r="I16" s="154">
        <v>150.0</v>
      </c>
      <c r="J16" s="102">
        <f t="shared" si="4"/>
        <v>6.21</v>
      </c>
      <c r="K16" s="103">
        <f t="shared" si="5"/>
        <v>39.0625</v>
      </c>
      <c r="L16" s="54"/>
      <c r="M16" s="54"/>
      <c r="N16" s="54"/>
      <c r="P16" s="44"/>
    </row>
    <row r="17">
      <c r="A17" s="66"/>
      <c r="B17" s="67" t="s">
        <v>97</v>
      </c>
      <c r="J17" s="66"/>
      <c r="K17" s="66"/>
      <c r="L17" s="66"/>
      <c r="M17" s="66"/>
      <c r="N17" s="66"/>
      <c r="O17" s="68"/>
      <c r="P17" s="69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54"/>
      <c r="B18" s="150">
        <v>44141.0</v>
      </c>
      <c r="C18" s="151"/>
      <c r="D18" s="152" t="s">
        <v>107</v>
      </c>
      <c r="E18" s="153">
        <v>272339.0</v>
      </c>
      <c r="F18" s="153">
        <v>539.0</v>
      </c>
      <c r="G18" s="154">
        <v>730.0</v>
      </c>
      <c r="H18" s="154">
        <v>275.35</v>
      </c>
      <c r="I18" s="154">
        <v>288.26</v>
      </c>
      <c r="J18" s="102">
        <f t="shared" ref="J18:J22" si="6">I18-H18</f>
        <v>12.91</v>
      </c>
      <c r="K18" s="103">
        <f t="shared" ref="K18:K22" si="7">I18/F18*100</f>
        <v>53.48051948</v>
      </c>
      <c r="L18" s="54"/>
      <c r="M18" s="54"/>
      <c r="N18" s="54"/>
      <c r="P18" s="44"/>
    </row>
    <row r="19">
      <c r="A19" s="54"/>
      <c r="B19" s="157">
        <v>44151.0</v>
      </c>
      <c r="C19" s="158"/>
      <c r="D19" s="159" t="s">
        <v>107</v>
      </c>
      <c r="E19" s="160">
        <v>273393.0</v>
      </c>
      <c r="F19" s="160">
        <v>1054.0</v>
      </c>
      <c r="G19" s="161">
        <v>546.0</v>
      </c>
      <c r="H19" s="161">
        <v>290.94</v>
      </c>
      <c r="I19" s="161">
        <v>300.0</v>
      </c>
      <c r="J19" s="102">
        <f t="shared" si="6"/>
        <v>9.06</v>
      </c>
      <c r="K19" s="103">
        <f t="shared" si="7"/>
        <v>28.4629981</v>
      </c>
      <c r="L19" s="54"/>
      <c r="M19" s="54"/>
      <c r="N19" s="54"/>
      <c r="P19" s="44"/>
    </row>
    <row r="20">
      <c r="A20" s="54"/>
      <c r="B20" s="157">
        <v>44155.0</v>
      </c>
      <c r="C20" s="158"/>
      <c r="D20" s="159" t="s">
        <v>108</v>
      </c>
      <c r="E20" s="160">
        <v>273849.0</v>
      </c>
      <c r="F20" s="160">
        <v>456.0</v>
      </c>
      <c r="G20" s="161">
        <v>496.0</v>
      </c>
      <c r="H20" s="161">
        <v>145.72</v>
      </c>
      <c r="I20" s="161">
        <v>150.0</v>
      </c>
      <c r="J20" s="102">
        <f t="shared" si="6"/>
        <v>4.28</v>
      </c>
      <c r="K20" s="103">
        <f t="shared" si="7"/>
        <v>32.89473684</v>
      </c>
      <c r="L20" s="54"/>
      <c r="M20" s="54"/>
      <c r="N20" s="54"/>
      <c r="P20" s="44"/>
    </row>
    <row r="21">
      <c r="A21" s="54"/>
      <c r="B21" s="157">
        <v>44156.0</v>
      </c>
      <c r="C21" s="158"/>
      <c r="D21" s="159" t="s">
        <v>107</v>
      </c>
      <c r="E21" s="160">
        <v>274343.0</v>
      </c>
      <c r="F21" s="160">
        <v>494.0</v>
      </c>
      <c r="G21" s="161">
        <v>595.0</v>
      </c>
      <c r="H21" s="161">
        <v>281.96</v>
      </c>
      <c r="I21" s="161">
        <v>300.0</v>
      </c>
      <c r="J21" s="102">
        <f t="shared" si="6"/>
        <v>18.04</v>
      </c>
      <c r="K21" s="103">
        <f t="shared" si="7"/>
        <v>60.72874494</v>
      </c>
      <c r="L21" s="54"/>
      <c r="M21" s="54"/>
      <c r="N21" s="54"/>
      <c r="P21" s="44"/>
    </row>
    <row r="22">
      <c r="A22" s="54"/>
      <c r="B22" s="157">
        <v>44162.0</v>
      </c>
      <c r="C22" s="158"/>
      <c r="D22" s="159" t="s">
        <v>107</v>
      </c>
      <c r="E22" s="160">
        <v>275122.0</v>
      </c>
      <c r="F22" s="160">
        <v>779.0</v>
      </c>
      <c r="G22" s="161">
        <v>536.0</v>
      </c>
      <c r="H22" s="161">
        <v>280.86</v>
      </c>
      <c r="I22" s="161">
        <v>300.0</v>
      </c>
      <c r="J22" s="102">
        <f t="shared" si="6"/>
        <v>19.14</v>
      </c>
      <c r="K22" s="103">
        <f t="shared" si="7"/>
        <v>38.51091142</v>
      </c>
      <c r="L22" s="54"/>
      <c r="M22" s="54"/>
      <c r="N22" s="54"/>
      <c r="P22" s="44"/>
    </row>
    <row r="23">
      <c r="A23" s="66"/>
      <c r="B23" s="67" t="s">
        <v>98</v>
      </c>
      <c r="J23" s="66"/>
      <c r="K23" s="66"/>
      <c r="L23" s="66"/>
      <c r="M23" s="66"/>
      <c r="N23" s="66"/>
      <c r="O23" s="68"/>
      <c r="P23" s="69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>
      <c r="A24" s="54"/>
      <c r="B24" s="162">
        <v>44166.0</v>
      </c>
      <c r="C24" s="163"/>
      <c r="D24" s="159" t="s">
        <v>108</v>
      </c>
      <c r="E24" s="160">
        <v>275735.0</v>
      </c>
      <c r="F24" s="160">
        <v>613.0</v>
      </c>
      <c r="G24" s="161">
        <v>580.0</v>
      </c>
      <c r="H24" s="161">
        <v>290.99</v>
      </c>
      <c r="I24" s="161">
        <v>300.0</v>
      </c>
      <c r="J24" s="102">
        <f>I24-H24</f>
        <v>9.01</v>
      </c>
      <c r="K24" s="103">
        <f>I24/F24*100</f>
        <v>48.93964111</v>
      </c>
      <c r="L24" s="54"/>
      <c r="M24" s="54"/>
      <c r="N24" s="54"/>
      <c r="P24" s="44"/>
    </row>
    <row r="25">
      <c r="A25" s="66"/>
      <c r="B25" s="67">
        <v>2021.0</v>
      </c>
      <c r="J25" s="66"/>
      <c r="K25" s="66"/>
      <c r="L25" s="66"/>
      <c r="M25" s="66"/>
      <c r="N25" s="66"/>
      <c r="O25" s="68"/>
      <c r="P25" s="69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>
      <c r="A26" s="66"/>
      <c r="B26" s="67" t="s">
        <v>66</v>
      </c>
      <c r="J26" s="66"/>
      <c r="K26" s="66"/>
      <c r="L26" s="66"/>
      <c r="M26" s="66"/>
      <c r="N26" s="66"/>
      <c r="O26" s="68"/>
      <c r="P26" s="69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</row>
    <row r="27">
      <c r="A27" s="54"/>
      <c r="B27" s="164" t="s">
        <v>109</v>
      </c>
      <c r="C27" s="75"/>
      <c r="D27" s="75"/>
      <c r="E27" s="75"/>
      <c r="F27" s="75"/>
      <c r="G27" s="75"/>
      <c r="H27" s="75"/>
      <c r="I27" s="76"/>
      <c r="J27" s="102"/>
      <c r="K27" s="54"/>
      <c r="L27" s="54"/>
      <c r="M27" s="54"/>
      <c r="N27" s="54"/>
      <c r="P27" s="44"/>
    </row>
    <row r="28">
      <c r="A28" s="66"/>
      <c r="B28" s="67" t="s">
        <v>68</v>
      </c>
      <c r="J28" s="66"/>
      <c r="K28" s="66"/>
      <c r="L28" s="66"/>
      <c r="M28" s="66"/>
      <c r="N28" s="66"/>
      <c r="O28" s="68"/>
      <c r="P28" s="69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>
      <c r="A29" s="54"/>
      <c r="B29" s="162">
        <v>44228.0</v>
      </c>
      <c r="C29" s="163"/>
      <c r="D29" s="165"/>
      <c r="E29" s="160">
        <v>279683.0</v>
      </c>
      <c r="F29" s="166"/>
      <c r="G29" s="161">
        <v>422.0</v>
      </c>
      <c r="H29" s="161">
        <v>301.27</v>
      </c>
      <c r="I29" s="161">
        <v>300.0</v>
      </c>
      <c r="J29" s="102">
        <f t="shared" ref="J29:J37" si="8">I29-H29</f>
        <v>-1.27</v>
      </c>
      <c r="K29" s="103" t="str">
        <f t="shared" ref="K29:K37" si="9">I29/F29*100</f>
        <v>#DIV/0!</v>
      </c>
      <c r="L29" s="54"/>
      <c r="M29" s="54"/>
      <c r="N29" s="54"/>
      <c r="P29" s="44"/>
    </row>
    <row r="30">
      <c r="A30" s="54"/>
      <c r="B30" s="162">
        <v>44231.0</v>
      </c>
      <c r="C30" s="163"/>
      <c r="D30" s="165"/>
      <c r="E30" s="160">
        <v>280339.0</v>
      </c>
      <c r="F30" s="160">
        <v>656.0</v>
      </c>
      <c r="G30" s="161">
        <v>460.0</v>
      </c>
      <c r="H30" s="161">
        <v>299.54</v>
      </c>
      <c r="I30" s="161">
        <v>300.0</v>
      </c>
      <c r="J30" s="102">
        <f t="shared" si="8"/>
        <v>0.46</v>
      </c>
      <c r="K30" s="103">
        <f t="shared" si="9"/>
        <v>45.73170732</v>
      </c>
      <c r="L30" s="54"/>
      <c r="M30" s="54"/>
      <c r="N30" s="54"/>
      <c r="P30" s="44"/>
    </row>
    <row r="31">
      <c r="A31" s="54"/>
      <c r="B31" s="162">
        <v>44235.0</v>
      </c>
      <c r="C31" s="163"/>
      <c r="D31" s="165"/>
      <c r="E31" s="160">
        <v>280969.0</v>
      </c>
      <c r="F31" s="160">
        <v>630.0</v>
      </c>
      <c r="G31" s="161">
        <v>411.0</v>
      </c>
      <c r="H31" s="161">
        <v>293.5</v>
      </c>
      <c r="I31" s="161">
        <v>300.0</v>
      </c>
      <c r="J31" s="102">
        <f t="shared" si="8"/>
        <v>6.5</v>
      </c>
      <c r="K31" s="103">
        <f t="shared" si="9"/>
        <v>47.61904762</v>
      </c>
      <c r="L31" s="54"/>
      <c r="M31" s="54"/>
      <c r="N31" s="54"/>
      <c r="P31" s="44"/>
    </row>
    <row r="32">
      <c r="A32" s="54"/>
      <c r="B32" s="150">
        <v>44238.0</v>
      </c>
      <c r="C32" s="151"/>
      <c r="D32" s="167"/>
      <c r="E32" s="153">
        <v>281515.0</v>
      </c>
      <c r="F32" s="153">
        <v>546.0</v>
      </c>
      <c r="G32" s="154">
        <v>435.0</v>
      </c>
      <c r="H32" s="154">
        <v>293.91</v>
      </c>
      <c r="I32" s="154">
        <v>300.0</v>
      </c>
      <c r="J32" s="102">
        <f t="shared" si="8"/>
        <v>6.09</v>
      </c>
      <c r="K32" s="103">
        <f t="shared" si="9"/>
        <v>54.94505495</v>
      </c>
      <c r="L32" s="54"/>
      <c r="M32" s="54"/>
      <c r="N32" s="54"/>
      <c r="P32" s="44"/>
    </row>
    <row r="33">
      <c r="A33" s="54"/>
      <c r="B33" s="150">
        <v>44242.0</v>
      </c>
      <c r="C33" s="151"/>
      <c r="D33" s="167"/>
      <c r="E33" s="153">
        <v>282088.0</v>
      </c>
      <c r="F33" s="153">
        <v>573.0</v>
      </c>
      <c r="G33" s="154">
        <v>456.0</v>
      </c>
      <c r="H33" s="154">
        <v>296.91</v>
      </c>
      <c r="I33" s="154">
        <v>300.0</v>
      </c>
      <c r="J33" s="102">
        <f t="shared" si="8"/>
        <v>3.09</v>
      </c>
      <c r="K33" s="103">
        <f t="shared" si="9"/>
        <v>52.35602094</v>
      </c>
      <c r="L33" s="54"/>
      <c r="M33" s="54"/>
      <c r="N33" s="54"/>
      <c r="P33" s="44"/>
    </row>
    <row r="34">
      <c r="A34" s="54"/>
      <c r="B34" s="150">
        <v>44246.0</v>
      </c>
      <c r="C34" s="151"/>
      <c r="D34" s="152" t="s">
        <v>110</v>
      </c>
      <c r="E34" s="153">
        <v>282899.0</v>
      </c>
      <c r="F34" s="153">
        <v>811.0</v>
      </c>
      <c r="G34" s="154">
        <v>195.0</v>
      </c>
      <c r="H34" s="154">
        <v>150.98</v>
      </c>
      <c r="I34" s="154">
        <v>168.18</v>
      </c>
      <c r="J34" s="102">
        <f t="shared" si="8"/>
        <v>17.2</v>
      </c>
      <c r="K34" s="103">
        <f t="shared" si="9"/>
        <v>20.73736128</v>
      </c>
      <c r="L34" s="54"/>
      <c r="M34" s="54"/>
      <c r="N34" s="54"/>
      <c r="P34" s="44"/>
    </row>
    <row r="35">
      <c r="A35" s="54"/>
      <c r="B35" s="150">
        <v>44247.0</v>
      </c>
      <c r="C35" s="151"/>
      <c r="D35" s="152" t="s">
        <v>110</v>
      </c>
      <c r="E35" s="153">
        <v>283010.0</v>
      </c>
      <c r="F35" s="153">
        <v>111.0</v>
      </c>
      <c r="G35" s="154">
        <v>403.0</v>
      </c>
      <c r="H35" s="154">
        <v>254.42</v>
      </c>
      <c r="I35" s="154">
        <v>300.0</v>
      </c>
      <c r="J35" s="102">
        <f t="shared" si="8"/>
        <v>45.58</v>
      </c>
      <c r="K35" s="103">
        <f t="shared" si="9"/>
        <v>270.2702703</v>
      </c>
      <c r="L35" s="54"/>
      <c r="M35" s="54"/>
      <c r="N35" s="54"/>
      <c r="P35" s="44"/>
    </row>
    <row r="36">
      <c r="A36" s="54"/>
      <c r="B36" s="150">
        <v>44249.0</v>
      </c>
      <c r="C36" s="151"/>
      <c r="D36" s="152" t="s">
        <v>110</v>
      </c>
      <c r="E36" s="153">
        <v>283295.0</v>
      </c>
      <c r="F36" s="153">
        <v>285.0</v>
      </c>
      <c r="G36" s="154">
        <v>496.0</v>
      </c>
      <c r="H36" s="154">
        <v>235.65</v>
      </c>
      <c r="I36" s="154">
        <v>300.0</v>
      </c>
      <c r="J36" s="102">
        <f t="shared" si="8"/>
        <v>64.35</v>
      </c>
      <c r="K36" s="103">
        <f t="shared" si="9"/>
        <v>105.2631579</v>
      </c>
      <c r="L36" s="54"/>
      <c r="M36" s="54"/>
      <c r="N36" s="54"/>
      <c r="P36" s="44"/>
    </row>
    <row r="37">
      <c r="A37" s="54"/>
      <c r="B37" s="150">
        <v>44252.0</v>
      </c>
      <c r="C37" s="151"/>
      <c r="D37" s="152" t="s">
        <v>110</v>
      </c>
      <c r="E37" s="153">
        <v>283510.0</v>
      </c>
      <c r="F37" s="153">
        <v>215.0</v>
      </c>
      <c r="G37" s="154">
        <v>567.0</v>
      </c>
      <c r="H37" s="154">
        <v>224.76</v>
      </c>
      <c r="I37" s="154">
        <v>300.0</v>
      </c>
      <c r="J37" s="102">
        <f t="shared" si="8"/>
        <v>75.24</v>
      </c>
      <c r="K37" s="103">
        <f t="shared" si="9"/>
        <v>139.5348837</v>
      </c>
      <c r="L37" s="54"/>
      <c r="M37" s="54"/>
      <c r="N37" s="54"/>
      <c r="P37" s="44"/>
    </row>
    <row r="38">
      <c r="A38" s="66"/>
      <c r="B38" s="67" t="s">
        <v>72</v>
      </c>
      <c r="J38" s="66"/>
      <c r="K38" s="66"/>
      <c r="L38" s="66"/>
      <c r="M38" s="66"/>
      <c r="N38" s="66"/>
      <c r="O38" s="68"/>
      <c r="P38" s="69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</row>
    <row r="39">
      <c r="A39" s="54"/>
      <c r="B39" s="150">
        <v>44260.0</v>
      </c>
      <c r="C39" s="151"/>
      <c r="D39" s="152" t="s">
        <v>110</v>
      </c>
      <c r="E39" s="153">
        <v>283787.0</v>
      </c>
      <c r="F39" s="153">
        <v>277.0</v>
      </c>
      <c r="G39" s="154">
        <v>446.0</v>
      </c>
      <c r="H39" s="154">
        <v>188.73</v>
      </c>
      <c r="I39" s="154">
        <v>300.0</v>
      </c>
      <c r="J39" s="102">
        <f t="shared" ref="J39:J45" si="10">I39-H39</f>
        <v>111.27</v>
      </c>
      <c r="K39" s="103">
        <f t="shared" ref="K39:K45" si="11">I39/F39*100</f>
        <v>108.3032491</v>
      </c>
      <c r="L39" s="54"/>
      <c r="M39" s="54"/>
      <c r="N39" s="54"/>
      <c r="P39" s="44"/>
    </row>
    <row r="40">
      <c r="A40" s="54"/>
      <c r="B40" s="150">
        <v>44266.0</v>
      </c>
      <c r="C40" s="151"/>
      <c r="D40" s="152" t="s">
        <v>110</v>
      </c>
      <c r="E40" s="153">
        <v>284209.0</v>
      </c>
      <c r="F40" s="153">
        <v>422.0</v>
      </c>
      <c r="G40" s="154">
        <v>319.0</v>
      </c>
      <c r="H40" s="154">
        <v>167.64</v>
      </c>
      <c r="I40" s="154">
        <v>300.0</v>
      </c>
      <c r="J40" s="102">
        <f t="shared" si="10"/>
        <v>132.36</v>
      </c>
      <c r="K40" s="103">
        <f t="shared" si="11"/>
        <v>71.09004739</v>
      </c>
      <c r="L40" s="54"/>
      <c r="M40" s="54"/>
      <c r="N40" s="54"/>
      <c r="P40" s="44"/>
    </row>
    <row r="41">
      <c r="A41" s="54"/>
      <c r="B41" s="150">
        <v>44268.0</v>
      </c>
      <c r="C41" s="151"/>
      <c r="D41" s="152" t="s">
        <v>110</v>
      </c>
      <c r="E41" s="153">
        <v>284235.0</v>
      </c>
      <c r="F41" s="153">
        <v>26.0</v>
      </c>
      <c r="G41" s="154">
        <v>419.0</v>
      </c>
      <c r="H41" s="154">
        <v>163.79</v>
      </c>
      <c r="I41" s="154">
        <v>300.0</v>
      </c>
      <c r="J41" s="102">
        <f t="shared" si="10"/>
        <v>136.21</v>
      </c>
      <c r="K41" s="103">
        <f t="shared" si="11"/>
        <v>1153.846154</v>
      </c>
      <c r="L41" s="54"/>
      <c r="M41" s="54"/>
      <c r="N41" s="54"/>
      <c r="P41" s="44"/>
    </row>
    <row r="42">
      <c r="A42" s="54"/>
      <c r="B42" s="150">
        <v>44274.0</v>
      </c>
      <c r="C42" s="151"/>
      <c r="D42" s="152" t="s">
        <v>110</v>
      </c>
      <c r="E42" s="153">
        <v>284389.0</v>
      </c>
      <c r="F42" s="153">
        <v>154.0</v>
      </c>
      <c r="G42" s="154">
        <v>418.0</v>
      </c>
      <c r="H42" s="154">
        <v>165.35</v>
      </c>
      <c r="I42" s="154">
        <v>300.0</v>
      </c>
      <c r="J42" s="102">
        <f t="shared" si="10"/>
        <v>134.65</v>
      </c>
      <c r="K42" s="103">
        <f t="shared" si="11"/>
        <v>194.8051948</v>
      </c>
      <c r="L42" s="54"/>
      <c r="M42" s="54"/>
      <c r="N42" s="54"/>
      <c r="P42" s="44"/>
    </row>
    <row r="43">
      <c r="A43" s="54"/>
      <c r="B43" s="150">
        <v>44276.0</v>
      </c>
      <c r="C43" s="151"/>
      <c r="D43" s="152" t="s">
        <v>110</v>
      </c>
      <c r="E43" s="153">
        <v>284560.0</v>
      </c>
      <c r="F43" s="153">
        <v>171.0</v>
      </c>
      <c r="G43" s="154">
        <v>488.0</v>
      </c>
      <c r="H43" s="154">
        <v>162.43</v>
      </c>
      <c r="I43" s="154">
        <v>300.0</v>
      </c>
      <c r="J43" s="102">
        <f t="shared" si="10"/>
        <v>137.57</v>
      </c>
      <c r="K43" s="103">
        <f t="shared" si="11"/>
        <v>175.4385965</v>
      </c>
      <c r="L43" s="54"/>
      <c r="M43" s="54"/>
      <c r="N43" s="54"/>
      <c r="P43" s="44"/>
    </row>
    <row r="44">
      <c r="A44" s="54"/>
      <c r="B44" s="150">
        <v>44282.0</v>
      </c>
      <c r="C44" s="151"/>
      <c r="D44" s="152" t="s">
        <v>110</v>
      </c>
      <c r="E44" s="153">
        <v>284944.0</v>
      </c>
      <c r="F44" s="153">
        <v>384.0</v>
      </c>
      <c r="G44" s="154">
        <v>309.0</v>
      </c>
      <c r="H44" s="154">
        <v>171.95</v>
      </c>
      <c r="I44" s="154">
        <v>300.0</v>
      </c>
      <c r="J44" s="102">
        <f t="shared" si="10"/>
        <v>128.05</v>
      </c>
      <c r="K44" s="103">
        <f t="shared" si="11"/>
        <v>78.125</v>
      </c>
      <c r="L44" s="54"/>
      <c r="M44" s="54"/>
      <c r="N44" s="54"/>
      <c r="P44" s="44"/>
    </row>
    <row r="45">
      <c r="A45" s="54"/>
      <c r="B45" s="150">
        <v>44286.0</v>
      </c>
      <c r="C45" s="151"/>
      <c r="D45" s="152" t="s">
        <v>110</v>
      </c>
      <c r="E45" s="153">
        <v>284976.0</v>
      </c>
      <c r="F45" s="153">
        <v>32.0</v>
      </c>
      <c r="G45" s="154">
        <v>420.0</v>
      </c>
      <c r="H45" s="154">
        <v>169.81</v>
      </c>
      <c r="I45" s="154">
        <v>300.0</v>
      </c>
      <c r="J45" s="102">
        <f t="shared" si="10"/>
        <v>130.19</v>
      </c>
      <c r="K45" s="103">
        <f t="shared" si="11"/>
        <v>937.5</v>
      </c>
      <c r="L45" s="54"/>
      <c r="M45" s="54"/>
      <c r="N45" s="54"/>
      <c r="P45" s="44"/>
    </row>
    <row r="46">
      <c r="A46" s="66"/>
      <c r="B46" s="67" t="s">
        <v>74</v>
      </c>
      <c r="J46" s="66"/>
      <c r="K46" s="66"/>
      <c r="L46" s="66"/>
      <c r="M46" s="66"/>
      <c r="N46" s="66"/>
      <c r="O46" s="68"/>
      <c r="P46" s="69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54"/>
      <c r="B47" s="150">
        <v>44290.0</v>
      </c>
      <c r="C47" s="151"/>
      <c r="D47" s="152" t="s">
        <v>110</v>
      </c>
      <c r="E47" s="153">
        <v>285419.0</v>
      </c>
      <c r="F47" s="153">
        <v>443.0</v>
      </c>
      <c r="G47" s="154">
        <v>390.0</v>
      </c>
      <c r="H47" s="154">
        <v>170.52</v>
      </c>
      <c r="I47" s="154">
        <v>300.0</v>
      </c>
      <c r="J47" s="102">
        <f t="shared" ref="J47:J54" si="12">I47-H47</f>
        <v>129.48</v>
      </c>
      <c r="K47" s="103">
        <f t="shared" ref="K47:K54" si="13">I47/F47*100</f>
        <v>67.72009029</v>
      </c>
      <c r="L47" s="54"/>
      <c r="M47" s="54"/>
      <c r="N47" s="54"/>
      <c r="P47" s="44"/>
    </row>
    <row r="48">
      <c r="A48" s="54"/>
      <c r="B48" s="150">
        <v>44293.0</v>
      </c>
      <c r="C48" s="151"/>
      <c r="D48" s="152" t="s">
        <v>110</v>
      </c>
      <c r="E48" s="153">
        <v>286009.0</v>
      </c>
      <c r="F48" s="153">
        <v>590.0</v>
      </c>
      <c r="G48" s="154">
        <v>330.0</v>
      </c>
      <c r="H48" s="154">
        <v>171.75</v>
      </c>
      <c r="I48" s="154">
        <v>300.0</v>
      </c>
      <c r="J48" s="102">
        <f t="shared" si="12"/>
        <v>128.25</v>
      </c>
      <c r="K48" s="103">
        <f t="shared" si="13"/>
        <v>50.84745763</v>
      </c>
      <c r="L48" s="54"/>
      <c r="M48" s="54"/>
      <c r="N48" s="54"/>
      <c r="P48" s="44"/>
    </row>
    <row r="49">
      <c r="A49" s="54"/>
      <c r="B49" s="150">
        <v>44295.0</v>
      </c>
      <c r="C49" s="151"/>
      <c r="D49" s="152" t="s">
        <v>110</v>
      </c>
      <c r="E49" s="153">
        <v>286462.0</v>
      </c>
      <c r="F49" s="153">
        <v>453.0</v>
      </c>
      <c r="G49" s="154">
        <v>322.0</v>
      </c>
      <c r="H49" s="154">
        <v>191.11</v>
      </c>
      <c r="I49" s="154">
        <v>300.0</v>
      </c>
      <c r="J49" s="102">
        <f t="shared" si="12"/>
        <v>108.89</v>
      </c>
      <c r="K49" s="103">
        <f t="shared" si="13"/>
        <v>66.22516556</v>
      </c>
      <c r="L49" s="54"/>
      <c r="M49" s="54"/>
      <c r="N49" s="54"/>
      <c r="P49" s="44"/>
    </row>
    <row r="50">
      <c r="A50" s="54"/>
      <c r="B50" s="150">
        <v>44297.0</v>
      </c>
      <c r="C50" s="151"/>
      <c r="D50" s="152" t="s">
        <v>110</v>
      </c>
      <c r="E50" s="153">
        <v>286976.0</v>
      </c>
      <c r="F50" s="153">
        <v>514.0</v>
      </c>
      <c r="G50" s="154">
        <v>432.0</v>
      </c>
      <c r="H50" s="154">
        <v>304.04</v>
      </c>
      <c r="I50" s="154">
        <v>300.0</v>
      </c>
      <c r="J50" s="102">
        <f t="shared" si="12"/>
        <v>-4.04</v>
      </c>
      <c r="K50" s="103">
        <f t="shared" si="13"/>
        <v>58.36575875</v>
      </c>
      <c r="L50" s="54"/>
      <c r="M50" s="54"/>
      <c r="N50" s="54"/>
      <c r="P50" s="44"/>
    </row>
    <row r="51">
      <c r="A51" s="54"/>
      <c r="B51" s="150">
        <v>44300.0</v>
      </c>
      <c r="C51" s="151"/>
      <c r="D51" s="152" t="s">
        <v>110</v>
      </c>
      <c r="E51" s="153">
        <v>287660.0</v>
      </c>
      <c r="F51" s="153">
        <v>684.0</v>
      </c>
      <c r="G51" s="154">
        <v>736.0</v>
      </c>
      <c r="H51" s="154">
        <v>562.18</v>
      </c>
      <c r="I51" s="154">
        <v>565.01</v>
      </c>
      <c r="J51" s="102">
        <f t="shared" si="12"/>
        <v>2.83</v>
      </c>
      <c r="K51" s="103">
        <f t="shared" si="13"/>
        <v>82.60380117</v>
      </c>
      <c r="L51" s="54"/>
      <c r="M51" s="54"/>
      <c r="N51" s="54"/>
      <c r="P51" s="44"/>
    </row>
    <row r="52">
      <c r="A52" s="54"/>
      <c r="B52" s="162">
        <v>44309.0</v>
      </c>
      <c r="C52" s="163"/>
      <c r="D52" s="165"/>
      <c r="E52" s="160">
        <v>289048.0</v>
      </c>
      <c r="F52" s="160">
        <v>1388.0</v>
      </c>
      <c r="G52" s="161">
        <v>406.0</v>
      </c>
      <c r="H52" s="161">
        <v>229.03</v>
      </c>
      <c r="I52" s="161">
        <v>220.89</v>
      </c>
      <c r="J52" s="102">
        <f t="shared" si="12"/>
        <v>-8.14</v>
      </c>
      <c r="K52" s="103">
        <f t="shared" si="13"/>
        <v>15.91426513</v>
      </c>
      <c r="L52" s="54"/>
      <c r="M52" s="54"/>
      <c r="N52" s="54"/>
      <c r="P52" s="44"/>
    </row>
    <row r="53">
      <c r="A53" s="54"/>
      <c r="B53" s="162">
        <v>44311.0</v>
      </c>
      <c r="C53" s="163"/>
      <c r="D53" s="165"/>
      <c r="E53" s="160">
        <v>289299.0</v>
      </c>
      <c r="F53" s="160">
        <v>251.0</v>
      </c>
      <c r="G53" s="161">
        <v>486.0</v>
      </c>
      <c r="H53" s="161">
        <v>201.43</v>
      </c>
      <c r="I53" s="161">
        <v>203.87</v>
      </c>
      <c r="J53" s="102">
        <f t="shared" si="12"/>
        <v>2.44</v>
      </c>
      <c r="K53" s="103">
        <f t="shared" si="13"/>
        <v>81.22310757</v>
      </c>
      <c r="L53" s="54"/>
      <c r="M53" s="54"/>
      <c r="N53" s="54"/>
      <c r="P53" s="44"/>
    </row>
    <row r="54">
      <c r="A54" s="54"/>
      <c r="B54" s="162">
        <v>44314.0</v>
      </c>
      <c r="C54" s="163"/>
      <c r="D54" s="165"/>
      <c r="E54" s="160">
        <v>289880.0</v>
      </c>
      <c r="F54" s="160">
        <v>580.0</v>
      </c>
      <c r="G54" s="161">
        <v>553.0</v>
      </c>
      <c r="H54" s="161">
        <v>298.0</v>
      </c>
      <c r="I54" s="161">
        <v>300.0</v>
      </c>
      <c r="J54" s="102">
        <f t="shared" si="12"/>
        <v>2</v>
      </c>
      <c r="K54" s="103">
        <f t="shared" si="13"/>
        <v>51.72413793</v>
      </c>
      <c r="L54" s="54"/>
      <c r="M54" s="54"/>
      <c r="N54" s="54"/>
      <c r="P54" s="44"/>
    </row>
    <row r="55">
      <c r="A55" s="66"/>
      <c r="B55" s="67" t="s">
        <v>75</v>
      </c>
      <c r="J55" s="66"/>
      <c r="K55" s="66"/>
      <c r="L55" s="66"/>
      <c r="M55" s="66"/>
      <c r="N55" s="66"/>
      <c r="O55" s="68"/>
      <c r="P55" s="69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>
      <c r="A56" s="54"/>
      <c r="B56" s="162">
        <v>44317.0</v>
      </c>
      <c r="C56" s="163"/>
      <c r="D56" s="165"/>
      <c r="E56" s="160">
        <v>290546.0</v>
      </c>
      <c r="F56" s="160">
        <v>667.0</v>
      </c>
      <c r="G56" s="161">
        <v>590.0</v>
      </c>
      <c r="H56" s="161">
        <v>292.25</v>
      </c>
      <c r="I56" s="161">
        <v>300.0</v>
      </c>
      <c r="J56" s="102">
        <f t="shared" ref="J56:J63" si="14">I56-H56</f>
        <v>7.75</v>
      </c>
      <c r="K56" s="103">
        <f t="shared" ref="K56:K63" si="15">I56/F56*100</f>
        <v>44.97751124</v>
      </c>
      <c r="L56" s="54"/>
      <c r="M56" s="132" t="str">
        <f>"тотал"&amp;" "&amp;B55</f>
        <v>тотал МАЙ</v>
      </c>
      <c r="N56" s="75"/>
      <c r="O56" s="76"/>
      <c r="P56" s="44"/>
    </row>
    <row r="57">
      <c r="A57" s="54"/>
      <c r="B57" s="162">
        <v>44320.0</v>
      </c>
      <c r="C57" s="163"/>
      <c r="D57" s="165"/>
      <c r="E57" s="160">
        <v>291350.0</v>
      </c>
      <c r="F57" s="160">
        <v>803.0</v>
      </c>
      <c r="G57" s="161">
        <v>620.0</v>
      </c>
      <c r="H57" s="161">
        <v>290.62</v>
      </c>
      <c r="I57" s="161">
        <v>300.0</v>
      </c>
      <c r="J57" s="102">
        <f t="shared" si="14"/>
        <v>9.38</v>
      </c>
      <c r="K57" s="103">
        <f t="shared" si="15"/>
        <v>37.35990037</v>
      </c>
      <c r="L57" s="54"/>
      <c r="M57" s="84" t="s">
        <v>70</v>
      </c>
      <c r="N57" s="84" t="s">
        <v>71</v>
      </c>
      <c r="O57" s="84" t="s">
        <v>27</v>
      </c>
      <c r="P57" s="44"/>
    </row>
    <row r="58">
      <c r="A58" s="54"/>
      <c r="B58" s="162">
        <v>44326.0</v>
      </c>
      <c r="C58" s="163"/>
      <c r="D58" s="165"/>
      <c r="E58" s="160">
        <v>292712.0</v>
      </c>
      <c r="F58" s="160">
        <v>1363.0</v>
      </c>
      <c r="G58" s="161">
        <v>482.0</v>
      </c>
      <c r="H58" s="161">
        <v>303.89</v>
      </c>
      <c r="I58" s="161">
        <v>300.0</v>
      </c>
      <c r="J58" s="102">
        <f t="shared" si="14"/>
        <v>-3.89</v>
      </c>
      <c r="K58" s="103">
        <f t="shared" si="15"/>
        <v>22.01027146</v>
      </c>
      <c r="L58" s="54"/>
      <c r="M58" s="84">
        <f>SUM(F56:F63)</f>
        <v>6226</v>
      </c>
      <c r="N58" s="84">
        <f>SUM(I56:I63)</f>
        <v>2330.25</v>
      </c>
      <c r="O58" s="85">
        <f>N58/M58*100</f>
        <v>37.42772245</v>
      </c>
      <c r="P58" s="44"/>
    </row>
    <row r="59">
      <c r="A59" s="54"/>
      <c r="B59" s="162">
        <v>44329.0</v>
      </c>
      <c r="C59" s="163"/>
      <c r="D59" s="165"/>
      <c r="E59" s="160">
        <v>293413.0</v>
      </c>
      <c r="F59" s="160">
        <v>700.0</v>
      </c>
      <c r="G59" s="161">
        <v>532.0</v>
      </c>
      <c r="H59" s="161">
        <v>295.59</v>
      </c>
      <c r="I59" s="161">
        <v>300.0</v>
      </c>
      <c r="J59" s="102">
        <f t="shared" si="14"/>
        <v>4.41</v>
      </c>
      <c r="K59" s="103">
        <f t="shared" si="15"/>
        <v>42.85714286</v>
      </c>
      <c r="L59" s="54"/>
      <c r="M59" s="54"/>
      <c r="N59" s="54"/>
      <c r="P59" s="44"/>
    </row>
    <row r="60">
      <c r="A60" s="54"/>
      <c r="B60" s="162">
        <v>44334.0</v>
      </c>
      <c r="C60" s="163"/>
      <c r="D60" s="165"/>
      <c r="E60" s="160">
        <v>294612.0</v>
      </c>
      <c r="F60" s="160">
        <v>1199.0</v>
      </c>
      <c r="G60" s="161">
        <v>421.0</v>
      </c>
      <c r="H60" s="161">
        <v>302.99</v>
      </c>
      <c r="I60" s="161">
        <v>300.0</v>
      </c>
      <c r="J60" s="102">
        <f t="shared" si="14"/>
        <v>-2.99</v>
      </c>
      <c r="K60" s="103">
        <f t="shared" si="15"/>
        <v>25.02085071</v>
      </c>
      <c r="L60" s="54"/>
      <c r="M60" s="54"/>
      <c r="N60" s="54"/>
      <c r="P60" s="44"/>
    </row>
    <row r="61">
      <c r="A61" s="54"/>
      <c r="B61" s="162">
        <v>44338.0</v>
      </c>
      <c r="C61" s="163"/>
      <c r="D61" s="165"/>
      <c r="E61" s="160">
        <v>295301.0</v>
      </c>
      <c r="F61" s="160">
        <v>690.0</v>
      </c>
      <c r="G61" s="161">
        <v>489.0</v>
      </c>
      <c r="H61" s="161">
        <v>299.5</v>
      </c>
      <c r="I61" s="161">
        <v>300.0</v>
      </c>
      <c r="J61" s="102">
        <f t="shared" si="14"/>
        <v>0.5</v>
      </c>
      <c r="K61" s="103">
        <f t="shared" si="15"/>
        <v>43.47826087</v>
      </c>
      <c r="L61" s="54"/>
      <c r="M61" s="54"/>
      <c r="N61" s="54"/>
      <c r="P61" s="44"/>
    </row>
    <row r="62">
      <c r="A62" s="54"/>
      <c r="B62" s="162">
        <v>44341.0</v>
      </c>
      <c r="C62" s="163"/>
      <c r="D62" s="165"/>
      <c r="E62" s="160">
        <v>295844.0</v>
      </c>
      <c r="F62" s="160">
        <v>542.0</v>
      </c>
      <c r="G62" s="161">
        <v>606.0</v>
      </c>
      <c r="H62" s="161">
        <v>283.93</v>
      </c>
      <c r="I62" s="161">
        <v>300.0</v>
      </c>
      <c r="J62" s="102">
        <f t="shared" si="14"/>
        <v>16.07</v>
      </c>
      <c r="K62" s="103">
        <f t="shared" si="15"/>
        <v>55.35055351</v>
      </c>
      <c r="L62" s="54"/>
      <c r="M62" s="54"/>
      <c r="N62" s="54"/>
      <c r="P62" s="44"/>
    </row>
    <row r="63">
      <c r="A63" s="54"/>
      <c r="B63" s="162">
        <v>44343.0</v>
      </c>
      <c r="C63" s="163"/>
      <c r="D63" s="165"/>
      <c r="E63" s="160">
        <v>296106.0</v>
      </c>
      <c r="F63" s="160">
        <v>262.0</v>
      </c>
      <c r="G63" s="161">
        <v>724.0</v>
      </c>
      <c r="H63" s="161">
        <v>217.94</v>
      </c>
      <c r="I63" s="161">
        <v>230.25</v>
      </c>
      <c r="J63" s="102">
        <f t="shared" si="14"/>
        <v>12.31</v>
      </c>
      <c r="K63" s="103">
        <f t="shared" si="15"/>
        <v>87.88167939</v>
      </c>
      <c r="L63" s="54"/>
      <c r="M63" s="54"/>
      <c r="N63" s="54"/>
      <c r="P63" s="44"/>
    </row>
    <row r="64">
      <c r="A64" s="66"/>
      <c r="B64" s="67" t="s">
        <v>90</v>
      </c>
      <c r="J64" s="66"/>
      <c r="K64" s="66"/>
      <c r="L64" s="66"/>
      <c r="M64" s="66"/>
      <c r="N64" s="66"/>
      <c r="O64" s="68"/>
      <c r="P64" s="69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</row>
    <row r="65">
      <c r="A65" s="54"/>
      <c r="B65" s="162">
        <v>44348.0</v>
      </c>
      <c r="C65" s="163"/>
      <c r="D65" s="165"/>
      <c r="E65" s="160">
        <v>297194.0</v>
      </c>
      <c r="F65" s="160">
        <v>1088.0</v>
      </c>
      <c r="G65" s="161">
        <v>617.0</v>
      </c>
      <c r="H65" s="161">
        <v>284.13</v>
      </c>
      <c r="I65" s="161">
        <v>300.0</v>
      </c>
      <c r="J65" s="102">
        <f t="shared" ref="J65:J74" si="16">I65-H65</f>
        <v>15.87</v>
      </c>
      <c r="K65" s="103">
        <f t="shared" ref="K65:K74" si="17">I65/F65*100</f>
        <v>27.57352941</v>
      </c>
      <c r="L65" s="54"/>
      <c r="M65" s="132" t="str">
        <f>"тотал"&amp;" "&amp;B64</f>
        <v>тотал ИЮНЬ</v>
      </c>
      <c r="N65" s="75"/>
      <c r="O65" s="76"/>
      <c r="P65" s="44"/>
    </row>
    <row r="66">
      <c r="A66" s="54"/>
      <c r="B66" s="162">
        <v>44352.0</v>
      </c>
      <c r="C66" s="163"/>
      <c r="D66" s="165"/>
      <c r="E66" s="160">
        <v>297460.0</v>
      </c>
      <c r="F66" s="160">
        <v>266.0</v>
      </c>
      <c r="G66" s="161">
        <v>711.0</v>
      </c>
      <c r="H66" s="161">
        <v>278.08</v>
      </c>
      <c r="I66" s="161">
        <v>300.0</v>
      </c>
      <c r="J66" s="102">
        <f t="shared" si="16"/>
        <v>21.92</v>
      </c>
      <c r="K66" s="103">
        <f t="shared" si="17"/>
        <v>112.7819549</v>
      </c>
      <c r="L66" s="54"/>
      <c r="M66" s="84" t="s">
        <v>70</v>
      </c>
      <c r="N66" s="84" t="s">
        <v>71</v>
      </c>
      <c r="O66" s="84" t="s">
        <v>27</v>
      </c>
      <c r="P66" s="44"/>
    </row>
    <row r="67">
      <c r="A67" s="54"/>
      <c r="B67" s="162">
        <v>44359.0</v>
      </c>
      <c r="C67" s="163"/>
      <c r="D67" s="165"/>
      <c r="E67" s="160">
        <v>298916.0</v>
      </c>
      <c r="F67" s="160">
        <v>1456.0</v>
      </c>
      <c r="G67" s="161">
        <v>504.0</v>
      </c>
      <c r="H67" s="161">
        <v>288.94</v>
      </c>
      <c r="I67" s="161">
        <v>300.0</v>
      </c>
      <c r="J67" s="102">
        <f t="shared" si="16"/>
        <v>11.06</v>
      </c>
      <c r="K67" s="103">
        <f t="shared" si="17"/>
        <v>20.6043956</v>
      </c>
      <c r="L67" s="54"/>
      <c r="M67" s="84">
        <f>SUM(F65:F74)</f>
        <v>7532</v>
      </c>
      <c r="N67" s="84">
        <f>SUM(I65:I74)</f>
        <v>2850</v>
      </c>
      <c r="O67" s="85">
        <f>N67/M67*100</f>
        <v>37.8385555</v>
      </c>
      <c r="P67" s="44"/>
    </row>
    <row r="68">
      <c r="A68" s="54"/>
      <c r="B68" s="162">
        <v>44360.0</v>
      </c>
      <c r="C68" s="163"/>
      <c r="D68" s="165"/>
      <c r="E68" s="160">
        <v>299208.0</v>
      </c>
      <c r="F68" s="160">
        <v>292.0</v>
      </c>
      <c r="G68" s="161">
        <v>691.0</v>
      </c>
      <c r="H68" s="161">
        <v>273.02</v>
      </c>
      <c r="I68" s="161">
        <v>300.0</v>
      </c>
      <c r="J68" s="102">
        <f t="shared" si="16"/>
        <v>26.98</v>
      </c>
      <c r="K68" s="103">
        <f t="shared" si="17"/>
        <v>102.739726</v>
      </c>
      <c r="L68" s="54"/>
      <c r="M68" s="54"/>
      <c r="N68" s="54"/>
      <c r="P68" s="44"/>
    </row>
    <row r="69">
      <c r="A69" s="54"/>
      <c r="B69" s="162">
        <v>44362.0</v>
      </c>
      <c r="C69" s="163"/>
      <c r="D69" s="165"/>
      <c r="E69" s="160">
        <v>300188.0</v>
      </c>
      <c r="F69" s="160">
        <v>981.0</v>
      </c>
      <c r="G69" s="161">
        <v>464.0</v>
      </c>
      <c r="H69" s="161">
        <v>128.82</v>
      </c>
      <c r="I69" s="161">
        <v>150.0</v>
      </c>
      <c r="J69" s="102">
        <f t="shared" si="16"/>
        <v>21.18</v>
      </c>
      <c r="K69" s="103">
        <f t="shared" si="17"/>
        <v>15.29051988</v>
      </c>
      <c r="L69" s="54"/>
      <c r="M69" s="54"/>
      <c r="N69" s="54"/>
      <c r="P69" s="44"/>
    </row>
    <row r="70">
      <c r="A70" s="54"/>
      <c r="B70" s="162">
        <v>44363.0</v>
      </c>
      <c r="C70" s="163"/>
      <c r="D70" s="165"/>
      <c r="E70" s="160">
        <v>300970.0</v>
      </c>
      <c r="F70" s="160">
        <v>782.0</v>
      </c>
      <c r="G70" s="161">
        <v>460.0</v>
      </c>
      <c r="H70" s="161">
        <v>284.93</v>
      </c>
      <c r="I70" s="161">
        <v>300.0</v>
      </c>
      <c r="J70" s="102">
        <f t="shared" si="16"/>
        <v>15.07</v>
      </c>
      <c r="K70" s="103">
        <f t="shared" si="17"/>
        <v>38.36317136</v>
      </c>
      <c r="L70" s="54"/>
      <c r="M70" s="54"/>
      <c r="N70" s="54"/>
      <c r="P70" s="44"/>
    </row>
    <row r="71">
      <c r="A71" s="54"/>
      <c r="B71" s="162">
        <v>44365.0</v>
      </c>
      <c r="C71" s="163"/>
      <c r="D71" s="165"/>
      <c r="E71" s="160">
        <v>301474.0</v>
      </c>
      <c r="F71" s="160">
        <v>504.0</v>
      </c>
      <c r="G71" s="161">
        <v>544.0</v>
      </c>
      <c r="H71" s="161">
        <v>281.74</v>
      </c>
      <c r="I71" s="161">
        <v>300.0</v>
      </c>
      <c r="J71" s="102">
        <f t="shared" si="16"/>
        <v>18.26</v>
      </c>
      <c r="K71" s="103">
        <f t="shared" si="17"/>
        <v>59.52380952</v>
      </c>
      <c r="L71" s="54"/>
      <c r="M71" s="54"/>
      <c r="N71" s="54"/>
      <c r="P71" s="44"/>
    </row>
    <row r="72">
      <c r="A72" s="54"/>
      <c r="B72" s="162">
        <v>44369.0</v>
      </c>
      <c r="C72" s="163"/>
      <c r="D72" s="165"/>
      <c r="E72" s="160">
        <v>302059.0</v>
      </c>
      <c r="F72" s="160">
        <v>586.0</v>
      </c>
      <c r="G72" s="161">
        <v>577.0</v>
      </c>
      <c r="H72" s="161">
        <v>279.67</v>
      </c>
      <c r="I72" s="161">
        <v>300.0</v>
      </c>
      <c r="J72" s="102">
        <f t="shared" si="16"/>
        <v>20.33</v>
      </c>
      <c r="K72" s="103">
        <f t="shared" si="17"/>
        <v>51.19453925</v>
      </c>
      <c r="L72" s="54"/>
      <c r="M72" s="54"/>
      <c r="N72" s="54"/>
      <c r="P72" s="44"/>
    </row>
    <row r="73">
      <c r="A73" s="54"/>
      <c r="B73" s="162">
        <v>44372.0</v>
      </c>
      <c r="C73" s="163"/>
      <c r="D73" s="165"/>
      <c r="E73" s="160">
        <v>302998.0</v>
      </c>
      <c r="F73" s="160">
        <v>939.0</v>
      </c>
      <c r="G73" s="161">
        <v>470.0</v>
      </c>
      <c r="H73" s="161">
        <v>284.46</v>
      </c>
      <c r="I73" s="161">
        <v>300.0</v>
      </c>
      <c r="J73" s="102">
        <f t="shared" si="16"/>
        <v>15.54</v>
      </c>
      <c r="K73" s="103">
        <f t="shared" si="17"/>
        <v>31.94888179</v>
      </c>
      <c r="L73" s="54"/>
      <c r="M73" s="54"/>
      <c r="N73" s="54"/>
      <c r="P73" s="44"/>
    </row>
    <row r="74">
      <c r="A74" s="54"/>
      <c r="B74" s="162">
        <v>44375.0</v>
      </c>
      <c r="C74" s="163"/>
      <c r="D74" s="165"/>
      <c r="E74" s="160">
        <v>303636.0</v>
      </c>
      <c r="F74" s="160">
        <v>638.0</v>
      </c>
      <c r="G74" s="161">
        <v>508.0</v>
      </c>
      <c r="H74" s="161">
        <v>282.37</v>
      </c>
      <c r="I74" s="161">
        <v>300.0</v>
      </c>
      <c r="J74" s="102">
        <f t="shared" si="16"/>
        <v>17.63</v>
      </c>
      <c r="K74" s="103">
        <f t="shared" si="17"/>
        <v>47.02194357</v>
      </c>
      <c r="L74" s="54"/>
      <c r="M74" s="54"/>
      <c r="N74" s="54"/>
      <c r="P74" s="44"/>
    </row>
    <row r="75">
      <c r="A75" s="66"/>
      <c r="B75" s="67" t="s">
        <v>92</v>
      </c>
      <c r="J75" s="66"/>
      <c r="K75" s="66"/>
      <c r="L75" s="66"/>
      <c r="M75" s="66"/>
      <c r="N75" s="66"/>
      <c r="O75" s="68"/>
      <c r="P75" s="69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>
      <c r="A76" s="54"/>
      <c r="B76" s="162">
        <v>44380.0</v>
      </c>
      <c r="C76" s="163"/>
      <c r="D76" s="165"/>
      <c r="E76" s="160">
        <v>304060.0</v>
      </c>
      <c r="F76" s="160">
        <v>423.0</v>
      </c>
      <c r="G76" s="161">
        <v>574.0</v>
      </c>
      <c r="H76" s="161">
        <v>277.02</v>
      </c>
      <c r="I76" s="161">
        <v>300.0</v>
      </c>
      <c r="J76" s="102">
        <f t="shared" ref="J76:J85" si="18">I76-H76</f>
        <v>22.98</v>
      </c>
      <c r="K76" s="103">
        <f t="shared" ref="K76:K85" si="19">I76/F76*100</f>
        <v>70.92198582</v>
      </c>
      <c r="L76" s="54"/>
      <c r="M76" s="54"/>
      <c r="N76" s="54"/>
      <c r="P76" s="44"/>
    </row>
    <row r="77">
      <c r="A77" s="54"/>
      <c r="B77" s="162">
        <v>44386.0</v>
      </c>
      <c r="C77" s="163"/>
      <c r="D77" s="165"/>
      <c r="E77" s="160">
        <v>304717.0</v>
      </c>
      <c r="F77" s="160">
        <v>658.0</v>
      </c>
      <c r="G77" s="161">
        <v>554.0</v>
      </c>
      <c r="H77" s="161">
        <v>278.99</v>
      </c>
      <c r="I77" s="161">
        <v>300.0</v>
      </c>
      <c r="J77" s="102">
        <f t="shared" si="18"/>
        <v>21.01</v>
      </c>
      <c r="K77" s="103">
        <f t="shared" si="19"/>
        <v>45.59270517</v>
      </c>
      <c r="L77" s="54"/>
      <c r="M77" s="54"/>
      <c r="N77" s="54"/>
      <c r="P77" s="44"/>
    </row>
    <row r="78">
      <c r="A78" s="54"/>
      <c r="B78" s="162">
        <v>44393.0</v>
      </c>
      <c r="C78" s="163"/>
      <c r="D78" s="165"/>
      <c r="E78" s="160">
        <v>305153.0</v>
      </c>
      <c r="F78" s="160">
        <v>436.0</v>
      </c>
      <c r="G78" s="161">
        <v>491.0</v>
      </c>
      <c r="H78" s="161">
        <v>282.94</v>
      </c>
      <c r="I78" s="161">
        <v>300.0</v>
      </c>
      <c r="J78" s="102">
        <f t="shared" si="18"/>
        <v>17.06</v>
      </c>
      <c r="K78" s="103">
        <f t="shared" si="19"/>
        <v>68.80733945</v>
      </c>
      <c r="L78" s="54"/>
      <c r="M78" s="54"/>
      <c r="N78" s="54"/>
      <c r="P78" s="44"/>
    </row>
    <row r="79">
      <c r="A79" s="54"/>
      <c r="B79" s="162">
        <v>44394.0</v>
      </c>
      <c r="C79" s="163"/>
      <c r="D79" s="165"/>
      <c r="E79" s="160">
        <v>305255.0</v>
      </c>
      <c r="F79" s="160">
        <v>538.0</v>
      </c>
      <c r="G79" s="161">
        <v>577.0</v>
      </c>
      <c r="H79" s="161">
        <v>164.48</v>
      </c>
      <c r="I79" s="161">
        <v>181.63</v>
      </c>
      <c r="J79" s="102">
        <f t="shared" si="18"/>
        <v>17.15</v>
      </c>
      <c r="K79" s="103">
        <f t="shared" si="19"/>
        <v>33.76022305</v>
      </c>
      <c r="L79" s="54"/>
      <c r="M79" s="54"/>
      <c r="N79" s="54"/>
      <c r="P79" s="44"/>
    </row>
    <row r="80">
      <c r="A80" s="54"/>
      <c r="B80" s="162">
        <v>44399.0</v>
      </c>
      <c r="C80" s="163"/>
      <c r="D80" s="165"/>
      <c r="E80" s="166"/>
      <c r="F80" s="166"/>
      <c r="G80" s="168"/>
      <c r="H80" s="168"/>
      <c r="I80" s="161">
        <v>50.0</v>
      </c>
      <c r="J80" s="102">
        <f t="shared" si="18"/>
        <v>50</v>
      </c>
      <c r="K80" s="103" t="str">
        <f t="shared" si="19"/>
        <v>#DIV/0!</v>
      </c>
      <c r="L80" s="54"/>
      <c r="M80" s="54"/>
      <c r="N80" s="54"/>
      <c r="P80" s="44"/>
    </row>
    <row r="81">
      <c r="A81" s="54"/>
      <c r="B81" s="162">
        <v>44399.0</v>
      </c>
      <c r="C81" s="163"/>
      <c r="D81" s="165"/>
      <c r="E81" s="166"/>
      <c r="F81" s="166"/>
      <c r="G81" s="168"/>
      <c r="H81" s="168"/>
      <c r="I81" s="161">
        <v>-0.07</v>
      </c>
      <c r="J81" s="102">
        <f t="shared" si="18"/>
        <v>-0.07</v>
      </c>
      <c r="K81" s="103" t="str">
        <f t="shared" si="19"/>
        <v>#DIV/0!</v>
      </c>
      <c r="L81" s="54"/>
      <c r="M81" s="54"/>
      <c r="N81" s="54"/>
      <c r="P81" s="44"/>
    </row>
    <row r="82">
      <c r="A82" s="54"/>
      <c r="B82" s="162">
        <v>44401.0</v>
      </c>
      <c r="C82" s="163"/>
      <c r="D82" s="165"/>
      <c r="E82" s="166"/>
      <c r="F82" s="166"/>
      <c r="G82" s="168"/>
      <c r="H82" s="168"/>
      <c r="I82" s="161">
        <v>40.0</v>
      </c>
      <c r="J82" s="102">
        <f t="shared" si="18"/>
        <v>40</v>
      </c>
      <c r="K82" s="103" t="str">
        <f t="shared" si="19"/>
        <v>#DIV/0!</v>
      </c>
      <c r="L82" s="54"/>
      <c r="M82" s="54"/>
      <c r="N82" s="54"/>
      <c r="P82" s="44"/>
    </row>
    <row r="83">
      <c r="A83" s="54"/>
      <c r="B83" s="162">
        <v>44404.0</v>
      </c>
      <c r="C83" s="163"/>
      <c r="D83" s="165"/>
      <c r="E83" s="166"/>
      <c r="F83" s="166"/>
      <c r="G83" s="168"/>
      <c r="H83" s="168"/>
      <c r="I83" s="161">
        <v>59.0</v>
      </c>
      <c r="J83" s="102">
        <f t="shared" si="18"/>
        <v>59</v>
      </c>
      <c r="K83" s="103" t="str">
        <f t="shared" si="19"/>
        <v>#DIV/0!</v>
      </c>
      <c r="L83" s="54"/>
      <c r="M83" s="54"/>
      <c r="N83" s="54"/>
      <c r="P83" s="44"/>
    </row>
    <row r="84">
      <c r="A84" s="54"/>
      <c r="B84" s="162">
        <v>44406.0</v>
      </c>
      <c r="C84" s="163"/>
      <c r="D84" s="165"/>
      <c r="E84" s="160">
        <v>305831.0</v>
      </c>
      <c r="F84" s="160">
        <v>576.0</v>
      </c>
      <c r="G84" s="161">
        <v>459.0</v>
      </c>
      <c r="H84" s="161">
        <v>286.74</v>
      </c>
      <c r="I84" s="161">
        <v>300.0</v>
      </c>
      <c r="J84" s="102">
        <f t="shared" si="18"/>
        <v>13.26</v>
      </c>
      <c r="K84" s="103">
        <f t="shared" si="19"/>
        <v>52.08333333</v>
      </c>
      <c r="L84" s="54"/>
      <c r="M84" s="54"/>
      <c r="N84" s="54"/>
      <c r="P84" s="44"/>
    </row>
    <row r="85">
      <c r="A85" s="54"/>
      <c r="B85" s="162">
        <v>44407.0</v>
      </c>
      <c r="C85" s="163"/>
      <c r="D85" s="165"/>
      <c r="E85" s="160">
        <v>305911.0</v>
      </c>
      <c r="F85" s="160">
        <v>80.0</v>
      </c>
      <c r="G85" s="161">
        <v>696.0</v>
      </c>
      <c r="H85" s="161">
        <v>277.42</v>
      </c>
      <c r="I85" s="161">
        <v>300.0</v>
      </c>
      <c r="J85" s="102">
        <f t="shared" si="18"/>
        <v>22.58</v>
      </c>
      <c r="K85" s="103">
        <f t="shared" si="19"/>
        <v>375</v>
      </c>
      <c r="L85" s="54"/>
      <c r="M85" s="54"/>
      <c r="N85" s="54"/>
      <c r="P85" s="44"/>
    </row>
    <row r="86">
      <c r="A86" s="66"/>
      <c r="B86" s="67" t="s">
        <v>95</v>
      </c>
      <c r="J86" s="66"/>
      <c r="K86" s="66"/>
      <c r="L86" s="66"/>
      <c r="M86" s="66"/>
      <c r="N86" s="66"/>
      <c r="O86" s="68"/>
      <c r="P86" s="69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</row>
    <row r="87">
      <c r="A87" s="54"/>
      <c r="B87" s="162">
        <v>44414.0</v>
      </c>
      <c r="C87" s="163"/>
      <c r="D87" s="165"/>
      <c r="E87" s="160">
        <v>306614.0</v>
      </c>
      <c r="F87" s="160">
        <v>704.0</v>
      </c>
      <c r="G87" s="161">
        <v>677.0</v>
      </c>
      <c r="H87" s="161">
        <v>277.74</v>
      </c>
      <c r="I87" s="161">
        <v>300.0</v>
      </c>
      <c r="J87" s="102">
        <f t="shared" ref="J87:J91" si="20">I87-H87</f>
        <v>22.26</v>
      </c>
      <c r="K87" s="103">
        <f t="shared" ref="K87:K91" si="21">I87/F87*100</f>
        <v>42.61363636</v>
      </c>
      <c r="L87" s="54"/>
      <c r="M87" s="54"/>
      <c r="N87" s="54"/>
      <c r="P87" s="44"/>
    </row>
    <row r="88">
      <c r="A88" s="54"/>
      <c r="B88" s="162">
        <v>44418.0</v>
      </c>
      <c r="C88" s="163"/>
      <c r="D88" s="165"/>
      <c r="E88" s="160">
        <v>307015.0</v>
      </c>
      <c r="F88" s="160">
        <v>400.0</v>
      </c>
      <c r="G88" s="161">
        <v>696.0</v>
      </c>
      <c r="H88" s="161">
        <v>282.11</v>
      </c>
      <c r="I88" s="161">
        <v>299.6</v>
      </c>
      <c r="J88" s="102">
        <f t="shared" si="20"/>
        <v>17.49</v>
      </c>
      <c r="K88" s="103">
        <f t="shared" si="21"/>
        <v>74.9</v>
      </c>
      <c r="L88" s="54"/>
      <c r="M88" s="54"/>
      <c r="N88" s="54"/>
      <c r="P88" s="44"/>
    </row>
    <row r="89">
      <c r="A89" s="54"/>
      <c r="B89" s="162">
        <v>44422.0</v>
      </c>
      <c r="C89" s="163"/>
      <c r="D89" s="165"/>
      <c r="E89" s="160">
        <v>307530.0</v>
      </c>
      <c r="F89" s="160">
        <v>515.0</v>
      </c>
      <c r="G89" s="161">
        <v>668.0</v>
      </c>
      <c r="H89" s="161">
        <v>278.66</v>
      </c>
      <c r="I89" s="161">
        <v>300.0</v>
      </c>
      <c r="J89" s="102">
        <f t="shared" si="20"/>
        <v>21.34</v>
      </c>
      <c r="K89" s="103">
        <f t="shared" si="21"/>
        <v>58.25242718</v>
      </c>
      <c r="L89" s="54"/>
      <c r="M89" s="54"/>
      <c r="N89" s="54"/>
      <c r="P89" s="44"/>
    </row>
    <row r="90">
      <c r="A90" s="54"/>
      <c r="B90" s="162">
        <v>44429.0</v>
      </c>
      <c r="C90" s="163"/>
      <c r="D90" s="165"/>
      <c r="E90" s="160">
        <v>308289.0</v>
      </c>
      <c r="F90" s="160">
        <v>759.0</v>
      </c>
      <c r="G90" s="161">
        <v>649.0</v>
      </c>
      <c r="H90" s="161">
        <v>272.12</v>
      </c>
      <c r="I90" s="161">
        <v>300.0</v>
      </c>
      <c r="J90" s="102">
        <f t="shared" si="20"/>
        <v>27.88</v>
      </c>
      <c r="K90" s="103">
        <f t="shared" si="21"/>
        <v>39.5256917</v>
      </c>
      <c r="L90" s="54"/>
      <c r="M90" s="54"/>
      <c r="N90" s="54"/>
      <c r="P90" s="44"/>
    </row>
    <row r="91">
      <c r="A91" s="54"/>
      <c r="B91" s="162">
        <v>44436.0</v>
      </c>
      <c r="C91" s="163"/>
      <c r="D91" s="165"/>
      <c r="E91" s="160">
        <v>308945.0</v>
      </c>
      <c r="F91" s="160">
        <v>656.0</v>
      </c>
      <c r="G91" s="161">
        <v>622.0</v>
      </c>
      <c r="H91" s="161">
        <v>273.42</v>
      </c>
      <c r="I91" s="161">
        <v>300.0</v>
      </c>
      <c r="J91" s="102">
        <f t="shared" si="20"/>
        <v>26.58</v>
      </c>
      <c r="K91" s="103">
        <f t="shared" si="21"/>
        <v>45.73170732</v>
      </c>
      <c r="L91" s="54"/>
      <c r="M91" s="54"/>
      <c r="N91" s="54"/>
      <c r="P91" s="44"/>
    </row>
    <row r="92">
      <c r="A92" s="66"/>
      <c r="B92" s="67" t="s">
        <v>104</v>
      </c>
      <c r="J92" s="66"/>
      <c r="K92" s="66"/>
      <c r="L92" s="66"/>
      <c r="M92" s="66"/>
      <c r="N92" s="66"/>
      <c r="O92" s="68"/>
      <c r="P92" s="69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</row>
    <row r="93">
      <c r="A93" s="54"/>
      <c r="B93" s="162">
        <v>44440.0</v>
      </c>
      <c r="C93" s="163"/>
      <c r="D93" s="165"/>
      <c r="E93" s="160">
        <v>309363.0</v>
      </c>
      <c r="F93" s="160">
        <v>418.0</v>
      </c>
      <c r="G93" s="161">
        <v>706.0</v>
      </c>
      <c r="H93" s="161">
        <v>283.06</v>
      </c>
      <c r="I93" s="161">
        <v>300.0</v>
      </c>
      <c r="J93" s="102">
        <f t="shared" ref="J93:J98" si="22">I93-H93</f>
        <v>16.94</v>
      </c>
      <c r="K93" s="103">
        <f t="shared" ref="K93:K98" si="23">I93/F93*100</f>
        <v>71.77033493</v>
      </c>
      <c r="L93" s="54"/>
      <c r="M93" s="54"/>
      <c r="N93" s="54"/>
      <c r="P93" s="44"/>
    </row>
    <row r="94">
      <c r="A94" s="54"/>
      <c r="B94" s="162">
        <v>44446.0</v>
      </c>
      <c r="C94" s="163"/>
      <c r="D94" s="165"/>
      <c r="E94" s="160">
        <v>310052.0</v>
      </c>
      <c r="F94" s="160">
        <v>689.0</v>
      </c>
      <c r="G94" s="161">
        <v>666.0</v>
      </c>
      <c r="H94" s="161">
        <v>278.41</v>
      </c>
      <c r="I94" s="161">
        <v>300.0</v>
      </c>
      <c r="J94" s="102">
        <f t="shared" si="22"/>
        <v>21.59</v>
      </c>
      <c r="K94" s="103">
        <f t="shared" si="23"/>
        <v>43.5413643</v>
      </c>
      <c r="L94" s="54"/>
      <c r="M94" s="54"/>
      <c r="N94" s="54"/>
      <c r="P94" s="44"/>
    </row>
    <row r="95">
      <c r="A95" s="54"/>
      <c r="B95" s="162">
        <v>44451.0</v>
      </c>
      <c r="C95" s="163"/>
      <c r="D95" s="165"/>
      <c r="E95" s="160">
        <v>310653.0</v>
      </c>
      <c r="F95" s="160">
        <v>601.0</v>
      </c>
      <c r="G95" s="161">
        <v>654.0</v>
      </c>
      <c r="H95" s="161">
        <v>273.15</v>
      </c>
      <c r="I95" s="161">
        <v>300.0</v>
      </c>
      <c r="J95" s="102">
        <f t="shared" si="22"/>
        <v>26.85</v>
      </c>
      <c r="K95" s="103">
        <f t="shared" si="23"/>
        <v>49.91680532</v>
      </c>
      <c r="L95" s="54"/>
      <c r="M95" s="54"/>
      <c r="N95" s="54"/>
      <c r="P95" s="44"/>
    </row>
    <row r="96">
      <c r="A96" s="54"/>
      <c r="B96" s="162">
        <v>44456.0</v>
      </c>
      <c r="C96" s="163"/>
      <c r="D96" s="165"/>
      <c r="E96" s="160">
        <v>311118.0</v>
      </c>
      <c r="F96" s="160">
        <v>465.0</v>
      </c>
      <c r="G96" s="161">
        <v>698.0</v>
      </c>
      <c r="H96" s="161">
        <v>275.94</v>
      </c>
      <c r="I96" s="161">
        <v>300.0</v>
      </c>
      <c r="J96" s="102">
        <f t="shared" si="22"/>
        <v>24.06</v>
      </c>
      <c r="K96" s="103">
        <f t="shared" si="23"/>
        <v>64.51612903</v>
      </c>
      <c r="L96" s="54"/>
      <c r="M96" s="54"/>
      <c r="N96" s="54"/>
      <c r="P96" s="44"/>
    </row>
    <row r="97">
      <c r="A97" s="54"/>
      <c r="B97" s="162">
        <v>44461.0</v>
      </c>
      <c r="C97" s="163"/>
      <c r="D97" s="165"/>
      <c r="E97" s="160">
        <v>311769.0</v>
      </c>
      <c r="F97" s="160">
        <v>651.0</v>
      </c>
      <c r="G97" s="161">
        <v>628.0</v>
      </c>
      <c r="H97" s="161">
        <v>279.19</v>
      </c>
      <c r="I97" s="161">
        <v>300.0</v>
      </c>
      <c r="J97" s="102">
        <f t="shared" si="22"/>
        <v>20.81</v>
      </c>
      <c r="K97" s="103">
        <f t="shared" si="23"/>
        <v>46.08294931</v>
      </c>
      <c r="L97" s="54"/>
      <c r="M97" s="54"/>
      <c r="N97" s="54"/>
      <c r="P97" s="44"/>
    </row>
    <row r="98">
      <c r="A98" s="54"/>
      <c r="B98" s="162">
        <v>44466.0</v>
      </c>
      <c r="C98" s="163"/>
      <c r="D98" s="165"/>
      <c r="E98" s="160">
        <v>312196.0</v>
      </c>
      <c r="F98" s="160">
        <v>428.0</v>
      </c>
      <c r="G98" s="161">
        <v>655.0</v>
      </c>
      <c r="H98" s="161">
        <v>269.54</v>
      </c>
      <c r="I98" s="161">
        <v>299.7</v>
      </c>
      <c r="J98" s="102">
        <f t="shared" si="22"/>
        <v>30.16</v>
      </c>
      <c r="K98" s="103">
        <f t="shared" si="23"/>
        <v>70.02336449</v>
      </c>
      <c r="L98" s="54"/>
      <c r="M98" s="54"/>
      <c r="N98" s="54"/>
      <c r="P98" s="44"/>
    </row>
    <row r="99">
      <c r="A99" s="66"/>
      <c r="B99" s="67" t="s">
        <v>96</v>
      </c>
      <c r="J99" s="66"/>
      <c r="K99" s="66"/>
      <c r="L99" s="66"/>
      <c r="M99" s="66"/>
      <c r="N99" s="66"/>
      <c r="O99" s="68"/>
      <c r="P99" s="69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>
      <c r="A100" s="54"/>
      <c r="B100" s="162">
        <v>44472.0</v>
      </c>
      <c r="C100" s="163"/>
      <c r="D100" s="165"/>
      <c r="E100" s="160">
        <v>312645.0</v>
      </c>
      <c r="F100" s="160">
        <v>448.0</v>
      </c>
      <c r="G100" s="161">
        <v>666.0</v>
      </c>
      <c r="H100" s="161">
        <v>274.91</v>
      </c>
      <c r="I100" s="161">
        <v>300.0</v>
      </c>
      <c r="J100" s="102">
        <f t="shared" ref="J100:J106" si="24">I100-H100</f>
        <v>25.09</v>
      </c>
      <c r="K100" s="103">
        <f t="shared" ref="K100:K106" si="25">I100/F100*100</f>
        <v>66.96428571</v>
      </c>
      <c r="L100" s="54"/>
      <c r="M100" s="54"/>
      <c r="N100" s="54"/>
      <c r="P100" s="44"/>
    </row>
    <row r="101">
      <c r="A101" s="54"/>
      <c r="B101" s="162">
        <v>44476.0</v>
      </c>
      <c r="C101" s="163"/>
      <c r="D101" s="165"/>
      <c r="E101" s="160">
        <v>313559.0</v>
      </c>
      <c r="F101" s="160">
        <v>914.0</v>
      </c>
      <c r="G101" s="161">
        <v>551.0</v>
      </c>
      <c r="H101" s="161">
        <v>289.15</v>
      </c>
      <c r="I101" s="161">
        <v>300.0</v>
      </c>
      <c r="J101" s="102">
        <f t="shared" si="24"/>
        <v>10.85</v>
      </c>
      <c r="K101" s="103">
        <f t="shared" si="25"/>
        <v>32.82275711</v>
      </c>
      <c r="L101" s="54"/>
      <c r="M101" s="54"/>
      <c r="N101" s="54"/>
      <c r="P101" s="44"/>
    </row>
    <row r="102">
      <c r="A102" s="54"/>
      <c r="B102" s="157">
        <v>44479.0</v>
      </c>
      <c r="C102" s="158"/>
      <c r="D102" s="165"/>
      <c r="E102" s="160">
        <v>313786.0</v>
      </c>
      <c r="F102" s="160">
        <v>227.0</v>
      </c>
      <c r="G102" s="161">
        <v>707.0</v>
      </c>
      <c r="H102" s="161">
        <v>276.22</v>
      </c>
      <c r="I102" s="161">
        <v>300.0</v>
      </c>
      <c r="J102" s="102">
        <f t="shared" si="24"/>
        <v>23.78</v>
      </c>
      <c r="K102" s="103">
        <f t="shared" si="25"/>
        <v>132.1585903</v>
      </c>
      <c r="L102" s="54"/>
      <c r="M102" s="54"/>
      <c r="N102" s="54"/>
      <c r="P102" s="44"/>
    </row>
    <row r="103">
      <c r="A103" s="54"/>
      <c r="B103" s="157">
        <v>44486.0</v>
      </c>
      <c r="C103" s="158"/>
      <c r="D103" s="165"/>
      <c r="E103" s="160">
        <v>314840.0</v>
      </c>
      <c r="F103" s="160">
        <v>1054.0</v>
      </c>
      <c r="G103" s="161">
        <v>497.0</v>
      </c>
      <c r="H103" s="161">
        <v>284.84</v>
      </c>
      <c r="I103" s="161">
        <v>300.0</v>
      </c>
      <c r="J103" s="102">
        <f t="shared" si="24"/>
        <v>15.16</v>
      </c>
      <c r="K103" s="103">
        <f t="shared" si="25"/>
        <v>28.4629981</v>
      </c>
      <c r="L103" s="54"/>
      <c r="M103" s="54"/>
      <c r="N103" s="54"/>
      <c r="P103" s="44"/>
    </row>
    <row r="104">
      <c r="A104" s="54"/>
      <c r="B104" s="157">
        <v>44490.0</v>
      </c>
      <c r="C104" s="158"/>
      <c r="D104" s="165"/>
      <c r="E104" s="160">
        <v>315199.0</v>
      </c>
      <c r="F104" s="160">
        <v>359.0</v>
      </c>
      <c r="G104" s="161">
        <v>574.0</v>
      </c>
      <c r="H104" s="161">
        <v>279.69</v>
      </c>
      <c r="I104" s="161">
        <v>300.0</v>
      </c>
      <c r="J104" s="102">
        <f t="shared" si="24"/>
        <v>20.31</v>
      </c>
      <c r="K104" s="103">
        <f t="shared" si="25"/>
        <v>83.56545961</v>
      </c>
      <c r="L104" s="54"/>
      <c r="M104" s="54"/>
      <c r="N104" s="54"/>
      <c r="P104" s="44"/>
    </row>
    <row r="105">
      <c r="A105" s="54"/>
      <c r="B105" s="157">
        <v>44495.0</v>
      </c>
      <c r="C105" s="158"/>
      <c r="D105" s="165"/>
      <c r="E105" s="160">
        <v>315586.0</v>
      </c>
      <c r="F105" s="160">
        <v>388.0</v>
      </c>
      <c r="G105" s="161">
        <v>578.0</v>
      </c>
      <c r="H105" s="161">
        <v>282.11</v>
      </c>
      <c r="I105" s="161">
        <v>300.0</v>
      </c>
      <c r="J105" s="102">
        <f t="shared" si="24"/>
        <v>17.89</v>
      </c>
      <c r="K105" s="103">
        <f t="shared" si="25"/>
        <v>77.31958763</v>
      </c>
      <c r="L105" s="54"/>
      <c r="M105" s="54"/>
      <c r="N105" s="54"/>
      <c r="P105" s="44"/>
    </row>
    <row r="106">
      <c r="A106" s="54"/>
      <c r="B106" s="157">
        <v>44498.0</v>
      </c>
      <c r="C106" s="158"/>
      <c r="D106" s="165"/>
      <c r="E106" s="160">
        <v>315973.0</v>
      </c>
      <c r="F106" s="160">
        <v>387.0</v>
      </c>
      <c r="G106" s="161">
        <v>698.0</v>
      </c>
      <c r="H106" s="161">
        <v>274.21</v>
      </c>
      <c r="I106" s="161">
        <v>299.65</v>
      </c>
      <c r="J106" s="102">
        <f t="shared" si="24"/>
        <v>25.44</v>
      </c>
      <c r="K106" s="103">
        <f t="shared" si="25"/>
        <v>77.42894057</v>
      </c>
      <c r="L106" s="54"/>
      <c r="M106" s="54"/>
      <c r="N106" s="54"/>
      <c r="P106" s="44"/>
    </row>
    <row r="107">
      <c r="A107" s="66"/>
      <c r="B107" s="67" t="s">
        <v>97</v>
      </c>
      <c r="J107" s="66"/>
      <c r="K107" s="66"/>
      <c r="L107" s="66"/>
      <c r="M107" s="66"/>
      <c r="N107" s="66"/>
      <c r="O107" s="68"/>
      <c r="P107" s="69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</row>
    <row r="108">
      <c r="A108" s="54"/>
      <c r="B108" s="162">
        <v>44505.0</v>
      </c>
      <c r="C108" s="163"/>
      <c r="D108" s="165"/>
      <c r="E108" s="160">
        <v>317070.0</v>
      </c>
      <c r="F108" s="160">
        <v>1097.0</v>
      </c>
      <c r="G108" s="161">
        <v>473.0</v>
      </c>
      <c r="H108" s="161">
        <v>283.04</v>
      </c>
      <c r="I108" s="161">
        <v>300.0</v>
      </c>
      <c r="J108" s="102">
        <f t="shared" ref="J108:J117" si="26">I108-H108</f>
        <v>16.96</v>
      </c>
      <c r="K108" s="103">
        <f t="shared" ref="K108:K117" si="27">I108/F108*100</f>
        <v>27.34731085</v>
      </c>
      <c r="L108" s="54"/>
      <c r="M108" s="54"/>
      <c r="N108" s="54"/>
      <c r="P108" s="44"/>
    </row>
    <row r="109">
      <c r="A109" s="54"/>
      <c r="B109" s="162">
        <v>44506.0</v>
      </c>
      <c r="C109" s="163"/>
      <c r="D109" s="165"/>
      <c r="E109" s="160">
        <v>317625.0</v>
      </c>
      <c r="F109" s="160">
        <v>556.0</v>
      </c>
      <c r="G109" s="161">
        <v>571.0</v>
      </c>
      <c r="H109" s="161">
        <v>282.66</v>
      </c>
      <c r="I109" s="161">
        <v>300.0</v>
      </c>
      <c r="J109" s="102">
        <f t="shared" si="26"/>
        <v>17.34</v>
      </c>
      <c r="K109" s="103">
        <f t="shared" si="27"/>
        <v>53.95683453</v>
      </c>
      <c r="L109" s="54"/>
      <c r="M109" s="54"/>
      <c r="N109" s="54"/>
      <c r="P109" s="44"/>
    </row>
    <row r="110">
      <c r="A110" s="54"/>
      <c r="B110" s="162">
        <v>44507.0</v>
      </c>
      <c r="C110" s="163"/>
      <c r="D110" s="165"/>
      <c r="E110" s="160">
        <v>318282.0</v>
      </c>
      <c r="F110" s="160">
        <v>656.0</v>
      </c>
      <c r="G110" s="161">
        <v>605.0</v>
      </c>
      <c r="H110" s="161">
        <v>279.05</v>
      </c>
      <c r="I110" s="161">
        <v>300.0</v>
      </c>
      <c r="J110" s="102">
        <f t="shared" si="26"/>
        <v>20.95</v>
      </c>
      <c r="K110" s="103">
        <f t="shared" si="27"/>
        <v>45.73170732</v>
      </c>
      <c r="L110" s="54"/>
      <c r="M110" s="54"/>
      <c r="N110" s="54"/>
      <c r="P110" s="44"/>
    </row>
    <row r="111">
      <c r="A111" s="54"/>
      <c r="B111" s="162">
        <v>44509.0</v>
      </c>
      <c r="C111" s="163"/>
      <c r="D111" s="165"/>
      <c r="E111" s="160">
        <v>319029.0</v>
      </c>
      <c r="F111" s="160">
        <v>747.0</v>
      </c>
      <c r="G111" s="161">
        <v>611.0</v>
      </c>
      <c r="H111" s="161">
        <v>277.41</v>
      </c>
      <c r="I111" s="161">
        <v>300.0</v>
      </c>
      <c r="J111" s="102">
        <f t="shared" si="26"/>
        <v>22.59</v>
      </c>
      <c r="K111" s="103">
        <f t="shared" si="27"/>
        <v>40.16064257</v>
      </c>
      <c r="L111" s="54"/>
      <c r="M111" s="54"/>
      <c r="N111" s="54"/>
      <c r="P111" s="44"/>
    </row>
    <row r="112">
      <c r="A112" s="54"/>
      <c r="B112" s="157">
        <v>44510.0</v>
      </c>
      <c r="C112" s="158"/>
      <c r="D112" s="165"/>
      <c r="E112" s="160">
        <v>319723.0</v>
      </c>
      <c r="F112" s="160">
        <v>694.0</v>
      </c>
      <c r="G112" s="161">
        <v>617.0</v>
      </c>
      <c r="H112" s="161">
        <v>280.99</v>
      </c>
      <c r="I112" s="161">
        <v>300.0</v>
      </c>
      <c r="J112" s="102">
        <f t="shared" si="26"/>
        <v>19.01</v>
      </c>
      <c r="K112" s="103">
        <f t="shared" si="27"/>
        <v>43.22766571</v>
      </c>
      <c r="L112" s="54"/>
      <c r="M112" s="54"/>
      <c r="N112" s="54"/>
      <c r="P112" s="44"/>
    </row>
    <row r="113">
      <c r="A113" s="54"/>
      <c r="B113" s="157">
        <v>44511.0</v>
      </c>
      <c r="C113" s="158"/>
      <c r="D113" s="165"/>
      <c r="E113" s="160">
        <v>320347.0</v>
      </c>
      <c r="F113" s="160">
        <v>624.0</v>
      </c>
      <c r="G113" s="161">
        <v>663.0</v>
      </c>
      <c r="H113" s="161">
        <v>276.33</v>
      </c>
      <c r="I113" s="161">
        <v>300.0</v>
      </c>
      <c r="J113" s="102">
        <f t="shared" si="26"/>
        <v>23.67</v>
      </c>
      <c r="K113" s="103">
        <f t="shared" si="27"/>
        <v>48.07692308</v>
      </c>
      <c r="L113" s="54"/>
      <c r="M113" s="54"/>
      <c r="N113" s="54"/>
      <c r="P113" s="44"/>
    </row>
    <row r="114">
      <c r="A114" s="54"/>
      <c r="B114" s="157">
        <v>44513.0</v>
      </c>
      <c r="C114" s="158"/>
      <c r="D114" s="165"/>
      <c r="E114" s="160">
        <v>321163.0</v>
      </c>
      <c r="F114" s="160">
        <v>817.0</v>
      </c>
      <c r="G114" s="161">
        <v>627.0</v>
      </c>
      <c r="H114" s="161">
        <v>276.13</v>
      </c>
      <c r="I114" s="161">
        <v>299.79</v>
      </c>
      <c r="J114" s="102">
        <f t="shared" si="26"/>
        <v>23.66</v>
      </c>
      <c r="K114" s="103">
        <f t="shared" si="27"/>
        <v>36.69400245</v>
      </c>
      <c r="L114" s="54"/>
      <c r="M114" s="54"/>
      <c r="N114" s="54"/>
      <c r="P114" s="44"/>
    </row>
    <row r="115">
      <c r="A115" s="54"/>
      <c r="B115" s="157">
        <v>44514.0</v>
      </c>
      <c r="C115" s="158"/>
      <c r="D115" s="165"/>
      <c r="E115" s="160">
        <v>321785.0</v>
      </c>
      <c r="F115" s="160">
        <v>621.0</v>
      </c>
      <c r="G115" s="161">
        <v>671.0</v>
      </c>
      <c r="H115" s="161">
        <v>275.3</v>
      </c>
      <c r="I115" s="161">
        <v>300.0</v>
      </c>
      <c r="J115" s="102">
        <f t="shared" si="26"/>
        <v>24.7</v>
      </c>
      <c r="K115" s="103">
        <f t="shared" si="27"/>
        <v>48.30917874</v>
      </c>
      <c r="L115" s="54"/>
      <c r="M115" s="54"/>
      <c r="N115" s="54"/>
      <c r="P115" s="44"/>
    </row>
    <row r="116">
      <c r="A116" s="54"/>
      <c r="B116" s="157">
        <v>44524.0</v>
      </c>
      <c r="C116" s="158"/>
      <c r="D116" s="165"/>
      <c r="E116" s="160">
        <v>322415.0</v>
      </c>
      <c r="F116" s="160">
        <v>631.0</v>
      </c>
      <c r="G116" s="161">
        <v>644.0</v>
      </c>
      <c r="H116" s="161">
        <v>270.81</v>
      </c>
      <c r="I116" s="161">
        <v>300.0</v>
      </c>
      <c r="J116" s="102">
        <f t="shared" si="26"/>
        <v>29.19</v>
      </c>
      <c r="K116" s="103">
        <f t="shared" si="27"/>
        <v>47.54358162</v>
      </c>
      <c r="L116" s="54"/>
      <c r="M116" s="54"/>
      <c r="N116" s="54"/>
      <c r="P116" s="44"/>
    </row>
    <row r="117">
      <c r="A117" s="54"/>
      <c r="B117" s="157">
        <v>44528.0</v>
      </c>
      <c r="C117" s="158"/>
      <c r="D117" s="165"/>
      <c r="E117" s="160">
        <v>322879.0</v>
      </c>
      <c r="F117" s="160">
        <v>464.0</v>
      </c>
      <c r="G117" s="161">
        <v>638.0</v>
      </c>
      <c r="H117" s="161">
        <v>273.57</v>
      </c>
      <c r="I117" s="161">
        <v>300.0</v>
      </c>
      <c r="J117" s="102">
        <f t="shared" si="26"/>
        <v>26.43</v>
      </c>
      <c r="K117" s="103">
        <f t="shared" si="27"/>
        <v>64.65517241</v>
      </c>
      <c r="L117" s="54"/>
      <c r="M117" s="54"/>
      <c r="N117" s="54"/>
      <c r="P117" s="44"/>
    </row>
    <row r="118">
      <c r="A118" s="66"/>
      <c r="B118" s="67" t="s">
        <v>98</v>
      </c>
      <c r="J118" s="66"/>
      <c r="K118" s="66"/>
      <c r="L118" s="66"/>
      <c r="M118" s="66"/>
      <c r="N118" s="66"/>
      <c r="O118" s="68"/>
      <c r="P118" s="69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>
      <c r="A119" s="54"/>
      <c r="B119" s="162">
        <v>44531.0</v>
      </c>
      <c r="C119" s="163"/>
      <c r="D119" s="165"/>
      <c r="E119" s="160">
        <v>323297.0</v>
      </c>
      <c r="F119" s="160">
        <v>418.0</v>
      </c>
      <c r="G119" s="161">
        <v>640.0</v>
      </c>
      <c r="H119" s="161">
        <v>261.19</v>
      </c>
      <c r="I119" s="161">
        <v>300.0</v>
      </c>
      <c r="J119" s="102">
        <f t="shared" ref="J119:J128" si="28">I119-H119</f>
        <v>38.81</v>
      </c>
      <c r="K119" s="103">
        <f t="shared" ref="K119:K128" si="29">I119/F119*100</f>
        <v>71.77033493</v>
      </c>
      <c r="L119" s="54"/>
      <c r="M119" s="54"/>
      <c r="N119" s="54"/>
      <c r="P119" s="44"/>
    </row>
    <row r="120">
      <c r="A120" s="54"/>
      <c r="B120" s="162">
        <v>44535.0</v>
      </c>
      <c r="C120" s="163"/>
      <c r="D120" s="165"/>
      <c r="E120" s="160">
        <v>323753.0</v>
      </c>
      <c r="F120" s="160">
        <v>456.0</v>
      </c>
      <c r="G120" s="161">
        <v>641.0</v>
      </c>
      <c r="H120" s="161">
        <v>267.14</v>
      </c>
      <c r="I120" s="161">
        <v>300.0</v>
      </c>
      <c r="J120" s="102">
        <f t="shared" si="28"/>
        <v>32.86</v>
      </c>
      <c r="K120" s="103">
        <f t="shared" si="29"/>
        <v>65.78947368</v>
      </c>
      <c r="L120" s="54"/>
      <c r="M120" s="54"/>
      <c r="N120" s="54"/>
      <c r="P120" s="44"/>
    </row>
    <row r="121">
      <c r="A121" s="54"/>
      <c r="B121" s="162">
        <v>44537.0</v>
      </c>
      <c r="C121" s="163"/>
      <c r="D121" s="165"/>
      <c r="E121" s="160">
        <v>324450.0</v>
      </c>
      <c r="F121" s="160">
        <v>697.0</v>
      </c>
      <c r="G121" s="161">
        <v>575.0</v>
      </c>
      <c r="H121" s="161">
        <v>252.64</v>
      </c>
      <c r="I121" s="161">
        <v>300.0</v>
      </c>
      <c r="J121" s="102">
        <f t="shared" si="28"/>
        <v>47.36</v>
      </c>
      <c r="K121" s="103">
        <f t="shared" si="29"/>
        <v>43.04160689</v>
      </c>
      <c r="L121" s="54"/>
      <c r="M121" s="54"/>
      <c r="N121" s="54"/>
      <c r="P121" s="44"/>
    </row>
    <row r="122">
      <c r="A122" s="54"/>
      <c r="B122" s="162">
        <v>44539.0</v>
      </c>
      <c r="C122" s="163"/>
      <c r="D122" s="165"/>
      <c r="E122" s="160">
        <v>324986.0</v>
      </c>
      <c r="F122" s="160">
        <v>536.0</v>
      </c>
      <c r="G122" s="161">
        <v>643.0</v>
      </c>
      <c r="H122" s="161">
        <v>267.57</v>
      </c>
      <c r="I122" s="161">
        <v>300.0</v>
      </c>
      <c r="J122" s="102">
        <f t="shared" si="28"/>
        <v>32.43</v>
      </c>
      <c r="K122" s="103">
        <f t="shared" si="29"/>
        <v>55.97014925</v>
      </c>
      <c r="L122" s="54"/>
      <c r="M122" s="54"/>
      <c r="N122" s="54"/>
      <c r="P122" s="44"/>
    </row>
    <row r="123">
      <c r="A123" s="54"/>
      <c r="B123" s="157">
        <v>44543.0</v>
      </c>
      <c r="C123" s="158"/>
      <c r="D123" s="165"/>
      <c r="E123" s="160">
        <v>325804.0</v>
      </c>
      <c r="F123" s="160">
        <v>818.0</v>
      </c>
      <c r="G123" s="161">
        <v>525.0</v>
      </c>
      <c r="H123" s="161">
        <v>282.93</v>
      </c>
      <c r="I123" s="161">
        <v>300.0</v>
      </c>
      <c r="J123" s="102">
        <f t="shared" si="28"/>
        <v>17.07</v>
      </c>
      <c r="K123" s="103">
        <f t="shared" si="29"/>
        <v>36.67481663</v>
      </c>
      <c r="L123" s="54"/>
      <c r="M123" s="54"/>
      <c r="N123" s="54"/>
      <c r="P123" s="44"/>
    </row>
    <row r="124">
      <c r="A124" s="54"/>
      <c r="B124" s="157">
        <v>44545.0</v>
      </c>
      <c r="C124" s="158"/>
      <c r="D124" s="165"/>
      <c r="E124" s="160">
        <v>326214.0</v>
      </c>
      <c r="F124" s="160">
        <v>409.0</v>
      </c>
      <c r="G124" s="161">
        <v>594.0</v>
      </c>
      <c r="H124" s="161">
        <v>273.81</v>
      </c>
      <c r="I124" s="161">
        <v>300.0</v>
      </c>
      <c r="J124" s="102">
        <f t="shared" si="28"/>
        <v>26.19</v>
      </c>
      <c r="K124" s="103">
        <f t="shared" si="29"/>
        <v>73.34963325</v>
      </c>
      <c r="L124" s="54"/>
      <c r="M124" s="54"/>
      <c r="N124" s="54"/>
      <c r="P124" s="44"/>
    </row>
    <row r="125">
      <c r="A125" s="54"/>
      <c r="B125" s="157">
        <v>44548.0</v>
      </c>
      <c r="C125" s="158"/>
      <c r="D125" s="165"/>
      <c r="E125" s="160">
        <v>326682.0</v>
      </c>
      <c r="F125" s="160">
        <v>468.0</v>
      </c>
      <c r="G125" s="161">
        <v>621.0</v>
      </c>
      <c r="H125" s="161">
        <v>268.48</v>
      </c>
      <c r="I125" s="161">
        <v>300.0</v>
      </c>
      <c r="J125" s="102">
        <f t="shared" si="28"/>
        <v>31.52</v>
      </c>
      <c r="K125" s="103">
        <f t="shared" si="29"/>
        <v>64.1025641</v>
      </c>
      <c r="L125" s="54"/>
      <c r="M125" s="54"/>
      <c r="N125" s="54"/>
      <c r="P125" s="44"/>
    </row>
    <row r="126">
      <c r="A126" s="54"/>
      <c r="B126" s="157">
        <v>44552.0</v>
      </c>
      <c r="C126" s="158"/>
      <c r="D126" s="165"/>
      <c r="E126" s="160">
        <v>327454.0</v>
      </c>
      <c r="F126" s="160">
        <v>772.0</v>
      </c>
      <c r="G126" s="161">
        <v>562.0</v>
      </c>
      <c r="H126" s="161">
        <v>274.5</v>
      </c>
      <c r="I126" s="161">
        <v>300.0</v>
      </c>
      <c r="J126" s="102">
        <f t="shared" si="28"/>
        <v>25.5</v>
      </c>
      <c r="K126" s="103">
        <f t="shared" si="29"/>
        <v>38.86010363</v>
      </c>
      <c r="L126" s="54"/>
      <c r="M126" s="54"/>
      <c r="N126" s="54"/>
      <c r="P126" s="44"/>
    </row>
    <row r="127">
      <c r="A127" s="54"/>
      <c r="B127" s="157">
        <v>44555.0</v>
      </c>
      <c r="C127" s="158"/>
      <c r="D127" s="165"/>
      <c r="E127" s="160">
        <v>327877.0</v>
      </c>
      <c r="F127" s="160">
        <v>423.0</v>
      </c>
      <c r="G127" s="161">
        <v>605.0</v>
      </c>
      <c r="H127" s="161">
        <v>270.67</v>
      </c>
      <c r="I127" s="161">
        <v>300.0</v>
      </c>
      <c r="J127" s="102">
        <f t="shared" si="28"/>
        <v>29.33</v>
      </c>
      <c r="K127" s="103">
        <f t="shared" si="29"/>
        <v>70.92198582</v>
      </c>
      <c r="L127" s="54"/>
      <c r="M127" s="54"/>
      <c r="N127" s="54"/>
      <c r="P127" s="44"/>
    </row>
    <row r="128">
      <c r="A128" s="54"/>
      <c r="B128" s="157">
        <v>44559.0</v>
      </c>
      <c r="C128" s="158"/>
      <c r="D128" s="165"/>
      <c r="E128" s="160">
        <v>328802.0</v>
      </c>
      <c r="F128" s="160">
        <v>926.0</v>
      </c>
      <c r="G128" s="161">
        <v>449.0</v>
      </c>
      <c r="H128" s="161">
        <v>275.67</v>
      </c>
      <c r="I128" s="161">
        <v>300.0</v>
      </c>
      <c r="J128" s="102">
        <f t="shared" si="28"/>
        <v>24.33</v>
      </c>
      <c r="K128" s="103">
        <f t="shared" si="29"/>
        <v>32.39740821</v>
      </c>
      <c r="L128" s="54"/>
      <c r="M128" s="54"/>
      <c r="N128" s="54"/>
      <c r="P128" s="44"/>
    </row>
    <row r="129">
      <c r="A129" s="66"/>
      <c r="B129" s="67">
        <v>2022.0</v>
      </c>
      <c r="J129" s="66"/>
      <c r="K129" s="66"/>
      <c r="L129" s="66"/>
      <c r="M129" s="66"/>
      <c r="N129" s="66"/>
      <c r="O129" s="68"/>
      <c r="P129" s="69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66"/>
      <c r="B130" s="67" t="s">
        <v>96</v>
      </c>
      <c r="J130" s="66"/>
      <c r="K130" s="66"/>
      <c r="L130" s="66"/>
      <c r="M130" s="66"/>
      <c r="N130" s="66"/>
      <c r="O130" s="68"/>
      <c r="P130" s="69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</row>
    <row r="131">
      <c r="A131" s="54"/>
      <c r="B131" s="162">
        <v>44573.0</v>
      </c>
      <c r="C131" s="163"/>
      <c r="D131" s="165"/>
      <c r="E131" s="160">
        <v>329289.0</v>
      </c>
      <c r="F131" s="160">
        <v>487.0</v>
      </c>
      <c r="G131" s="161">
        <v>433.0</v>
      </c>
      <c r="H131" s="161">
        <v>278.49</v>
      </c>
      <c r="I131" s="161">
        <v>300.0</v>
      </c>
      <c r="J131" s="102">
        <f t="shared" ref="J131:J137" si="30">I131-H131</f>
        <v>21.51</v>
      </c>
      <c r="K131" s="103">
        <f t="shared" ref="K131:K137" si="31">I131/F131*100</f>
        <v>61.60164271</v>
      </c>
      <c r="L131" s="54"/>
      <c r="M131" s="54"/>
      <c r="N131" s="54"/>
      <c r="P131" s="44"/>
    </row>
    <row r="132">
      <c r="A132" s="54"/>
      <c r="B132" s="162">
        <v>44574.0</v>
      </c>
      <c r="C132" s="163"/>
      <c r="D132" s="165"/>
      <c r="E132" s="160">
        <v>329498.0</v>
      </c>
      <c r="F132" s="160">
        <v>208.0</v>
      </c>
      <c r="G132" s="161">
        <v>594.0</v>
      </c>
      <c r="H132" s="161">
        <v>271.13</v>
      </c>
      <c r="I132" s="161">
        <v>300.0</v>
      </c>
      <c r="J132" s="102">
        <f t="shared" si="30"/>
        <v>28.87</v>
      </c>
      <c r="K132" s="103">
        <f t="shared" si="31"/>
        <v>144.2307692</v>
      </c>
      <c r="L132" s="54"/>
      <c r="M132" s="54"/>
      <c r="N132" s="54"/>
      <c r="P132" s="44"/>
    </row>
    <row r="133">
      <c r="A133" s="54"/>
      <c r="B133" s="162">
        <v>44578.0</v>
      </c>
      <c r="C133" s="163"/>
      <c r="D133" s="165"/>
      <c r="E133" s="160">
        <v>330440.0</v>
      </c>
      <c r="F133" s="160">
        <v>942.0</v>
      </c>
      <c r="G133" s="161">
        <v>471.0</v>
      </c>
      <c r="H133" s="161">
        <v>279.95</v>
      </c>
      <c r="I133" s="161">
        <v>300.0</v>
      </c>
      <c r="J133" s="102">
        <f t="shared" si="30"/>
        <v>20.05</v>
      </c>
      <c r="K133" s="103">
        <f t="shared" si="31"/>
        <v>31.84713376</v>
      </c>
      <c r="L133" s="54"/>
      <c r="M133" s="54"/>
      <c r="N133" s="54"/>
      <c r="P133" s="44"/>
    </row>
    <row r="134">
      <c r="A134" s="54"/>
      <c r="B134" s="162">
        <v>44580.0</v>
      </c>
      <c r="C134" s="163"/>
      <c r="D134" s="165"/>
      <c r="E134" s="160">
        <v>330860.0</v>
      </c>
      <c r="F134" s="160">
        <v>420.0</v>
      </c>
      <c r="G134" s="161">
        <v>569.0</v>
      </c>
      <c r="H134" s="161">
        <v>272.53</v>
      </c>
      <c r="I134" s="161">
        <v>300.0</v>
      </c>
      <c r="J134" s="102">
        <f t="shared" si="30"/>
        <v>27.47</v>
      </c>
      <c r="K134" s="103">
        <f t="shared" si="31"/>
        <v>71.42857143</v>
      </c>
      <c r="L134" s="54"/>
      <c r="M134" s="54"/>
      <c r="N134" s="54"/>
      <c r="P134" s="44"/>
    </row>
    <row r="135">
      <c r="A135" s="54"/>
      <c r="B135" s="162">
        <v>44582.0</v>
      </c>
      <c r="C135" s="163"/>
      <c r="D135" s="165"/>
      <c r="E135" s="160">
        <v>331519.0</v>
      </c>
      <c r="F135" s="160">
        <v>659.0</v>
      </c>
      <c r="G135" s="161">
        <v>552.0</v>
      </c>
      <c r="H135" s="161">
        <v>271.2</v>
      </c>
      <c r="I135" s="161">
        <v>300.0</v>
      </c>
      <c r="J135" s="102">
        <f t="shared" si="30"/>
        <v>28.8</v>
      </c>
      <c r="K135" s="103">
        <f t="shared" si="31"/>
        <v>45.52352049</v>
      </c>
      <c r="L135" s="54"/>
      <c r="M135" s="54"/>
      <c r="N135" s="54"/>
      <c r="P135" s="44"/>
    </row>
    <row r="136">
      <c r="A136" s="54"/>
      <c r="B136" s="162">
        <v>44222.0</v>
      </c>
      <c r="C136" s="163"/>
      <c r="D136" s="165"/>
      <c r="E136" s="160">
        <v>331799.0</v>
      </c>
      <c r="F136" s="166"/>
      <c r="G136" s="161">
        <v>264.0</v>
      </c>
      <c r="H136" s="161">
        <v>117.0</v>
      </c>
      <c r="I136" s="168"/>
      <c r="J136" s="102">
        <f t="shared" si="30"/>
        <v>-117</v>
      </c>
      <c r="K136" s="103" t="str">
        <f t="shared" si="31"/>
        <v>#DIV/0!</v>
      </c>
      <c r="L136" s="54"/>
      <c r="M136" s="54"/>
      <c r="N136" s="54"/>
      <c r="P136" s="44"/>
    </row>
    <row r="137">
      <c r="A137" s="54"/>
      <c r="B137" s="162">
        <v>44592.0</v>
      </c>
      <c r="C137" s="163"/>
      <c r="D137" s="165"/>
      <c r="E137" s="160">
        <v>331834.0</v>
      </c>
      <c r="F137" s="160">
        <v>35.0</v>
      </c>
      <c r="G137" s="161">
        <v>616.0</v>
      </c>
      <c r="H137" s="161">
        <v>270.01</v>
      </c>
      <c r="I137" s="161">
        <v>300.0</v>
      </c>
      <c r="J137" s="102">
        <f t="shared" si="30"/>
        <v>29.99</v>
      </c>
      <c r="K137" s="103">
        <f t="shared" si="31"/>
        <v>857.1428571</v>
      </c>
      <c r="L137" s="54"/>
      <c r="M137" s="54"/>
      <c r="N137" s="54"/>
      <c r="P137" s="44"/>
    </row>
    <row r="138">
      <c r="A138" s="66"/>
      <c r="B138" s="67" t="s">
        <v>68</v>
      </c>
      <c r="J138" s="66"/>
      <c r="K138" s="66"/>
      <c r="L138" s="66"/>
      <c r="M138" s="66"/>
      <c r="N138" s="66"/>
      <c r="O138" s="68"/>
      <c r="P138" s="69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</row>
    <row r="139">
      <c r="A139" s="54"/>
      <c r="B139" s="162">
        <v>44598.0</v>
      </c>
      <c r="C139" s="163"/>
      <c r="D139" s="165"/>
      <c r="E139" s="160">
        <v>332418.0</v>
      </c>
      <c r="F139" s="160">
        <v>584.0</v>
      </c>
      <c r="G139" s="161">
        <v>600.0</v>
      </c>
      <c r="H139" s="161">
        <v>271.82</v>
      </c>
      <c r="I139" s="161">
        <v>300.0</v>
      </c>
      <c r="J139" s="102">
        <f t="shared" ref="J139:J145" si="32">I139-H139</f>
        <v>28.18</v>
      </c>
      <c r="K139" s="103">
        <f t="shared" ref="K139:K145" si="33">I139/F139*100</f>
        <v>51.36986301</v>
      </c>
      <c r="L139" s="54"/>
      <c r="M139" s="54"/>
      <c r="N139" s="54"/>
      <c r="P139" s="44"/>
    </row>
    <row r="140">
      <c r="A140" s="54"/>
      <c r="B140" s="162">
        <v>44602.0</v>
      </c>
      <c r="C140" s="163"/>
      <c r="D140" s="165"/>
      <c r="E140" s="160">
        <v>333184.0</v>
      </c>
      <c r="F140" s="160">
        <v>767.0</v>
      </c>
      <c r="G140" s="161">
        <v>542.0</v>
      </c>
      <c r="H140" s="161">
        <v>270.23</v>
      </c>
      <c r="I140" s="161">
        <v>300.0</v>
      </c>
      <c r="J140" s="102">
        <f t="shared" si="32"/>
        <v>29.77</v>
      </c>
      <c r="K140" s="103">
        <f t="shared" si="33"/>
        <v>39.11342894</v>
      </c>
      <c r="L140" s="54"/>
      <c r="M140" s="54"/>
      <c r="N140" s="54"/>
      <c r="P140" s="44"/>
    </row>
    <row r="141">
      <c r="A141" s="54"/>
      <c r="B141" s="162">
        <v>44603.0</v>
      </c>
      <c r="C141" s="163"/>
      <c r="D141" s="165"/>
      <c r="E141" s="160">
        <v>333533.0</v>
      </c>
      <c r="F141" s="160">
        <v>349.0</v>
      </c>
      <c r="G141" s="161">
        <v>672.0</v>
      </c>
      <c r="H141" s="161">
        <v>266.69</v>
      </c>
      <c r="I141" s="161">
        <v>300.0</v>
      </c>
      <c r="J141" s="102">
        <f t="shared" si="32"/>
        <v>33.31</v>
      </c>
      <c r="K141" s="103">
        <f t="shared" si="33"/>
        <v>85.95988539</v>
      </c>
      <c r="L141" s="54"/>
      <c r="M141" s="54"/>
      <c r="N141" s="54"/>
      <c r="P141" s="44"/>
    </row>
    <row r="142">
      <c r="A142" s="54"/>
      <c r="B142" s="162">
        <v>44608.0</v>
      </c>
      <c r="C142" s="163"/>
      <c r="D142" s="165"/>
      <c r="E142" s="160">
        <v>334576.0</v>
      </c>
      <c r="F142" s="160">
        <v>1043.0</v>
      </c>
      <c r="G142" s="161">
        <v>711.0</v>
      </c>
      <c r="H142" s="161">
        <v>449.74</v>
      </c>
      <c r="I142" s="161">
        <v>483.0</v>
      </c>
      <c r="J142" s="102">
        <f t="shared" si="32"/>
        <v>33.26</v>
      </c>
      <c r="K142" s="103">
        <f t="shared" si="33"/>
        <v>46.30872483</v>
      </c>
      <c r="L142" s="54"/>
      <c r="M142" s="54"/>
      <c r="N142" s="54"/>
      <c r="P142" s="44"/>
    </row>
    <row r="143">
      <c r="A143" s="54"/>
      <c r="B143" s="162">
        <v>44613.0</v>
      </c>
      <c r="C143" s="163"/>
      <c r="D143" s="165"/>
      <c r="E143" s="160">
        <v>336091.0</v>
      </c>
      <c r="F143" s="160">
        <v>1515.0</v>
      </c>
      <c r="G143" s="161">
        <v>455.0</v>
      </c>
      <c r="H143" s="161">
        <v>283.92</v>
      </c>
      <c r="I143" s="161">
        <v>300.0</v>
      </c>
      <c r="J143" s="102">
        <f t="shared" si="32"/>
        <v>16.08</v>
      </c>
      <c r="K143" s="103">
        <f t="shared" si="33"/>
        <v>19.8019802</v>
      </c>
      <c r="L143" s="54"/>
      <c r="M143" s="54"/>
      <c r="N143" s="54"/>
      <c r="P143" s="44"/>
    </row>
    <row r="144">
      <c r="A144" s="54"/>
      <c r="B144" s="162">
        <v>44615.0</v>
      </c>
      <c r="C144" s="163"/>
      <c r="D144" s="165"/>
      <c r="E144" s="160">
        <v>336421.0</v>
      </c>
      <c r="F144" s="160">
        <v>330.0</v>
      </c>
      <c r="G144" s="161">
        <v>570.0</v>
      </c>
      <c r="H144" s="161">
        <v>273.27</v>
      </c>
      <c r="I144" s="161">
        <v>300.0</v>
      </c>
      <c r="J144" s="102">
        <f t="shared" si="32"/>
        <v>26.73</v>
      </c>
      <c r="K144" s="103">
        <f t="shared" si="33"/>
        <v>90.90909091</v>
      </c>
      <c r="L144" s="54"/>
      <c r="M144" s="54"/>
      <c r="N144" s="54"/>
      <c r="P144" s="44"/>
    </row>
    <row r="145">
      <c r="A145" s="54"/>
      <c r="B145" s="162">
        <v>44618.0</v>
      </c>
      <c r="C145" s="163"/>
      <c r="D145" s="165"/>
      <c r="E145" s="160">
        <v>337281.0</v>
      </c>
      <c r="F145" s="160">
        <v>860.0</v>
      </c>
      <c r="G145" s="161">
        <v>683.0</v>
      </c>
      <c r="H145" s="161">
        <v>461.58</v>
      </c>
      <c r="I145" s="161">
        <v>500.0</v>
      </c>
      <c r="J145" s="102">
        <f t="shared" si="32"/>
        <v>38.42</v>
      </c>
      <c r="K145" s="103">
        <f t="shared" si="33"/>
        <v>58.13953488</v>
      </c>
      <c r="L145" s="54"/>
      <c r="M145" s="54"/>
      <c r="N145" s="54"/>
      <c r="P145" s="44"/>
    </row>
    <row r="146">
      <c r="A146" s="66"/>
      <c r="B146" s="67" t="s">
        <v>72</v>
      </c>
      <c r="J146" s="66"/>
      <c r="K146" s="66"/>
      <c r="L146" s="66"/>
      <c r="M146" s="66"/>
      <c r="N146" s="66"/>
      <c r="O146" s="68"/>
      <c r="P146" s="69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</row>
    <row r="147">
      <c r="A147" s="54"/>
      <c r="B147" s="162">
        <v>44622.0</v>
      </c>
      <c r="C147" s="163"/>
      <c r="D147" s="165"/>
      <c r="E147" s="160">
        <v>338033.0</v>
      </c>
      <c r="F147" s="160">
        <v>752.0</v>
      </c>
      <c r="G147" s="161">
        <v>671.0</v>
      </c>
      <c r="H147" s="161">
        <v>267.13</v>
      </c>
      <c r="I147" s="161">
        <v>300.0</v>
      </c>
      <c r="J147" s="102">
        <f t="shared" ref="J147:J155" si="34">I147-H147</f>
        <v>32.87</v>
      </c>
      <c r="K147" s="103">
        <f t="shared" ref="K147:K155" si="35">I147/F147*100</f>
        <v>39.89361702</v>
      </c>
      <c r="L147" s="54"/>
      <c r="M147" s="54"/>
      <c r="N147" s="54"/>
      <c r="P147" s="44"/>
    </row>
    <row r="148">
      <c r="A148" s="54"/>
      <c r="B148" s="162">
        <v>44626.0</v>
      </c>
      <c r="C148" s="163"/>
      <c r="D148" s="165"/>
      <c r="E148" s="160">
        <v>338678.0</v>
      </c>
      <c r="F148" s="160">
        <v>645.0</v>
      </c>
      <c r="G148" s="161">
        <v>628.0</v>
      </c>
      <c r="H148" s="161">
        <v>276.7</v>
      </c>
      <c r="I148" s="161">
        <v>300.0</v>
      </c>
      <c r="J148" s="102">
        <f t="shared" si="34"/>
        <v>23.3</v>
      </c>
      <c r="K148" s="103">
        <f t="shared" si="35"/>
        <v>46.51162791</v>
      </c>
      <c r="L148" s="54"/>
      <c r="M148" s="54"/>
      <c r="N148" s="54"/>
      <c r="P148" s="44"/>
    </row>
    <row r="149">
      <c r="A149" s="54"/>
      <c r="B149" s="162">
        <v>44634.0</v>
      </c>
      <c r="C149" s="163"/>
      <c r="D149" s="165"/>
      <c r="E149" s="160">
        <v>339470.0</v>
      </c>
      <c r="F149" s="160">
        <v>792.0</v>
      </c>
      <c r="G149" s="161">
        <v>464.0</v>
      </c>
      <c r="H149" s="161">
        <v>283.23</v>
      </c>
      <c r="I149" s="161">
        <v>300.0</v>
      </c>
      <c r="J149" s="102">
        <f t="shared" si="34"/>
        <v>16.77</v>
      </c>
      <c r="K149" s="103">
        <f t="shared" si="35"/>
        <v>37.87878788</v>
      </c>
      <c r="L149" s="54"/>
      <c r="M149" s="54"/>
      <c r="N149" s="54"/>
      <c r="P149" s="44"/>
    </row>
    <row r="150">
      <c r="A150" s="54"/>
      <c r="B150" s="162">
        <v>44636.0</v>
      </c>
      <c r="C150" s="163"/>
      <c r="D150" s="165"/>
      <c r="E150" s="160">
        <v>339799.0</v>
      </c>
      <c r="F150" s="160">
        <v>329.0</v>
      </c>
      <c r="G150" s="161">
        <v>575.0</v>
      </c>
      <c r="H150" s="161">
        <v>276.76</v>
      </c>
      <c r="I150" s="161">
        <v>300.0</v>
      </c>
      <c r="J150" s="102">
        <f t="shared" si="34"/>
        <v>23.24</v>
      </c>
      <c r="K150" s="103">
        <f t="shared" si="35"/>
        <v>91.18541033</v>
      </c>
      <c r="L150" s="54"/>
      <c r="M150" s="54"/>
      <c r="N150" s="54"/>
      <c r="P150" s="44"/>
    </row>
    <row r="151">
      <c r="A151" s="54"/>
      <c r="B151" s="162">
        <v>44642.0</v>
      </c>
      <c r="C151" s="163"/>
      <c r="D151" s="165"/>
      <c r="E151" s="160">
        <v>340314.0</v>
      </c>
      <c r="F151" s="160">
        <v>515.0</v>
      </c>
      <c r="G151" s="161">
        <v>565.0</v>
      </c>
      <c r="H151" s="161">
        <v>274.24</v>
      </c>
      <c r="I151" s="161">
        <v>300.0</v>
      </c>
      <c r="J151" s="102">
        <f t="shared" si="34"/>
        <v>25.76</v>
      </c>
      <c r="K151" s="103">
        <f t="shared" si="35"/>
        <v>58.25242718</v>
      </c>
      <c r="L151" s="54"/>
      <c r="M151" s="54"/>
      <c r="N151" s="54"/>
      <c r="P151" s="44"/>
    </row>
    <row r="152">
      <c r="A152" s="54"/>
      <c r="B152" s="162">
        <v>44644.0</v>
      </c>
      <c r="C152" s="163"/>
      <c r="D152" s="165"/>
      <c r="E152" s="160">
        <v>340754.0</v>
      </c>
      <c r="F152" s="160">
        <v>440.0</v>
      </c>
      <c r="G152" s="161">
        <v>625.0</v>
      </c>
      <c r="H152" s="161">
        <v>252.87</v>
      </c>
      <c r="I152" s="161">
        <v>300.0</v>
      </c>
      <c r="J152" s="102">
        <f t="shared" si="34"/>
        <v>47.13</v>
      </c>
      <c r="K152" s="103">
        <f t="shared" si="35"/>
        <v>68.18181818</v>
      </c>
      <c r="L152" s="54"/>
      <c r="M152" s="54"/>
      <c r="N152" s="54"/>
      <c r="P152" s="44"/>
    </row>
    <row r="153">
      <c r="A153" s="54"/>
      <c r="B153" s="162">
        <v>44648.0</v>
      </c>
      <c r="C153" s="163"/>
      <c r="D153" s="165"/>
      <c r="E153" s="160">
        <v>341953.0</v>
      </c>
      <c r="F153" s="166"/>
      <c r="G153" s="161">
        <v>174.0</v>
      </c>
      <c r="H153" s="161">
        <v>44.78</v>
      </c>
      <c r="I153" s="161">
        <v>50.0</v>
      </c>
      <c r="J153" s="102">
        <f t="shared" si="34"/>
        <v>5.22</v>
      </c>
      <c r="K153" s="103" t="str">
        <f t="shared" si="35"/>
        <v>#DIV/0!</v>
      </c>
      <c r="L153" s="54"/>
      <c r="M153" s="54"/>
      <c r="N153" s="54"/>
      <c r="P153" s="44"/>
    </row>
    <row r="154">
      <c r="A154" s="54"/>
      <c r="B154" s="162">
        <v>44649.0</v>
      </c>
      <c r="C154" s="163"/>
      <c r="D154" s="165"/>
      <c r="E154" s="160">
        <v>342024.0</v>
      </c>
      <c r="F154" s="160">
        <v>1710.0</v>
      </c>
      <c r="G154" s="161">
        <v>434.0</v>
      </c>
      <c r="H154" s="161">
        <v>291.32</v>
      </c>
      <c r="I154" s="161">
        <v>300.0</v>
      </c>
      <c r="J154" s="102">
        <f t="shared" si="34"/>
        <v>8.68</v>
      </c>
      <c r="K154" s="103">
        <f t="shared" si="35"/>
        <v>17.54385965</v>
      </c>
      <c r="L154" s="54"/>
      <c r="M154" s="54"/>
      <c r="N154" s="54"/>
      <c r="P154" s="44"/>
    </row>
    <row r="155">
      <c r="A155" s="54"/>
      <c r="B155" s="162">
        <v>44651.0</v>
      </c>
      <c r="C155" s="163"/>
      <c r="D155" s="165"/>
      <c r="E155" s="160">
        <v>342735.0</v>
      </c>
      <c r="F155" s="160">
        <v>711.0</v>
      </c>
      <c r="G155" s="161">
        <v>736.0</v>
      </c>
      <c r="H155" s="161">
        <v>573.85</v>
      </c>
      <c r="I155" s="161">
        <v>600.0</v>
      </c>
      <c r="J155" s="102">
        <f t="shared" si="34"/>
        <v>26.15</v>
      </c>
      <c r="K155" s="103">
        <f t="shared" si="35"/>
        <v>84.38818565</v>
      </c>
      <c r="L155" s="54"/>
      <c r="M155" s="54"/>
      <c r="N155" s="54"/>
      <c r="P155" s="44"/>
    </row>
    <row r="156">
      <c r="A156" s="66"/>
      <c r="B156" s="67" t="s">
        <v>74</v>
      </c>
      <c r="J156" s="66"/>
      <c r="K156" s="66"/>
      <c r="L156" s="66"/>
      <c r="M156" s="66"/>
      <c r="N156" s="66"/>
      <c r="O156" s="68"/>
      <c r="P156" s="69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</row>
    <row r="157">
      <c r="A157" s="54"/>
      <c r="B157" s="162">
        <v>44658.0</v>
      </c>
      <c r="C157" s="163"/>
      <c r="D157" s="159" t="s">
        <v>111</v>
      </c>
      <c r="E157" s="160">
        <v>343893.0</v>
      </c>
      <c r="F157" s="160">
        <v>1158.0</v>
      </c>
      <c r="G157" s="161">
        <v>688.0</v>
      </c>
      <c r="H157" s="161">
        <v>484.3</v>
      </c>
      <c r="I157" s="161">
        <v>500.0</v>
      </c>
      <c r="J157" s="102">
        <f t="shared" ref="J157:J160" si="36">I157-H157</f>
        <v>15.7</v>
      </c>
      <c r="K157" s="103">
        <f t="shared" ref="K157:K160" si="37">I157/F157*100</f>
        <v>43.17789292</v>
      </c>
      <c r="L157" s="54"/>
      <c r="M157" s="54"/>
      <c r="N157" s="54"/>
      <c r="P157" s="44"/>
    </row>
    <row r="158">
      <c r="A158" s="54"/>
      <c r="B158" s="162">
        <v>44662.0</v>
      </c>
      <c r="C158" s="163"/>
      <c r="D158" s="159" t="s">
        <v>111</v>
      </c>
      <c r="E158" s="160">
        <v>344841.0</v>
      </c>
      <c r="F158" s="160">
        <v>948.0</v>
      </c>
      <c r="G158" s="161">
        <v>741.0</v>
      </c>
      <c r="H158" s="161">
        <v>455.67</v>
      </c>
      <c r="I158" s="161">
        <v>457.0</v>
      </c>
      <c r="J158" s="102">
        <f t="shared" si="36"/>
        <v>1.33</v>
      </c>
      <c r="K158" s="103">
        <f t="shared" si="37"/>
        <v>48.20675105</v>
      </c>
      <c r="L158" s="54"/>
      <c r="M158" s="54"/>
      <c r="N158" s="54"/>
      <c r="P158" s="44"/>
    </row>
    <row r="159">
      <c r="A159" s="54"/>
      <c r="B159" s="162">
        <v>44666.0</v>
      </c>
      <c r="C159" s="163"/>
      <c r="D159" s="159" t="s">
        <v>111</v>
      </c>
      <c r="E159" s="160">
        <v>345581.0</v>
      </c>
      <c r="F159" s="160">
        <v>740.0</v>
      </c>
      <c r="G159" s="161">
        <v>740.0</v>
      </c>
      <c r="H159" s="161">
        <v>338.61</v>
      </c>
      <c r="I159" s="161">
        <v>356.32</v>
      </c>
      <c r="J159" s="102">
        <f t="shared" si="36"/>
        <v>17.71</v>
      </c>
      <c r="K159" s="103">
        <f t="shared" si="37"/>
        <v>48.15135135</v>
      </c>
      <c r="L159" s="54"/>
      <c r="M159" s="54"/>
      <c r="N159" s="54"/>
      <c r="P159" s="44"/>
    </row>
    <row r="160">
      <c r="A160" s="54"/>
      <c r="B160" s="162">
        <v>44669.0</v>
      </c>
      <c r="C160" s="163"/>
      <c r="D160" s="159" t="s">
        <v>111</v>
      </c>
      <c r="E160" s="160">
        <v>346362.0</v>
      </c>
      <c r="F160" s="160">
        <v>781.0</v>
      </c>
      <c r="G160" s="161">
        <v>746.0</v>
      </c>
      <c r="H160" s="161">
        <v>317.99</v>
      </c>
      <c r="I160" s="161">
        <v>332.04</v>
      </c>
      <c r="J160" s="102">
        <f t="shared" si="36"/>
        <v>14.05</v>
      </c>
      <c r="K160" s="103">
        <f t="shared" si="37"/>
        <v>42.51472471</v>
      </c>
      <c r="L160" s="54"/>
      <c r="M160" s="54"/>
      <c r="N160" s="54"/>
      <c r="P160" s="44"/>
    </row>
    <row r="161">
      <c r="A161" s="66"/>
      <c r="B161" s="67" t="s">
        <v>75</v>
      </c>
      <c r="J161" s="66"/>
      <c r="K161" s="66"/>
      <c r="L161" s="66"/>
      <c r="M161" s="66"/>
      <c r="N161" s="66"/>
      <c r="O161" s="68"/>
      <c r="P161" s="69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</row>
    <row r="162">
      <c r="A162" s="54"/>
      <c r="B162" s="162">
        <v>44684.0</v>
      </c>
      <c r="C162" s="163"/>
      <c r="D162" s="159" t="s">
        <v>111</v>
      </c>
      <c r="E162" s="160">
        <v>348027.0</v>
      </c>
      <c r="F162" s="160">
        <v>1665.0</v>
      </c>
      <c r="G162" s="161">
        <v>730.0</v>
      </c>
      <c r="H162" s="161">
        <v>604.0</v>
      </c>
      <c r="I162" s="161">
        <v>600.0</v>
      </c>
      <c r="J162" s="102">
        <f t="shared" ref="J162:J165" si="38">I162-H162</f>
        <v>-4</v>
      </c>
      <c r="K162" s="103">
        <f t="shared" ref="K162:K165" si="39">I162/F162*100</f>
        <v>36.03603604</v>
      </c>
      <c r="L162" s="54"/>
      <c r="M162" s="54"/>
      <c r="N162" s="54"/>
      <c r="P162" s="44"/>
    </row>
    <row r="163">
      <c r="A163" s="54"/>
      <c r="B163" s="162">
        <v>44697.0</v>
      </c>
      <c r="C163" s="163"/>
      <c r="D163" s="159" t="s">
        <v>111</v>
      </c>
      <c r="E163" s="160">
        <v>349187.0</v>
      </c>
      <c r="F163" s="160">
        <v>1160.0</v>
      </c>
      <c r="G163" s="161">
        <v>743.0</v>
      </c>
      <c r="H163" s="161">
        <v>639.38</v>
      </c>
      <c r="I163" s="161">
        <v>650.0</v>
      </c>
      <c r="J163" s="102">
        <f t="shared" si="38"/>
        <v>10.62</v>
      </c>
      <c r="K163" s="103">
        <f t="shared" si="39"/>
        <v>56.03448276</v>
      </c>
      <c r="L163" s="54"/>
      <c r="M163" s="54"/>
      <c r="N163" s="54"/>
      <c r="P163" s="44"/>
    </row>
    <row r="164">
      <c r="A164" s="54"/>
      <c r="B164" s="162">
        <v>44706.0</v>
      </c>
      <c r="C164" s="163"/>
      <c r="D164" s="159" t="s">
        <v>111</v>
      </c>
      <c r="E164" s="160">
        <v>350414.0</v>
      </c>
      <c r="F164" s="160">
        <v>1227.0</v>
      </c>
      <c r="G164" s="161">
        <v>735.0</v>
      </c>
      <c r="H164" s="161">
        <v>565.91</v>
      </c>
      <c r="I164" s="161">
        <v>578.39</v>
      </c>
      <c r="J164" s="102">
        <f t="shared" si="38"/>
        <v>12.48</v>
      </c>
      <c r="K164" s="103">
        <f t="shared" si="39"/>
        <v>47.13854931</v>
      </c>
      <c r="L164" s="54"/>
      <c r="M164" s="54"/>
      <c r="N164" s="54"/>
      <c r="P164" s="44"/>
    </row>
    <row r="165">
      <c r="A165" s="54"/>
      <c r="B165" s="162">
        <v>44712.0</v>
      </c>
      <c r="C165" s="163"/>
      <c r="D165" s="159" t="s">
        <v>111</v>
      </c>
      <c r="E165" s="160">
        <v>351365.0</v>
      </c>
      <c r="F165" s="160">
        <v>951.0</v>
      </c>
      <c r="G165" s="161">
        <v>726.0</v>
      </c>
      <c r="H165" s="161">
        <v>446.37</v>
      </c>
      <c r="I165" s="161">
        <v>462.34</v>
      </c>
      <c r="J165" s="102">
        <f t="shared" si="38"/>
        <v>15.97</v>
      </c>
      <c r="K165" s="103">
        <f t="shared" si="39"/>
        <v>48.61619348</v>
      </c>
      <c r="L165" s="54"/>
      <c r="M165" s="54"/>
      <c r="N165" s="54"/>
      <c r="P165" s="44"/>
    </row>
    <row r="166">
      <c r="A166" s="66"/>
      <c r="B166" s="67" t="s">
        <v>90</v>
      </c>
      <c r="J166" s="66"/>
      <c r="K166" s="66"/>
      <c r="L166" s="66"/>
      <c r="M166" s="66"/>
      <c r="N166" s="66"/>
      <c r="O166" s="68"/>
      <c r="P166" s="69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</row>
    <row r="167">
      <c r="A167" s="54"/>
      <c r="B167" s="162">
        <v>44719.0</v>
      </c>
      <c r="C167" s="163"/>
      <c r="D167" s="159" t="s">
        <v>111</v>
      </c>
      <c r="E167" s="160">
        <v>352755.0</v>
      </c>
      <c r="F167" s="160">
        <v>1390.0</v>
      </c>
      <c r="G167" s="161">
        <v>735.0</v>
      </c>
      <c r="H167" s="161">
        <v>581.63</v>
      </c>
      <c r="I167" s="161">
        <v>591.11</v>
      </c>
      <c r="J167" s="102">
        <f t="shared" ref="J167:J170" si="40">I167-H167</f>
        <v>9.48</v>
      </c>
      <c r="K167" s="103">
        <f t="shared" ref="K167:K170" si="41">I167/F167*100</f>
        <v>42.52589928</v>
      </c>
      <c r="L167" s="54"/>
      <c r="M167" s="54"/>
      <c r="N167" s="54"/>
      <c r="P167" s="44"/>
    </row>
    <row r="168">
      <c r="A168" s="54"/>
      <c r="B168" s="162">
        <v>44726.0</v>
      </c>
      <c r="C168" s="163"/>
      <c r="D168" s="159" t="s">
        <v>111</v>
      </c>
      <c r="E168" s="160">
        <v>353979.0</v>
      </c>
      <c r="F168" s="160">
        <v>1224.0</v>
      </c>
      <c r="G168" s="161">
        <v>722.0</v>
      </c>
      <c r="H168" s="161">
        <v>478.02</v>
      </c>
      <c r="I168" s="161">
        <v>499.47</v>
      </c>
      <c r="J168" s="102">
        <f t="shared" si="40"/>
        <v>21.45</v>
      </c>
      <c r="K168" s="103">
        <f t="shared" si="41"/>
        <v>40.80637255</v>
      </c>
      <c r="L168" s="54"/>
      <c r="M168" s="54"/>
      <c r="N168" s="54"/>
      <c r="P168" s="44"/>
    </row>
    <row r="169">
      <c r="A169" s="54"/>
      <c r="B169" s="162">
        <v>44733.0</v>
      </c>
      <c r="C169" s="163"/>
      <c r="D169" s="159" t="s">
        <v>111</v>
      </c>
      <c r="E169" s="160">
        <v>355363.0</v>
      </c>
      <c r="F169" s="160">
        <v>1384.0</v>
      </c>
      <c r="G169" s="161">
        <v>747.0</v>
      </c>
      <c r="H169" s="161">
        <v>626.38</v>
      </c>
      <c r="I169" s="161">
        <v>634.04</v>
      </c>
      <c r="J169" s="102">
        <f t="shared" si="40"/>
        <v>7.66</v>
      </c>
      <c r="K169" s="103">
        <f t="shared" si="41"/>
        <v>45.81213873</v>
      </c>
      <c r="L169" s="54"/>
      <c r="M169" s="54"/>
      <c r="N169" s="54"/>
      <c r="P169" s="44"/>
    </row>
    <row r="170">
      <c r="A170" s="54"/>
      <c r="B170" s="162">
        <v>44739.0</v>
      </c>
      <c r="C170" s="163"/>
      <c r="D170" s="159" t="s">
        <v>111</v>
      </c>
      <c r="E170" s="160">
        <v>357159.0</v>
      </c>
      <c r="F170" s="160">
        <v>1796.0</v>
      </c>
      <c r="G170" s="161">
        <v>748.0</v>
      </c>
      <c r="H170" s="161">
        <v>676.67</v>
      </c>
      <c r="I170" s="161">
        <v>686.57</v>
      </c>
      <c r="J170" s="102">
        <f t="shared" si="40"/>
        <v>9.9</v>
      </c>
      <c r="K170" s="169">
        <f t="shared" si="41"/>
        <v>38.22772829</v>
      </c>
      <c r="L170" s="54"/>
      <c r="M170" s="54"/>
      <c r="N170" s="54"/>
      <c r="P170" s="44"/>
    </row>
    <row r="171">
      <c r="A171" s="66"/>
      <c r="B171" s="67" t="s">
        <v>92</v>
      </c>
      <c r="J171" s="66"/>
      <c r="K171" s="66"/>
      <c r="L171" s="66"/>
      <c r="M171" s="66"/>
      <c r="N171" s="66"/>
      <c r="O171" s="68"/>
      <c r="P171" s="69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>
      <c r="A172" s="54"/>
      <c r="B172" s="162">
        <v>44744.0</v>
      </c>
      <c r="C172" s="163"/>
      <c r="D172" s="159" t="s">
        <v>111</v>
      </c>
      <c r="E172" s="160">
        <v>358898.0</v>
      </c>
      <c r="F172" s="160">
        <v>1739.0</v>
      </c>
      <c r="G172" s="161">
        <v>742.0</v>
      </c>
      <c r="H172" s="161">
        <v>645.1</v>
      </c>
      <c r="I172" s="161">
        <v>657.66</v>
      </c>
      <c r="J172" s="102">
        <f t="shared" ref="J172:J175" si="42">I172-H172</f>
        <v>12.56</v>
      </c>
      <c r="K172" s="170">
        <f t="shared" ref="K172:K175" si="43">I172/F172*100</f>
        <v>37.81828637</v>
      </c>
      <c r="L172" s="54"/>
      <c r="M172" s="54"/>
      <c r="N172" s="54"/>
      <c r="P172" s="44"/>
    </row>
    <row r="173">
      <c r="A173" s="54"/>
      <c r="B173" s="162">
        <v>44748.0</v>
      </c>
      <c r="C173" s="163"/>
      <c r="D173" s="159" t="s">
        <v>111</v>
      </c>
      <c r="E173" s="160">
        <v>360542.0</v>
      </c>
      <c r="F173" s="160">
        <v>1644.0</v>
      </c>
      <c r="G173" s="161">
        <v>739.0</v>
      </c>
      <c r="H173" s="161">
        <v>569.66</v>
      </c>
      <c r="I173" s="161">
        <v>588.82</v>
      </c>
      <c r="J173" s="102">
        <f t="shared" si="42"/>
        <v>19.16</v>
      </c>
      <c r="K173" s="103">
        <f t="shared" si="43"/>
        <v>35.8163017</v>
      </c>
      <c r="L173" s="54"/>
      <c r="M173" s="54"/>
      <c r="N173" s="54"/>
      <c r="P173" s="44"/>
    </row>
    <row r="174">
      <c r="A174" s="54"/>
      <c r="B174" s="162">
        <v>44755.0</v>
      </c>
      <c r="C174" s="163"/>
      <c r="D174" s="159" t="s">
        <v>111</v>
      </c>
      <c r="E174" s="160">
        <v>362284.0</v>
      </c>
      <c r="F174" s="160">
        <v>1742.0</v>
      </c>
      <c r="G174" s="161">
        <v>735.0</v>
      </c>
      <c r="H174" s="161">
        <v>625.01</v>
      </c>
      <c r="I174" s="161">
        <v>643.07</v>
      </c>
      <c r="J174" s="102">
        <f t="shared" si="42"/>
        <v>18.06</v>
      </c>
      <c r="K174" s="103">
        <f t="shared" si="43"/>
        <v>36.91561424</v>
      </c>
      <c r="L174" s="54"/>
      <c r="M174" s="54"/>
      <c r="N174" s="54"/>
      <c r="P174" s="44"/>
    </row>
    <row r="175">
      <c r="A175" s="54"/>
      <c r="B175" s="162">
        <v>44765.0</v>
      </c>
      <c r="C175" s="163"/>
      <c r="D175" s="159" t="s">
        <v>112</v>
      </c>
      <c r="E175" s="160">
        <v>363657.0</v>
      </c>
      <c r="F175" s="160">
        <v>1373.0</v>
      </c>
      <c r="G175" s="161">
        <v>739.0</v>
      </c>
      <c r="H175" s="161">
        <v>571.44</v>
      </c>
      <c r="I175" s="161">
        <v>585.86</v>
      </c>
      <c r="J175" s="102">
        <f t="shared" si="42"/>
        <v>14.42</v>
      </c>
      <c r="K175" s="169">
        <f t="shared" si="43"/>
        <v>42.67006555</v>
      </c>
      <c r="L175" s="54"/>
      <c r="M175" s="54"/>
      <c r="N175" s="54"/>
      <c r="P175" s="44"/>
    </row>
    <row r="176">
      <c r="A176" s="66"/>
      <c r="B176" s="67" t="s">
        <v>95</v>
      </c>
      <c r="J176" s="66"/>
      <c r="K176" s="66"/>
      <c r="L176" s="66"/>
      <c r="M176" s="66"/>
      <c r="N176" s="66"/>
      <c r="O176" s="68"/>
      <c r="P176" s="69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</row>
    <row r="177">
      <c r="A177" s="54"/>
      <c r="B177" s="162">
        <v>44782.0</v>
      </c>
      <c r="C177" s="163"/>
      <c r="D177" s="159" t="s">
        <v>111</v>
      </c>
      <c r="E177" s="160">
        <v>364705.0</v>
      </c>
      <c r="F177" s="160">
        <v>1048.0</v>
      </c>
      <c r="G177" s="161">
        <v>737.0</v>
      </c>
      <c r="H177" s="161">
        <v>552.92</v>
      </c>
      <c r="I177" s="161">
        <v>571.24</v>
      </c>
      <c r="J177" s="102">
        <f t="shared" ref="J177:J178" si="44">I177-H177</f>
        <v>18.32</v>
      </c>
      <c r="K177" s="170">
        <f t="shared" ref="K177:K178" si="45">I177/F177*100</f>
        <v>54.50763359</v>
      </c>
      <c r="L177" s="54"/>
      <c r="M177" s="54"/>
      <c r="N177" s="54"/>
      <c r="P177" s="44"/>
    </row>
    <row r="178">
      <c r="A178" s="54"/>
      <c r="B178" s="162">
        <v>44799.0</v>
      </c>
      <c r="C178" s="163"/>
      <c r="D178" s="159" t="s">
        <v>111</v>
      </c>
      <c r="E178" s="160">
        <v>365738.0</v>
      </c>
      <c r="F178" s="160">
        <v>1033.0</v>
      </c>
      <c r="G178" s="161">
        <v>731.0</v>
      </c>
      <c r="H178" s="161">
        <v>622.63</v>
      </c>
      <c r="I178" s="161">
        <v>642.15</v>
      </c>
      <c r="J178" s="102">
        <f t="shared" si="44"/>
        <v>19.52</v>
      </c>
      <c r="K178" s="169">
        <f t="shared" si="45"/>
        <v>62.16360116</v>
      </c>
      <c r="L178" s="54"/>
      <c r="M178" s="54"/>
      <c r="N178" s="54"/>
      <c r="P178" s="44"/>
    </row>
    <row r="179">
      <c r="A179" s="66"/>
      <c r="B179" s="67" t="s">
        <v>104</v>
      </c>
      <c r="J179" s="66"/>
      <c r="K179" s="66"/>
      <c r="L179" s="66"/>
      <c r="M179" s="66"/>
      <c r="N179" s="66"/>
      <c r="O179" s="68"/>
      <c r="P179" s="69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54"/>
      <c r="B180" s="162">
        <v>44816.0</v>
      </c>
      <c r="C180" s="163"/>
      <c r="D180" s="159" t="s">
        <v>111</v>
      </c>
      <c r="E180" s="160">
        <v>366855.0</v>
      </c>
      <c r="F180" s="160">
        <v>1117.0</v>
      </c>
      <c r="G180" s="161">
        <v>747.0</v>
      </c>
      <c r="H180" s="161">
        <v>648.35</v>
      </c>
      <c r="I180" s="161">
        <v>652.08</v>
      </c>
      <c r="J180" s="102">
        <f>I180-H180</f>
        <v>3.73</v>
      </c>
      <c r="K180" s="171">
        <f>I180/F180*100</f>
        <v>58.37779767</v>
      </c>
      <c r="L180" s="54"/>
      <c r="M180" s="54"/>
      <c r="N180" s="54"/>
      <c r="P180" s="44"/>
    </row>
    <row r="181">
      <c r="A181" s="66"/>
      <c r="B181" s="67" t="s">
        <v>96</v>
      </c>
      <c r="J181" s="66"/>
      <c r="K181" s="66"/>
      <c r="L181" s="66"/>
      <c r="M181" s="66"/>
      <c r="N181" s="66"/>
      <c r="O181" s="68"/>
      <c r="P181" s="69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>
      <c r="A182" s="54"/>
      <c r="B182" s="162">
        <v>44839.0</v>
      </c>
      <c r="C182" s="163"/>
      <c r="D182" s="159" t="s">
        <v>111</v>
      </c>
      <c r="E182" s="160">
        <v>367074.0</v>
      </c>
      <c r="F182" s="160">
        <v>219.0</v>
      </c>
      <c r="G182" s="161">
        <v>752.0</v>
      </c>
      <c r="H182" s="161">
        <v>642.12</v>
      </c>
      <c r="I182" s="161">
        <v>643.44</v>
      </c>
      <c r="J182" s="102">
        <f t="shared" ref="J182:J184" si="46">I182-H182</f>
        <v>1.32</v>
      </c>
      <c r="K182" s="170">
        <f t="shared" ref="K182:K184" si="47">I182/F182*100</f>
        <v>293.8082192</v>
      </c>
      <c r="L182" s="54"/>
      <c r="M182" s="54"/>
      <c r="N182" s="54"/>
      <c r="P182" s="44"/>
    </row>
    <row r="183">
      <c r="A183" s="54"/>
      <c r="B183" s="157">
        <v>44848.0</v>
      </c>
      <c r="C183" s="158"/>
      <c r="D183" s="159" t="s">
        <v>111</v>
      </c>
      <c r="E183" s="166"/>
      <c r="F183" s="166"/>
      <c r="G183" s="168"/>
      <c r="H183" s="168"/>
      <c r="I183" s="161">
        <v>625.38</v>
      </c>
      <c r="J183" s="102">
        <f t="shared" si="46"/>
        <v>625.38</v>
      </c>
      <c r="K183" s="103" t="str">
        <f t="shared" si="47"/>
        <v>#DIV/0!</v>
      </c>
      <c r="L183" s="54"/>
      <c r="M183" s="54"/>
      <c r="N183" s="54"/>
      <c r="P183" s="44"/>
    </row>
    <row r="184">
      <c r="A184" s="54"/>
      <c r="B184" s="157">
        <v>44855.0</v>
      </c>
      <c r="C184" s="158"/>
      <c r="D184" s="159" t="s">
        <v>111</v>
      </c>
      <c r="E184" s="160">
        <v>368131.0</v>
      </c>
      <c r="F184" s="166"/>
      <c r="G184" s="161">
        <v>740.0</v>
      </c>
      <c r="H184" s="161">
        <v>482.81</v>
      </c>
      <c r="I184" s="161">
        <v>287.96</v>
      </c>
      <c r="J184" s="102">
        <f t="shared" si="46"/>
        <v>-194.85</v>
      </c>
      <c r="K184" s="169" t="str">
        <f t="shared" si="47"/>
        <v>#DIV/0!</v>
      </c>
      <c r="L184" s="54"/>
      <c r="M184" s="54"/>
      <c r="N184" s="54"/>
      <c r="P184" s="44"/>
    </row>
    <row r="185">
      <c r="A185" s="66"/>
      <c r="B185" s="67" t="s">
        <v>97</v>
      </c>
      <c r="J185" s="66"/>
      <c r="K185" s="66"/>
      <c r="L185" s="66"/>
      <c r="M185" s="66"/>
      <c r="N185" s="66"/>
      <c r="O185" s="68"/>
      <c r="P185" s="69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</row>
    <row r="186">
      <c r="A186" s="54"/>
      <c r="B186" s="162">
        <v>44867.0</v>
      </c>
      <c r="C186" s="163"/>
      <c r="D186" s="159" t="s">
        <v>113</v>
      </c>
      <c r="E186" s="160">
        <v>369706.0</v>
      </c>
      <c r="F186" s="160">
        <v>1575.0</v>
      </c>
      <c r="G186" s="161">
        <v>745.0</v>
      </c>
      <c r="H186" s="161">
        <v>609.55</v>
      </c>
      <c r="I186" s="161">
        <v>620.0</v>
      </c>
      <c r="J186" s="102">
        <f t="shared" ref="J186:J187" si="48">I186-H186</f>
        <v>10.45</v>
      </c>
      <c r="K186" s="170">
        <f t="shared" ref="K186:K187" si="49">I186/F186*100</f>
        <v>39.36507937</v>
      </c>
      <c r="L186" s="54"/>
      <c r="M186" s="54"/>
      <c r="N186" s="54"/>
      <c r="P186" s="44"/>
    </row>
    <row r="187">
      <c r="A187" s="54"/>
      <c r="B187" s="157">
        <v>44895.0</v>
      </c>
      <c r="C187" s="158"/>
      <c r="D187" s="159" t="s">
        <v>114</v>
      </c>
      <c r="E187" s="160">
        <v>371004.0</v>
      </c>
      <c r="F187" s="160">
        <v>1298.0</v>
      </c>
      <c r="G187" s="161">
        <v>710.0</v>
      </c>
      <c r="H187" s="161">
        <v>605.6</v>
      </c>
      <c r="I187" s="161">
        <v>610.46</v>
      </c>
      <c r="J187" s="102">
        <f t="shared" si="48"/>
        <v>4.86</v>
      </c>
      <c r="K187" s="169">
        <f t="shared" si="49"/>
        <v>47.03081664</v>
      </c>
      <c r="L187" s="54"/>
      <c r="M187" s="54"/>
      <c r="N187" s="54"/>
      <c r="P187" s="44"/>
    </row>
    <row r="188">
      <c r="A188" s="66"/>
      <c r="B188" s="67" t="s">
        <v>98</v>
      </c>
      <c r="J188" s="66"/>
      <c r="K188" s="66"/>
      <c r="L188" s="66"/>
      <c r="M188" s="66"/>
      <c r="N188" s="66"/>
      <c r="O188" s="68"/>
      <c r="P188" s="69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</row>
    <row r="189">
      <c r="A189" s="54"/>
      <c r="B189" s="162">
        <v>44903.0</v>
      </c>
      <c r="C189" s="163"/>
      <c r="D189" s="159" t="s">
        <v>114</v>
      </c>
      <c r="E189" s="160">
        <v>371696.0</v>
      </c>
      <c r="F189" s="160">
        <v>692.0</v>
      </c>
      <c r="G189" s="161">
        <v>736.0</v>
      </c>
      <c r="H189" s="161">
        <v>494.79</v>
      </c>
      <c r="I189" s="161">
        <v>500.0</v>
      </c>
      <c r="J189" s="102">
        <f t="shared" ref="J189:J191" si="50">I189-H189</f>
        <v>5.21</v>
      </c>
      <c r="K189" s="170">
        <f t="shared" ref="K189:K191" si="51">I189/F189*100</f>
        <v>72.25433526</v>
      </c>
      <c r="L189" s="54"/>
      <c r="M189" s="54"/>
      <c r="N189" s="54"/>
      <c r="P189" s="44"/>
    </row>
    <row r="190">
      <c r="A190" s="54"/>
      <c r="B190" s="157">
        <v>44914.0</v>
      </c>
      <c r="C190" s="158"/>
      <c r="D190" s="159" t="s">
        <v>114</v>
      </c>
      <c r="E190" s="160">
        <v>372636.0</v>
      </c>
      <c r="F190" s="160">
        <v>940.0</v>
      </c>
      <c r="G190" s="161">
        <v>734.0</v>
      </c>
      <c r="H190" s="161">
        <v>566.32</v>
      </c>
      <c r="I190" s="161">
        <v>582.39</v>
      </c>
      <c r="J190" s="102">
        <f t="shared" si="50"/>
        <v>16.07</v>
      </c>
      <c r="K190" s="103">
        <f t="shared" si="51"/>
        <v>61.95638298</v>
      </c>
      <c r="L190" s="54"/>
      <c r="M190" s="54"/>
      <c r="N190" s="54"/>
      <c r="P190" s="44"/>
    </row>
    <row r="191">
      <c r="A191" s="54"/>
      <c r="B191" s="157">
        <v>44920.0</v>
      </c>
      <c r="C191" s="158"/>
      <c r="D191" s="159" t="s">
        <v>114</v>
      </c>
      <c r="E191" s="160">
        <v>373771.0</v>
      </c>
      <c r="F191" s="160">
        <v>1135.0</v>
      </c>
      <c r="G191" s="161">
        <v>733.0</v>
      </c>
      <c r="H191" s="161">
        <v>506.56</v>
      </c>
      <c r="I191" s="161">
        <v>520.02</v>
      </c>
      <c r="J191" s="102">
        <f t="shared" si="50"/>
        <v>13.46</v>
      </c>
      <c r="K191" s="169">
        <f t="shared" si="51"/>
        <v>45.81674009</v>
      </c>
      <c r="L191" s="54"/>
      <c r="M191" s="54"/>
      <c r="N191" s="54"/>
      <c r="P191" s="44"/>
    </row>
    <row r="192">
      <c r="A192" s="66"/>
      <c r="B192" s="67">
        <v>2023.0</v>
      </c>
      <c r="J192" s="66"/>
      <c r="K192" s="66"/>
      <c r="L192" s="66"/>
      <c r="M192" s="66"/>
      <c r="N192" s="66"/>
      <c r="O192" s="68"/>
      <c r="P192" s="69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</row>
    <row r="193">
      <c r="A193" s="66"/>
      <c r="B193" s="67" t="s">
        <v>66</v>
      </c>
      <c r="J193" s="66"/>
      <c r="K193" s="66"/>
      <c r="L193" s="66"/>
      <c r="M193" s="66"/>
      <c r="N193" s="66"/>
      <c r="O193" s="68"/>
      <c r="P193" s="69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>
      <c r="A194" s="54"/>
      <c r="B194" s="164" t="s">
        <v>109</v>
      </c>
      <c r="C194" s="75"/>
      <c r="D194" s="75"/>
      <c r="E194" s="75"/>
      <c r="F194" s="75"/>
      <c r="G194" s="75"/>
      <c r="H194" s="75"/>
      <c r="I194" s="76"/>
      <c r="J194" s="54"/>
      <c r="K194" s="172"/>
      <c r="L194" s="54"/>
      <c r="M194" s="54"/>
      <c r="N194" s="54"/>
      <c r="P194" s="44"/>
    </row>
    <row r="195">
      <c r="A195" s="66"/>
      <c r="B195" s="67" t="s">
        <v>68</v>
      </c>
      <c r="J195" s="66"/>
      <c r="K195" s="66"/>
      <c r="L195" s="66"/>
      <c r="M195" s="66"/>
      <c r="N195" s="66"/>
      <c r="O195" s="68"/>
      <c r="P195" s="69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</row>
    <row r="196">
      <c r="A196" s="54"/>
      <c r="B196" s="162">
        <v>44964.0</v>
      </c>
      <c r="C196" s="163"/>
      <c r="D196" s="159" t="s">
        <v>112</v>
      </c>
      <c r="E196" s="160">
        <v>374620.0</v>
      </c>
      <c r="F196" s="160">
        <v>849.0</v>
      </c>
      <c r="G196" s="161">
        <v>729.0</v>
      </c>
      <c r="H196" s="161">
        <v>397.09</v>
      </c>
      <c r="I196" s="161">
        <v>407.29</v>
      </c>
      <c r="J196" s="102">
        <f t="shared" ref="J196:J198" si="52">I196-H196</f>
        <v>10.2</v>
      </c>
      <c r="K196" s="170">
        <f t="shared" ref="K196:K198" si="53">I196/F196*100</f>
        <v>47.97290931</v>
      </c>
      <c r="L196" s="54"/>
      <c r="M196" s="54"/>
      <c r="N196" s="54"/>
      <c r="P196" s="44"/>
    </row>
    <row r="197">
      <c r="A197" s="54"/>
      <c r="B197" s="162">
        <v>44973.0</v>
      </c>
      <c r="C197" s="163"/>
      <c r="D197" s="159" t="s">
        <v>112</v>
      </c>
      <c r="E197" s="160">
        <v>375868.0</v>
      </c>
      <c r="F197" s="160">
        <v>1248.0</v>
      </c>
      <c r="G197" s="161">
        <v>737.0</v>
      </c>
      <c r="H197" s="161">
        <v>648.6</v>
      </c>
      <c r="I197" s="161">
        <v>662.87</v>
      </c>
      <c r="J197" s="102">
        <f t="shared" si="52"/>
        <v>14.27</v>
      </c>
      <c r="K197" s="103">
        <f t="shared" si="53"/>
        <v>53.11458333</v>
      </c>
      <c r="L197" s="54"/>
      <c r="M197" s="54"/>
      <c r="N197" s="54"/>
      <c r="P197" s="44"/>
    </row>
    <row r="198">
      <c r="A198" s="54"/>
      <c r="B198" s="162">
        <v>44981.0</v>
      </c>
      <c r="C198" s="163"/>
      <c r="D198" s="159" t="s">
        <v>112</v>
      </c>
      <c r="E198" s="160">
        <v>377101.0</v>
      </c>
      <c r="F198" s="160">
        <v>1233.0</v>
      </c>
      <c r="G198" s="161">
        <v>740.0</v>
      </c>
      <c r="H198" s="161">
        <v>619.73</v>
      </c>
      <c r="I198" s="161">
        <v>638.69</v>
      </c>
      <c r="J198" s="102">
        <f t="shared" si="52"/>
        <v>18.96</v>
      </c>
      <c r="K198" s="169">
        <f t="shared" si="53"/>
        <v>51.79967559</v>
      </c>
      <c r="L198" s="54"/>
      <c r="M198" s="54"/>
      <c r="N198" s="54"/>
      <c r="P198" s="44"/>
    </row>
    <row r="199">
      <c r="A199" s="66"/>
      <c r="B199" s="67" t="s">
        <v>72</v>
      </c>
      <c r="J199" s="66"/>
      <c r="K199" s="66"/>
      <c r="L199" s="66"/>
      <c r="M199" s="66"/>
      <c r="N199" s="66"/>
      <c r="O199" s="68"/>
      <c r="P199" s="69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>
      <c r="A200" s="54"/>
      <c r="B200" s="164" t="s">
        <v>109</v>
      </c>
      <c r="C200" s="75"/>
      <c r="D200" s="75"/>
      <c r="E200" s="75"/>
      <c r="F200" s="75"/>
      <c r="G200" s="75"/>
      <c r="H200" s="75"/>
      <c r="I200" s="76"/>
      <c r="J200" s="54"/>
      <c r="K200" s="172"/>
      <c r="L200" s="54"/>
      <c r="M200" s="54"/>
      <c r="N200" s="54"/>
      <c r="P200" s="44"/>
    </row>
    <row r="201">
      <c r="A201" s="66"/>
      <c r="B201" s="67" t="s">
        <v>74</v>
      </c>
      <c r="J201" s="66"/>
      <c r="K201" s="66"/>
      <c r="L201" s="66"/>
      <c r="M201" s="66"/>
      <c r="N201" s="66"/>
      <c r="O201" s="68"/>
      <c r="P201" s="69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</row>
    <row r="202">
      <c r="A202" s="54"/>
      <c r="B202" s="162">
        <v>45024.0</v>
      </c>
      <c r="C202" s="163"/>
      <c r="D202" s="159" t="s">
        <v>115</v>
      </c>
      <c r="E202" s="160">
        <v>378246.0</v>
      </c>
      <c r="F202" s="160">
        <v>1145.0</v>
      </c>
      <c r="G202" s="161">
        <v>641.0</v>
      </c>
      <c r="H202" s="161">
        <v>505.0</v>
      </c>
      <c r="I202" s="161">
        <v>500.0</v>
      </c>
      <c r="J202" s="102">
        <f t="shared" ref="J202:J203" si="54">I202-H202</f>
        <v>-5</v>
      </c>
      <c r="K202" s="170">
        <f t="shared" ref="K202:K203" si="55">I202/F202*100</f>
        <v>43.66812227</v>
      </c>
      <c r="L202" s="54"/>
      <c r="M202" s="54"/>
      <c r="N202" s="54"/>
      <c r="P202" s="44"/>
    </row>
    <row r="203">
      <c r="A203" s="54"/>
      <c r="B203" s="162">
        <v>45028.0</v>
      </c>
      <c r="C203" s="163"/>
      <c r="D203" s="159" t="s">
        <v>115</v>
      </c>
      <c r="E203" s="160">
        <v>378964.0</v>
      </c>
      <c r="F203" s="160">
        <v>718.0</v>
      </c>
      <c r="G203" s="161">
        <v>661.0</v>
      </c>
      <c r="H203" s="161">
        <v>445.0</v>
      </c>
      <c r="I203" s="161">
        <v>440.0</v>
      </c>
      <c r="J203" s="102">
        <f t="shared" si="54"/>
        <v>-5</v>
      </c>
      <c r="K203" s="169">
        <f t="shared" si="55"/>
        <v>61.28133705</v>
      </c>
      <c r="L203" s="54"/>
      <c r="M203" s="54"/>
      <c r="N203" s="54"/>
      <c r="P203" s="44"/>
    </row>
    <row r="204">
      <c r="A204" s="66"/>
      <c r="B204" s="67" t="s">
        <v>75</v>
      </c>
      <c r="J204" s="66"/>
      <c r="K204" s="66"/>
      <c r="L204" s="66"/>
      <c r="M204" s="66"/>
      <c r="N204" s="66"/>
      <c r="O204" s="68"/>
      <c r="P204" s="69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>
      <c r="A205" s="54"/>
      <c r="B205" s="162">
        <v>45054.0</v>
      </c>
      <c r="C205" s="163"/>
      <c r="D205" s="159" t="s">
        <v>115</v>
      </c>
      <c r="E205" s="160">
        <v>379892.0</v>
      </c>
      <c r="F205" s="160">
        <v>928.0</v>
      </c>
      <c r="G205" s="161">
        <v>735.0</v>
      </c>
      <c r="H205" s="161">
        <v>608.2</v>
      </c>
      <c r="I205" s="161">
        <v>600.0</v>
      </c>
      <c r="J205" s="102">
        <f t="shared" ref="J205:J208" si="56">I205-H205</f>
        <v>-8.2</v>
      </c>
      <c r="K205" s="170">
        <f t="shared" ref="K205:K208" si="57">I205/F205*100</f>
        <v>64.65517241</v>
      </c>
      <c r="L205" s="54"/>
      <c r="M205" s="54"/>
      <c r="N205" s="54"/>
      <c r="P205" s="44"/>
    </row>
    <row r="206">
      <c r="A206" s="54"/>
      <c r="B206" s="162">
        <v>45059.0</v>
      </c>
      <c r="C206" s="163"/>
      <c r="D206" s="159" t="s">
        <v>116</v>
      </c>
      <c r="E206" s="160">
        <v>381462.0</v>
      </c>
      <c r="F206" s="160">
        <v>1570.0</v>
      </c>
      <c r="G206" s="161">
        <v>728.0</v>
      </c>
      <c r="H206" s="161">
        <v>505.84</v>
      </c>
      <c r="I206" s="161">
        <v>500.0</v>
      </c>
      <c r="J206" s="102">
        <f t="shared" si="56"/>
        <v>-5.84</v>
      </c>
      <c r="K206" s="103">
        <f t="shared" si="57"/>
        <v>31.84713376</v>
      </c>
      <c r="L206" s="54"/>
      <c r="M206" s="54"/>
      <c r="N206" s="54"/>
      <c r="P206" s="44"/>
    </row>
    <row r="207">
      <c r="A207" s="54"/>
      <c r="B207" s="162">
        <v>45063.0</v>
      </c>
      <c r="C207" s="163"/>
      <c r="D207" s="159" t="s">
        <v>116</v>
      </c>
      <c r="E207" s="160">
        <v>382930.0</v>
      </c>
      <c r="F207" s="160">
        <v>1468.0</v>
      </c>
      <c r="G207" s="161">
        <v>740.0</v>
      </c>
      <c r="H207" s="161">
        <v>505.49</v>
      </c>
      <c r="I207" s="161">
        <v>500.0</v>
      </c>
      <c r="J207" s="102">
        <f t="shared" si="56"/>
        <v>-5.49</v>
      </c>
      <c r="K207" s="103">
        <f t="shared" si="57"/>
        <v>34.0599455</v>
      </c>
      <c r="L207" s="54"/>
      <c r="M207" s="54"/>
      <c r="N207" s="54"/>
      <c r="P207" s="44"/>
    </row>
    <row r="208">
      <c r="A208" s="54"/>
      <c r="B208" s="162">
        <v>45070.0</v>
      </c>
      <c r="C208" s="163"/>
      <c r="D208" s="159" t="s">
        <v>115</v>
      </c>
      <c r="E208" s="160">
        <v>384560.0</v>
      </c>
      <c r="F208" s="160">
        <v>1630.0</v>
      </c>
      <c r="G208" s="161">
        <v>745.0</v>
      </c>
      <c r="H208" s="161">
        <v>545.7</v>
      </c>
      <c r="I208" s="161">
        <v>549.67</v>
      </c>
      <c r="J208" s="102">
        <f t="shared" si="56"/>
        <v>3.97</v>
      </c>
      <c r="K208" s="169">
        <f t="shared" si="57"/>
        <v>33.72208589</v>
      </c>
      <c r="L208" s="54"/>
      <c r="M208" s="54"/>
      <c r="N208" s="54"/>
      <c r="P208" s="44"/>
    </row>
    <row r="209">
      <c r="A209" s="66"/>
      <c r="B209" s="67" t="s">
        <v>90</v>
      </c>
      <c r="J209" s="66"/>
      <c r="K209" s="66"/>
      <c r="L209" s="66"/>
      <c r="M209" s="66"/>
      <c r="N209" s="66"/>
      <c r="O209" s="68"/>
      <c r="P209" s="69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>
      <c r="A210" s="54"/>
      <c r="B210" s="162">
        <v>45100.0</v>
      </c>
      <c r="C210" s="163"/>
      <c r="D210" s="159" t="s">
        <v>115</v>
      </c>
      <c r="E210" s="160">
        <v>386039.0</v>
      </c>
      <c r="F210" s="160">
        <v>1479.0</v>
      </c>
      <c r="G210" s="161">
        <v>731.0</v>
      </c>
      <c r="H210" s="161">
        <v>598.44</v>
      </c>
      <c r="I210" s="161">
        <v>600.0</v>
      </c>
      <c r="J210" s="102">
        <f>I210-H210</f>
        <v>1.56</v>
      </c>
      <c r="K210" s="171">
        <f>I210/F210*100</f>
        <v>40.56795132</v>
      </c>
      <c r="L210" s="54"/>
      <c r="M210" s="54"/>
      <c r="N210" s="54"/>
      <c r="P210" s="44"/>
    </row>
    <row r="211">
      <c r="A211" s="66"/>
      <c r="B211" s="67" t="s">
        <v>92</v>
      </c>
      <c r="J211" s="66"/>
      <c r="K211" s="66"/>
      <c r="L211" s="66"/>
      <c r="M211" s="66"/>
      <c r="N211" s="66"/>
      <c r="O211" s="68"/>
      <c r="P211" s="69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</row>
    <row r="212">
      <c r="A212" s="54"/>
      <c r="B212" s="162">
        <v>45111.0</v>
      </c>
      <c r="C212" s="163"/>
      <c r="D212" s="159" t="s">
        <v>111</v>
      </c>
      <c r="E212" s="160">
        <v>387380.0</v>
      </c>
      <c r="F212" s="160">
        <v>1341.0</v>
      </c>
      <c r="G212" s="161">
        <v>747.0</v>
      </c>
      <c r="H212" s="161">
        <v>545.39</v>
      </c>
      <c r="I212" s="161">
        <v>559.46</v>
      </c>
      <c r="J212" s="102">
        <f t="shared" ref="J212:J214" si="58">I212-H212</f>
        <v>14.07</v>
      </c>
      <c r="K212" s="170">
        <f t="shared" ref="K212:K214" si="59">I212/F212*100</f>
        <v>41.71961223</v>
      </c>
      <c r="L212" s="54"/>
      <c r="M212" s="54"/>
      <c r="N212" s="54"/>
      <c r="P212" s="44"/>
    </row>
    <row r="213">
      <c r="A213" s="54"/>
      <c r="B213" s="162">
        <v>45123.0</v>
      </c>
      <c r="C213" s="163"/>
      <c r="D213" s="159" t="s">
        <v>115</v>
      </c>
      <c r="E213" s="160">
        <v>388928.0</v>
      </c>
      <c r="F213" s="160">
        <v>1548.0</v>
      </c>
      <c r="G213" s="161">
        <v>744.0</v>
      </c>
      <c r="H213" s="161">
        <v>623.32</v>
      </c>
      <c r="I213" s="161">
        <v>625.0</v>
      </c>
      <c r="J213" s="102">
        <f t="shared" si="58"/>
        <v>1.68</v>
      </c>
      <c r="K213" s="103">
        <f t="shared" si="59"/>
        <v>40.374677</v>
      </c>
      <c r="L213" s="54"/>
      <c r="M213" s="54"/>
      <c r="N213" s="54"/>
      <c r="P213" s="44"/>
    </row>
    <row r="214">
      <c r="A214" s="54"/>
      <c r="B214" s="162">
        <v>45132.0</v>
      </c>
      <c r="C214" s="163"/>
      <c r="D214" s="159" t="s">
        <v>111</v>
      </c>
      <c r="E214" s="160">
        <v>390469.0</v>
      </c>
      <c r="F214" s="160">
        <v>1541.0</v>
      </c>
      <c r="G214" s="161">
        <v>747.0</v>
      </c>
      <c r="H214" s="161">
        <v>631.03</v>
      </c>
      <c r="I214" s="161">
        <v>639.81</v>
      </c>
      <c r="J214" s="102">
        <f t="shared" si="58"/>
        <v>8.78</v>
      </c>
      <c r="K214" s="169">
        <f t="shared" si="59"/>
        <v>41.51914341</v>
      </c>
      <c r="L214" s="54"/>
      <c r="M214" s="54"/>
      <c r="N214" s="54"/>
      <c r="P214" s="44"/>
    </row>
    <row r="215">
      <c r="A215" s="66"/>
      <c r="B215" s="67" t="s">
        <v>95</v>
      </c>
      <c r="J215" s="66"/>
      <c r="K215" s="66"/>
      <c r="L215" s="66"/>
      <c r="M215" s="66"/>
      <c r="N215" s="66"/>
      <c r="O215" s="68"/>
      <c r="P215" s="69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</row>
    <row r="216">
      <c r="A216" s="54"/>
      <c r="B216" s="162">
        <v>45145.0</v>
      </c>
      <c r="C216" s="163"/>
      <c r="D216" s="159" t="s">
        <v>111</v>
      </c>
      <c r="E216" s="160">
        <v>391780.0</v>
      </c>
      <c r="F216" s="160">
        <v>1311.0</v>
      </c>
      <c r="G216" s="161">
        <v>746.0</v>
      </c>
      <c r="H216" s="161">
        <v>613.41</v>
      </c>
      <c r="I216" s="161">
        <v>626.89</v>
      </c>
      <c r="J216" s="102">
        <f>I216-H216</f>
        <v>13.48</v>
      </c>
      <c r="K216" s="171">
        <f>I216/F216*100</f>
        <v>47.81769641</v>
      </c>
      <c r="L216" s="54"/>
      <c r="M216" s="54"/>
      <c r="N216" s="54"/>
      <c r="P216" s="44"/>
    </row>
    <row r="217">
      <c r="A217" s="66"/>
      <c r="B217" s="67" t="s">
        <v>104</v>
      </c>
      <c r="J217" s="66"/>
      <c r="K217" s="66"/>
      <c r="L217" s="66"/>
      <c r="M217" s="66"/>
      <c r="N217" s="66"/>
      <c r="O217" s="68"/>
      <c r="P217" s="69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>
      <c r="A218" s="54"/>
      <c r="B218" s="162">
        <v>45174.0</v>
      </c>
      <c r="C218" s="163"/>
      <c r="D218" s="159" t="s">
        <v>111</v>
      </c>
      <c r="E218" s="160">
        <v>393529.0</v>
      </c>
      <c r="F218" s="160">
        <v>1749.0</v>
      </c>
      <c r="G218" s="161">
        <v>745.0</v>
      </c>
      <c r="H218" s="161">
        <v>669.0</v>
      </c>
      <c r="I218" s="161">
        <v>680.0</v>
      </c>
      <c r="J218" s="102">
        <f t="shared" ref="J218:J219" si="60">I218-H218</f>
        <v>11</v>
      </c>
      <c r="K218" s="170">
        <f t="shared" ref="K218:K219" si="61">I218/F218*100</f>
        <v>38.87935963</v>
      </c>
      <c r="L218" s="54"/>
      <c r="M218" s="54"/>
      <c r="N218" s="54"/>
      <c r="P218" s="44"/>
    </row>
    <row r="219">
      <c r="A219" s="54"/>
      <c r="B219" s="162">
        <v>45188.0</v>
      </c>
      <c r="C219" s="163"/>
      <c r="D219" s="159" t="s">
        <v>111</v>
      </c>
      <c r="E219" s="160">
        <v>395144.0</v>
      </c>
      <c r="F219" s="160">
        <v>1615.0</v>
      </c>
      <c r="G219" s="161">
        <v>746.0</v>
      </c>
      <c r="H219" s="161">
        <v>662.0</v>
      </c>
      <c r="I219" s="161">
        <v>681.44</v>
      </c>
      <c r="J219" s="102">
        <f t="shared" si="60"/>
        <v>19.44</v>
      </c>
      <c r="K219" s="169">
        <f t="shared" si="61"/>
        <v>42.19442724</v>
      </c>
      <c r="L219" s="54"/>
      <c r="M219" s="54"/>
      <c r="N219" s="54"/>
      <c r="P219" s="44"/>
    </row>
    <row r="220">
      <c r="A220" s="66"/>
      <c r="B220" s="67" t="s">
        <v>96</v>
      </c>
      <c r="J220" s="66"/>
      <c r="K220" s="66"/>
      <c r="L220" s="66"/>
      <c r="M220" s="66"/>
      <c r="N220" s="66"/>
      <c r="O220" s="68"/>
      <c r="P220" s="69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</row>
    <row r="221">
      <c r="A221" s="54"/>
      <c r="B221" s="157">
        <v>45212.0</v>
      </c>
      <c r="C221" s="158"/>
      <c r="D221" s="159" t="s">
        <v>111</v>
      </c>
      <c r="E221" s="160">
        <v>396891.0</v>
      </c>
      <c r="F221" s="160">
        <v>1747.0</v>
      </c>
      <c r="G221" s="161">
        <v>748.0</v>
      </c>
      <c r="H221" s="161">
        <v>605.0</v>
      </c>
      <c r="I221" s="161">
        <v>618.2</v>
      </c>
      <c r="J221" s="102">
        <f t="shared" ref="J221:J222" si="62">I221-H221</f>
        <v>13.2</v>
      </c>
      <c r="K221" s="170">
        <f t="shared" ref="K221:K222" si="63">I221/F221*100</f>
        <v>35.38637665</v>
      </c>
      <c r="L221" s="54"/>
      <c r="M221" s="54"/>
      <c r="N221" s="54"/>
      <c r="P221" s="44"/>
    </row>
    <row r="222">
      <c r="A222" s="54"/>
      <c r="B222" s="157">
        <v>45223.0</v>
      </c>
      <c r="C222" s="158"/>
      <c r="D222" s="159" t="s">
        <v>111</v>
      </c>
      <c r="E222" s="160">
        <v>398431.0</v>
      </c>
      <c r="F222" s="160">
        <v>1540.0</v>
      </c>
      <c r="G222" s="161">
        <v>748.0</v>
      </c>
      <c r="H222" s="161">
        <v>664.0</v>
      </c>
      <c r="I222" s="161">
        <v>676.04</v>
      </c>
      <c r="J222" s="102">
        <f t="shared" si="62"/>
        <v>12.04</v>
      </c>
      <c r="K222" s="169">
        <f t="shared" si="63"/>
        <v>43.8987013</v>
      </c>
      <c r="L222" s="54"/>
      <c r="M222" s="54"/>
      <c r="N222" s="54"/>
      <c r="P222" s="44"/>
    </row>
    <row r="223">
      <c r="A223" s="66"/>
      <c r="B223" s="67" t="s">
        <v>97</v>
      </c>
      <c r="J223" s="66"/>
      <c r="K223" s="66"/>
      <c r="L223" s="66"/>
      <c r="M223" s="66"/>
      <c r="N223" s="66"/>
      <c r="O223" s="68"/>
      <c r="P223" s="69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>
      <c r="A224" s="54"/>
      <c r="B224" s="162">
        <v>45234.0</v>
      </c>
      <c r="C224" s="163"/>
      <c r="D224" s="159" t="s">
        <v>111</v>
      </c>
      <c r="E224" s="160">
        <v>399946.0</v>
      </c>
      <c r="F224" s="160">
        <v>1515.0</v>
      </c>
      <c r="G224" s="161">
        <v>743.0</v>
      </c>
      <c r="H224" s="161">
        <v>698.0</v>
      </c>
      <c r="I224" s="161">
        <v>699.9</v>
      </c>
      <c r="J224" s="102">
        <f t="shared" ref="J224:J226" si="64">I224-H224</f>
        <v>1.9</v>
      </c>
      <c r="K224" s="170">
        <f t="shared" ref="K224:K226" si="65">I224/F224*100</f>
        <v>46.1980198</v>
      </c>
      <c r="L224" s="54"/>
      <c r="M224" s="54"/>
      <c r="N224" s="54"/>
      <c r="P224" s="44"/>
    </row>
    <row r="225">
      <c r="A225" s="54"/>
      <c r="B225" s="157">
        <v>45244.0</v>
      </c>
      <c r="C225" s="158"/>
      <c r="D225" s="159" t="s">
        <v>111</v>
      </c>
      <c r="E225" s="160">
        <v>401446.0</v>
      </c>
      <c r="F225" s="160">
        <v>1500.0</v>
      </c>
      <c r="G225" s="161">
        <v>746.0</v>
      </c>
      <c r="H225" s="161">
        <v>633.0</v>
      </c>
      <c r="I225" s="161">
        <v>638.86</v>
      </c>
      <c r="J225" s="102">
        <f t="shared" si="64"/>
        <v>5.86</v>
      </c>
      <c r="K225" s="103">
        <f t="shared" si="65"/>
        <v>42.59066667</v>
      </c>
      <c r="L225" s="54"/>
      <c r="M225" s="54"/>
      <c r="N225" s="54"/>
      <c r="P225" s="44"/>
    </row>
    <row r="226">
      <c r="A226" s="54"/>
      <c r="B226" s="157">
        <v>45254.0</v>
      </c>
      <c r="C226" s="158"/>
      <c r="D226" s="159" t="s">
        <v>111</v>
      </c>
      <c r="E226" s="160">
        <v>402806.0</v>
      </c>
      <c r="F226" s="160">
        <v>1360.0</v>
      </c>
      <c r="G226" s="161">
        <v>743.0</v>
      </c>
      <c r="H226" s="161">
        <v>627.0</v>
      </c>
      <c r="I226" s="161">
        <v>630.07</v>
      </c>
      <c r="J226" s="102">
        <f t="shared" si="64"/>
        <v>3.07</v>
      </c>
      <c r="K226" s="169">
        <f t="shared" si="65"/>
        <v>46.32867647</v>
      </c>
      <c r="L226" s="54"/>
      <c r="M226" s="54"/>
      <c r="N226" s="54"/>
      <c r="P226" s="44"/>
    </row>
    <row r="227">
      <c r="A227" s="66"/>
      <c r="B227" s="67" t="s">
        <v>98</v>
      </c>
      <c r="J227" s="66"/>
      <c r="K227" s="66"/>
      <c r="L227" s="66"/>
      <c r="M227" s="66"/>
      <c r="N227" s="66"/>
      <c r="O227" s="68"/>
      <c r="P227" s="69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</row>
    <row r="228">
      <c r="A228" s="54"/>
      <c r="B228" s="162">
        <v>45263.0</v>
      </c>
      <c r="C228" s="163"/>
      <c r="D228" s="159" t="s">
        <v>111</v>
      </c>
      <c r="E228" s="166"/>
      <c r="F228" s="173">
        <v>1168.0</v>
      </c>
      <c r="G228" s="168"/>
      <c r="H228" s="168"/>
      <c r="I228" s="161">
        <v>625.15</v>
      </c>
      <c r="J228" s="102">
        <f t="shared" ref="J228:J231" si="66">I228-H228</f>
        <v>625.15</v>
      </c>
      <c r="K228" s="170">
        <f t="shared" ref="K228:K231" si="67">I228/F228*100</f>
        <v>53.52311644</v>
      </c>
      <c r="L228" s="54"/>
      <c r="M228" s="54"/>
      <c r="N228" s="54"/>
      <c r="P228" s="44"/>
    </row>
    <row r="229">
      <c r="A229" s="54"/>
      <c r="B229" s="157">
        <v>45272.0</v>
      </c>
      <c r="C229" s="158"/>
      <c r="D229" s="159" t="s">
        <v>111</v>
      </c>
      <c r="E229" s="166"/>
      <c r="F229" s="173">
        <v>1168.0</v>
      </c>
      <c r="G229" s="168"/>
      <c r="H229" s="168"/>
      <c r="I229" s="161">
        <v>686.09</v>
      </c>
      <c r="J229" s="102">
        <f t="shared" si="66"/>
        <v>686.09</v>
      </c>
      <c r="K229" s="103">
        <f t="shared" si="67"/>
        <v>58.74058219</v>
      </c>
      <c r="L229" s="54"/>
      <c r="M229" s="54"/>
      <c r="N229" s="54"/>
      <c r="P229" s="44"/>
    </row>
    <row r="230">
      <c r="A230" s="54"/>
      <c r="B230" s="157">
        <v>45281.0</v>
      </c>
      <c r="C230" s="158"/>
      <c r="D230" s="159" t="s">
        <v>111</v>
      </c>
      <c r="E230" s="160">
        <v>406310.0</v>
      </c>
      <c r="F230" s="173">
        <v>1168.0</v>
      </c>
      <c r="G230" s="168"/>
      <c r="H230" s="168"/>
      <c r="I230" s="161">
        <v>630.04</v>
      </c>
      <c r="J230" s="102">
        <f t="shared" si="66"/>
        <v>630.04</v>
      </c>
      <c r="K230" s="103">
        <f t="shared" si="67"/>
        <v>53.94178082</v>
      </c>
      <c r="L230" s="54"/>
      <c r="M230" s="54"/>
      <c r="N230" s="54"/>
      <c r="P230" s="44"/>
    </row>
    <row r="231">
      <c r="A231" s="54"/>
      <c r="B231" s="157">
        <v>45290.0</v>
      </c>
      <c r="C231" s="158"/>
      <c r="D231" s="159" t="s">
        <v>111</v>
      </c>
      <c r="E231" s="160">
        <v>407714.0</v>
      </c>
      <c r="F231" s="160">
        <v>1404.0</v>
      </c>
      <c r="G231" s="161">
        <v>740.0</v>
      </c>
      <c r="H231" s="161">
        <v>618.0</v>
      </c>
      <c r="I231" s="161">
        <v>632.15</v>
      </c>
      <c r="J231" s="102">
        <f t="shared" si="66"/>
        <v>14.15</v>
      </c>
      <c r="K231" s="169">
        <f t="shared" si="67"/>
        <v>45.02492877</v>
      </c>
      <c r="L231" s="54"/>
      <c r="M231" s="54"/>
      <c r="N231" s="54"/>
      <c r="P231" s="44"/>
    </row>
    <row r="232">
      <c r="A232" s="66"/>
      <c r="B232" s="67">
        <v>2024.0</v>
      </c>
      <c r="J232" s="66"/>
      <c r="K232" s="66"/>
      <c r="L232" s="66"/>
      <c r="M232" s="66"/>
      <c r="N232" s="66"/>
      <c r="O232" s="68"/>
      <c r="P232" s="69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</row>
    <row r="233">
      <c r="A233" s="66"/>
      <c r="B233" s="67" t="s">
        <v>66</v>
      </c>
      <c r="J233" s="66"/>
      <c r="K233" s="66"/>
      <c r="L233" s="66"/>
      <c r="M233" s="66"/>
      <c r="N233" s="66"/>
      <c r="O233" s="68"/>
      <c r="P233" s="69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54"/>
      <c r="B234" s="162">
        <v>45295.0</v>
      </c>
      <c r="C234" s="163"/>
      <c r="D234" s="159" t="s">
        <v>111</v>
      </c>
      <c r="E234" s="166"/>
      <c r="F234" s="173">
        <v>894.0</v>
      </c>
      <c r="G234" s="161">
        <v>742.0</v>
      </c>
      <c r="H234" s="161">
        <v>270.0</v>
      </c>
      <c r="I234" s="161">
        <v>275.3</v>
      </c>
      <c r="J234" s="102">
        <f t="shared" ref="J234:J237" si="68">I234-H234</f>
        <v>5.3</v>
      </c>
      <c r="K234" s="170">
        <f t="shared" ref="K234:K237" si="69">I234/F234*100</f>
        <v>30.79418345</v>
      </c>
      <c r="L234" s="54"/>
      <c r="M234" s="54"/>
      <c r="N234" s="54"/>
      <c r="P234" s="44"/>
    </row>
    <row r="235">
      <c r="A235" s="54"/>
      <c r="B235" s="162">
        <v>45304.0</v>
      </c>
      <c r="C235" s="163"/>
      <c r="D235" s="159" t="s">
        <v>111</v>
      </c>
      <c r="E235" s="166"/>
      <c r="F235" s="173">
        <v>894.0</v>
      </c>
      <c r="G235" s="161">
        <v>733.0</v>
      </c>
      <c r="H235" s="161">
        <v>482.0</v>
      </c>
      <c r="I235" s="161">
        <v>500.0</v>
      </c>
      <c r="J235" s="102">
        <f t="shared" si="68"/>
        <v>18</v>
      </c>
      <c r="K235" s="103">
        <f t="shared" si="69"/>
        <v>55.92841163</v>
      </c>
      <c r="L235" s="54"/>
      <c r="M235" s="54"/>
      <c r="N235" s="54"/>
      <c r="P235" s="44"/>
    </row>
    <row r="236">
      <c r="A236" s="54"/>
      <c r="B236" s="162">
        <v>45312.0</v>
      </c>
      <c r="C236" s="163"/>
      <c r="D236" s="159" t="s">
        <v>111</v>
      </c>
      <c r="E236" s="160">
        <v>410396.0</v>
      </c>
      <c r="F236" s="173">
        <v>894.0</v>
      </c>
      <c r="G236" s="161">
        <v>733.0</v>
      </c>
      <c r="H236" s="161">
        <v>522.0</v>
      </c>
      <c r="I236" s="161">
        <v>535.22</v>
      </c>
      <c r="J236" s="102">
        <f t="shared" si="68"/>
        <v>13.22</v>
      </c>
      <c r="K236" s="103">
        <f t="shared" si="69"/>
        <v>59.86800895</v>
      </c>
      <c r="L236" s="54"/>
      <c r="M236" s="54"/>
      <c r="N236" s="54"/>
      <c r="P236" s="44"/>
    </row>
    <row r="237">
      <c r="A237" s="54"/>
      <c r="B237" s="162">
        <v>45319.0</v>
      </c>
      <c r="C237" s="163"/>
      <c r="D237" s="159" t="s">
        <v>111</v>
      </c>
      <c r="E237" s="160">
        <v>411186.0</v>
      </c>
      <c r="F237" s="160">
        <v>3472.0</v>
      </c>
      <c r="G237" s="161">
        <v>736.0</v>
      </c>
      <c r="H237" s="161">
        <v>418.0</v>
      </c>
      <c r="I237" s="161">
        <v>431.18</v>
      </c>
      <c r="J237" s="102">
        <f t="shared" si="68"/>
        <v>13.18</v>
      </c>
      <c r="K237" s="169">
        <f t="shared" si="69"/>
        <v>12.4187788</v>
      </c>
      <c r="L237" s="54"/>
      <c r="M237" s="54"/>
      <c r="N237" s="54"/>
      <c r="P237" s="44"/>
    </row>
    <row r="238">
      <c r="A238" s="66"/>
      <c r="B238" s="67" t="s">
        <v>68</v>
      </c>
      <c r="J238" s="66"/>
      <c r="K238" s="66"/>
      <c r="L238" s="66"/>
      <c r="M238" s="66"/>
      <c r="N238" s="66"/>
      <c r="O238" s="68"/>
      <c r="P238" s="69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</row>
    <row r="239">
      <c r="A239" s="54"/>
      <c r="B239" s="162">
        <v>45326.0</v>
      </c>
      <c r="C239" s="163"/>
      <c r="D239" s="159" t="s">
        <v>111</v>
      </c>
      <c r="E239" s="160">
        <v>411985.0</v>
      </c>
      <c r="F239" s="160">
        <v>799.0</v>
      </c>
      <c r="G239" s="161">
        <v>735.0</v>
      </c>
      <c r="H239" s="161">
        <v>398.0</v>
      </c>
      <c r="I239" s="161">
        <v>411.47</v>
      </c>
      <c r="J239" s="102">
        <f t="shared" ref="J239:J241" si="70">I239-H239</f>
        <v>13.47</v>
      </c>
      <c r="K239" s="170">
        <f t="shared" ref="K239:K241" si="71">I239/F239*100</f>
        <v>51.49812265</v>
      </c>
      <c r="L239" s="54"/>
      <c r="M239" s="74" t="s">
        <v>69</v>
      </c>
      <c r="N239" s="75"/>
      <c r="O239" s="76"/>
      <c r="P239" s="44"/>
    </row>
    <row r="240">
      <c r="A240" s="54"/>
      <c r="B240" s="162">
        <v>45338.0</v>
      </c>
      <c r="C240" s="163"/>
      <c r="D240" s="159" t="s">
        <v>111</v>
      </c>
      <c r="E240" s="160">
        <v>413167.0</v>
      </c>
      <c r="F240" s="160">
        <v>1182.0</v>
      </c>
      <c r="G240" s="161">
        <v>720.0</v>
      </c>
      <c r="H240" s="161">
        <v>487.0</v>
      </c>
      <c r="I240" s="161">
        <v>500.0</v>
      </c>
      <c r="J240" s="102">
        <f t="shared" si="70"/>
        <v>13</v>
      </c>
      <c r="K240" s="103">
        <f t="shared" si="71"/>
        <v>42.30118443</v>
      </c>
      <c r="L240" s="54"/>
      <c r="M240" s="77" t="s">
        <v>70</v>
      </c>
      <c r="N240" s="77" t="s">
        <v>71</v>
      </c>
      <c r="O240" s="78" t="s">
        <v>27</v>
      </c>
      <c r="P240" s="44"/>
    </row>
    <row r="241">
      <c r="A241" s="54"/>
      <c r="B241" s="162">
        <v>45348.0</v>
      </c>
      <c r="C241" s="163"/>
      <c r="D241" s="159" t="s">
        <v>111</v>
      </c>
      <c r="E241" s="166"/>
      <c r="F241" s="174">
        <v>1202.0</v>
      </c>
      <c r="G241" s="161">
        <v>728.0</v>
      </c>
      <c r="H241" s="161">
        <v>513.0</v>
      </c>
      <c r="I241" s="161">
        <v>528.18</v>
      </c>
      <c r="J241" s="102">
        <f t="shared" si="70"/>
        <v>15.18</v>
      </c>
      <c r="K241" s="169">
        <f t="shared" si="71"/>
        <v>43.94176373</v>
      </c>
      <c r="L241" s="54"/>
      <c r="M241" s="79">
        <f>SUM(F239:F241)</f>
        <v>3183</v>
      </c>
      <c r="N241" s="79">
        <f>SUM(I239:I241)</f>
        <v>1439.65</v>
      </c>
      <c r="O241" s="81">
        <f>N241/M241*100</f>
        <v>45.22934339</v>
      </c>
      <c r="P241" s="44"/>
    </row>
    <row r="242">
      <c r="A242" s="66"/>
      <c r="B242" s="67" t="s">
        <v>72</v>
      </c>
      <c r="J242" s="66"/>
      <c r="K242" s="66"/>
      <c r="L242" s="66"/>
      <c r="M242" s="132" t="str">
        <f>"тотал"&amp;" "&amp;B242</f>
        <v>тотал МАРТ</v>
      </c>
      <c r="N242" s="75"/>
      <c r="O242" s="76"/>
      <c r="P242" s="69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>
      <c r="A243" s="54"/>
      <c r="B243" s="162">
        <v>45369.0</v>
      </c>
      <c r="C243" s="163"/>
      <c r="D243" s="159" t="s">
        <v>111</v>
      </c>
      <c r="E243" s="166"/>
      <c r="F243" s="174">
        <v>1202.0</v>
      </c>
      <c r="G243" s="161">
        <v>740.0</v>
      </c>
      <c r="H243" s="161">
        <v>636.0</v>
      </c>
      <c r="I243" s="161">
        <v>651.64</v>
      </c>
      <c r="J243" s="102">
        <f t="shared" ref="J243:J244" si="72">I243-H243</f>
        <v>15.64</v>
      </c>
      <c r="K243" s="170">
        <f t="shared" ref="K243:K244" si="73">I243/F243*100</f>
        <v>54.21297837</v>
      </c>
      <c r="L243" s="54"/>
      <c r="M243" s="84" t="s">
        <v>70</v>
      </c>
      <c r="N243" s="84" t="s">
        <v>71</v>
      </c>
      <c r="O243" s="84" t="s">
        <v>27</v>
      </c>
      <c r="P243" s="44"/>
    </row>
    <row r="244">
      <c r="A244" s="54"/>
      <c r="B244" s="162">
        <v>45382.0</v>
      </c>
      <c r="C244" s="163"/>
      <c r="D244" s="159" t="s">
        <v>111</v>
      </c>
      <c r="E244" s="166"/>
      <c r="F244" s="174">
        <v>1202.0</v>
      </c>
      <c r="G244" s="161">
        <v>741.0</v>
      </c>
      <c r="H244" s="161">
        <v>621.0</v>
      </c>
      <c r="I244" s="161">
        <v>625.89</v>
      </c>
      <c r="J244" s="102">
        <f t="shared" si="72"/>
        <v>4.89</v>
      </c>
      <c r="K244" s="169">
        <f t="shared" si="73"/>
        <v>52.07071547</v>
      </c>
      <c r="L244" s="54"/>
      <c r="M244" s="84">
        <f>SUM(F243:F244)</f>
        <v>2404</v>
      </c>
      <c r="N244" s="84">
        <f>SUM(I243:I244)</f>
        <v>1277.53</v>
      </c>
      <c r="O244" s="85">
        <f>N244/M244*100</f>
        <v>53.14184692</v>
      </c>
      <c r="P244" s="44"/>
    </row>
    <row r="245">
      <c r="A245" s="66"/>
      <c r="B245" s="67" t="s">
        <v>74</v>
      </c>
      <c r="J245" s="66"/>
      <c r="K245" s="66"/>
      <c r="L245" s="66"/>
      <c r="M245" s="132" t="str">
        <f>"тотал"&amp;" "&amp;B245</f>
        <v>тотал АПРЕЛЬ</v>
      </c>
      <c r="N245" s="75"/>
      <c r="O245" s="76"/>
      <c r="P245" s="69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</row>
    <row r="246">
      <c r="A246" s="54"/>
      <c r="B246" s="162">
        <v>45395.0</v>
      </c>
      <c r="C246" s="163"/>
      <c r="D246" s="159" t="s">
        <v>111</v>
      </c>
      <c r="E246" s="166"/>
      <c r="F246" s="174">
        <v>1202.0</v>
      </c>
      <c r="G246" s="161">
        <v>742.0</v>
      </c>
      <c r="H246" s="161">
        <v>617.0</v>
      </c>
      <c r="I246" s="161">
        <v>628.59</v>
      </c>
      <c r="J246" s="102">
        <f t="shared" ref="J246:J247" si="74">I246-H246</f>
        <v>11.59</v>
      </c>
      <c r="K246" s="170">
        <f t="shared" ref="K246:K247" si="75">I246/F246*100</f>
        <v>52.2953411</v>
      </c>
      <c r="L246" s="54"/>
      <c r="M246" s="84" t="s">
        <v>70</v>
      </c>
      <c r="N246" s="84" t="s">
        <v>71</v>
      </c>
      <c r="O246" s="84" t="s">
        <v>27</v>
      </c>
      <c r="P246" s="44"/>
    </row>
    <row r="247">
      <c r="A247" s="54"/>
      <c r="B247" s="162">
        <v>45407.0</v>
      </c>
      <c r="C247" s="163"/>
      <c r="D247" s="159" t="s">
        <v>111</v>
      </c>
      <c r="E247" s="160">
        <v>419177.0</v>
      </c>
      <c r="F247" s="174">
        <v>1202.0</v>
      </c>
      <c r="G247" s="161">
        <v>742.0</v>
      </c>
      <c r="H247" s="161">
        <v>588.0</v>
      </c>
      <c r="I247" s="161">
        <v>603.96</v>
      </c>
      <c r="J247" s="102">
        <f t="shared" si="74"/>
        <v>15.96</v>
      </c>
      <c r="K247" s="169">
        <f t="shared" si="75"/>
        <v>50.24625624</v>
      </c>
      <c r="L247" s="54"/>
      <c r="M247" s="84">
        <f>SUM(F246:F247)</f>
        <v>2404</v>
      </c>
      <c r="N247" s="84">
        <f>SUM(I246:I247)</f>
        <v>1232.55</v>
      </c>
      <c r="O247" s="85">
        <f>N247/M247*100</f>
        <v>51.27079867</v>
      </c>
      <c r="P247" s="44"/>
    </row>
    <row r="248">
      <c r="A248" s="66"/>
      <c r="B248" s="67" t="s">
        <v>75</v>
      </c>
      <c r="J248" s="66"/>
      <c r="K248" s="66"/>
      <c r="L248" s="66"/>
      <c r="M248" s="132" t="str">
        <f>"тотал"&amp;" "&amp;B248</f>
        <v>тотал МАЙ</v>
      </c>
      <c r="N248" s="75"/>
      <c r="O248" s="76"/>
      <c r="P248" s="69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</row>
    <row r="249">
      <c r="A249" s="54"/>
      <c r="B249" s="162">
        <v>45421.0</v>
      </c>
      <c r="C249" s="163"/>
      <c r="D249" s="159" t="s">
        <v>111</v>
      </c>
      <c r="E249" s="160">
        <v>420507.0</v>
      </c>
      <c r="F249" s="160">
        <v>1330.0</v>
      </c>
      <c r="G249" s="161">
        <v>748.0</v>
      </c>
      <c r="H249" s="161">
        <v>589.0</v>
      </c>
      <c r="I249" s="161">
        <v>603.02</v>
      </c>
      <c r="J249" s="102">
        <f t="shared" ref="J249:J250" si="76">I249-H249</f>
        <v>14.02</v>
      </c>
      <c r="K249" s="170">
        <f t="shared" ref="K249:K250" si="77">I249/F249*100</f>
        <v>45.33984962</v>
      </c>
      <c r="L249" s="54"/>
      <c r="M249" s="84" t="s">
        <v>70</v>
      </c>
      <c r="N249" s="84" t="s">
        <v>71</v>
      </c>
      <c r="O249" s="84" t="s">
        <v>27</v>
      </c>
      <c r="P249" s="44"/>
    </row>
    <row r="250">
      <c r="A250" s="54"/>
      <c r="B250" s="162">
        <v>45436.0</v>
      </c>
      <c r="C250" s="163"/>
      <c r="D250" s="159" t="s">
        <v>111</v>
      </c>
      <c r="E250" s="160">
        <v>421879.0</v>
      </c>
      <c r="F250" s="166">
        <f>E250-E249</f>
        <v>1372</v>
      </c>
      <c r="G250" s="161">
        <v>390.0</v>
      </c>
      <c r="H250" s="161">
        <v>272.0</v>
      </c>
      <c r="I250" s="161">
        <v>280.0</v>
      </c>
      <c r="J250" s="102">
        <f t="shared" si="76"/>
        <v>8</v>
      </c>
      <c r="K250" s="169">
        <f t="shared" si="77"/>
        <v>20.40816327</v>
      </c>
      <c r="L250" s="54"/>
      <c r="M250" s="84">
        <f>SUM(F249:F250)</f>
        <v>2702</v>
      </c>
      <c r="N250" s="84">
        <f>SUM(I249:I250)</f>
        <v>883.02</v>
      </c>
      <c r="O250" s="85">
        <f>N250/M250*100</f>
        <v>32.68023686</v>
      </c>
      <c r="P250" s="44"/>
    </row>
    <row r="251">
      <c r="A251" s="66"/>
      <c r="B251" s="67" t="s">
        <v>90</v>
      </c>
      <c r="J251" s="66"/>
      <c r="K251" s="66"/>
      <c r="L251" s="66"/>
      <c r="M251" s="132" t="str">
        <f>"тотал"&amp;" "&amp;B251</f>
        <v>тотал ИЮНЬ</v>
      </c>
      <c r="N251" s="75"/>
      <c r="O251" s="76"/>
      <c r="P251" s="69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</row>
    <row r="252">
      <c r="A252" s="54"/>
      <c r="B252" s="175">
        <v>45444.0</v>
      </c>
      <c r="C252" s="175"/>
      <c r="D252" s="100" t="s">
        <v>111</v>
      </c>
      <c r="E252" s="176">
        <v>422546.0</v>
      </c>
      <c r="F252" s="177">
        <f>E252-E250</f>
        <v>667</v>
      </c>
      <c r="G252" s="178">
        <v>743.0</v>
      </c>
      <c r="H252" s="178">
        <v>641.0</v>
      </c>
      <c r="I252" s="178">
        <v>657.03</v>
      </c>
      <c r="J252" s="102">
        <f t="shared" ref="J252:J253" si="78">I252-H252</f>
        <v>16.03</v>
      </c>
      <c r="K252" s="103">
        <f t="shared" ref="K252:K253" si="79">I252/F252*100</f>
        <v>98.50524738</v>
      </c>
      <c r="L252" s="54"/>
      <c r="M252" s="84" t="s">
        <v>70</v>
      </c>
      <c r="N252" s="84" t="s">
        <v>71</v>
      </c>
      <c r="O252" s="84" t="s">
        <v>27</v>
      </c>
      <c r="P252" s="44"/>
    </row>
    <row r="253">
      <c r="A253" s="54"/>
      <c r="B253" s="179">
        <v>45463.0</v>
      </c>
      <c r="C253" s="179"/>
      <c r="D253" s="180" t="s">
        <v>117</v>
      </c>
      <c r="E253" s="181">
        <v>424073.0</v>
      </c>
      <c r="F253" s="181">
        <v>1527.0</v>
      </c>
      <c r="G253" s="182">
        <v>745.0</v>
      </c>
      <c r="H253" s="182">
        <v>591.0</v>
      </c>
      <c r="I253" s="182">
        <v>590.24</v>
      </c>
      <c r="J253" s="183">
        <f t="shared" si="78"/>
        <v>-0.76</v>
      </c>
      <c r="K253" s="184">
        <f t="shared" si="79"/>
        <v>38.65356909</v>
      </c>
      <c r="L253" s="54"/>
      <c r="M253" s="84">
        <f>SUM(F252:F253)</f>
        <v>2194</v>
      </c>
      <c r="N253" s="84">
        <f>SUM(I252:I253)</f>
        <v>1247.27</v>
      </c>
      <c r="O253" s="85">
        <f>N253/M253*100</f>
        <v>56.849134</v>
      </c>
      <c r="P253" s="44"/>
    </row>
    <row r="254">
      <c r="A254" s="66"/>
      <c r="B254" s="67" t="s">
        <v>92</v>
      </c>
      <c r="J254" s="66"/>
      <c r="K254" s="66"/>
      <c r="L254" s="66"/>
      <c r="M254" s="66"/>
      <c r="N254" s="66"/>
      <c r="O254" s="68"/>
      <c r="P254" s="69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>
      <c r="A255" s="54"/>
      <c r="B255" s="145">
        <v>45481.0</v>
      </c>
      <c r="C255" s="145"/>
      <c r="D255" s="100" t="s">
        <v>111</v>
      </c>
      <c r="E255" s="148">
        <v>425790.0</v>
      </c>
      <c r="F255" s="176">
        <v>1717.0</v>
      </c>
      <c r="G255" s="148">
        <v>743.0</v>
      </c>
      <c r="H255" s="178">
        <v>566.0</v>
      </c>
      <c r="I255" s="148">
        <v>572.38</v>
      </c>
      <c r="J255" s="102">
        <f t="shared" ref="J255:J257" si="80">I255-H255</f>
        <v>6.38</v>
      </c>
      <c r="K255" s="170">
        <f t="shared" ref="K255:K257" si="81">I255/F255*100</f>
        <v>33.33605125</v>
      </c>
      <c r="L255" s="54"/>
      <c r="M255" s="74" t="s">
        <v>118</v>
      </c>
      <c r="N255" s="75"/>
      <c r="O255" s="76"/>
      <c r="P255" s="44"/>
    </row>
    <row r="256">
      <c r="A256" s="54"/>
      <c r="B256" s="185">
        <v>45491.0</v>
      </c>
      <c r="C256" s="185"/>
      <c r="D256" s="100" t="s">
        <v>111</v>
      </c>
      <c r="E256" s="186">
        <v>427504.0</v>
      </c>
      <c r="F256" s="177">
        <f t="shared" ref="F256:F257" si="82">E256-E255</f>
        <v>1714</v>
      </c>
      <c r="G256" s="101">
        <v>742.0</v>
      </c>
      <c r="H256" s="101">
        <v>598.0</v>
      </c>
      <c r="I256" s="101">
        <v>600.0</v>
      </c>
      <c r="J256" s="102">
        <f t="shared" si="80"/>
        <v>2</v>
      </c>
      <c r="K256" s="103">
        <f t="shared" si="81"/>
        <v>35.00583431</v>
      </c>
      <c r="L256" s="54"/>
      <c r="M256" s="77" t="s">
        <v>70</v>
      </c>
      <c r="N256" s="77" t="s">
        <v>119</v>
      </c>
      <c r="O256" s="78" t="s">
        <v>27</v>
      </c>
      <c r="P256" s="44"/>
    </row>
    <row r="257">
      <c r="A257" s="54"/>
      <c r="B257" s="187">
        <v>45501.0</v>
      </c>
      <c r="C257" s="187"/>
      <c r="D257" s="101" t="s">
        <v>111</v>
      </c>
      <c r="E257" s="188">
        <v>429159.0</v>
      </c>
      <c r="F257" s="177">
        <f t="shared" si="82"/>
        <v>1655</v>
      </c>
      <c r="G257" s="101">
        <v>742.0</v>
      </c>
      <c r="H257" s="101">
        <v>610.0</v>
      </c>
      <c r="I257" s="101">
        <v>609.74</v>
      </c>
      <c r="J257" s="102">
        <f t="shared" si="80"/>
        <v>-0.26</v>
      </c>
      <c r="K257" s="103">
        <f t="shared" si="81"/>
        <v>36.84229607</v>
      </c>
      <c r="L257" s="54"/>
      <c r="M257" s="79">
        <f>SUM(F255:F257)</f>
        <v>5086</v>
      </c>
      <c r="N257" s="79">
        <f>SUM(I255:I257)</f>
        <v>1782.12</v>
      </c>
      <c r="O257" s="81">
        <f>N257/M257*100</f>
        <v>35.03971687</v>
      </c>
      <c r="P257" s="44"/>
    </row>
    <row r="258">
      <c r="A258" s="66"/>
      <c r="B258" s="67" t="s">
        <v>95</v>
      </c>
      <c r="J258" s="66"/>
      <c r="K258" s="66"/>
      <c r="L258" s="66"/>
      <c r="M258" s="66"/>
      <c r="N258" s="66"/>
      <c r="O258" s="68"/>
      <c r="P258" s="69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>
      <c r="A259" s="54"/>
      <c r="B259" s="164" t="s">
        <v>109</v>
      </c>
      <c r="C259" s="75"/>
      <c r="D259" s="75"/>
      <c r="E259" s="75"/>
      <c r="F259" s="75"/>
      <c r="G259" s="75"/>
      <c r="H259" s="75"/>
      <c r="I259" s="76"/>
      <c r="J259" s="54"/>
      <c r="K259" s="54"/>
      <c r="L259" s="54"/>
      <c r="M259" s="54"/>
      <c r="N259" s="54"/>
      <c r="P259" s="44"/>
    </row>
    <row r="260">
      <c r="A260" s="66"/>
      <c r="B260" s="67" t="s">
        <v>104</v>
      </c>
      <c r="J260" s="66"/>
      <c r="K260" s="66"/>
      <c r="L260" s="66"/>
      <c r="M260" s="132" t="str">
        <f>"тотал"&amp;" "&amp;B260</f>
        <v>тотал СЕНТЯБРЬ</v>
      </c>
      <c r="N260" s="75"/>
      <c r="O260" s="76"/>
      <c r="P260" s="69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</row>
    <row r="261">
      <c r="A261" s="54"/>
      <c r="B261" s="187">
        <v>45544.0</v>
      </c>
      <c r="C261" s="187"/>
      <c r="D261" s="102"/>
      <c r="E261" s="186">
        <v>431004.0</v>
      </c>
      <c r="F261" s="177">
        <f>E261-E257</f>
        <v>1845</v>
      </c>
      <c r="G261" s="101">
        <v>743.0</v>
      </c>
      <c r="H261" s="101">
        <v>597.0</v>
      </c>
      <c r="I261" s="101">
        <v>600.0</v>
      </c>
      <c r="J261" s="102">
        <f t="shared" ref="J261:J262" si="83">I261-H261</f>
        <v>3</v>
      </c>
      <c r="K261" s="103">
        <f t="shared" ref="K261:K262" si="84">I261/F261*100</f>
        <v>32.5203252</v>
      </c>
      <c r="L261" s="54"/>
      <c r="M261" s="84" t="s">
        <v>70</v>
      </c>
      <c r="N261" s="84" t="s">
        <v>71</v>
      </c>
      <c r="O261" s="84" t="s">
        <v>27</v>
      </c>
      <c r="P261" s="44"/>
    </row>
    <row r="262">
      <c r="A262" s="54"/>
      <c r="B262" s="187">
        <v>45556.0</v>
      </c>
      <c r="C262" s="187"/>
      <c r="D262" s="102"/>
      <c r="E262" s="186">
        <v>432505.0</v>
      </c>
      <c r="F262" s="177">
        <f>E262-E261</f>
        <v>1501</v>
      </c>
      <c r="G262" s="101">
        <v>739.0</v>
      </c>
      <c r="H262" s="101">
        <v>592.0</v>
      </c>
      <c r="I262" s="101">
        <v>595.73</v>
      </c>
      <c r="J262" s="102">
        <f t="shared" si="83"/>
        <v>3.73</v>
      </c>
      <c r="K262" s="103">
        <f t="shared" si="84"/>
        <v>39.68887408</v>
      </c>
      <c r="L262" s="54"/>
      <c r="M262" s="84">
        <f>SUM(F261:F262)</f>
        <v>3346</v>
      </c>
      <c r="N262" s="84">
        <f>SUM(I261:I262)</f>
        <v>1195.73</v>
      </c>
      <c r="O262" s="85">
        <f>N262/M262*100</f>
        <v>35.73610281</v>
      </c>
      <c r="P262" s="44"/>
    </row>
    <row r="263">
      <c r="A263" s="66"/>
      <c r="B263" s="67" t="s">
        <v>96</v>
      </c>
      <c r="J263" s="66"/>
      <c r="K263" s="66"/>
      <c r="L263" s="66"/>
      <c r="M263" s="66"/>
      <c r="N263" s="66"/>
      <c r="O263" s="68"/>
      <c r="P263" s="69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</row>
    <row r="264">
      <c r="A264" s="54"/>
      <c r="B264" s="189">
        <v>45567.0</v>
      </c>
      <c r="C264" s="189"/>
      <c r="D264" s="102"/>
      <c r="E264" s="186">
        <v>433978.0</v>
      </c>
      <c r="F264" s="177">
        <f>E264-E262</f>
        <v>1473</v>
      </c>
      <c r="G264" s="101">
        <v>742.0</v>
      </c>
      <c r="H264" s="101">
        <v>569.0</v>
      </c>
      <c r="I264" s="101">
        <v>570.06</v>
      </c>
      <c r="J264" s="102">
        <f t="shared" ref="J264:J266" si="85">H264-I264</f>
        <v>-1.06</v>
      </c>
      <c r="K264" s="103">
        <f t="shared" ref="K264:K266" si="86">I264/F264*100</f>
        <v>38.700611</v>
      </c>
      <c r="L264" s="54"/>
      <c r="M264" s="82" t="str">
        <f>"тотал"&amp;" "&amp;B263&amp;" "&amp;Q264</f>
        <v>тотал ОКТЯБРЬ </v>
      </c>
      <c r="N264" s="75"/>
      <c r="O264" s="75"/>
      <c r="P264" s="75"/>
      <c r="Q264" s="76"/>
    </row>
    <row r="265">
      <c r="A265" s="54"/>
      <c r="B265" s="189">
        <v>45577.0</v>
      </c>
      <c r="C265" s="189"/>
      <c r="D265" s="102"/>
      <c r="E265" s="190">
        <v>435495.0</v>
      </c>
      <c r="F265" s="177">
        <f t="shared" ref="F265:F266" si="87">E265-E264</f>
        <v>1517</v>
      </c>
      <c r="G265" s="101">
        <v>744.0</v>
      </c>
      <c r="H265" s="101">
        <v>598.0</v>
      </c>
      <c r="I265" s="101">
        <v>600.02</v>
      </c>
      <c r="J265" s="102">
        <f t="shared" si="85"/>
        <v>-2.02</v>
      </c>
      <c r="K265" s="103">
        <f t="shared" si="86"/>
        <v>39.55306526</v>
      </c>
      <c r="L265" s="54"/>
      <c r="M265" s="77" t="s">
        <v>70</v>
      </c>
      <c r="N265" s="77" t="s">
        <v>119</v>
      </c>
      <c r="O265" s="78" t="s">
        <v>27</v>
      </c>
      <c r="P265" s="77" t="s">
        <v>28</v>
      </c>
      <c r="Q265" s="12" t="s">
        <v>78</v>
      </c>
    </row>
    <row r="266">
      <c r="A266" s="54"/>
      <c r="B266" s="189">
        <v>45587.0</v>
      </c>
      <c r="C266" s="189"/>
      <c r="D266" s="102"/>
      <c r="E266" s="186">
        <v>437106.0</v>
      </c>
      <c r="F266" s="177">
        <f t="shared" si="87"/>
        <v>1611</v>
      </c>
      <c r="G266" s="101">
        <v>744.0</v>
      </c>
      <c r="H266" s="101">
        <v>588.0</v>
      </c>
      <c r="I266" s="101">
        <v>589.21</v>
      </c>
      <c r="J266" s="102">
        <f t="shared" si="85"/>
        <v>-1.21</v>
      </c>
      <c r="K266" s="103">
        <f t="shared" si="86"/>
        <v>36.57417753</v>
      </c>
      <c r="L266" s="54"/>
      <c r="M266" s="79">
        <f>SUM(F264:F266)</f>
        <v>4601</v>
      </c>
      <c r="N266" s="79">
        <f>SUM(I264:I266)</f>
        <v>1759.29</v>
      </c>
      <c r="O266" s="81">
        <f>N266/M266*100</f>
        <v>38.23712236</v>
      </c>
      <c r="P266" s="79">
        <f>(M266/100)*(O266-Q266)</f>
        <v>332.98</v>
      </c>
      <c r="Q266" s="78">
        <v>31.0</v>
      </c>
    </row>
    <row r="267">
      <c r="A267" s="66"/>
      <c r="B267" s="67" t="s">
        <v>97</v>
      </c>
      <c r="J267" s="66"/>
      <c r="K267" s="66"/>
      <c r="L267" s="66"/>
      <c r="M267" s="82" t="str">
        <f>"тотал"&amp;" "&amp;B267&amp;" "&amp;Q267</f>
        <v>тотал НОЯБРЬ </v>
      </c>
      <c r="N267" s="75"/>
      <c r="O267" s="75"/>
      <c r="P267" s="75"/>
      <c r="Q267" s="76"/>
      <c r="R267" s="68"/>
      <c r="S267" s="68"/>
      <c r="T267" s="68"/>
      <c r="U267" s="68"/>
      <c r="V267" s="68"/>
      <c r="W267" s="68"/>
      <c r="X267" s="68"/>
      <c r="Y267" s="68"/>
      <c r="Z267" s="68"/>
      <c r="AA267" s="68"/>
    </row>
    <row r="268">
      <c r="A268" s="54"/>
      <c r="B268" s="189">
        <v>45608.0</v>
      </c>
      <c r="C268" s="189"/>
      <c r="D268" s="102"/>
      <c r="E268" s="186">
        <v>438528.0</v>
      </c>
      <c r="F268" s="177">
        <f>E268-E266</f>
        <v>1422</v>
      </c>
      <c r="G268" s="101">
        <v>745.0</v>
      </c>
      <c r="H268" s="101">
        <v>614.0</v>
      </c>
      <c r="I268" s="101">
        <v>618.51</v>
      </c>
      <c r="J268" s="102">
        <f t="shared" ref="J268:J269" si="88">H268-I268</f>
        <v>-4.51</v>
      </c>
      <c r="K268" s="103">
        <f t="shared" ref="K268:K269" si="89">I268/F268*100</f>
        <v>43.49578059</v>
      </c>
      <c r="L268" s="54"/>
      <c r="M268" s="84" t="s">
        <v>70</v>
      </c>
      <c r="N268" s="84" t="s">
        <v>71</v>
      </c>
      <c r="O268" s="84" t="s">
        <v>27</v>
      </c>
      <c r="P268" s="77" t="s">
        <v>28</v>
      </c>
      <c r="Q268" s="12" t="s">
        <v>78</v>
      </c>
    </row>
    <row r="269">
      <c r="A269" s="54"/>
      <c r="B269" s="189">
        <v>45619.0</v>
      </c>
      <c r="C269" s="189"/>
      <c r="D269" s="102"/>
      <c r="E269" s="186">
        <v>440302.0</v>
      </c>
      <c r="F269" s="177">
        <f>E269-E268</f>
        <v>1774</v>
      </c>
      <c r="G269" s="101">
        <v>740.0</v>
      </c>
      <c r="H269" s="101">
        <v>642.0</v>
      </c>
      <c r="I269" s="101">
        <v>650.02</v>
      </c>
      <c r="J269" s="102">
        <f t="shared" si="88"/>
        <v>-8.02</v>
      </c>
      <c r="K269" s="103">
        <f t="shared" si="89"/>
        <v>36.64148816</v>
      </c>
      <c r="L269" s="54"/>
      <c r="M269" s="84">
        <f>SUM(F268:F269)</f>
        <v>3196</v>
      </c>
      <c r="N269" s="84">
        <f>SUM(I268:I269)</f>
        <v>1268.53</v>
      </c>
      <c r="O269" s="85">
        <f>N269/M269*100</f>
        <v>39.69117647</v>
      </c>
      <c r="P269" s="79">
        <f>(M269/100)*(O269-Q269)</f>
        <v>277.77</v>
      </c>
      <c r="Q269" s="78">
        <v>31.0</v>
      </c>
    </row>
    <row r="270">
      <c r="A270" s="66"/>
      <c r="B270" s="67" t="s">
        <v>98</v>
      </c>
      <c r="J270" s="66"/>
      <c r="K270" s="66"/>
      <c r="L270" s="66"/>
      <c r="M270" s="66"/>
      <c r="N270" s="66"/>
      <c r="O270" s="68"/>
      <c r="P270" s="69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</row>
    <row r="271">
      <c r="A271" s="54"/>
      <c r="B271" s="189">
        <v>45630.0</v>
      </c>
      <c r="C271" s="189"/>
      <c r="D271" s="102"/>
      <c r="E271" s="186">
        <v>441725.0</v>
      </c>
      <c r="F271" s="177">
        <f>E271-E269</f>
        <v>1423</v>
      </c>
      <c r="G271" s="101">
        <v>734.0</v>
      </c>
      <c r="H271" s="101">
        <v>631.0</v>
      </c>
      <c r="I271" s="101">
        <v>638.72</v>
      </c>
      <c r="J271" s="102">
        <f t="shared" ref="J271:J273" si="90">H271-I271</f>
        <v>-7.72</v>
      </c>
      <c r="K271" s="103">
        <f t="shared" ref="K271:K273" si="91">I271/F271*100</f>
        <v>44.88545327</v>
      </c>
      <c r="L271" s="54"/>
      <c r="M271" s="82" t="str">
        <f>"тотал"&amp;" "&amp;B270&amp;" "&amp;Q271</f>
        <v>тотал ДЕКАБРЬ </v>
      </c>
      <c r="N271" s="75"/>
      <c r="O271" s="75"/>
      <c r="P271" s="75"/>
      <c r="Q271" s="76"/>
    </row>
    <row r="272">
      <c r="A272" s="54"/>
      <c r="B272" s="189">
        <v>45640.0</v>
      </c>
      <c r="C272" s="189"/>
      <c r="D272" s="102"/>
      <c r="E272" s="186">
        <v>443005.0</v>
      </c>
      <c r="F272" s="177">
        <f t="shared" ref="F272:F273" si="92">E272-E271</f>
        <v>1280</v>
      </c>
      <c r="G272" s="101">
        <v>746.0</v>
      </c>
      <c r="H272" s="101">
        <v>671.0</v>
      </c>
      <c r="I272" s="101">
        <v>675.09</v>
      </c>
      <c r="J272" s="102">
        <f t="shared" si="90"/>
        <v>-4.09</v>
      </c>
      <c r="K272" s="103">
        <f t="shared" si="91"/>
        <v>52.74140625</v>
      </c>
      <c r="L272" s="54"/>
      <c r="M272" s="77" t="s">
        <v>70</v>
      </c>
      <c r="N272" s="77" t="s">
        <v>119</v>
      </c>
      <c r="O272" s="78" t="s">
        <v>27</v>
      </c>
      <c r="P272" s="77" t="s">
        <v>28</v>
      </c>
      <c r="Q272" s="12" t="s">
        <v>78</v>
      </c>
    </row>
    <row r="273">
      <c r="A273" s="54"/>
      <c r="B273" s="189">
        <v>45651.0</v>
      </c>
      <c r="C273" s="189"/>
      <c r="D273" s="102"/>
      <c r="E273" s="186">
        <v>444353.0</v>
      </c>
      <c r="F273" s="177">
        <f t="shared" si="92"/>
        <v>1348</v>
      </c>
      <c r="G273" s="101">
        <v>732.0</v>
      </c>
      <c r="H273" s="101">
        <v>639.0</v>
      </c>
      <c r="I273" s="101">
        <v>650.24</v>
      </c>
      <c r="J273" s="102">
        <f t="shared" si="90"/>
        <v>-11.24</v>
      </c>
      <c r="K273" s="103">
        <f t="shared" si="91"/>
        <v>48.23738872</v>
      </c>
      <c r="L273" s="54"/>
      <c r="M273" s="79">
        <f>SUM(F271:F273)</f>
        <v>4051</v>
      </c>
      <c r="N273" s="79">
        <f>SUM(I271:I273)</f>
        <v>1964.05</v>
      </c>
      <c r="O273" s="81">
        <f>N273/M273*100</f>
        <v>48.48309059</v>
      </c>
      <c r="P273" s="79">
        <f>(M273/100)*(O273-Q273)</f>
        <v>708.24</v>
      </c>
      <c r="Q273" s="78">
        <v>31.0</v>
      </c>
    </row>
    <row r="274">
      <c r="A274" s="66"/>
      <c r="B274" s="191">
        <v>2025.0</v>
      </c>
      <c r="J274" s="66"/>
      <c r="K274" s="66"/>
      <c r="L274" s="66"/>
      <c r="M274" s="66"/>
      <c r="N274" s="66"/>
      <c r="O274" s="68"/>
      <c r="P274" s="69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>
      <c r="A275" s="66"/>
      <c r="B275" s="67" t="s">
        <v>66</v>
      </c>
      <c r="J275" s="66"/>
      <c r="K275" s="66"/>
      <c r="L275" s="66"/>
      <c r="M275" s="82" t="str">
        <f>"тотал"&amp;" "&amp;B275&amp;" "&amp;Q275</f>
        <v>тотал ЯНВАРЬ </v>
      </c>
      <c r="N275" s="75"/>
      <c r="O275" s="75"/>
      <c r="P275" s="75"/>
      <c r="Q275" s="76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>
      <c r="A276" s="54"/>
      <c r="B276" s="189">
        <v>45669.0</v>
      </c>
      <c r="C276" s="189"/>
      <c r="D276" s="102"/>
      <c r="E276" s="186">
        <v>445209.0</v>
      </c>
      <c r="F276" s="177">
        <f>E276-E273</f>
        <v>856</v>
      </c>
      <c r="G276" s="101">
        <v>734.0</v>
      </c>
      <c r="H276" s="101">
        <v>355.0</v>
      </c>
      <c r="I276" s="101">
        <v>361.66</v>
      </c>
      <c r="J276" s="102">
        <f t="shared" ref="J276:J277" si="93">H276-I276</f>
        <v>-6.66</v>
      </c>
      <c r="K276" s="101">
        <f t="shared" ref="K276:K277" si="94">I276/F276*100</f>
        <v>42.25</v>
      </c>
      <c r="L276" s="54"/>
      <c r="M276" s="84" t="s">
        <v>70</v>
      </c>
      <c r="N276" s="84" t="s">
        <v>71</v>
      </c>
      <c r="O276" s="84" t="s">
        <v>27</v>
      </c>
      <c r="P276" s="77" t="s">
        <v>28</v>
      </c>
      <c r="Q276" s="12" t="s">
        <v>78</v>
      </c>
    </row>
    <row r="277">
      <c r="A277" s="54"/>
      <c r="B277" s="189">
        <v>45680.0</v>
      </c>
      <c r="C277" s="189"/>
      <c r="D277" s="102"/>
      <c r="E277" s="186">
        <v>446692.0</v>
      </c>
      <c r="F277" s="177">
        <f>E277-E276</f>
        <v>1483</v>
      </c>
      <c r="G277" s="101">
        <v>733.0</v>
      </c>
      <c r="H277" s="101">
        <v>627.0</v>
      </c>
      <c r="I277" s="101">
        <v>633.8</v>
      </c>
      <c r="J277" s="102">
        <f t="shared" si="93"/>
        <v>-6.8</v>
      </c>
      <c r="K277" s="192">
        <f t="shared" si="94"/>
        <v>42.73769386</v>
      </c>
      <c r="L277" s="54"/>
      <c r="M277" s="84">
        <f>SUM(F276:F277)</f>
        <v>2339</v>
      </c>
      <c r="N277" s="84">
        <f>SUM(I276:I277)</f>
        <v>995.46</v>
      </c>
      <c r="O277" s="85">
        <f>N277/M277*100</f>
        <v>42.55921334</v>
      </c>
      <c r="P277" s="79">
        <f>(M277/100)*(O277-Q277)</f>
        <v>270.37</v>
      </c>
      <c r="Q277" s="78">
        <v>31.0</v>
      </c>
    </row>
    <row r="278">
      <c r="A278" s="87" t="s">
        <v>77</v>
      </c>
      <c r="B278" s="88" t="str">
        <f>IF(L278=4,"АПРЕЛЬ",IF(L278=5,"МАЙ",IF(L278=1,"ЯНВАРЬ",IF(L278=2,"ФЕВРАЛЬ",IF(L278=3,"МАРТ",IF(L278=6,"ИЮНЬ",IF(L278=7,"ИЮЛЬ",IF(L278=8,"АВГУСТ",IF(L278=9,"СЕНТЯБРЬ",IF(L278=10,"ОКТЯБРЬ",IF(L278=11,"НОЯБРЬ",IF(L278=12,"ДЕКАБРЬ"))))))))))))</f>
        <v>ФЕВРАЛЬ</v>
      </c>
      <c r="J278" s="89"/>
      <c r="K278" s="90"/>
      <c r="L278" s="91">
        <f>MONTH(B279)</f>
        <v>2</v>
      </c>
      <c r="M278" s="89"/>
      <c r="N278" s="89"/>
      <c r="O278" s="89"/>
      <c r="P278" s="93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</row>
    <row r="279">
      <c r="A279" s="54"/>
      <c r="B279" s="189">
        <v>45690.0</v>
      </c>
      <c r="C279" s="189"/>
      <c r="D279" s="102"/>
      <c r="E279" s="186">
        <v>448060.0</v>
      </c>
      <c r="F279" s="177">
        <f>E279-E277</f>
        <v>1368</v>
      </c>
      <c r="G279" s="101">
        <v>732.0</v>
      </c>
      <c r="H279" s="101">
        <v>554.0</v>
      </c>
      <c r="I279" s="101">
        <v>563.73</v>
      </c>
      <c r="J279" s="102">
        <f t="shared" ref="J279:J281" si="95">H279-I279</f>
        <v>-9.73</v>
      </c>
      <c r="K279" s="103">
        <f t="shared" ref="K279:K281" si="96">I279/F279*100</f>
        <v>41.20833333</v>
      </c>
      <c r="L279" s="54"/>
      <c r="M279" s="82" t="str">
        <f>"тотал"&amp;" "&amp;B278&amp;" "&amp;Q279</f>
        <v>тотал ФЕВРАЛЬ </v>
      </c>
      <c r="N279" s="75"/>
      <c r="O279" s="75"/>
      <c r="P279" s="75"/>
      <c r="Q279" s="76"/>
    </row>
    <row r="280">
      <c r="A280" s="54"/>
      <c r="B280" s="189">
        <v>45703.0</v>
      </c>
      <c r="C280" s="189"/>
      <c r="D280" s="102"/>
      <c r="E280" s="186">
        <v>449594.0</v>
      </c>
      <c r="F280" s="177">
        <f t="shared" ref="F280:F281" si="97">E280-E279</f>
        <v>1534</v>
      </c>
      <c r="G280" s="101">
        <v>729.0</v>
      </c>
      <c r="H280" s="101">
        <v>647.0</v>
      </c>
      <c r="I280" s="101">
        <v>655.71</v>
      </c>
      <c r="J280" s="102">
        <f t="shared" si="95"/>
        <v>-8.71</v>
      </c>
      <c r="K280" s="103">
        <f t="shared" si="96"/>
        <v>42.74511082</v>
      </c>
      <c r="L280" s="54"/>
      <c r="M280" s="77" t="s">
        <v>70</v>
      </c>
      <c r="N280" s="77" t="s">
        <v>119</v>
      </c>
      <c r="O280" s="78" t="s">
        <v>27</v>
      </c>
      <c r="P280" s="77" t="s">
        <v>28</v>
      </c>
      <c r="Q280" s="12" t="s">
        <v>78</v>
      </c>
    </row>
    <row r="281">
      <c r="A281" s="54"/>
      <c r="B281" s="189">
        <v>45715.0</v>
      </c>
      <c r="C281" s="189"/>
      <c r="D281" s="102"/>
      <c r="E281" s="186">
        <v>451134.0</v>
      </c>
      <c r="F281" s="177">
        <f t="shared" si="97"/>
        <v>1540</v>
      </c>
      <c r="G281" s="101">
        <v>729.0</v>
      </c>
      <c r="H281" s="101">
        <v>639.0</v>
      </c>
      <c r="I281" s="101">
        <v>654.58</v>
      </c>
      <c r="J281" s="102">
        <f t="shared" si="95"/>
        <v>-15.58</v>
      </c>
      <c r="K281" s="103">
        <f t="shared" si="96"/>
        <v>42.50519481</v>
      </c>
      <c r="L281" s="54"/>
      <c r="M281" s="79">
        <f>SUM(F279:F281)</f>
        <v>4442</v>
      </c>
      <c r="N281" s="79">
        <f>SUM(I279:I281)</f>
        <v>1874.02</v>
      </c>
      <c r="O281" s="81">
        <f>N281/M281*100</f>
        <v>42.18865376</v>
      </c>
      <c r="P281" s="79">
        <f>(M281/100)*(O281-Q281)</f>
        <v>497</v>
      </c>
      <c r="Q281" s="78">
        <v>31.0</v>
      </c>
    </row>
    <row r="282">
      <c r="A282" s="87" t="s">
        <v>77</v>
      </c>
      <c r="B282" s="88" t="str">
        <f>IF(L282=4,"АПРЕЛЬ",IF(L282=5,"МАЙ",IF(L282=1,"ЯНВАРЬ",IF(L282=2,"ФЕВРАЛЬ",IF(L282=3,"МАРТ",IF(L282=6,"ИЮНЬ",IF(L282=7,"ИЮЛЬ",IF(L282=8,"АВГУСТ",IF(L282=9,"СЕНТЯБРЬ",IF(L282=10,"ОКТЯБРЬ",IF(L282=11,"НОЯБРЬ",IF(L282=12,"ДЕКАБРЬ"))))))))))))</f>
        <v>МАРТ</v>
      </c>
      <c r="J282" s="89"/>
      <c r="K282" s="90"/>
      <c r="L282" s="91">
        <f>MONTH(B283)</f>
        <v>3</v>
      </c>
      <c r="M282" s="89"/>
      <c r="N282" s="89"/>
      <c r="O282" s="89"/>
      <c r="P282" s="77" t="s">
        <v>28</v>
      </c>
      <c r="Q282" s="78" t="s">
        <v>78</v>
      </c>
      <c r="R282" s="89"/>
      <c r="S282" s="89"/>
      <c r="T282" s="89"/>
      <c r="U282" s="89"/>
      <c r="V282" s="89"/>
      <c r="W282" s="89"/>
      <c r="X282" s="89"/>
      <c r="Y282" s="89"/>
      <c r="Z282" s="89"/>
      <c r="AA282" s="89"/>
    </row>
    <row r="283">
      <c r="A283" s="54"/>
      <c r="B283" s="187">
        <v>45738.0</v>
      </c>
      <c r="C283" s="187"/>
      <c r="D283" s="102"/>
      <c r="E283" s="186">
        <v>452555.0</v>
      </c>
      <c r="F283" s="177">
        <f>E283-E281</f>
        <v>1421</v>
      </c>
      <c r="G283" s="101">
        <v>738.0</v>
      </c>
      <c r="H283" s="101">
        <v>523.0</v>
      </c>
      <c r="I283" s="101">
        <v>524.49</v>
      </c>
      <c r="J283" s="102">
        <f>H283-I283</f>
        <v>-1.49</v>
      </c>
      <c r="K283" s="103">
        <f>I283/F283*100</f>
        <v>36.90992259</v>
      </c>
      <c r="L283" s="54"/>
      <c r="M283" s="54"/>
      <c r="N283" s="54"/>
      <c r="P283" s="80">
        <f>F283/100*(K283-Q283)</f>
        <v>83.98</v>
      </c>
      <c r="Q283" s="78">
        <v>31.0</v>
      </c>
    </row>
    <row r="284">
      <c r="A284" s="87" t="s">
        <v>77</v>
      </c>
      <c r="B284" s="88" t="str">
        <f>IF(L284=4,"АПРЕЛЬ",IF(L284=5,"МАЙ",IF(L284=1,"ЯНВАРЬ",IF(L284=2,"ФЕВРАЛЬ",IF(L284=3,"МАРТ",IF(L284=6,"ИЮНЬ",IF(L284=7,"ИЮЛЬ",IF(L284=8,"АВГУСТ",IF(L284=9,"СЕНТЯБРЬ",IF(L284=10,"ОКТЯБРЬ",IF(L284=11,"НОЯБРЬ",IF(L284=12,"ДЕКАБРЬ"))))))))))))</f>
        <v>АПРЕЛЬ</v>
      </c>
      <c r="J284" s="89"/>
      <c r="K284" s="90"/>
      <c r="L284" s="91">
        <f>MONTH(B285)</f>
        <v>4</v>
      </c>
      <c r="M284" s="82" t="str">
        <f>"тотал"&amp;" "&amp;B284&amp;" "&amp;Q284</f>
        <v>тотал АПРЕЛЬ </v>
      </c>
      <c r="N284" s="75"/>
      <c r="O284" s="75"/>
      <c r="P284" s="75"/>
      <c r="Q284" s="76"/>
      <c r="R284" s="89"/>
      <c r="S284" s="89"/>
      <c r="T284" s="89"/>
      <c r="U284" s="89"/>
      <c r="V284" s="89"/>
      <c r="W284" s="89"/>
      <c r="X284" s="89"/>
      <c r="Y284" s="89"/>
      <c r="Z284" s="89"/>
      <c r="AA284" s="89"/>
    </row>
    <row r="285">
      <c r="A285" s="54"/>
      <c r="B285" s="187">
        <v>45750.0</v>
      </c>
      <c r="C285" s="187"/>
      <c r="D285" s="102"/>
      <c r="E285" s="186">
        <v>454240.0</v>
      </c>
      <c r="F285" s="177">
        <f>E285-E283</f>
        <v>1685</v>
      </c>
      <c r="G285" s="101">
        <v>741.0</v>
      </c>
      <c r="H285" s="101">
        <v>642.0</v>
      </c>
      <c r="I285" s="101">
        <v>640.0</v>
      </c>
      <c r="J285" s="102">
        <f t="shared" ref="J285:J286" si="98">H285-I285</f>
        <v>2</v>
      </c>
      <c r="K285" s="103">
        <f t="shared" ref="K285:K286" si="99">I285/F285*100</f>
        <v>37.98219585</v>
      </c>
      <c r="L285" s="54"/>
      <c r="M285" s="84" t="s">
        <v>70</v>
      </c>
      <c r="N285" s="84" t="s">
        <v>71</v>
      </c>
      <c r="O285" s="84" t="s">
        <v>27</v>
      </c>
      <c r="P285" s="77" t="s">
        <v>28</v>
      </c>
      <c r="Q285" s="12" t="s">
        <v>78</v>
      </c>
    </row>
    <row r="286">
      <c r="A286" s="54"/>
      <c r="B286" s="187">
        <v>45764.0</v>
      </c>
      <c r="C286" s="187"/>
      <c r="D286" s="102"/>
      <c r="E286" s="186">
        <v>456026.0</v>
      </c>
      <c r="F286" s="177">
        <f>E286-E285</f>
        <v>1786</v>
      </c>
      <c r="G286" s="101">
        <v>744.0</v>
      </c>
      <c r="H286" s="101">
        <v>620.0</v>
      </c>
      <c r="I286" s="101">
        <v>619.38</v>
      </c>
      <c r="J286" s="102">
        <f t="shared" si="98"/>
        <v>0.62</v>
      </c>
      <c r="K286" s="103">
        <f t="shared" si="99"/>
        <v>34.67973124</v>
      </c>
      <c r="L286" s="54"/>
      <c r="M286" s="84">
        <f>SUM(F285:F286)</f>
        <v>3471</v>
      </c>
      <c r="N286" s="84">
        <f>SUM(I285:I286)</f>
        <v>1259.38</v>
      </c>
      <c r="O286" s="85">
        <f>N286/M286*100</f>
        <v>36.28291559</v>
      </c>
      <c r="P286" s="79">
        <f>(M286/100)*(O286-Q286)</f>
        <v>183.37</v>
      </c>
      <c r="Q286" s="78">
        <v>31.0</v>
      </c>
    </row>
    <row r="287">
      <c r="A287" s="87" t="s">
        <v>77</v>
      </c>
      <c r="B287" s="88" t="str">
        <f>IF(L287=4,"АПРЕЛЬ",IF(L287=5,"МАЙ",IF(L287=1,"ЯНВАРЬ",IF(L287=2,"ФЕВРАЛЬ",IF(L287=3,"МАРТ",IF(L287=6,"ИЮНЬ",IF(L287=7,"ИЮЛЬ",IF(L287=8,"АВГУСТ",IF(L287=9,"СЕНТЯБРЬ",IF(L287=10,"ОКТЯБРЬ",IF(L287=11,"НОЯБРЬ",IF(L287=12,"ДЕКАБРЬ"))))))))))))</f>
        <v>МАЙ</v>
      </c>
      <c r="J287" s="89"/>
      <c r="K287" s="90"/>
      <c r="L287" s="91">
        <f>MONTH(B288)</f>
        <v>5</v>
      </c>
      <c r="M287" s="193"/>
      <c r="N287" s="193"/>
      <c r="O287" s="193"/>
      <c r="P287" s="77" t="s">
        <v>28</v>
      </c>
      <c r="Q287" s="78" t="s">
        <v>78</v>
      </c>
      <c r="R287" s="89"/>
      <c r="S287" s="89"/>
      <c r="T287" s="89"/>
      <c r="U287" s="89"/>
      <c r="V287" s="89"/>
      <c r="W287" s="89"/>
      <c r="X287" s="89"/>
      <c r="Y287" s="89"/>
      <c r="Z287" s="89"/>
      <c r="AA287" s="89"/>
    </row>
    <row r="288">
      <c r="A288" s="54"/>
      <c r="B288" s="187">
        <v>45797.0</v>
      </c>
      <c r="C288" s="101" t="s">
        <v>120</v>
      </c>
      <c r="D288" s="101" t="s">
        <v>111</v>
      </c>
      <c r="E288" s="186">
        <v>457813.0</v>
      </c>
      <c r="F288" s="177">
        <f>E288-E286</f>
        <v>1787</v>
      </c>
      <c r="G288" s="101">
        <v>744.0</v>
      </c>
      <c r="H288" s="101">
        <v>582.0</v>
      </c>
      <c r="I288" s="101">
        <v>585.81</v>
      </c>
      <c r="J288" s="102">
        <f>I288-H288</f>
        <v>3.81</v>
      </c>
      <c r="K288" s="103">
        <f>I288/F288*100</f>
        <v>32.78175713</v>
      </c>
      <c r="L288" s="54"/>
      <c r="M288" s="194"/>
      <c r="N288" s="194"/>
      <c r="O288" s="194"/>
      <c r="P288" s="80">
        <f>F288/100*(K288-Q288)</f>
        <v>31.84</v>
      </c>
      <c r="Q288" s="78">
        <v>31.0</v>
      </c>
    </row>
    <row r="289">
      <c r="A289" s="87" t="s">
        <v>77</v>
      </c>
      <c r="B289" s="88" t="str">
        <f>IF(L289=4,"АПРЕЛЬ",IF(L289=5,"МАЙ",IF(L289=1,"ЯНВАРЬ",IF(L289=2,"ФЕВРАЛЬ",IF(L289=3,"МАРТ",IF(L289=6,"ИЮНЬ",IF(L289=7,"ИЮЛЬ",IF(L289=8,"АВГУСТ",IF(L289=9,"СЕНТЯБРЬ",IF(L289=10,"ОКТЯБРЬ",IF(L289=11,"НОЯБРЬ",IF(L289=12,"ДЕКАБРЬ"))))))))))))</f>
        <v>ИЮНЬ</v>
      </c>
      <c r="J289" s="89"/>
      <c r="K289" s="90"/>
      <c r="L289" s="91">
        <f>MONTH(B290)</f>
        <v>6</v>
      </c>
      <c r="M289" s="68"/>
      <c r="N289" s="68"/>
      <c r="O289" s="68"/>
      <c r="P289" s="68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</row>
    <row r="290">
      <c r="A290" s="54"/>
      <c r="B290" s="187">
        <v>45811.0</v>
      </c>
      <c r="C290" s="101" t="s">
        <v>120</v>
      </c>
      <c r="D290" s="101" t="s">
        <v>111</v>
      </c>
      <c r="E290" s="186">
        <v>459839.0</v>
      </c>
      <c r="F290" s="177">
        <f>E290-E288</f>
        <v>2026</v>
      </c>
      <c r="G290" s="101">
        <v>740.0</v>
      </c>
      <c r="H290" s="101">
        <v>647.0</v>
      </c>
      <c r="I290" s="101">
        <v>650.04</v>
      </c>
      <c r="J290" s="102">
        <f t="shared" ref="J290:J293" si="100">H290-I290</f>
        <v>-3.04</v>
      </c>
      <c r="K290" s="103">
        <f t="shared" ref="K290:K293" si="101">I290/F290*100</f>
        <v>32.08489635</v>
      </c>
      <c r="L290" s="54"/>
      <c r="M290" s="82" t="str">
        <f>"тотал"&amp;" "&amp;B289&amp;" "&amp;RIGHT(YEAR(B290),2)</f>
        <v>тотал ИЮНЬ 25</v>
      </c>
      <c r="N290" s="75"/>
      <c r="O290" s="75"/>
      <c r="P290" s="75"/>
      <c r="Q290" s="76"/>
    </row>
    <row r="291">
      <c r="A291" s="54"/>
      <c r="B291" s="187">
        <v>45828.0</v>
      </c>
      <c r="C291" s="101" t="s">
        <v>120</v>
      </c>
      <c r="D291" s="101" t="s">
        <v>111</v>
      </c>
      <c r="E291" s="186">
        <v>461730.0</v>
      </c>
      <c r="F291" s="177">
        <f t="shared" ref="F291:F293" si="102">E291-E290</f>
        <v>1891</v>
      </c>
      <c r="G291" s="101">
        <v>744.0</v>
      </c>
      <c r="H291" s="101">
        <v>642.0</v>
      </c>
      <c r="I291" s="101">
        <v>650.19</v>
      </c>
      <c r="J291" s="102">
        <f t="shared" si="100"/>
        <v>-8.19</v>
      </c>
      <c r="K291" s="103">
        <f t="shared" si="101"/>
        <v>34.38339503</v>
      </c>
      <c r="L291" s="54"/>
      <c r="M291" s="84" t="s">
        <v>70</v>
      </c>
      <c r="N291" s="84" t="s">
        <v>71</v>
      </c>
      <c r="O291" s="84" t="s">
        <v>27</v>
      </c>
      <c r="P291" s="77" t="s">
        <v>28</v>
      </c>
      <c r="Q291" s="12" t="s">
        <v>78</v>
      </c>
    </row>
    <row r="292">
      <c r="A292" s="54"/>
      <c r="B292" s="187">
        <v>45836.0</v>
      </c>
      <c r="C292" s="101" t="s">
        <v>121</v>
      </c>
      <c r="D292" s="101" t="s">
        <v>111</v>
      </c>
      <c r="E292" s="186">
        <v>463016.0</v>
      </c>
      <c r="F292" s="177">
        <f t="shared" si="102"/>
        <v>1286</v>
      </c>
      <c r="G292" s="101">
        <v>730.0</v>
      </c>
      <c r="H292" s="101">
        <v>399.0</v>
      </c>
      <c r="I292" s="101">
        <v>400.0</v>
      </c>
      <c r="J292" s="102">
        <f t="shared" si="100"/>
        <v>-1</v>
      </c>
      <c r="K292" s="103">
        <f t="shared" si="101"/>
        <v>31.10419907</v>
      </c>
      <c r="L292" s="54"/>
      <c r="M292" s="84">
        <f>SUM(F290:F293)</f>
        <v>6141</v>
      </c>
      <c r="N292" s="84">
        <f>SUM(I290:I293)</f>
        <v>2000.63</v>
      </c>
      <c r="O292" s="85">
        <f>N292/M292*100</f>
        <v>32.57824459</v>
      </c>
      <c r="P292" s="79">
        <f>(M292/100)*(O292-Q292)</f>
        <v>96.92</v>
      </c>
      <c r="Q292" s="78">
        <v>31.0</v>
      </c>
    </row>
    <row r="293">
      <c r="A293" s="54"/>
      <c r="B293" s="187">
        <v>45838.0</v>
      </c>
      <c r="C293" s="101" t="s">
        <v>121</v>
      </c>
      <c r="D293" s="101" t="s">
        <v>111</v>
      </c>
      <c r="E293" s="186">
        <v>463954.0</v>
      </c>
      <c r="F293" s="177">
        <f t="shared" si="102"/>
        <v>938</v>
      </c>
      <c r="G293" s="101">
        <v>742.0</v>
      </c>
      <c r="H293" s="101">
        <v>291.0</v>
      </c>
      <c r="I293" s="101">
        <v>300.4</v>
      </c>
      <c r="J293" s="102">
        <f t="shared" si="100"/>
        <v>-9.4</v>
      </c>
      <c r="K293" s="103">
        <f t="shared" si="101"/>
        <v>32.02558635</v>
      </c>
      <c r="L293" s="54"/>
      <c r="M293" s="54"/>
      <c r="N293" s="54"/>
      <c r="P293" s="44"/>
    </row>
    <row r="294">
      <c r="A294" s="87" t="s">
        <v>77</v>
      </c>
      <c r="B294" s="88" t="str">
        <f>IF(L294=4,"АПРЕЛЬ",IF(L294=5,"МАЙ",IF(L294=1,"ЯНВАРЬ",IF(L294=2,"ФЕВРАЛЬ",IF(L294=3,"МАРТ",IF(L294=6,"ИЮНЬ",IF(L294=7,"ИЮЛЬ",IF(L294=8,"АВГУСТ",IF(L294=9,"СЕНТЯБРЬ",IF(L294=10,"ОКТЯБРЬ",IF(L294=11,"НОЯБРЬ",IF(L294=12,"ДЕКАБРЬ"))))))))))))</f>
        <v>ИЮЛЬ</v>
      </c>
      <c r="J294" s="89"/>
      <c r="K294" s="90"/>
      <c r="L294" s="91">
        <f>MONTH(B295)</f>
        <v>7</v>
      </c>
      <c r="M294" s="68"/>
      <c r="N294" s="68"/>
      <c r="O294" s="68"/>
      <c r="P294" s="68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</row>
    <row r="295">
      <c r="A295" s="54"/>
      <c r="B295" s="187">
        <v>45854.0</v>
      </c>
      <c r="C295" s="101" t="s">
        <v>120</v>
      </c>
      <c r="D295" s="101" t="s">
        <v>122</v>
      </c>
      <c r="E295" s="186">
        <v>465930.0</v>
      </c>
      <c r="F295" s="177">
        <f>E295-E293</f>
        <v>1976</v>
      </c>
      <c r="G295" s="101">
        <v>742.0</v>
      </c>
      <c r="H295" s="101">
        <v>643.0</v>
      </c>
      <c r="I295" s="101">
        <v>655.78</v>
      </c>
      <c r="J295" s="102">
        <f t="shared" ref="J295:J296" si="103">H295-I295</f>
        <v>-12.78</v>
      </c>
      <c r="K295" s="103">
        <f t="shared" ref="K295:K296" si="104">I295/F295*100</f>
        <v>33.18724696</v>
      </c>
      <c r="L295" s="54"/>
      <c r="M295" s="82" t="str">
        <f>"тотал"&amp;" "&amp;B294&amp;" "&amp;RIGHT(YEAR(B295),2)</f>
        <v>тотал ИЮЛЬ 25</v>
      </c>
      <c r="N295" s="75"/>
      <c r="O295" s="75"/>
      <c r="P295" s="75"/>
      <c r="Q295" s="76"/>
    </row>
    <row r="296">
      <c r="A296" s="54"/>
      <c r="B296" s="187">
        <v>45863.0</v>
      </c>
      <c r="C296" s="101" t="s">
        <v>120</v>
      </c>
      <c r="D296" s="101" t="s">
        <v>122</v>
      </c>
      <c r="E296" s="186">
        <v>467147.0</v>
      </c>
      <c r="F296" s="177">
        <f>E296-E295</f>
        <v>1217</v>
      </c>
      <c r="G296" s="101">
        <v>723.0</v>
      </c>
      <c r="H296" s="101">
        <v>352.0</v>
      </c>
      <c r="I296" s="101">
        <v>369.91</v>
      </c>
      <c r="J296" s="102">
        <f t="shared" si="103"/>
        <v>-17.91</v>
      </c>
      <c r="K296" s="103">
        <f t="shared" si="104"/>
        <v>30.39523418</v>
      </c>
      <c r="L296" s="54"/>
      <c r="M296" s="84" t="s">
        <v>70</v>
      </c>
      <c r="N296" s="84" t="s">
        <v>71</v>
      </c>
      <c r="O296" s="84" t="s">
        <v>27</v>
      </c>
      <c r="P296" s="77" t="s">
        <v>28</v>
      </c>
      <c r="Q296" s="12" t="s">
        <v>78</v>
      </c>
    </row>
    <row r="297">
      <c r="A297" s="54"/>
      <c r="B297" s="102"/>
      <c r="C297" s="102"/>
      <c r="D297" s="102"/>
      <c r="E297" s="177"/>
      <c r="F297" s="177"/>
      <c r="G297" s="102"/>
      <c r="H297" s="102"/>
      <c r="I297" s="102"/>
      <c r="J297" s="102"/>
      <c r="K297" s="102"/>
      <c r="L297" s="54"/>
      <c r="M297" s="84">
        <f>SUM(F295:F296)</f>
        <v>3193</v>
      </c>
      <c r="N297" s="84">
        <f>SUM(I295:I296)</f>
        <v>1025.69</v>
      </c>
      <c r="O297" s="85">
        <f>N297/M297*100</f>
        <v>32.12308174</v>
      </c>
      <c r="P297" s="79">
        <f>(M297/100)*(O297-Q297)</f>
        <v>35.86</v>
      </c>
      <c r="Q297" s="78">
        <v>31.0</v>
      </c>
    </row>
    <row r="298">
      <c r="A298" s="87" t="s">
        <v>77</v>
      </c>
      <c r="B298" s="88" t="str">
        <f>IF(L298=4,"АПРЕЛЬ",IF(L298=5,"МАЙ",IF(L298=1,"ЯНВАРЬ",IF(L298=2,"ФЕВРАЛЬ",IF(L298=3,"МАРТ",IF(L298=6,"ИЮНЬ",IF(L298=7,"ИЮЛЬ",IF(L298=8,"АВГУСТ",IF(L298=9,"СЕНТЯБРЬ",IF(L298=10,"ОКТЯБРЬ",IF(L298=11,"НОЯБРЬ",IF(L298=12,"ДЕКАБРЬ"))))))))))))</f>
        <v>АВГУСТ</v>
      </c>
      <c r="J298" s="89"/>
      <c r="K298" s="90"/>
      <c r="L298" s="91">
        <f>MONTH(B299)</f>
        <v>8</v>
      </c>
      <c r="M298" s="68"/>
      <c r="N298" s="68"/>
      <c r="O298" s="68"/>
      <c r="P298" s="68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</row>
    <row r="299">
      <c r="A299" s="54"/>
      <c r="B299" s="187">
        <v>45876.0</v>
      </c>
      <c r="C299" s="101" t="s">
        <v>120</v>
      </c>
      <c r="D299" s="101" t="s">
        <v>111</v>
      </c>
      <c r="E299" s="186">
        <v>468968.0</v>
      </c>
      <c r="F299" s="177">
        <f>E299-E296</f>
        <v>1821</v>
      </c>
      <c r="G299" s="101">
        <v>742.0</v>
      </c>
      <c r="H299" s="101">
        <v>595.0</v>
      </c>
      <c r="I299" s="101">
        <v>595.23</v>
      </c>
      <c r="J299" s="102">
        <f t="shared" ref="J299:J300" si="105">H299-I299</f>
        <v>-0.23</v>
      </c>
      <c r="K299" s="103">
        <f t="shared" ref="K299:K300" si="106">I299/F299*100</f>
        <v>32.68698517</v>
      </c>
      <c r="L299" s="54"/>
      <c r="M299" s="82" t="str">
        <f>"тотал"&amp;" "&amp;B298&amp;" "&amp;RIGHT(YEAR(B299),2)</f>
        <v>тотал АВГУСТ 25</v>
      </c>
      <c r="N299" s="75"/>
      <c r="O299" s="75"/>
      <c r="P299" s="75"/>
      <c r="Q299" s="76"/>
    </row>
    <row r="300">
      <c r="A300" s="54"/>
      <c r="B300" s="187">
        <v>45900.0</v>
      </c>
      <c r="C300" s="101" t="s">
        <v>123</v>
      </c>
      <c r="D300" s="101" t="s">
        <v>124</v>
      </c>
      <c r="E300" s="186">
        <v>470551.0</v>
      </c>
      <c r="F300" s="177">
        <f>E300-E299</f>
        <v>1583</v>
      </c>
      <c r="G300" s="101">
        <v>690.0</v>
      </c>
      <c r="H300" s="101">
        <v>510.0</v>
      </c>
      <c r="I300" s="101">
        <v>500.0</v>
      </c>
      <c r="J300" s="102">
        <f t="shared" si="105"/>
        <v>10</v>
      </c>
      <c r="K300" s="103">
        <f t="shared" si="106"/>
        <v>31.58559697</v>
      </c>
      <c r="L300" s="54"/>
      <c r="M300" s="84" t="s">
        <v>70</v>
      </c>
      <c r="N300" s="84" t="s">
        <v>71</v>
      </c>
      <c r="O300" s="84" t="s">
        <v>27</v>
      </c>
      <c r="P300" s="77" t="s">
        <v>28</v>
      </c>
      <c r="Q300" s="12" t="s">
        <v>78</v>
      </c>
    </row>
    <row r="301">
      <c r="A301" s="54"/>
      <c r="B301" s="102"/>
      <c r="C301" s="102"/>
      <c r="D301" s="102"/>
      <c r="E301" s="177"/>
      <c r="F301" s="177"/>
      <c r="G301" s="102"/>
      <c r="H301" s="102"/>
      <c r="I301" s="102"/>
      <c r="J301" s="102"/>
      <c r="K301" s="102"/>
      <c r="L301" s="54"/>
      <c r="M301" s="84">
        <f>SUM(F299:F300)</f>
        <v>3404</v>
      </c>
      <c r="N301" s="84">
        <f>SUM(I299:I300)</f>
        <v>1095.23</v>
      </c>
      <c r="O301" s="85">
        <f>N301/M301*100</f>
        <v>32.17479436</v>
      </c>
      <c r="P301" s="79">
        <f>(M301/100)*(O301-Q301)</f>
        <v>91.05</v>
      </c>
      <c r="Q301" s="78">
        <v>29.5</v>
      </c>
    </row>
    <row r="302">
      <c r="A302" s="87" t="s">
        <v>77</v>
      </c>
      <c r="B302" s="88" t="str">
        <f>IF(L302=4,"АПРЕЛЬ",IF(L302=5,"МАЙ",IF(L302=1,"ЯНВАРЬ",IF(L302=2,"ФЕВРАЛЬ",IF(L302=3,"МАРТ",IF(L302=6,"ИЮНЬ",IF(L302=7,"ИЮЛЬ",IF(L302=8,"АВГУСТ",IF(L302=9,"СЕНТЯБРЬ",IF(L302=10,"ОКТЯБРЬ",IF(L302=11,"НОЯБРЬ",IF(L302=12,"ДЕКАБРЬ"))))))))))))</f>
        <v>СЕНТЯБРЬ</v>
      </c>
      <c r="J302" s="89"/>
      <c r="K302" s="90"/>
      <c r="L302" s="91">
        <f>MONTH(B303)</f>
        <v>9</v>
      </c>
      <c r="M302" s="68"/>
      <c r="N302" s="68"/>
      <c r="O302" s="68"/>
      <c r="P302" s="68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</row>
    <row r="303">
      <c r="A303" s="54"/>
      <c r="B303" s="187">
        <v>45901.0</v>
      </c>
      <c r="C303" s="101" t="s">
        <v>123</v>
      </c>
      <c r="D303" s="101" t="s">
        <v>124</v>
      </c>
      <c r="E303" s="186">
        <v>471466.0</v>
      </c>
      <c r="F303" s="177">
        <f>E303-E300</f>
        <v>915</v>
      </c>
      <c r="G303" s="101">
        <v>742.0</v>
      </c>
      <c r="H303" s="101">
        <v>400.0</v>
      </c>
      <c r="I303" s="101">
        <v>405.02</v>
      </c>
      <c r="J303" s="102">
        <f t="shared" ref="J303:J314" si="107">H303-I303</f>
        <v>-5.02</v>
      </c>
      <c r="K303" s="103">
        <f t="shared" ref="K303:K314" si="108">I303/F303*100</f>
        <v>44.26448087</v>
      </c>
      <c r="L303" s="54"/>
      <c r="M303" s="82" t="str">
        <f>"тотал"&amp;" "&amp;B302&amp;" "&amp;RIGHT(YEAR(B303),2)</f>
        <v>тотал СЕНТЯБРЬ 25</v>
      </c>
      <c r="N303" s="75"/>
      <c r="O303" s="75"/>
      <c r="P303" s="75"/>
      <c r="Q303" s="76"/>
    </row>
    <row r="304">
      <c r="A304" s="54"/>
      <c r="B304" s="187">
        <v>45903.0</v>
      </c>
      <c r="C304" s="101" t="s">
        <v>123</v>
      </c>
      <c r="D304" s="101" t="s">
        <v>124</v>
      </c>
      <c r="E304" s="186">
        <v>472274.0</v>
      </c>
      <c r="F304" s="177">
        <f t="shared" ref="F304:F314" si="109">E304-E303</f>
        <v>808</v>
      </c>
      <c r="G304" s="101">
        <v>715.0</v>
      </c>
      <c r="H304" s="101">
        <v>245.0</v>
      </c>
      <c r="I304" s="101">
        <v>242.89</v>
      </c>
      <c r="J304" s="102">
        <f t="shared" si="107"/>
        <v>2.11</v>
      </c>
      <c r="K304" s="103">
        <f t="shared" si="108"/>
        <v>30.06064356</v>
      </c>
      <c r="L304" s="54"/>
      <c r="M304" s="84" t="s">
        <v>70</v>
      </c>
      <c r="N304" s="84" t="s">
        <v>71</v>
      </c>
      <c r="O304" s="84" t="s">
        <v>27</v>
      </c>
      <c r="P304" s="77" t="s">
        <v>28</v>
      </c>
      <c r="Q304" s="12" t="s">
        <v>78</v>
      </c>
    </row>
    <row r="305">
      <c r="A305" s="54"/>
      <c r="B305" s="187">
        <v>45904.0</v>
      </c>
      <c r="C305" s="101" t="s">
        <v>125</v>
      </c>
      <c r="D305" s="101" t="s">
        <v>124</v>
      </c>
      <c r="E305" s="186">
        <v>473105.0</v>
      </c>
      <c r="F305" s="177">
        <f t="shared" si="109"/>
        <v>831</v>
      </c>
      <c r="G305" s="101">
        <v>742.0</v>
      </c>
      <c r="H305" s="101">
        <v>343.0</v>
      </c>
      <c r="I305" s="101">
        <v>347.07</v>
      </c>
      <c r="J305" s="102">
        <f t="shared" si="107"/>
        <v>-4.07</v>
      </c>
      <c r="K305" s="103">
        <f t="shared" si="108"/>
        <v>41.76534296</v>
      </c>
      <c r="L305" s="54"/>
      <c r="M305" s="84">
        <f>SUM(F303:F314)</f>
        <v>13214</v>
      </c>
      <c r="N305" s="84">
        <f>SUM(I303:I314)</f>
        <v>4400.06</v>
      </c>
      <c r="O305" s="85">
        <f>N305/M305*100</f>
        <v>33.29847132</v>
      </c>
      <c r="P305" s="79">
        <f>(M305/100)*(O305-Q305)</f>
        <v>620.856</v>
      </c>
      <c r="Q305" s="78">
        <v>28.6</v>
      </c>
    </row>
    <row r="306">
      <c r="A306" s="54"/>
      <c r="B306" s="187">
        <v>45907.0</v>
      </c>
      <c r="C306" s="101" t="s">
        <v>126</v>
      </c>
      <c r="D306" s="101" t="s">
        <v>124</v>
      </c>
      <c r="E306" s="186">
        <v>474358.0</v>
      </c>
      <c r="F306" s="177">
        <f t="shared" si="109"/>
        <v>1253</v>
      </c>
      <c r="G306" s="101">
        <v>743.0</v>
      </c>
      <c r="H306" s="101">
        <v>392.0</v>
      </c>
      <c r="I306" s="101">
        <v>396.83</v>
      </c>
      <c r="J306" s="102">
        <f t="shared" si="107"/>
        <v>-4.83</v>
      </c>
      <c r="K306" s="103">
        <f t="shared" si="108"/>
        <v>31.67039106</v>
      </c>
      <c r="L306" s="54"/>
      <c r="M306" s="54"/>
      <c r="N306" s="54"/>
      <c r="P306" s="44"/>
    </row>
    <row r="307">
      <c r="A307" s="54"/>
      <c r="B307" s="187">
        <v>45909.0</v>
      </c>
      <c r="C307" s="101" t="s">
        <v>123</v>
      </c>
      <c r="D307" s="101" t="s">
        <v>124</v>
      </c>
      <c r="E307" s="186">
        <v>475189.0</v>
      </c>
      <c r="F307" s="177">
        <f t="shared" si="109"/>
        <v>831</v>
      </c>
      <c r="G307" s="101">
        <v>742.0</v>
      </c>
      <c r="H307" s="101">
        <v>285.0</v>
      </c>
      <c r="I307" s="101">
        <v>290.39</v>
      </c>
      <c r="J307" s="102">
        <f t="shared" si="107"/>
        <v>-5.39</v>
      </c>
      <c r="K307" s="103">
        <f t="shared" si="108"/>
        <v>34.94464501</v>
      </c>
      <c r="L307" s="54"/>
      <c r="M307" s="54"/>
      <c r="N307" s="54"/>
      <c r="P307" s="44"/>
    </row>
    <row r="308">
      <c r="A308" s="54"/>
      <c r="B308" s="187">
        <v>45913.0</v>
      </c>
      <c r="C308" s="101" t="s">
        <v>127</v>
      </c>
      <c r="D308" s="101" t="s">
        <v>124</v>
      </c>
      <c r="E308" s="186">
        <v>476477.0</v>
      </c>
      <c r="F308" s="177">
        <f t="shared" si="109"/>
        <v>1288</v>
      </c>
      <c r="G308" s="101">
        <v>743.0</v>
      </c>
      <c r="H308" s="101">
        <v>420.0</v>
      </c>
      <c r="I308" s="101">
        <v>427.24</v>
      </c>
      <c r="J308" s="102">
        <f t="shared" si="107"/>
        <v>-7.24</v>
      </c>
      <c r="K308" s="103">
        <f t="shared" si="108"/>
        <v>33.17080745</v>
      </c>
      <c r="L308" s="54"/>
      <c r="M308" s="54"/>
      <c r="N308" s="54"/>
      <c r="P308" s="44"/>
    </row>
    <row r="309">
      <c r="A309" s="54"/>
      <c r="B309" s="187">
        <v>45914.0</v>
      </c>
      <c r="C309" s="101" t="s">
        <v>127</v>
      </c>
      <c r="D309" s="101" t="s">
        <v>124</v>
      </c>
      <c r="E309" s="186">
        <v>477715.0</v>
      </c>
      <c r="F309" s="177">
        <f t="shared" si="109"/>
        <v>1238</v>
      </c>
      <c r="G309" s="101">
        <v>743.0</v>
      </c>
      <c r="H309" s="101">
        <v>389.0</v>
      </c>
      <c r="I309" s="101">
        <v>397.28</v>
      </c>
      <c r="J309" s="102">
        <f t="shared" si="107"/>
        <v>-8.28</v>
      </c>
      <c r="K309" s="103">
        <f t="shared" si="108"/>
        <v>32.0904685</v>
      </c>
      <c r="L309" s="54"/>
      <c r="M309" s="54"/>
      <c r="N309" s="54"/>
      <c r="P309" s="44"/>
    </row>
    <row r="310">
      <c r="A310" s="54"/>
      <c r="B310" s="187">
        <v>45915.0</v>
      </c>
      <c r="C310" s="101" t="s">
        <v>127</v>
      </c>
      <c r="D310" s="101" t="s">
        <v>124</v>
      </c>
      <c r="E310" s="186">
        <v>478576.0</v>
      </c>
      <c r="F310" s="177">
        <f t="shared" si="109"/>
        <v>861</v>
      </c>
      <c r="G310" s="101">
        <v>738.0</v>
      </c>
      <c r="H310" s="101">
        <v>269.0</v>
      </c>
      <c r="I310" s="101">
        <v>269.08</v>
      </c>
      <c r="J310" s="102">
        <f t="shared" si="107"/>
        <v>-0.08</v>
      </c>
      <c r="K310" s="103">
        <f t="shared" si="108"/>
        <v>31.25203252</v>
      </c>
      <c r="L310" s="54"/>
      <c r="M310" s="54"/>
      <c r="N310" s="54"/>
      <c r="P310" s="44"/>
    </row>
    <row r="311">
      <c r="A311" s="54"/>
      <c r="B311" s="187">
        <v>45920.0</v>
      </c>
      <c r="C311" s="101" t="s">
        <v>127</v>
      </c>
      <c r="D311" s="101" t="s">
        <v>124</v>
      </c>
      <c r="E311" s="186">
        <v>480202.0</v>
      </c>
      <c r="F311" s="177">
        <f t="shared" si="109"/>
        <v>1626</v>
      </c>
      <c r="G311" s="101">
        <v>736.0</v>
      </c>
      <c r="H311" s="101">
        <v>503.0</v>
      </c>
      <c r="I311" s="101">
        <v>500.0</v>
      </c>
      <c r="J311" s="102">
        <f t="shared" si="107"/>
        <v>3</v>
      </c>
      <c r="K311" s="103">
        <f t="shared" si="108"/>
        <v>30.7503075</v>
      </c>
      <c r="L311" s="54"/>
      <c r="M311" s="54"/>
      <c r="N311" s="54"/>
      <c r="P311" s="44"/>
    </row>
    <row r="312">
      <c r="A312" s="54"/>
      <c r="B312" s="187">
        <v>45922.0</v>
      </c>
      <c r="C312" s="101" t="s">
        <v>127</v>
      </c>
      <c r="D312" s="101" t="s">
        <v>124</v>
      </c>
      <c r="E312" s="186">
        <v>481417.0</v>
      </c>
      <c r="F312" s="177">
        <f t="shared" si="109"/>
        <v>1215</v>
      </c>
      <c r="G312" s="101">
        <v>744.0</v>
      </c>
      <c r="H312" s="101">
        <v>375.0</v>
      </c>
      <c r="I312" s="101">
        <v>382.09</v>
      </c>
      <c r="J312" s="102">
        <f t="shared" si="107"/>
        <v>-7.09</v>
      </c>
      <c r="K312" s="103">
        <f t="shared" si="108"/>
        <v>31.44773663</v>
      </c>
      <c r="L312" s="54"/>
      <c r="M312" s="54"/>
      <c r="N312" s="54"/>
      <c r="P312" s="44"/>
    </row>
    <row r="313">
      <c r="A313" s="54"/>
      <c r="B313" s="187">
        <v>45927.0</v>
      </c>
      <c r="C313" s="101" t="s">
        <v>126</v>
      </c>
      <c r="D313" s="101" t="s">
        <v>124</v>
      </c>
      <c r="E313" s="186">
        <v>482548.0</v>
      </c>
      <c r="F313" s="177">
        <f t="shared" si="109"/>
        <v>1131</v>
      </c>
      <c r="G313" s="101">
        <v>744.0</v>
      </c>
      <c r="H313" s="101">
        <v>362.0</v>
      </c>
      <c r="I313" s="101">
        <v>370.0</v>
      </c>
      <c r="J313" s="102">
        <f t="shared" si="107"/>
        <v>-8</v>
      </c>
      <c r="K313" s="103">
        <f t="shared" si="108"/>
        <v>32.71441202</v>
      </c>
      <c r="L313" s="54"/>
      <c r="M313" s="54"/>
      <c r="N313" s="54"/>
      <c r="P313" s="44"/>
    </row>
    <row r="314">
      <c r="A314" s="54"/>
      <c r="B314" s="187">
        <v>45929.0</v>
      </c>
      <c r="C314" s="101" t="s">
        <v>127</v>
      </c>
      <c r="D314" s="101" t="s">
        <v>124</v>
      </c>
      <c r="E314" s="186">
        <v>483765.0</v>
      </c>
      <c r="F314" s="177">
        <f t="shared" si="109"/>
        <v>1217</v>
      </c>
      <c r="G314" s="101">
        <v>743.0</v>
      </c>
      <c r="H314" s="101">
        <v>366.0</v>
      </c>
      <c r="I314" s="101">
        <v>372.17</v>
      </c>
      <c r="J314" s="102">
        <f t="shared" si="107"/>
        <v>-6.17</v>
      </c>
      <c r="K314" s="103">
        <f t="shared" si="108"/>
        <v>30.58093673</v>
      </c>
      <c r="L314" s="54"/>
      <c r="M314" s="54"/>
      <c r="N314" s="54"/>
      <c r="P314" s="44"/>
    </row>
    <row r="315">
      <c r="A315" s="87" t="s">
        <v>77</v>
      </c>
      <c r="B315" s="88" t="str">
        <f>IF(L315=4,"АПРЕЛЬ",IF(L315=5,"МАЙ",IF(L315=1,"ЯНВАРЬ",IF(L315=2,"ФЕВРАЛЬ",IF(L315=3,"МАРТ",IF(L315=6,"ИЮНЬ",IF(L315=7,"ИЮЛЬ",IF(L315=8,"АВГУСТ",IF(L315=9,"СЕНТЯБРЬ",IF(L315=10,"ОКТЯБРЬ",IF(L315=11,"НОЯБРЬ",IF(L315=12,"ДЕКАБРЬ"))))))))))))</f>
        <v>ОКТЯБРЬ</v>
      </c>
      <c r="J315" s="89"/>
      <c r="K315" s="90"/>
      <c r="L315" s="91">
        <f>MONTH(B316)</f>
        <v>10</v>
      </c>
      <c r="M315" s="68"/>
      <c r="N315" s="68"/>
      <c r="O315" s="68"/>
      <c r="P315" s="68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</row>
    <row r="316">
      <c r="A316" s="54"/>
      <c r="B316" s="187">
        <v>45932.0</v>
      </c>
      <c r="C316" s="101" t="s">
        <v>123</v>
      </c>
      <c r="D316" s="101" t="s">
        <v>124</v>
      </c>
      <c r="E316" s="186">
        <v>485147.0</v>
      </c>
      <c r="F316" s="177">
        <f>E316-E314</f>
        <v>1382</v>
      </c>
      <c r="G316" s="101">
        <v>730.0</v>
      </c>
      <c r="H316" s="101">
        <v>399.0</v>
      </c>
      <c r="I316" s="101">
        <v>400.0</v>
      </c>
      <c r="J316" s="102">
        <f t="shared" ref="J316:J321" si="110">H316-I316</f>
        <v>-1</v>
      </c>
      <c r="K316" s="103">
        <f t="shared" ref="K316:K321" si="111">I316/F316*100</f>
        <v>28.94356006</v>
      </c>
      <c r="L316" s="54"/>
      <c r="M316" s="82" t="str">
        <f>"тотал"&amp;" "&amp;B315&amp;" "&amp;RIGHT(YEAR(B316),2)</f>
        <v>тотал ОКТЯБРЬ 25</v>
      </c>
      <c r="N316" s="75"/>
      <c r="O316" s="75"/>
      <c r="P316" s="75"/>
      <c r="Q316" s="76"/>
    </row>
    <row r="317">
      <c r="A317" s="54"/>
      <c r="B317" s="187">
        <v>45934.0</v>
      </c>
      <c r="C317" s="101" t="s">
        <v>127</v>
      </c>
      <c r="D317" s="101" t="s">
        <v>124</v>
      </c>
      <c r="E317" s="186">
        <v>486570.0</v>
      </c>
      <c r="F317" s="177">
        <f t="shared" ref="F317:F321" si="112">E317-E316</f>
        <v>1423</v>
      </c>
      <c r="G317" s="101">
        <v>401.0</v>
      </c>
      <c r="H317" s="101">
        <v>401.0</v>
      </c>
      <c r="I317" s="101">
        <v>400.0</v>
      </c>
      <c r="J317" s="102">
        <f t="shared" si="110"/>
        <v>1</v>
      </c>
      <c r="K317" s="103">
        <f t="shared" si="111"/>
        <v>28.10962755</v>
      </c>
      <c r="L317" s="54"/>
      <c r="M317" s="84" t="s">
        <v>70</v>
      </c>
      <c r="N317" s="84" t="s">
        <v>71</v>
      </c>
      <c r="O317" s="84" t="s">
        <v>27</v>
      </c>
      <c r="P317" s="77" t="s">
        <v>28</v>
      </c>
      <c r="Q317" s="12" t="s">
        <v>78</v>
      </c>
    </row>
    <row r="318">
      <c r="A318" s="54"/>
      <c r="B318" s="187">
        <v>45935.0</v>
      </c>
      <c r="C318" s="101" t="s">
        <v>127</v>
      </c>
      <c r="D318" s="101" t="s">
        <v>124</v>
      </c>
      <c r="E318" s="186">
        <v>488083.0</v>
      </c>
      <c r="F318" s="177">
        <f t="shared" si="112"/>
        <v>1513</v>
      </c>
      <c r="G318" s="101">
        <v>491.0</v>
      </c>
      <c r="H318" s="101">
        <v>491.0</v>
      </c>
      <c r="I318" s="101">
        <v>489.25</v>
      </c>
      <c r="J318" s="102">
        <f t="shared" si="110"/>
        <v>1.75</v>
      </c>
      <c r="K318" s="103">
        <f t="shared" si="111"/>
        <v>32.33641771</v>
      </c>
      <c r="L318" s="54"/>
      <c r="M318" s="84">
        <f>SUM(F316:F327)</f>
        <v>8974</v>
      </c>
      <c r="N318" s="84">
        <f>SUM(I316:I327)</f>
        <v>2489.25</v>
      </c>
      <c r="O318" s="85">
        <f>N318/M318*100</f>
        <v>27.73846668</v>
      </c>
      <c r="P318" s="79">
        <f>(M318/100)*(O318-Q318)</f>
        <v>-77.314</v>
      </c>
      <c r="Q318" s="78">
        <v>28.6</v>
      </c>
    </row>
    <row r="319">
      <c r="A319" s="54"/>
      <c r="B319" s="187">
        <v>45939.0</v>
      </c>
      <c r="C319" s="101" t="s">
        <v>123</v>
      </c>
      <c r="D319" s="101" t="s">
        <v>124</v>
      </c>
      <c r="E319" s="186">
        <v>489673.0</v>
      </c>
      <c r="F319" s="177">
        <f t="shared" si="112"/>
        <v>1590</v>
      </c>
      <c r="G319" s="101">
        <v>696.0</v>
      </c>
      <c r="H319" s="101">
        <v>402.0</v>
      </c>
      <c r="I319" s="101">
        <v>400.0</v>
      </c>
      <c r="J319" s="102">
        <f t="shared" si="110"/>
        <v>2</v>
      </c>
      <c r="K319" s="103">
        <f t="shared" si="111"/>
        <v>25.1572327</v>
      </c>
      <c r="L319" s="54"/>
      <c r="M319" s="54"/>
      <c r="N319" s="54"/>
      <c r="P319" s="44"/>
    </row>
    <row r="320">
      <c r="A320" s="54"/>
      <c r="B320" s="187">
        <v>45941.0</v>
      </c>
      <c r="C320" s="101" t="s">
        <v>127</v>
      </c>
      <c r="D320" s="101" t="s">
        <v>124</v>
      </c>
      <c r="E320" s="186">
        <v>491095.0</v>
      </c>
      <c r="F320" s="177">
        <f t="shared" si="112"/>
        <v>1422</v>
      </c>
      <c r="G320" s="101">
        <v>690.0</v>
      </c>
      <c r="H320" s="101">
        <v>401.0</v>
      </c>
      <c r="I320" s="101">
        <v>400.0</v>
      </c>
      <c r="J320" s="102">
        <f t="shared" si="110"/>
        <v>1</v>
      </c>
      <c r="K320" s="103">
        <f t="shared" si="111"/>
        <v>28.12939522</v>
      </c>
      <c r="L320" s="54"/>
      <c r="M320" s="54"/>
      <c r="N320" s="54"/>
      <c r="P320" s="44"/>
    </row>
    <row r="321">
      <c r="A321" s="54"/>
      <c r="B321" s="187">
        <v>45942.0</v>
      </c>
      <c r="C321" s="101" t="s">
        <v>127</v>
      </c>
      <c r="D321" s="101" t="s">
        <v>124</v>
      </c>
      <c r="E321" s="186">
        <v>492739.0</v>
      </c>
      <c r="F321" s="177">
        <f t="shared" si="112"/>
        <v>1644</v>
      </c>
      <c r="G321" s="101">
        <v>624.0</v>
      </c>
      <c r="H321" s="101">
        <v>407.0</v>
      </c>
      <c r="I321" s="101">
        <v>400.0</v>
      </c>
      <c r="J321" s="102">
        <f t="shared" si="110"/>
        <v>7</v>
      </c>
      <c r="K321" s="103">
        <f t="shared" si="111"/>
        <v>24.33090024</v>
      </c>
      <c r="L321" s="54"/>
      <c r="M321" s="54"/>
      <c r="N321" s="54"/>
      <c r="P321" s="44"/>
    </row>
    <row r="322">
      <c r="A322" s="54"/>
      <c r="B322" s="102"/>
      <c r="C322" s="102"/>
      <c r="D322" s="102"/>
      <c r="E322" s="177"/>
      <c r="F322" s="177"/>
      <c r="G322" s="102"/>
      <c r="H322" s="102"/>
      <c r="I322" s="102"/>
      <c r="J322" s="102"/>
      <c r="K322" s="102"/>
      <c r="L322" s="54"/>
      <c r="M322" s="54"/>
      <c r="N322" s="54"/>
      <c r="P322" s="44"/>
    </row>
    <row r="323">
      <c r="A323" s="54"/>
      <c r="B323" s="102"/>
      <c r="C323" s="102"/>
      <c r="D323" s="102"/>
      <c r="E323" s="177"/>
      <c r="F323" s="177"/>
      <c r="G323" s="102"/>
      <c r="H323" s="102"/>
      <c r="I323" s="102"/>
      <c r="J323" s="102"/>
      <c r="K323" s="102"/>
      <c r="L323" s="54"/>
      <c r="M323" s="54"/>
      <c r="N323" s="54"/>
      <c r="P323" s="44"/>
    </row>
    <row r="324">
      <c r="A324" s="54"/>
      <c r="B324" s="102"/>
      <c r="C324" s="102"/>
      <c r="D324" s="102"/>
      <c r="E324" s="177"/>
      <c r="F324" s="177"/>
      <c r="G324" s="102"/>
      <c r="H324" s="102"/>
      <c r="I324" s="102"/>
      <c r="J324" s="102"/>
      <c r="K324" s="102"/>
      <c r="L324" s="54"/>
      <c r="M324" s="54"/>
      <c r="N324" s="54"/>
      <c r="P324" s="44"/>
    </row>
    <row r="325">
      <c r="A325" s="54"/>
      <c r="B325" s="102"/>
      <c r="C325" s="102"/>
      <c r="D325" s="102"/>
      <c r="E325" s="177"/>
      <c r="F325" s="177"/>
      <c r="G325" s="102"/>
      <c r="H325" s="102"/>
      <c r="I325" s="102"/>
      <c r="J325" s="102"/>
      <c r="K325" s="102"/>
      <c r="L325" s="54"/>
      <c r="M325" s="54"/>
      <c r="N325" s="54"/>
      <c r="P325" s="44"/>
    </row>
    <row r="326">
      <c r="A326" s="54"/>
      <c r="B326" s="102"/>
      <c r="C326" s="102"/>
      <c r="D326" s="102"/>
      <c r="E326" s="177"/>
      <c r="F326" s="177"/>
      <c r="G326" s="102"/>
      <c r="H326" s="102"/>
      <c r="I326" s="102"/>
      <c r="J326" s="102"/>
      <c r="K326" s="102"/>
      <c r="L326" s="54"/>
      <c r="M326" s="54"/>
      <c r="N326" s="54"/>
      <c r="P326" s="44"/>
    </row>
    <row r="327">
      <c r="A327" s="54"/>
      <c r="B327" s="102"/>
      <c r="C327" s="102"/>
      <c r="D327" s="102"/>
      <c r="E327" s="177"/>
      <c r="F327" s="177"/>
      <c r="G327" s="102"/>
      <c r="H327" s="102"/>
      <c r="I327" s="102"/>
      <c r="J327" s="102"/>
      <c r="K327" s="102"/>
      <c r="L327" s="54"/>
      <c r="M327" s="54"/>
      <c r="N327" s="54"/>
      <c r="P327" s="44"/>
    </row>
    <row r="328">
      <c r="A328" s="54"/>
      <c r="B328" s="102"/>
      <c r="C328" s="102"/>
      <c r="D328" s="102"/>
      <c r="E328" s="177"/>
      <c r="F328" s="177"/>
      <c r="G328" s="102"/>
      <c r="H328" s="102"/>
      <c r="I328" s="102"/>
      <c r="J328" s="102"/>
      <c r="K328" s="102"/>
      <c r="L328" s="54"/>
      <c r="M328" s="54"/>
      <c r="N328" s="54"/>
      <c r="P328" s="44"/>
    </row>
    <row r="329">
      <c r="A329" s="54"/>
      <c r="B329" s="102"/>
      <c r="C329" s="102"/>
      <c r="D329" s="102"/>
      <c r="E329" s="177"/>
      <c r="F329" s="177"/>
      <c r="G329" s="102"/>
      <c r="H329" s="102"/>
      <c r="I329" s="102"/>
      <c r="J329" s="102"/>
      <c r="K329" s="102"/>
      <c r="L329" s="54"/>
      <c r="M329" s="54"/>
      <c r="N329" s="54"/>
      <c r="P329" s="44"/>
    </row>
    <row r="330">
      <c r="A330" s="54"/>
      <c r="B330" s="102"/>
      <c r="C330" s="102"/>
      <c r="D330" s="102"/>
      <c r="E330" s="177"/>
      <c r="F330" s="177"/>
      <c r="G330" s="102"/>
      <c r="H330" s="102"/>
      <c r="I330" s="102"/>
      <c r="J330" s="102"/>
      <c r="K330" s="102"/>
      <c r="L330" s="54"/>
      <c r="M330" s="54"/>
      <c r="N330" s="54"/>
      <c r="P330" s="44"/>
    </row>
    <row r="331">
      <c r="A331" s="54"/>
      <c r="B331" s="102"/>
      <c r="C331" s="102"/>
      <c r="D331" s="102"/>
      <c r="E331" s="177"/>
      <c r="F331" s="177"/>
      <c r="G331" s="102"/>
      <c r="H331" s="102"/>
      <c r="I331" s="102"/>
      <c r="J331" s="102"/>
      <c r="K331" s="102"/>
      <c r="L331" s="54"/>
      <c r="M331" s="54"/>
      <c r="N331" s="54"/>
      <c r="P331" s="44"/>
    </row>
    <row r="332">
      <c r="A332" s="54"/>
      <c r="B332" s="102"/>
      <c r="C332" s="102"/>
      <c r="D332" s="102"/>
      <c r="E332" s="177"/>
      <c r="F332" s="177"/>
      <c r="G332" s="102"/>
      <c r="H332" s="102"/>
      <c r="I332" s="102"/>
      <c r="J332" s="102"/>
      <c r="K332" s="102"/>
      <c r="L332" s="54"/>
      <c r="M332" s="54"/>
      <c r="N332" s="54"/>
      <c r="P332" s="44"/>
    </row>
    <row r="333">
      <c r="A333" s="54"/>
      <c r="B333" s="102"/>
      <c r="C333" s="102"/>
      <c r="D333" s="102"/>
      <c r="E333" s="177"/>
      <c r="F333" s="177"/>
      <c r="G333" s="102"/>
      <c r="H333" s="102"/>
      <c r="I333" s="102"/>
      <c r="J333" s="102"/>
      <c r="K333" s="102"/>
      <c r="L333" s="54"/>
      <c r="M333" s="54"/>
      <c r="N333" s="54"/>
      <c r="P333" s="44"/>
    </row>
    <row r="334">
      <c r="A334" s="54"/>
      <c r="B334" s="102"/>
      <c r="C334" s="102"/>
      <c r="D334" s="102"/>
      <c r="E334" s="177"/>
      <c r="F334" s="177"/>
      <c r="G334" s="102"/>
      <c r="H334" s="102"/>
      <c r="I334" s="102"/>
      <c r="J334" s="102"/>
      <c r="K334" s="102"/>
      <c r="L334" s="54"/>
      <c r="M334" s="54"/>
      <c r="N334" s="54"/>
      <c r="P334" s="44"/>
    </row>
    <row r="335">
      <c r="A335" s="54"/>
      <c r="B335" s="102"/>
      <c r="C335" s="102"/>
      <c r="D335" s="102"/>
      <c r="E335" s="177"/>
      <c r="F335" s="177"/>
      <c r="G335" s="102"/>
      <c r="H335" s="102"/>
      <c r="I335" s="102"/>
      <c r="J335" s="102"/>
      <c r="K335" s="102"/>
      <c r="L335" s="54"/>
      <c r="M335" s="54"/>
      <c r="N335" s="54"/>
      <c r="P335" s="44"/>
    </row>
    <row r="336">
      <c r="A336" s="54"/>
      <c r="B336" s="102"/>
      <c r="C336" s="102"/>
      <c r="D336" s="102"/>
      <c r="E336" s="177"/>
      <c r="F336" s="177"/>
      <c r="G336" s="102"/>
      <c r="H336" s="102"/>
      <c r="I336" s="102"/>
      <c r="J336" s="102"/>
      <c r="K336" s="102"/>
      <c r="L336" s="54"/>
      <c r="M336" s="54"/>
      <c r="N336" s="54"/>
      <c r="P336" s="44"/>
    </row>
    <row r="337">
      <c r="A337" s="54"/>
      <c r="B337" s="102"/>
      <c r="C337" s="102"/>
      <c r="D337" s="102"/>
      <c r="E337" s="177"/>
      <c r="F337" s="177"/>
      <c r="G337" s="102"/>
      <c r="H337" s="102"/>
      <c r="I337" s="102"/>
      <c r="J337" s="102"/>
      <c r="K337" s="102"/>
      <c r="L337" s="54"/>
      <c r="M337" s="54"/>
      <c r="N337" s="54"/>
      <c r="P337" s="44"/>
    </row>
    <row r="338">
      <c r="A338" s="54"/>
      <c r="B338" s="102"/>
      <c r="C338" s="102"/>
      <c r="D338" s="102"/>
      <c r="E338" s="177"/>
      <c r="F338" s="177"/>
      <c r="G338" s="102"/>
      <c r="H338" s="102"/>
      <c r="I338" s="102"/>
      <c r="J338" s="102"/>
      <c r="K338" s="102"/>
      <c r="L338" s="54"/>
      <c r="M338" s="54"/>
      <c r="N338" s="54"/>
      <c r="P338" s="44"/>
    </row>
    <row r="339">
      <c r="A339" s="54"/>
      <c r="B339" s="102"/>
      <c r="C339" s="102"/>
      <c r="D339" s="102"/>
      <c r="E339" s="177"/>
      <c r="F339" s="177"/>
      <c r="G339" s="102"/>
      <c r="H339" s="102"/>
      <c r="I339" s="102"/>
      <c r="J339" s="102"/>
      <c r="K339" s="102"/>
      <c r="L339" s="54"/>
      <c r="M339" s="54"/>
      <c r="N339" s="54"/>
      <c r="P339" s="44"/>
    </row>
    <row r="340">
      <c r="A340" s="54"/>
      <c r="B340" s="102"/>
      <c r="C340" s="102"/>
      <c r="D340" s="102"/>
      <c r="E340" s="177"/>
      <c r="F340" s="177"/>
      <c r="G340" s="102"/>
      <c r="H340" s="102"/>
      <c r="I340" s="102"/>
      <c r="J340" s="102"/>
      <c r="K340" s="102"/>
      <c r="L340" s="54"/>
      <c r="M340" s="54"/>
      <c r="N340" s="54"/>
      <c r="P340" s="44"/>
    </row>
    <row r="341">
      <c r="A341" s="54"/>
      <c r="B341" s="102"/>
      <c r="C341" s="102"/>
      <c r="D341" s="102"/>
      <c r="E341" s="177"/>
      <c r="F341" s="177"/>
      <c r="G341" s="102"/>
      <c r="H341" s="102"/>
      <c r="I341" s="102"/>
      <c r="J341" s="102"/>
      <c r="K341" s="102"/>
      <c r="L341" s="54"/>
      <c r="M341" s="54"/>
      <c r="N341" s="54"/>
      <c r="P341" s="44"/>
    </row>
    <row r="342">
      <c r="A342" s="54"/>
      <c r="B342" s="102"/>
      <c r="C342" s="102"/>
      <c r="D342" s="102"/>
      <c r="E342" s="177"/>
      <c r="F342" s="177"/>
      <c r="G342" s="102"/>
      <c r="H342" s="102"/>
      <c r="I342" s="102"/>
      <c r="J342" s="102"/>
      <c r="K342" s="102"/>
      <c r="L342" s="54"/>
      <c r="M342" s="54"/>
      <c r="N342" s="54"/>
      <c r="P342" s="44"/>
    </row>
    <row r="343">
      <c r="A343" s="54"/>
      <c r="B343" s="102"/>
      <c r="C343" s="102"/>
      <c r="D343" s="102"/>
      <c r="E343" s="177"/>
      <c r="F343" s="177"/>
      <c r="G343" s="102"/>
      <c r="H343" s="102"/>
      <c r="I343" s="102"/>
      <c r="J343" s="102"/>
      <c r="K343" s="102"/>
      <c r="L343" s="54"/>
      <c r="M343" s="54"/>
      <c r="N343" s="54"/>
      <c r="P343" s="44"/>
    </row>
    <row r="344">
      <c r="A344" s="54"/>
      <c r="B344" s="102"/>
      <c r="C344" s="102"/>
      <c r="D344" s="102"/>
      <c r="E344" s="177"/>
      <c r="F344" s="177"/>
      <c r="G344" s="102"/>
      <c r="H344" s="102"/>
      <c r="I344" s="102"/>
      <c r="J344" s="102"/>
      <c r="K344" s="102"/>
      <c r="L344" s="54"/>
      <c r="M344" s="54"/>
      <c r="N344" s="54"/>
      <c r="P344" s="44"/>
    </row>
    <row r="345">
      <c r="A345" s="54"/>
      <c r="B345" s="102"/>
      <c r="C345" s="102"/>
      <c r="D345" s="102"/>
      <c r="E345" s="177"/>
      <c r="F345" s="177"/>
      <c r="G345" s="102"/>
      <c r="H345" s="102"/>
      <c r="I345" s="102"/>
      <c r="J345" s="102"/>
      <c r="K345" s="102"/>
      <c r="L345" s="54"/>
      <c r="M345" s="54"/>
      <c r="N345" s="54"/>
      <c r="P345" s="44"/>
    </row>
    <row r="346">
      <c r="A346" s="54"/>
      <c r="B346" s="102"/>
      <c r="C346" s="102"/>
      <c r="D346" s="102"/>
      <c r="E346" s="177"/>
      <c r="F346" s="177"/>
      <c r="G346" s="102"/>
      <c r="H346" s="102"/>
      <c r="I346" s="102"/>
      <c r="J346" s="102"/>
      <c r="K346" s="102"/>
      <c r="L346" s="54"/>
      <c r="M346" s="54"/>
      <c r="N346" s="54"/>
      <c r="P346" s="44"/>
    </row>
    <row r="347">
      <c r="A347" s="54"/>
      <c r="B347" s="102"/>
      <c r="C347" s="102"/>
      <c r="D347" s="102"/>
      <c r="E347" s="177"/>
      <c r="F347" s="177"/>
      <c r="G347" s="102"/>
      <c r="H347" s="102"/>
      <c r="I347" s="102"/>
      <c r="J347" s="102"/>
      <c r="K347" s="102"/>
      <c r="L347" s="54"/>
      <c r="M347" s="54"/>
      <c r="N347" s="54"/>
      <c r="P347" s="44"/>
    </row>
    <row r="348">
      <c r="A348" s="54"/>
      <c r="B348" s="102"/>
      <c r="C348" s="102"/>
      <c r="D348" s="102"/>
      <c r="E348" s="177"/>
      <c r="F348" s="177"/>
      <c r="G348" s="102"/>
      <c r="H348" s="102"/>
      <c r="I348" s="102"/>
      <c r="J348" s="102"/>
      <c r="K348" s="102"/>
      <c r="L348" s="54"/>
      <c r="M348" s="54"/>
      <c r="N348" s="54"/>
      <c r="P348" s="44"/>
    </row>
    <row r="349">
      <c r="A349" s="54"/>
      <c r="B349" s="102"/>
      <c r="C349" s="102"/>
      <c r="D349" s="102"/>
      <c r="E349" s="177"/>
      <c r="F349" s="177"/>
      <c r="G349" s="102"/>
      <c r="H349" s="102"/>
      <c r="I349" s="102"/>
      <c r="J349" s="102"/>
      <c r="K349" s="102"/>
      <c r="L349" s="54"/>
      <c r="M349" s="54"/>
      <c r="N349" s="54"/>
      <c r="P349" s="44"/>
    </row>
    <row r="350">
      <c r="A350" s="54"/>
      <c r="B350" s="102"/>
      <c r="C350" s="102"/>
      <c r="D350" s="102"/>
      <c r="E350" s="177"/>
      <c r="F350" s="177"/>
      <c r="G350" s="102"/>
      <c r="H350" s="102"/>
      <c r="I350" s="102"/>
      <c r="J350" s="102"/>
      <c r="K350" s="102"/>
      <c r="L350" s="54"/>
      <c r="M350" s="54"/>
      <c r="N350" s="54"/>
      <c r="P350" s="44"/>
    </row>
    <row r="351">
      <c r="A351" s="54"/>
      <c r="B351" s="102"/>
      <c r="C351" s="102"/>
      <c r="D351" s="102"/>
      <c r="E351" s="177"/>
      <c r="F351" s="177"/>
      <c r="G351" s="102"/>
      <c r="H351" s="102"/>
      <c r="I351" s="102"/>
      <c r="J351" s="102"/>
      <c r="K351" s="102"/>
      <c r="L351" s="54"/>
      <c r="M351" s="54"/>
      <c r="N351" s="54"/>
      <c r="P351" s="44"/>
    </row>
    <row r="352">
      <c r="A352" s="54"/>
      <c r="B352" s="102"/>
      <c r="C352" s="102"/>
      <c r="D352" s="102"/>
      <c r="E352" s="177"/>
      <c r="F352" s="177"/>
      <c r="G352" s="102"/>
      <c r="H352" s="102"/>
      <c r="I352" s="102"/>
      <c r="J352" s="102"/>
      <c r="K352" s="102"/>
      <c r="L352" s="54"/>
      <c r="M352" s="54"/>
      <c r="N352" s="54"/>
      <c r="P352" s="44"/>
    </row>
    <row r="353">
      <c r="A353" s="54"/>
      <c r="B353" s="102"/>
      <c r="C353" s="102"/>
      <c r="D353" s="102"/>
      <c r="E353" s="177"/>
      <c r="F353" s="177"/>
      <c r="G353" s="102"/>
      <c r="H353" s="102"/>
      <c r="I353" s="102"/>
      <c r="J353" s="102"/>
      <c r="K353" s="102"/>
      <c r="L353" s="54"/>
      <c r="M353" s="54"/>
      <c r="N353" s="54"/>
      <c r="P353" s="44"/>
    </row>
    <row r="354">
      <c r="A354" s="54"/>
      <c r="B354" s="102"/>
      <c r="C354" s="102"/>
      <c r="D354" s="102"/>
      <c r="E354" s="177"/>
      <c r="F354" s="177"/>
      <c r="G354" s="102"/>
      <c r="H354" s="102"/>
      <c r="I354" s="102"/>
      <c r="J354" s="102"/>
      <c r="K354" s="102"/>
      <c r="L354" s="54"/>
      <c r="M354" s="54"/>
      <c r="N354" s="54"/>
      <c r="P354" s="44"/>
    </row>
    <row r="355">
      <c r="A355" s="54"/>
      <c r="B355" s="102"/>
      <c r="C355" s="102"/>
      <c r="D355" s="102"/>
      <c r="E355" s="177"/>
      <c r="F355" s="177"/>
      <c r="G355" s="102"/>
      <c r="H355" s="102"/>
      <c r="I355" s="102"/>
      <c r="J355" s="102"/>
      <c r="K355" s="102"/>
      <c r="L355" s="54"/>
      <c r="M355" s="54"/>
      <c r="N355" s="54"/>
      <c r="P355" s="44"/>
    </row>
    <row r="356">
      <c r="A356" s="54"/>
      <c r="B356" s="102"/>
      <c r="C356" s="102"/>
      <c r="D356" s="102"/>
      <c r="E356" s="177"/>
      <c r="F356" s="177"/>
      <c r="G356" s="102"/>
      <c r="H356" s="102"/>
      <c r="I356" s="102"/>
      <c r="J356" s="102"/>
      <c r="K356" s="102"/>
      <c r="L356" s="54"/>
      <c r="M356" s="54"/>
      <c r="N356" s="54"/>
      <c r="P356" s="44"/>
    </row>
    <row r="357">
      <c r="A357" s="54"/>
      <c r="B357" s="102"/>
      <c r="C357" s="102"/>
      <c r="D357" s="102"/>
      <c r="E357" s="177"/>
      <c r="F357" s="177"/>
      <c r="G357" s="102"/>
      <c r="H357" s="102"/>
      <c r="I357" s="102"/>
      <c r="J357" s="102"/>
      <c r="K357" s="102"/>
      <c r="L357" s="54"/>
      <c r="M357" s="54"/>
      <c r="N357" s="54"/>
      <c r="P357" s="44"/>
    </row>
    <row r="358">
      <c r="A358" s="54"/>
      <c r="B358" s="102"/>
      <c r="C358" s="102"/>
      <c r="D358" s="102"/>
      <c r="E358" s="177"/>
      <c r="F358" s="177"/>
      <c r="G358" s="102"/>
      <c r="H358" s="102"/>
      <c r="I358" s="102"/>
      <c r="J358" s="102"/>
      <c r="K358" s="102"/>
      <c r="L358" s="54"/>
      <c r="M358" s="54"/>
      <c r="N358" s="54"/>
      <c r="P358" s="44"/>
    </row>
    <row r="359">
      <c r="A359" s="54"/>
      <c r="B359" s="102"/>
      <c r="C359" s="102"/>
      <c r="D359" s="102"/>
      <c r="E359" s="177"/>
      <c r="F359" s="177"/>
      <c r="G359" s="102"/>
      <c r="H359" s="102"/>
      <c r="I359" s="102"/>
      <c r="J359" s="102"/>
      <c r="K359" s="102"/>
      <c r="L359" s="54"/>
      <c r="M359" s="54"/>
      <c r="N359" s="54"/>
      <c r="P359" s="44"/>
    </row>
    <row r="360">
      <c r="A360" s="54"/>
      <c r="B360" s="102"/>
      <c r="C360" s="102"/>
      <c r="D360" s="102"/>
      <c r="E360" s="177"/>
      <c r="F360" s="177"/>
      <c r="G360" s="102"/>
      <c r="H360" s="102"/>
      <c r="I360" s="102"/>
      <c r="J360" s="102"/>
      <c r="K360" s="102"/>
      <c r="L360" s="54"/>
      <c r="M360" s="54"/>
      <c r="N360" s="54"/>
      <c r="P360" s="44"/>
    </row>
    <row r="361">
      <c r="A361" s="54"/>
      <c r="B361" s="102"/>
      <c r="C361" s="102"/>
      <c r="D361" s="102"/>
      <c r="E361" s="177"/>
      <c r="F361" s="177"/>
      <c r="G361" s="102"/>
      <c r="H361" s="102"/>
      <c r="I361" s="102"/>
      <c r="J361" s="102"/>
      <c r="K361" s="102"/>
      <c r="L361" s="54"/>
      <c r="M361" s="54"/>
      <c r="N361" s="54"/>
      <c r="P361" s="44"/>
    </row>
    <row r="362">
      <c r="A362" s="54"/>
      <c r="B362" s="102"/>
      <c r="C362" s="102"/>
      <c r="D362" s="102"/>
      <c r="E362" s="177"/>
      <c r="F362" s="177"/>
      <c r="G362" s="102"/>
      <c r="H362" s="102"/>
      <c r="I362" s="102"/>
      <c r="J362" s="102"/>
      <c r="K362" s="102"/>
      <c r="L362" s="54"/>
      <c r="M362" s="54"/>
      <c r="N362" s="54"/>
      <c r="P362" s="44"/>
    </row>
    <row r="363">
      <c r="A363" s="54"/>
      <c r="B363" s="102"/>
      <c r="C363" s="102"/>
      <c r="D363" s="102"/>
      <c r="E363" s="177"/>
      <c r="F363" s="177"/>
      <c r="G363" s="102"/>
      <c r="H363" s="102"/>
      <c r="I363" s="102"/>
      <c r="J363" s="102"/>
      <c r="K363" s="102"/>
      <c r="L363" s="54"/>
      <c r="M363" s="54"/>
      <c r="N363" s="54"/>
      <c r="P363" s="44"/>
    </row>
    <row r="364">
      <c r="A364" s="54"/>
      <c r="B364" s="102"/>
      <c r="C364" s="102"/>
      <c r="D364" s="102"/>
      <c r="E364" s="177"/>
      <c r="F364" s="177"/>
      <c r="G364" s="102"/>
      <c r="H364" s="102"/>
      <c r="I364" s="102"/>
      <c r="J364" s="102"/>
      <c r="K364" s="102"/>
      <c r="L364" s="54"/>
      <c r="M364" s="54"/>
      <c r="N364" s="54"/>
      <c r="P364" s="44"/>
    </row>
    <row r="365">
      <c r="A365" s="54"/>
      <c r="B365" s="102"/>
      <c r="C365" s="102"/>
      <c r="D365" s="102"/>
      <c r="E365" s="177"/>
      <c r="F365" s="177"/>
      <c r="G365" s="102"/>
      <c r="H365" s="102"/>
      <c r="I365" s="102"/>
      <c r="J365" s="102"/>
      <c r="K365" s="102"/>
      <c r="L365" s="54"/>
      <c r="M365" s="54"/>
      <c r="N365" s="54"/>
      <c r="P365" s="44"/>
    </row>
    <row r="366">
      <c r="A366" s="54"/>
      <c r="B366" s="102"/>
      <c r="C366" s="102"/>
      <c r="D366" s="102"/>
      <c r="E366" s="177"/>
      <c r="F366" s="177"/>
      <c r="G366" s="102"/>
      <c r="H366" s="102"/>
      <c r="I366" s="102"/>
      <c r="J366" s="102"/>
      <c r="K366" s="102"/>
      <c r="L366" s="54"/>
      <c r="M366" s="54"/>
      <c r="N366" s="54"/>
      <c r="P366" s="44"/>
    </row>
    <row r="367">
      <c r="A367" s="54"/>
      <c r="B367" s="102"/>
      <c r="C367" s="102"/>
      <c r="D367" s="102"/>
      <c r="E367" s="177"/>
      <c r="F367" s="177"/>
      <c r="G367" s="102"/>
      <c r="H367" s="102"/>
      <c r="I367" s="102"/>
      <c r="J367" s="102"/>
      <c r="K367" s="102"/>
      <c r="L367" s="54"/>
      <c r="M367" s="54"/>
      <c r="N367" s="54"/>
      <c r="P367" s="44"/>
    </row>
    <row r="368">
      <c r="A368" s="54"/>
      <c r="B368" s="102"/>
      <c r="C368" s="102"/>
      <c r="D368" s="102"/>
      <c r="E368" s="177"/>
      <c r="F368" s="177"/>
      <c r="G368" s="102"/>
      <c r="H368" s="102"/>
      <c r="I368" s="102"/>
      <c r="J368" s="102"/>
      <c r="K368" s="102"/>
      <c r="L368" s="54"/>
      <c r="M368" s="54"/>
      <c r="N368" s="54"/>
      <c r="P368" s="44"/>
    </row>
    <row r="369">
      <c r="A369" s="54"/>
      <c r="B369" s="102"/>
      <c r="C369" s="102"/>
      <c r="D369" s="102"/>
      <c r="E369" s="177"/>
      <c r="F369" s="177"/>
      <c r="G369" s="102"/>
      <c r="H369" s="102"/>
      <c r="I369" s="102"/>
      <c r="J369" s="102"/>
      <c r="K369" s="102"/>
      <c r="L369" s="54"/>
      <c r="M369" s="54"/>
      <c r="N369" s="54"/>
      <c r="P369" s="44"/>
    </row>
    <row r="370">
      <c r="A370" s="54"/>
      <c r="B370" s="102"/>
      <c r="C370" s="102"/>
      <c r="D370" s="102"/>
      <c r="E370" s="177"/>
      <c r="F370" s="177"/>
      <c r="G370" s="102"/>
      <c r="H370" s="102"/>
      <c r="I370" s="102"/>
      <c r="J370" s="102"/>
      <c r="K370" s="102"/>
      <c r="L370" s="54"/>
      <c r="M370" s="54"/>
      <c r="N370" s="54"/>
      <c r="P370" s="44"/>
    </row>
    <row r="371">
      <c r="A371" s="54"/>
      <c r="B371" s="102"/>
      <c r="C371" s="102"/>
      <c r="D371" s="102"/>
      <c r="E371" s="177"/>
      <c r="F371" s="177"/>
      <c r="G371" s="102"/>
      <c r="H371" s="102"/>
      <c r="I371" s="102"/>
      <c r="J371" s="102"/>
      <c r="K371" s="102"/>
      <c r="L371" s="54"/>
      <c r="M371" s="54"/>
      <c r="N371" s="54"/>
      <c r="P371" s="44"/>
    </row>
    <row r="372">
      <c r="A372" s="54"/>
      <c r="B372" s="102"/>
      <c r="C372" s="102"/>
      <c r="D372" s="102"/>
      <c r="E372" s="177"/>
      <c r="F372" s="177"/>
      <c r="G372" s="102"/>
      <c r="H372" s="102"/>
      <c r="I372" s="102"/>
      <c r="J372" s="102"/>
      <c r="K372" s="102"/>
      <c r="L372" s="54"/>
      <c r="M372" s="54"/>
      <c r="N372" s="54"/>
      <c r="P372" s="44"/>
    </row>
    <row r="373">
      <c r="A373" s="54"/>
      <c r="B373" s="102"/>
      <c r="C373" s="102"/>
      <c r="D373" s="102"/>
      <c r="E373" s="177"/>
      <c r="F373" s="177"/>
      <c r="G373" s="102"/>
      <c r="H373" s="102"/>
      <c r="I373" s="102"/>
      <c r="J373" s="102"/>
      <c r="K373" s="102"/>
      <c r="L373" s="54"/>
      <c r="M373" s="54"/>
      <c r="N373" s="54"/>
      <c r="P373" s="44"/>
    </row>
    <row r="374">
      <c r="A374" s="54"/>
      <c r="B374" s="102"/>
      <c r="C374" s="102"/>
      <c r="D374" s="102"/>
      <c r="E374" s="177"/>
      <c r="F374" s="177"/>
      <c r="G374" s="102"/>
      <c r="H374" s="102"/>
      <c r="I374" s="102"/>
      <c r="J374" s="102"/>
      <c r="K374" s="102"/>
      <c r="L374" s="54"/>
      <c r="M374" s="54"/>
      <c r="N374" s="54"/>
      <c r="P374" s="44"/>
    </row>
    <row r="375">
      <c r="A375" s="54"/>
      <c r="B375" s="102"/>
      <c r="C375" s="102"/>
      <c r="D375" s="102"/>
      <c r="E375" s="177"/>
      <c r="F375" s="177"/>
      <c r="G375" s="102"/>
      <c r="H375" s="102"/>
      <c r="I375" s="102"/>
      <c r="J375" s="102"/>
      <c r="K375" s="102"/>
      <c r="L375" s="54"/>
      <c r="M375" s="54"/>
      <c r="N375" s="54"/>
      <c r="P375" s="44"/>
    </row>
    <row r="376">
      <c r="A376" s="54"/>
      <c r="B376" s="102"/>
      <c r="C376" s="102"/>
      <c r="D376" s="102"/>
      <c r="E376" s="177"/>
      <c r="F376" s="177"/>
      <c r="G376" s="102"/>
      <c r="H376" s="102"/>
      <c r="I376" s="102"/>
      <c r="J376" s="102"/>
      <c r="K376" s="102"/>
      <c r="L376" s="54"/>
      <c r="M376" s="54"/>
      <c r="N376" s="54"/>
      <c r="P376" s="44"/>
    </row>
    <row r="377">
      <c r="A377" s="54"/>
      <c r="B377" s="102"/>
      <c r="C377" s="102"/>
      <c r="D377" s="102"/>
      <c r="E377" s="177"/>
      <c r="F377" s="177"/>
      <c r="G377" s="102"/>
      <c r="H377" s="102"/>
      <c r="I377" s="102"/>
      <c r="J377" s="102"/>
      <c r="K377" s="102"/>
      <c r="L377" s="54"/>
      <c r="M377" s="54"/>
      <c r="N377" s="54"/>
      <c r="P377" s="44"/>
    </row>
    <row r="378">
      <c r="A378" s="54"/>
      <c r="B378" s="102"/>
      <c r="C378" s="102"/>
      <c r="D378" s="102"/>
      <c r="E378" s="177"/>
      <c r="F378" s="177"/>
      <c r="G378" s="102"/>
      <c r="H378" s="102"/>
      <c r="I378" s="102"/>
      <c r="J378" s="102"/>
      <c r="K378" s="102"/>
      <c r="L378" s="54"/>
      <c r="M378" s="54"/>
      <c r="N378" s="54"/>
      <c r="P378" s="44"/>
    </row>
    <row r="379">
      <c r="A379" s="54"/>
      <c r="B379" s="102"/>
      <c r="C379" s="102"/>
      <c r="D379" s="102"/>
      <c r="E379" s="177"/>
      <c r="F379" s="177"/>
      <c r="G379" s="102"/>
      <c r="H379" s="102"/>
      <c r="I379" s="102"/>
      <c r="J379" s="102"/>
      <c r="K379" s="102"/>
      <c r="L379" s="54"/>
      <c r="M379" s="54"/>
      <c r="N379" s="54"/>
      <c r="P379" s="44"/>
    </row>
    <row r="380">
      <c r="A380" s="54"/>
      <c r="B380" s="102"/>
      <c r="C380" s="102"/>
      <c r="D380" s="102"/>
      <c r="E380" s="177"/>
      <c r="F380" s="177"/>
      <c r="G380" s="102"/>
      <c r="H380" s="102"/>
      <c r="I380" s="102"/>
      <c r="J380" s="102"/>
      <c r="K380" s="102"/>
      <c r="L380" s="54"/>
      <c r="M380" s="54"/>
      <c r="N380" s="54"/>
      <c r="P380" s="44"/>
    </row>
    <row r="381">
      <c r="A381" s="54"/>
      <c r="B381" s="102"/>
      <c r="C381" s="102"/>
      <c r="D381" s="102"/>
      <c r="E381" s="177"/>
      <c r="F381" s="177"/>
      <c r="G381" s="102"/>
      <c r="H381" s="102"/>
      <c r="I381" s="102"/>
      <c r="J381" s="102"/>
      <c r="K381" s="102"/>
      <c r="L381" s="54"/>
      <c r="M381" s="54"/>
      <c r="N381" s="54"/>
      <c r="P381" s="44"/>
    </row>
    <row r="382">
      <c r="A382" s="54"/>
      <c r="B382" s="102"/>
      <c r="C382" s="102"/>
      <c r="D382" s="102"/>
      <c r="E382" s="177"/>
      <c r="F382" s="177"/>
      <c r="G382" s="102"/>
      <c r="H382" s="102"/>
      <c r="I382" s="102"/>
      <c r="J382" s="102"/>
      <c r="K382" s="102"/>
      <c r="L382" s="54"/>
      <c r="M382" s="54"/>
      <c r="N382" s="54"/>
      <c r="P382" s="44"/>
    </row>
    <row r="383">
      <c r="A383" s="54"/>
      <c r="B383" s="102"/>
      <c r="C383" s="102"/>
      <c r="D383" s="102"/>
      <c r="E383" s="177"/>
      <c r="F383" s="177"/>
      <c r="G383" s="102"/>
      <c r="H383" s="102"/>
      <c r="I383" s="102"/>
      <c r="J383" s="102"/>
      <c r="K383" s="102"/>
      <c r="L383" s="54"/>
      <c r="M383" s="54"/>
      <c r="N383" s="54"/>
      <c r="P383" s="44"/>
    </row>
    <row r="384">
      <c r="A384" s="54"/>
      <c r="B384" s="102"/>
      <c r="C384" s="102"/>
      <c r="D384" s="102"/>
      <c r="E384" s="177"/>
      <c r="F384" s="177"/>
      <c r="G384" s="102"/>
      <c r="H384" s="102"/>
      <c r="I384" s="102"/>
      <c r="J384" s="102"/>
      <c r="K384" s="102"/>
      <c r="L384" s="54"/>
      <c r="M384" s="54"/>
      <c r="N384" s="54"/>
      <c r="P384" s="44"/>
    </row>
    <row r="385">
      <c r="A385" s="54"/>
      <c r="B385" s="102"/>
      <c r="C385" s="102"/>
      <c r="D385" s="102"/>
      <c r="E385" s="177"/>
      <c r="F385" s="177"/>
      <c r="G385" s="102"/>
      <c r="H385" s="102"/>
      <c r="I385" s="102"/>
      <c r="J385" s="102"/>
      <c r="K385" s="102"/>
      <c r="L385" s="54"/>
      <c r="M385" s="54"/>
      <c r="N385" s="54"/>
      <c r="P385" s="44"/>
    </row>
    <row r="386">
      <c r="A386" s="54"/>
      <c r="B386" s="102"/>
      <c r="C386" s="102"/>
      <c r="D386" s="102"/>
      <c r="E386" s="177"/>
      <c r="F386" s="177"/>
      <c r="G386" s="102"/>
      <c r="H386" s="102"/>
      <c r="I386" s="102"/>
      <c r="J386" s="102"/>
      <c r="K386" s="102"/>
      <c r="L386" s="54"/>
      <c r="M386" s="54"/>
      <c r="N386" s="54"/>
      <c r="P386" s="44"/>
    </row>
    <row r="387">
      <c r="A387" s="54"/>
      <c r="B387" s="102"/>
      <c r="C387" s="102"/>
      <c r="D387" s="102"/>
      <c r="E387" s="177"/>
      <c r="F387" s="177"/>
      <c r="G387" s="102"/>
      <c r="H387" s="102"/>
      <c r="I387" s="102"/>
      <c r="J387" s="102"/>
      <c r="K387" s="102"/>
      <c r="L387" s="54"/>
      <c r="M387" s="54"/>
      <c r="N387" s="54"/>
      <c r="P387" s="44"/>
    </row>
    <row r="388">
      <c r="A388" s="54"/>
      <c r="B388" s="102"/>
      <c r="C388" s="102"/>
      <c r="D388" s="102"/>
      <c r="E388" s="177"/>
      <c r="F388" s="177"/>
      <c r="G388" s="102"/>
      <c r="H388" s="102"/>
      <c r="I388" s="102"/>
      <c r="J388" s="102"/>
      <c r="K388" s="102"/>
      <c r="L388" s="54"/>
      <c r="M388" s="54"/>
      <c r="N388" s="54"/>
      <c r="P388" s="44"/>
    </row>
    <row r="389">
      <c r="A389" s="54"/>
      <c r="B389" s="102"/>
      <c r="C389" s="102"/>
      <c r="D389" s="102"/>
      <c r="E389" s="177"/>
      <c r="F389" s="177"/>
      <c r="G389" s="102"/>
      <c r="H389" s="102"/>
      <c r="I389" s="102"/>
      <c r="J389" s="102"/>
      <c r="K389" s="102"/>
      <c r="L389" s="54"/>
      <c r="M389" s="54"/>
      <c r="N389" s="54"/>
      <c r="P389" s="44"/>
    </row>
    <row r="390">
      <c r="A390" s="54"/>
      <c r="B390" s="102"/>
      <c r="C390" s="102"/>
      <c r="D390" s="102"/>
      <c r="E390" s="177"/>
      <c r="F390" s="177"/>
      <c r="G390" s="102"/>
      <c r="H390" s="102"/>
      <c r="I390" s="102"/>
      <c r="J390" s="102"/>
      <c r="K390" s="102"/>
      <c r="L390" s="54"/>
      <c r="M390" s="54"/>
      <c r="N390" s="54"/>
      <c r="P390" s="44"/>
    </row>
    <row r="391">
      <c r="A391" s="54"/>
      <c r="B391" s="102"/>
      <c r="C391" s="102"/>
      <c r="D391" s="102"/>
      <c r="E391" s="177"/>
      <c r="F391" s="177"/>
      <c r="G391" s="102"/>
      <c r="H391" s="102"/>
      <c r="I391" s="102"/>
      <c r="J391" s="102"/>
      <c r="K391" s="102"/>
      <c r="L391" s="54"/>
      <c r="M391" s="54"/>
      <c r="N391" s="54"/>
      <c r="P391" s="44"/>
    </row>
    <row r="392">
      <c r="A392" s="54"/>
      <c r="B392" s="102"/>
      <c r="C392" s="102"/>
      <c r="D392" s="102"/>
      <c r="E392" s="177"/>
      <c r="F392" s="177"/>
      <c r="G392" s="102"/>
      <c r="H392" s="102"/>
      <c r="I392" s="102"/>
      <c r="J392" s="102"/>
      <c r="K392" s="102"/>
      <c r="L392" s="54"/>
      <c r="M392" s="54"/>
      <c r="N392" s="54"/>
      <c r="P392" s="44"/>
    </row>
    <row r="393">
      <c r="A393" s="54"/>
      <c r="B393" s="102"/>
      <c r="C393" s="102"/>
      <c r="D393" s="102"/>
      <c r="E393" s="177"/>
      <c r="F393" s="177"/>
      <c r="G393" s="102"/>
      <c r="H393" s="102"/>
      <c r="I393" s="102"/>
      <c r="J393" s="102"/>
      <c r="K393" s="102"/>
      <c r="L393" s="54"/>
      <c r="M393" s="54"/>
      <c r="N393" s="54"/>
      <c r="P393" s="44"/>
    </row>
    <row r="394">
      <c r="A394" s="54"/>
      <c r="B394" s="102"/>
      <c r="C394" s="102"/>
      <c r="D394" s="102"/>
      <c r="E394" s="177"/>
      <c r="F394" s="177"/>
      <c r="G394" s="102"/>
      <c r="H394" s="102"/>
      <c r="I394" s="102"/>
      <c r="J394" s="102"/>
      <c r="K394" s="102"/>
      <c r="L394" s="54"/>
      <c r="M394" s="54"/>
      <c r="N394" s="54"/>
      <c r="P394" s="44"/>
    </row>
    <row r="395">
      <c r="A395" s="54"/>
      <c r="B395" s="102"/>
      <c r="C395" s="102"/>
      <c r="D395" s="102"/>
      <c r="E395" s="177"/>
      <c r="F395" s="177"/>
      <c r="G395" s="102"/>
      <c r="H395" s="102"/>
      <c r="I395" s="102"/>
      <c r="J395" s="102"/>
      <c r="K395" s="102"/>
      <c r="L395" s="54"/>
      <c r="M395" s="54"/>
      <c r="N395" s="54"/>
      <c r="P395" s="44"/>
    </row>
    <row r="396">
      <c r="A396" s="54"/>
      <c r="B396" s="102"/>
      <c r="C396" s="102"/>
      <c r="D396" s="102"/>
      <c r="E396" s="177"/>
      <c r="F396" s="177"/>
      <c r="G396" s="102"/>
      <c r="H396" s="102"/>
      <c r="I396" s="102"/>
      <c r="J396" s="102"/>
      <c r="K396" s="102"/>
      <c r="L396" s="54"/>
      <c r="M396" s="54"/>
      <c r="N396" s="54"/>
      <c r="P396" s="44"/>
    </row>
    <row r="397">
      <c r="A397" s="54"/>
      <c r="B397" s="102"/>
      <c r="C397" s="102"/>
      <c r="D397" s="102"/>
      <c r="E397" s="177"/>
      <c r="F397" s="177"/>
      <c r="G397" s="102"/>
      <c r="H397" s="102"/>
      <c r="I397" s="102"/>
      <c r="J397" s="102"/>
      <c r="K397" s="102"/>
      <c r="L397" s="54"/>
      <c r="M397" s="54"/>
      <c r="N397" s="54"/>
      <c r="P397" s="44"/>
    </row>
    <row r="398">
      <c r="A398" s="54"/>
      <c r="B398" s="102"/>
      <c r="C398" s="102"/>
      <c r="D398" s="102"/>
      <c r="E398" s="177"/>
      <c r="F398" s="177"/>
      <c r="G398" s="102"/>
      <c r="H398" s="102"/>
      <c r="I398" s="102"/>
      <c r="J398" s="102"/>
      <c r="K398" s="102"/>
      <c r="L398" s="54"/>
      <c r="M398" s="54"/>
      <c r="N398" s="54"/>
      <c r="P398" s="44"/>
    </row>
    <row r="399">
      <c r="A399" s="54"/>
      <c r="B399" s="102"/>
      <c r="C399" s="102"/>
      <c r="D399" s="102"/>
      <c r="E399" s="177"/>
      <c r="F399" s="177"/>
      <c r="G399" s="102"/>
      <c r="H399" s="102"/>
      <c r="I399" s="102"/>
      <c r="J399" s="102"/>
      <c r="K399" s="102"/>
      <c r="L399" s="54"/>
      <c r="M399" s="54"/>
      <c r="N399" s="54"/>
      <c r="P399" s="44"/>
    </row>
    <row r="400">
      <c r="A400" s="54"/>
      <c r="B400" s="102"/>
      <c r="C400" s="102"/>
      <c r="D400" s="102"/>
      <c r="E400" s="177"/>
      <c r="F400" s="177"/>
      <c r="G400" s="102"/>
      <c r="H400" s="102"/>
      <c r="I400" s="102"/>
      <c r="J400" s="102"/>
      <c r="K400" s="102"/>
      <c r="L400" s="54"/>
      <c r="M400" s="54"/>
      <c r="N400" s="54"/>
      <c r="P400" s="44"/>
    </row>
    <row r="401">
      <c r="A401" s="54"/>
      <c r="B401" s="102"/>
      <c r="C401" s="102"/>
      <c r="D401" s="102"/>
      <c r="E401" s="177"/>
      <c r="F401" s="177"/>
      <c r="G401" s="102"/>
      <c r="H401" s="102"/>
      <c r="I401" s="102"/>
      <c r="J401" s="102"/>
      <c r="K401" s="102"/>
      <c r="L401" s="54"/>
      <c r="M401" s="54"/>
      <c r="N401" s="54"/>
      <c r="P401" s="44"/>
    </row>
    <row r="402">
      <c r="A402" s="54"/>
      <c r="B402" s="102"/>
      <c r="C402" s="102"/>
      <c r="D402" s="102"/>
      <c r="E402" s="177"/>
      <c r="F402" s="177"/>
      <c r="G402" s="102"/>
      <c r="H402" s="102"/>
      <c r="I402" s="102"/>
      <c r="J402" s="102"/>
      <c r="K402" s="102"/>
      <c r="L402" s="54"/>
      <c r="M402" s="54"/>
      <c r="N402" s="54"/>
      <c r="P402" s="44"/>
    </row>
    <row r="403">
      <c r="A403" s="54"/>
      <c r="B403" s="102"/>
      <c r="C403" s="102"/>
      <c r="D403" s="102"/>
      <c r="E403" s="177"/>
      <c r="F403" s="177"/>
      <c r="G403" s="102"/>
      <c r="H403" s="102"/>
      <c r="I403" s="102"/>
      <c r="J403" s="102"/>
      <c r="K403" s="102"/>
      <c r="L403" s="54"/>
      <c r="M403" s="54"/>
      <c r="N403" s="54"/>
      <c r="P403" s="44"/>
    </row>
    <row r="404">
      <c r="A404" s="54"/>
      <c r="B404" s="102"/>
      <c r="C404" s="102"/>
      <c r="D404" s="102"/>
      <c r="E404" s="177"/>
      <c r="F404" s="177"/>
      <c r="G404" s="102"/>
      <c r="H404" s="102"/>
      <c r="I404" s="102"/>
      <c r="J404" s="102"/>
      <c r="K404" s="102"/>
      <c r="L404" s="54"/>
      <c r="M404" s="54"/>
      <c r="N404" s="54"/>
      <c r="P404" s="44"/>
    </row>
    <row r="405">
      <c r="A405" s="54"/>
      <c r="B405" s="102"/>
      <c r="C405" s="102"/>
      <c r="D405" s="102"/>
      <c r="E405" s="177"/>
      <c r="F405" s="177"/>
      <c r="G405" s="102"/>
      <c r="H405" s="102"/>
      <c r="I405" s="102"/>
      <c r="J405" s="102"/>
      <c r="K405" s="102"/>
      <c r="L405" s="54"/>
      <c r="M405" s="54"/>
      <c r="N405" s="54"/>
      <c r="P405" s="44"/>
    </row>
    <row r="406">
      <c r="A406" s="54"/>
      <c r="B406" s="102"/>
      <c r="C406" s="102"/>
      <c r="D406" s="102"/>
      <c r="E406" s="177"/>
      <c r="F406" s="177"/>
      <c r="G406" s="102"/>
      <c r="H406" s="102"/>
      <c r="I406" s="102"/>
      <c r="J406" s="102"/>
      <c r="K406" s="102"/>
      <c r="L406" s="54"/>
      <c r="M406" s="54"/>
      <c r="N406" s="54"/>
      <c r="P406" s="44"/>
    </row>
    <row r="407">
      <c r="A407" s="54"/>
      <c r="B407" s="102"/>
      <c r="C407" s="102"/>
      <c r="D407" s="102"/>
      <c r="E407" s="177"/>
      <c r="F407" s="177"/>
      <c r="G407" s="102"/>
      <c r="H407" s="102"/>
      <c r="I407" s="102"/>
      <c r="J407" s="102"/>
      <c r="K407" s="102"/>
      <c r="L407" s="54"/>
      <c r="M407" s="54"/>
      <c r="N407" s="54"/>
      <c r="P407" s="44"/>
    </row>
    <row r="408">
      <c r="A408" s="54"/>
      <c r="B408" s="102"/>
      <c r="C408" s="102"/>
      <c r="D408" s="102"/>
      <c r="E408" s="177"/>
      <c r="F408" s="177"/>
      <c r="G408" s="102"/>
      <c r="H408" s="102"/>
      <c r="I408" s="102"/>
      <c r="J408" s="102"/>
      <c r="K408" s="102"/>
      <c r="L408" s="54"/>
      <c r="M408" s="54"/>
      <c r="N408" s="54"/>
      <c r="P408" s="44"/>
    </row>
    <row r="409">
      <c r="A409" s="54"/>
      <c r="B409" s="102"/>
      <c r="C409" s="102"/>
      <c r="D409" s="102"/>
      <c r="E409" s="177"/>
      <c r="F409" s="177"/>
      <c r="G409" s="102"/>
      <c r="H409" s="102"/>
      <c r="I409" s="102"/>
      <c r="J409" s="102"/>
      <c r="K409" s="102"/>
      <c r="L409" s="54"/>
      <c r="M409" s="54"/>
      <c r="N409" s="54"/>
      <c r="P409" s="44"/>
    </row>
    <row r="410">
      <c r="A410" s="54"/>
      <c r="B410" s="102"/>
      <c r="C410" s="102"/>
      <c r="D410" s="102"/>
      <c r="E410" s="177"/>
      <c r="F410" s="177"/>
      <c r="G410" s="102"/>
      <c r="H410" s="102"/>
      <c r="I410" s="102"/>
      <c r="J410" s="102"/>
      <c r="K410" s="102"/>
      <c r="L410" s="54"/>
      <c r="M410" s="54"/>
      <c r="N410" s="54"/>
      <c r="P410" s="44"/>
    </row>
    <row r="411">
      <c r="A411" s="54"/>
      <c r="B411" s="102"/>
      <c r="C411" s="102"/>
      <c r="D411" s="102"/>
      <c r="E411" s="177"/>
      <c r="F411" s="177"/>
      <c r="G411" s="102"/>
      <c r="H411" s="102"/>
      <c r="I411" s="102"/>
      <c r="J411" s="102"/>
      <c r="K411" s="102"/>
      <c r="L411" s="54"/>
      <c r="M411" s="54"/>
      <c r="N411" s="54"/>
      <c r="P411" s="44"/>
    </row>
    <row r="412">
      <c r="A412" s="54"/>
      <c r="B412" s="102"/>
      <c r="C412" s="102"/>
      <c r="D412" s="102"/>
      <c r="E412" s="177"/>
      <c r="F412" s="177"/>
      <c r="G412" s="102"/>
      <c r="H412" s="102"/>
      <c r="I412" s="102"/>
      <c r="J412" s="102"/>
      <c r="K412" s="102"/>
      <c r="L412" s="54"/>
      <c r="M412" s="54"/>
      <c r="N412" s="54"/>
      <c r="P412" s="44"/>
    </row>
    <row r="413">
      <c r="A413" s="54"/>
      <c r="B413" s="102"/>
      <c r="C413" s="102"/>
      <c r="D413" s="102"/>
      <c r="E413" s="177"/>
      <c r="F413" s="177"/>
      <c r="G413" s="102"/>
      <c r="H413" s="102"/>
      <c r="I413" s="102"/>
      <c r="J413" s="102"/>
      <c r="K413" s="102"/>
      <c r="L413" s="54"/>
      <c r="M413" s="54"/>
      <c r="N413" s="54"/>
      <c r="P413" s="44"/>
    </row>
    <row r="414">
      <c r="A414" s="54"/>
      <c r="B414" s="102"/>
      <c r="C414" s="102"/>
      <c r="D414" s="102"/>
      <c r="E414" s="177"/>
      <c r="F414" s="177"/>
      <c r="G414" s="102"/>
      <c r="H414" s="102"/>
      <c r="I414" s="102"/>
      <c r="J414" s="102"/>
      <c r="K414" s="102"/>
      <c r="L414" s="54"/>
      <c r="M414" s="54"/>
      <c r="N414" s="54"/>
      <c r="P414" s="44"/>
    </row>
    <row r="415">
      <c r="A415" s="54"/>
      <c r="B415" s="102"/>
      <c r="C415" s="102"/>
      <c r="D415" s="102"/>
      <c r="E415" s="177"/>
      <c r="F415" s="177"/>
      <c r="G415" s="102"/>
      <c r="H415" s="102"/>
      <c r="I415" s="102"/>
      <c r="J415" s="102"/>
      <c r="K415" s="102"/>
      <c r="L415" s="54"/>
      <c r="M415" s="54"/>
      <c r="N415" s="54"/>
      <c r="P415" s="44"/>
    </row>
    <row r="416">
      <c r="A416" s="54"/>
      <c r="B416" s="102"/>
      <c r="C416" s="102"/>
      <c r="D416" s="102"/>
      <c r="E416" s="177"/>
      <c r="F416" s="177"/>
      <c r="G416" s="102"/>
      <c r="H416" s="102"/>
      <c r="I416" s="102"/>
      <c r="J416" s="102"/>
      <c r="K416" s="102"/>
      <c r="L416" s="54"/>
      <c r="M416" s="54"/>
      <c r="N416" s="54"/>
      <c r="P416" s="44"/>
    </row>
    <row r="417">
      <c r="A417" s="54"/>
      <c r="B417" s="102"/>
      <c r="C417" s="102"/>
      <c r="D417" s="102"/>
      <c r="E417" s="177"/>
      <c r="F417" s="177"/>
      <c r="G417" s="102"/>
      <c r="H417" s="102"/>
      <c r="I417" s="102"/>
      <c r="J417" s="102"/>
      <c r="K417" s="102"/>
      <c r="L417" s="54"/>
      <c r="M417" s="54"/>
      <c r="N417" s="54"/>
      <c r="P417" s="44"/>
    </row>
    <row r="418">
      <c r="A418" s="54"/>
      <c r="B418" s="102"/>
      <c r="C418" s="102"/>
      <c r="D418" s="102"/>
      <c r="E418" s="177"/>
      <c r="F418" s="177"/>
      <c r="G418" s="102"/>
      <c r="H418" s="102"/>
      <c r="I418" s="102"/>
      <c r="J418" s="102"/>
      <c r="K418" s="102"/>
      <c r="L418" s="54"/>
      <c r="M418" s="54"/>
      <c r="N418" s="54"/>
      <c r="P418" s="44"/>
    </row>
    <row r="419">
      <c r="A419" s="54"/>
      <c r="B419" s="102"/>
      <c r="C419" s="102"/>
      <c r="D419" s="102"/>
      <c r="E419" s="177"/>
      <c r="F419" s="177"/>
      <c r="G419" s="102"/>
      <c r="H419" s="102"/>
      <c r="I419" s="102"/>
      <c r="J419" s="102"/>
      <c r="K419" s="102"/>
      <c r="L419" s="54"/>
      <c r="M419" s="54"/>
      <c r="N419" s="54"/>
      <c r="P419" s="44"/>
    </row>
    <row r="420">
      <c r="A420" s="54"/>
      <c r="B420" s="54"/>
      <c r="C420" s="54"/>
      <c r="D420" s="54"/>
      <c r="E420" s="141"/>
      <c r="F420" s="141"/>
      <c r="G420" s="54"/>
      <c r="H420" s="54"/>
      <c r="I420" s="54"/>
      <c r="J420" s="54"/>
      <c r="K420" s="54"/>
      <c r="L420" s="54"/>
      <c r="M420" s="54"/>
      <c r="N420" s="54"/>
      <c r="P420" s="44"/>
    </row>
    <row r="421">
      <c r="A421" s="54"/>
      <c r="B421" s="54"/>
      <c r="C421" s="54"/>
      <c r="D421" s="54"/>
      <c r="E421" s="141"/>
      <c r="F421" s="141"/>
      <c r="G421" s="54"/>
      <c r="H421" s="54"/>
      <c r="I421" s="54"/>
      <c r="J421" s="54"/>
      <c r="K421" s="54"/>
      <c r="L421" s="54"/>
      <c r="M421" s="54"/>
      <c r="N421" s="54"/>
      <c r="P421" s="44"/>
    </row>
    <row r="422">
      <c r="A422" s="54"/>
      <c r="B422" s="54"/>
      <c r="C422" s="54"/>
      <c r="D422" s="54"/>
      <c r="E422" s="141"/>
      <c r="F422" s="141"/>
      <c r="G422" s="54"/>
      <c r="H422" s="54"/>
      <c r="I422" s="54"/>
      <c r="J422" s="54"/>
      <c r="K422" s="54"/>
      <c r="L422" s="54"/>
      <c r="M422" s="54"/>
      <c r="N422" s="54"/>
      <c r="P422" s="44"/>
    </row>
    <row r="423">
      <c r="A423" s="54"/>
      <c r="B423" s="54"/>
      <c r="C423" s="54"/>
      <c r="D423" s="54"/>
      <c r="E423" s="141"/>
      <c r="F423" s="141"/>
      <c r="G423" s="54"/>
      <c r="H423" s="54"/>
      <c r="I423" s="54"/>
      <c r="J423" s="54"/>
      <c r="K423" s="54"/>
      <c r="L423" s="54"/>
      <c r="M423" s="54"/>
      <c r="N423" s="54"/>
      <c r="P423" s="44"/>
    </row>
    <row r="424">
      <c r="A424" s="54"/>
      <c r="B424" s="54"/>
      <c r="C424" s="54"/>
      <c r="D424" s="54"/>
      <c r="E424" s="141"/>
      <c r="F424" s="141"/>
      <c r="G424" s="54"/>
      <c r="H424" s="54"/>
      <c r="I424" s="54"/>
      <c r="J424" s="54"/>
      <c r="K424" s="54"/>
      <c r="L424" s="54"/>
      <c r="M424" s="54"/>
      <c r="N424" s="54"/>
      <c r="P424" s="44"/>
    </row>
    <row r="425">
      <c r="A425" s="54"/>
      <c r="B425" s="54"/>
      <c r="C425" s="54"/>
      <c r="D425" s="54"/>
      <c r="E425" s="141"/>
      <c r="F425" s="141"/>
      <c r="G425" s="54"/>
      <c r="H425" s="54"/>
      <c r="I425" s="54"/>
      <c r="J425" s="54"/>
      <c r="K425" s="54"/>
      <c r="L425" s="54"/>
      <c r="M425" s="54"/>
      <c r="N425" s="54"/>
      <c r="P425" s="44"/>
    </row>
    <row r="426">
      <c r="A426" s="54"/>
      <c r="B426" s="54"/>
      <c r="C426" s="54"/>
      <c r="D426" s="54"/>
      <c r="E426" s="141"/>
      <c r="F426" s="141"/>
      <c r="G426" s="54"/>
      <c r="H426" s="54"/>
      <c r="I426" s="54"/>
      <c r="J426" s="54"/>
      <c r="K426" s="54"/>
      <c r="L426" s="54"/>
      <c r="M426" s="54"/>
      <c r="N426" s="54"/>
      <c r="P426" s="44"/>
    </row>
    <row r="427">
      <c r="A427" s="54"/>
      <c r="B427" s="54"/>
      <c r="C427" s="54"/>
      <c r="D427" s="54"/>
      <c r="E427" s="141"/>
      <c r="F427" s="141"/>
      <c r="G427" s="54"/>
      <c r="H427" s="54"/>
      <c r="I427" s="54"/>
      <c r="J427" s="54"/>
      <c r="K427" s="54"/>
      <c r="L427" s="54"/>
      <c r="M427" s="54"/>
      <c r="N427" s="54"/>
      <c r="P427" s="44"/>
    </row>
    <row r="428">
      <c r="A428" s="54"/>
      <c r="B428" s="54"/>
      <c r="C428" s="54"/>
      <c r="D428" s="54"/>
      <c r="E428" s="141"/>
      <c r="F428" s="141"/>
      <c r="G428" s="54"/>
      <c r="H428" s="54"/>
      <c r="I428" s="54"/>
      <c r="J428" s="54"/>
      <c r="K428" s="54"/>
      <c r="L428" s="54"/>
      <c r="M428" s="54"/>
      <c r="N428" s="54"/>
      <c r="P428" s="44"/>
    </row>
    <row r="429">
      <c r="A429" s="54"/>
      <c r="B429" s="54"/>
      <c r="C429" s="54"/>
      <c r="D429" s="54"/>
      <c r="E429" s="141"/>
      <c r="F429" s="141"/>
      <c r="G429" s="54"/>
      <c r="H429" s="54"/>
      <c r="I429" s="54"/>
      <c r="J429" s="54"/>
      <c r="K429" s="54"/>
      <c r="L429" s="54"/>
      <c r="M429" s="54"/>
      <c r="N429" s="54"/>
      <c r="P429" s="44"/>
    </row>
    <row r="430">
      <c r="A430" s="54"/>
      <c r="B430" s="54"/>
      <c r="C430" s="54"/>
      <c r="D430" s="54"/>
      <c r="E430" s="141"/>
      <c r="F430" s="141"/>
      <c r="G430" s="54"/>
      <c r="H430" s="54"/>
      <c r="I430" s="54"/>
      <c r="J430" s="54"/>
      <c r="K430" s="54"/>
      <c r="L430" s="54"/>
      <c r="M430" s="54"/>
      <c r="N430" s="54"/>
      <c r="P430" s="44"/>
    </row>
    <row r="431">
      <c r="A431" s="54"/>
      <c r="B431" s="54"/>
      <c r="C431" s="54"/>
      <c r="D431" s="54"/>
      <c r="E431" s="141"/>
      <c r="F431" s="141"/>
      <c r="G431" s="54"/>
      <c r="H431" s="54"/>
      <c r="I431" s="54"/>
      <c r="J431" s="54"/>
      <c r="K431" s="54"/>
      <c r="L431" s="54"/>
      <c r="M431" s="54"/>
      <c r="N431" s="54"/>
      <c r="P431" s="44"/>
    </row>
    <row r="432">
      <c r="A432" s="54"/>
      <c r="B432" s="54"/>
      <c r="C432" s="54"/>
      <c r="D432" s="54"/>
      <c r="E432" s="141"/>
      <c r="F432" s="141"/>
      <c r="G432" s="54"/>
      <c r="H432" s="54"/>
      <c r="I432" s="54"/>
      <c r="J432" s="54"/>
      <c r="K432" s="54"/>
      <c r="L432" s="54"/>
      <c r="M432" s="54"/>
      <c r="N432" s="54"/>
      <c r="P432" s="44"/>
    </row>
    <row r="433">
      <c r="A433" s="54"/>
      <c r="B433" s="54"/>
      <c r="C433" s="54"/>
      <c r="D433" s="54"/>
      <c r="E433" s="141"/>
      <c r="F433" s="141"/>
      <c r="G433" s="54"/>
      <c r="H433" s="54"/>
      <c r="I433" s="54"/>
      <c r="J433" s="54"/>
      <c r="K433" s="54"/>
      <c r="L433" s="54"/>
      <c r="M433" s="54"/>
      <c r="N433" s="54"/>
      <c r="P433" s="44"/>
    </row>
    <row r="434">
      <c r="A434" s="54"/>
      <c r="B434" s="54"/>
      <c r="C434" s="54"/>
      <c r="D434" s="54"/>
      <c r="E434" s="141"/>
      <c r="F434" s="141"/>
      <c r="G434" s="54"/>
      <c r="H434" s="54"/>
      <c r="I434" s="54"/>
      <c r="J434" s="54"/>
      <c r="K434" s="54"/>
      <c r="L434" s="54"/>
      <c r="M434" s="54"/>
      <c r="N434" s="54"/>
      <c r="P434" s="44"/>
    </row>
    <row r="435">
      <c r="A435" s="54"/>
      <c r="B435" s="54"/>
      <c r="C435" s="54"/>
      <c r="D435" s="54"/>
      <c r="E435" s="141"/>
      <c r="F435" s="141"/>
      <c r="G435" s="54"/>
      <c r="H435" s="54"/>
      <c r="I435" s="54"/>
      <c r="J435" s="54"/>
      <c r="K435" s="54"/>
      <c r="L435" s="54"/>
      <c r="M435" s="54"/>
      <c r="N435" s="54"/>
      <c r="P435" s="44"/>
    </row>
    <row r="436">
      <c r="A436" s="54"/>
      <c r="B436" s="54"/>
      <c r="C436" s="54"/>
      <c r="D436" s="54"/>
      <c r="E436" s="141"/>
      <c r="F436" s="141"/>
      <c r="G436" s="54"/>
      <c r="H436" s="54"/>
      <c r="I436" s="54"/>
      <c r="J436" s="54"/>
      <c r="K436" s="54"/>
      <c r="L436" s="54"/>
      <c r="M436" s="54"/>
      <c r="N436" s="54"/>
      <c r="P436" s="44"/>
    </row>
    <row r="437">
      <c r="A437" s="54"/>
      <c r="B437" s="54"/>
      <c r="C437" s="54"/>
      <c r="D437" s="54"/>
      <c r="E437" s="141"/>
      <c r="F437" s="141"/>
      <c r="G437" s="54"/>
      <c r="H437" s="54"/>
      <c r="I437" s="54"/>
      <c r="J437" s="54"/>
      <c r="K437" s="54"/>
      <c r="L437" s="54"/>
      <c r="M437" s="54"/>
      <c r="N437" s="54"/>
      <c r="P437" s="44"/>
    </row>
    <row r="438">
      <c r="A438" s="54"/>
      <c r="B438" s="54"/>
      <c r="C438" s="54"/>
      <c r="D438" s="54"/>
      <c r="E438" s="141"/>
      <c r="F438" s="141"/>
      <c r="G438" s="54"/>
      <c r="H438" s="54"/>
      <c r="I438" s="54"/>
      <c r="J438" s="54"/>
      <c r="K438" s="54"/>
      <c r="L438" s="54"/>
      <c r="M438" s="54"/>
      <c r="N438" s="54"/>
      <c r="P438" s="44"/>
    </row>
    <row r="439">
      <c r="A439" s="54"/>
      <c r="B439" s="54"/>
      <c r="C439" s="54"/>
      <c r="D439" s="54"/>
      <c r="E439" s="141"/>
      <c r="F439" s="141"/>
      <c r="G439" s="54"/>
      <c r="H439" s="54"/>
      <c r="I439" s="54"/>
      <c r="J439" s="54"/>
      <c r="K439" s="54"/>
      <c r="L439" s="54"/>
      <c r="M439" s="54"/>
      <c r="N439" s="54"/>
      <c r="P439" s="44"/>
    </row>
    <row r="440">
      <c r="A440" s="54"/>
      <c r="B440" s="54"/>
      <c r="C440" s="54"/>
      <c r="D440" s="54"/>
      <c r="E440" s="141"/>
      <c r="F440" s="141"/>
      <c r="G440" s="54"/>
      <c r="H440" s="54"/>
      <c r="I440" s="54"/>
      <c r="J440" s="54"/>
      <c r="K440" s="54"/>
      <c r="L440" s="54"/>
      <c r="M440" s="54"/>
      <c r="N440" s="54"/>
      <c r="P440" s="44"/>
    </row>
    <row r="441">
      <c r="A441" s="54"/>
      <c r="B441" s="54"/>
      <c r="C441" s="54"/>
      <c r="D441" s="54"/>
      <c r="E441" s="141"/>
      <c r="F441" s="141"/>
      <c r="G441" s="54"/>
      <c r="H441" s="54"/>
      <c r="I441" s="54"/>
      <c r="J441" s="54"/>
      <c r="K441" s="54"/>
      <c r="L441" s="54"/>
      <c r="M441" s="54"/>
      <c r="N441" s="54"/>
      <c r="P441" s="44"/>
    </row>
    <row r="442">
      <c r="A442" s="54"/>
      <c r="B442" s="54"/>
      <c r="C442" s="54"/>
      <c r="D442" s="54"/>
      <c r="E442" s="141"/>
      <c r="F442" s="141"/>
      <c r="G442" s="54"/>
      <c r="H442" s="54"/>
      <c r="I442" s="54"/>
      <c r="J442" s="54"/>
      <c r="K442" s="54"/>
      <c r="L442" s="54"/>
      <c r="M442" s="54"/>
      <c r="N442" s="54"/>
      <c r="P442" s="44"/>
    </row>
    <row r="443">
      <c r="A443" s="54"/>
      <c r="B443" s="54"/>
      <c r="C443" s="54"/>
      <c r="D443" s="54"/>
      <c r="E443" s="141"/>
      <c r="F443" s="141"/>
      <c r="G443" s="54"/>
      <c r="H443" s="54"/>
      <c r="I443" s="54"/>
      <c r="J443" s="54"/>
      <c r="K443" s="54"/>
      <c r="L443" s="54"/>
      <c r="M443" s="54"/>
      <c r="N443" s="54"/>
      <c r="P443" s="44"/>
    </row>
    <row r="444">
      <c r="A444" s="54"/>
      <c r="B444" s="54"/>
      <c r="C444" s="54"/>
      <c r="D444" s="54"/>
      <c r="E444" s="141"/>
      <c r="F444" s="141"/>
      <c r="G444" s="54"/>
      <c r="H444" s="54"/>
      <c r="I444" s="54"/>
      <c r="J444" s="54"/>
      <c r="K444" s="54"/>
      <c r="L444" s="54"/>
      <c r="M444" s="54"/>
      <c r="N444" s="54"/>
      <c r="P444" s="44"/>
    </row>
    <row r="445">
      <c r="A445" s="54"/>
      <c r="B445" s="54"/>
      <c r="C445" s="54"/>
      <c r="D445" s="54"/>
      <c r="E445" s="141"/>
      <c r="F445" s="141"/>
      <c r="G445" s="54"/>
      <c r="H445" s="54"/>
      <c r="I445" s="54"/>
      <c r="J445" s="54"/>
      <c r="K445" s="54"/>
      <c r="L445" s="54"/>
      <c r="M445" s="54"/>
      <c r="N445" s="54"/>
      <c r="P445" s="44"/>
    </row>
    <row r="446">
      <c r="A446" s="54"/>
      <c r="B446" s="54"/>
      <c r="C446" s="54"/>
      <c r="D446" s="54"/>
      <c r="E446" s="141"/>
      <c r="F446" s="141"/>
      <c r="G446" s="54"/>
      <c r="H446" s="54"/>
      <c r="I446" s="54"/>
      <c r="J446" s="54"/>
      <c r="K446" s="54"/>
      <c r="L446" s="54"/>
      <c r="M446" s="54"/>
      <c r="N446" s="54"/>
      <c r="P446" s="44"/>
    </row>
    <row r="447">
      <c r="A447" s="54"/>
      <c r="B447" s="54"/>
      <c r="C447" s="54"/>
      <c r="D447" s="54"/>
      <c r="E447" s="141"/>
      <c r="F447" s="141"/>
      <c r="G447" s="54"/>
      <c r="H447" s="54"/>
      <c r="I447" s="54"/>
      <c r="J447" s="54"/>
      <c r="K447" s="54"/>
      <c r="L447" s="54"/>
      <c r="M447" s="54"/>
      <c r="N447" s="54"/>
      <c r="P447" s="44"/>
    </row>
    <row r="448">
      <c r="A448" s="54"/>
      <c r="B448" s="54"/>
      <c r="C448" s="54"/>
      <c r="D448" s="54"/>
      <c r="E448" s="141"/>
      <c r="F448" s="141"/>
      <c r="G448" s="54"/>
      <c r="H448" s="54"/>
      <c r="I448" s="54"/>
      <c r="J448" s="54"/>
      <c r="K448" s="54"/>
      <c r="L448" s="54"/>
      <c r="M448" s="54"/>
      <c r="N448" s="54"/>
      <c r="P448" s="44"/>
    </row>
    <row r="449">
      <c r="A449" s="54"/>
      <c r="B449" s="54"/>
      <c r="C449" s="54"/>
      <c r="D449" s="54"/>
      <c r="E449" s="141"/>
      <c r="F449" s="141"/>
      <c r="G449" s="54"/>
      <c r="H449" s="54"/>
      <c r="I449" s="54"/>
      <c r="J449" s="54"/>
      <c r="K449" s="54"/>
      <c r="L449" s="54"/>
      <c r="M449" s="54"/>
      <c r="N449" s="54"/>
      <c r="P449" s="44"/>
    </row>
    <row r="450">
      <c r="A450" s="54"/>
      <c r="B450" s="54"/>
      <c r="C450" s="54"/>
      <c r="D450" s="54"/>
      <c r="E450" s="141"/>
      <c r="F450" s="141"/>
      <c r="G450" s="54"/>
      <c r="H450" s="54"/>
      <c r="I450" s="54"/>
      <c r="J450" s="54"/>
      <c r="K450" s="54"/>
      <c r="L450" s="54"/>
      <c r="M450" s="54"/>
      <c r="N450" s="54"/>
      <c r="P450" s="44"/>
    </row>
    <row r="451">
      <c r="A451" s="54"/>
      <c r="B451" s="54"/>
      <c r="C451" s="54"/>
      <c r="D451" s="54"/>
      <c r="E451" s="141"/>
      <c r="F451" s="141"/>
      <c r="G451" s="54"/>
      <c r="H451" s="54"/>
      <c r="I451" s="54"/>
      <c r="J451" s="54"/>
      <c r="K451" s="54"/>
      <c r="L451" s="54"/>
      <c r="M451" s="54"/>
      <c r="N451" s="54"/>
      <c r="P451" s="44"/>
    </row>
    <row r="452">
      <c r="A452" s="54"/>
      <c r="B452" s="54"/>
      <c r="C452" s="54"/>
      <c r="D452" s="54"/>
      <c r="E452" s="141"/>
      <c r="F452" s="141"/>
      <c r="G452" s="54"/>
      <c r="H452" s="54"/>
      <c r="I452" s="54"/>
      <c r="J452" s="54"/>
      <c r="K452" s="54"/>
      <c r="L452" s="54"/>
      <c r="M452" s="54"/>
      <c r="N452" s="54"/>
      <c r="P452" s="44"/>
    </row>
    <row r="453">
      <c r="A453" s="54"/>
      <c r="B453" s="54"/>
      <c r="C453" s="54"/>
      <c r="D453" s="54"/>
      <c r="E453" s="141"/>
      <c r="F453" s="141"/>
      <c r="G453" s="54"/>
      <c r="H453" s="54"/>
      <c r="I453" s="54"/>
      <c r="J453" s="54"/>
      <c r="K453" s="54"/>
      <c r="L453" s="54"/>
      <c r="M453" s="54"/>
      <c r="N453" s="54"/>
      <c r="P453" s="44"/>
    </row>
    <row r="454">
      <c r="A454" s="54"/>
      <c r="B454" s="54"/>
      <c r="C454" s="54"/>
      <c r="D454" s="54"/>
      <c r="E454" s="141"/>
      <c r="F454" s="141"/>
      <c r="G454" s="54"/>
      <c r="H454" s="54"/>
      <c r="I454" s="54"/>
      <c r="J454" s="54"/>
      <c r="K454" s="54"/>
      <c r="L454" s="54"/>
      <c r="M454" s="54"/>
      <c r="N454" s="54"/>
      <c r="P454" s="44"/>
    </row>
    <row r="455">
      <c r="A455" s="54"/>
      <c r="B455" s="54"/>
      <c r="C455" s="54"/>
      <c r="D455" s="54"/>
      <c r="E455" s="141"/>
      <c r="F455" s="141"/>
      <c r="G455" s="54"/>
      <c r="H455" s="54"/>
      <c r="I455" s="54"/>
      <c r="J455" s="54"/>
      <c r="K455" s="54"/>
      <c r="L455" s="54"/>
      <c r="M455" s="54"/>
      <c r="N455" s="54"/>
      <c r="P455" s="44"/>
    </row>
    <row r="456">
      <c r="A456" s="54"/>
      <c r="B456" s="54"/>
      <c r="C456" s="54"/>
      <c r="D456" s="54"/>
      <c r="E456" s="141"/>
      <c r="F456" s="141"/>
      <c r="G456" s="54"/>
      <c r="H456" s="54"/>
      <c r="I456" s="54"/>
      <c r="J456" s="54"/>
      <c r="K456" s="54"/>
      <c r="L456" s="54"/>
      <c r="M456" s="54"/>
      <c r="N456" s="54"/>
      <c r="P456" s="44"/>
    </row>
    <row r="457">
      <c r="A457" s="54"/>
      <c r="B457" s="54"/>
      <c r="C457" s="54"/>
      <c r="D457" s="54"/>
      <c r="E457" s="141"/>
      <c r="F457" s="141"/>
      <c r="G457" s="54"/>
      <c r="H457" s="54"/>
      <c r="I457" s="54"/>
      <c r="J457" s="54"/>
      <c r="K457" s="54"/>
      <c r="L457" s="54"/>
      <c r="M457" s="54"/>
      <c r="N457" s="54"/>
      <c r="P457" s="44"/>
    </row>
    <row r="458">
      <c r="A458" s="54"/>
      <c r="B458" s="54"/>
      <c r="C458" s="54"/>
      <c r="D458" s="54"/>
      <c r="E458" s="141"/>
      <c r="F458" s="141"/>
      <c r="G458" s="54"/>
      <c r="H458" s="54"/>
      <c r="I458" s="54"/>
      <c r="J458" s="54"/>
      <c r="K458" s="54"/>
      <c r="L458" s="54"/>
      <c r="M458" s="54"/>
      <c r="N458" s="54"/>
      <c r="P458" s="44"/>
    </row>
    <row r="459">
      <c r="A459" s="54"/>
      <c r="B459" s="54"/>
      <c r="C459" s="54"/>
      <c r="D459" s="54"/>
      <c r="E459" s="141"/>
      <c r="F459" s="141"/>
      <c r="G459" s="54"/>
      <c r="H459" s="54"/>
      <c r="I459" s="54"/>
      <c r="J459" s="54"/>
      <c r="K459" s="54"/>
      <c r="L459" s="54"/>
      <c r="M459" s="54"/>
      <c r="N459" s="54"/>
      <c r="P459" s="44"/>
    </row>
    <row r="460">
      <c r="A460" s="54"/>
      <c r="B460" s="54"/>
      <c r="C460" s="54"/>
      <c r="D460" s="54"/>
      <c r="E460" s="141"/>
      <c r="F460" s="141"/>
      <c r="G460" s="54"/>
      <c r="H460" s="54"/>
      <c r="I460" s="54"/>
      <c r="J460" s="54"/>
      <c r="K460" s="54"/>
      <c r="L460" s="54"/>
      <c r="M460" s="54"/>
      <c r="N460" s="54"/>
      <c r="P460" s="44"/>
    </row>
    <row r="461">
      <c r="A461" s="54"/>
      <c r="B461" s="54"/>
      <c r="C461" s="54"/>
      <c r="D461" s="54"/>
      <c r="E461" s="141"/>
      <c r="F461" s="141"/>
      <c r="G461" s="54"/>
      <c r="H461" s="54"/>
      <c r="I461" s="54"/>
      <c r="J461" s="54"/>
      <c r="K461" s="54"/>
      <c r="L461" s="54"/>
      <c r="M461" s="54"/>
      <c r="N461" s="54"/>
      <c r="P461" s="44"/>
    </row>
    <row r="462">
      <c r="A462" s="54"/>
      <c r="B462" s="54"/>
      <c r="C462" s="54"/>
      <c r="D462" s="54"/>
      <c r="E462" s="141"/>
      <c r="F462" s="141"/>
      <c r="G462" s="54"/>
      <c r="H462" s="54"/>
      <c r="I462" s="54"/>
      <c r="J462" s="54"/>
      <c r="K462" s="54"/>
      <c r="L462" s="54"/>
      <c r="M462" s="54"/>
      <c r="N462" s="54"/>
      <c r="P462" s="44"/>
    </row>
    <row r="463">
      <c r="A463" s="54"/>
      <c r="B463" s="54"/>
      <c r="C463" s="54"/>
      <c r="D463" s="54"/>
      <c r="E463" s="141"/>
      <c r="F463" s="141"/>
      <c r="G463" s="54"/>
      <c r="H463" s="54"/>
      <c r="I463" s="54"/>
      <c r="J463" s="54"/>
      <c r="K463" s="54"/>
      <c r="L463" s="54"/>
      <c r="M463" s="54"/>
      <c r="N463" s="54"/>
      <c r="P463" s="44"/>
    </row>
    <row r="464">
      <c r="A464" s="54"/>
      <c r="B464" s="54"/>
      <c r="C464" s="54"/>
      <c r="D464" s="54"/>
      <c r="E464" s="141"/>
      <c r="F464" s="141"/>
      <c r="G464" s="54"/>
      <c r="H464" s="54"/>
      <c r="I464" s="54"/>
      <c r="J464" s="54"/>
      <c r="K464" s="54"/>
      <c r="L464" s="54"/>
      <c r="M464" s="54"/>
      <c r="N464" s="54"/>
      <c r="P464" s="44"/>
    </row>
    <row r="465">
      <c r="A465" s="54"/>
      <c r="B465" s="54"/>
      <c r="C465" s="54"/>
      <c r="D465" s="54"/>
      <c r="E465" s="141"/>
      <c r="F465" s="141"/>
      <c r="G465" s="54"/>
      <c r="H465" s="54"/>
      <c r="I465" s="54"/>
      <c r="J465" s="54"/>
      <c r="K465" s="54"/>
      <c r="L465" s="54"/>
      <c r="M465" s="54"/>
      <c r="N465" s="54"/>
      <c r="P465" s="44"/>
    </row>
    <row r="466">
      <c r="A466" s="54"/>
      <c r="B466" s="54"/>
      <c r="C466" s="54"/>
      <c r="D466" s="54"/>
      <c r="E466" s="141"/>
      <c r="F466" s="141"/>
      <c r="G466" s="54"/>
      <c r="H466" s="54"/>
      <c r="I466" s="54"/>
      <c r="J466" s="54"/>
      <c r="K466" s="54"/>
      <c r="L466" s="54"/>
      <c r="M466" s="54"/>
      <c r="N466" s="54"/>
      <c r="P466" s="44"/>
    </row>
    <row r="467">
      <c r="A467" s="54"/>
      <c r="B467" s="54"/>
      <c r="C467" s="54"/>
      <c r="D467" s="54"/>
      <c r="E467" s="141"/>
      <c r="F467" s="141"/>
      <c r="G467" s="54"/>
      <c r="H467" s="54"/>
      <c r="I467" s="54"/>
      <c r="J467" s="54"/>
      <c r="K467" s="54"/>
      <c r="L467" s="54"/>
      <c r="M467" s="54"/>
      <c r="N467" s="54"/>
      <c r="P467" s="44"/>
    </row>
    <row r="468">
      <c r="A468" s="54"/>
      <c r="B468" s="54"/>
      <c r="C468" s="54"/>
      <c r="D468" s="54"/>
      <c r="E468" s="141"/>
      <c r="F468" s="141"/>
      <c r="G468" s="54"/>
      <c r="H468" s="54"/>
      <c r="I468" s="54"/>
      <c r="J468" s="54"/>
      <c r="K468" s="54"/>
      <c r="L468" s="54"/>
      <c r="M468" s="54"/>
      <c r="N468" s="54"/>
      <c r="P468" s="44"/>
    </row>
    <row r="469">
      <c r="A469" s="54"/>
      <c r="B469" s="54"/>
      <c r="C469" s="54"/>
      <c r="D469" s="54"/>
      <c r="E469" s="141"/>
      <c r="F469" s="141"/>
      <c r="G469" s="54"/>
      <c r="H469" s="54"/>
      <c r="I469" s="54"/>
      <c r="J469" s="54"/>
      <c r="K469" s="54"/>
      <c r="L469" s="54"/>
      <c r="M469" s="54"/>
      <c r="N469" s="54"/>
      <c r="P469" s="44"/>
    </row>
    <row r="470">
      <c r="A470" s="54"/>
      <c r="B470" s="54"/>
      <c r="C470" s="54"/>
      <c r="D470" s="54"/>
      <c r="E470" s="141"/>
      <c r="F470" s="141"/>
      <c r="G470" s="54"/>
      <c r="H470" s="54"/>
      <c r="I470" s="54"/>
      <c r="J470" s="54"/>
      <c r="K470" s="54"/>
      <c r="L470" s="54"/>
      <c r="M470" s="54"/>
      <c r="N470" s="54"/>
      <c r="P470" s="44"/>
    </row>
    <row r="471">
      <c r="A471" s="54"/>
      <c r="B471" s="54"/>
      <c r="C471" s="54"/>
      <c r="D471" s="54"/>
      <c r="E471" s="141"/>
      <c r="F471" s="141"/>
      <c r="G471" s="54"/>
      <c r="H471" s="54"/>
      <c r="I471" s="54"/>
      <c r="J471" s="54"/>
      <c r="K471" s="54"/>
      <c r="L471" s="54"/>
      <c r="M471" s="54"/>
      <c r="N471" s="54"/>
      <c r="P471" s="44"/>
    </row>
    <row r="472">
      <c r="A472" s="54"/>
      <c r="B472" s="54"/>
      <c r="C472" s="54"/>
      <c r="D472" s="54"/>
      <c r="E472" s="141"/>
      <c r="F472" s="141"/>
      <c r="G472" s="54"/>
      <c r="H472" s="54"/>
      <c r="I472" s="54"/>
      <c r="J472" s="54"/>
      <c r="K472" s="54"/>
      <c r="L472" s="54"/>
      <c r="M472" s="54"/>
      <c r="N472" s="54"/>
      <c r="P472" s="44"/>
    </row>
    <row r="473">
      <c r="A473" s="54"/>
      <c r="B473" s="54"/>
      <c r="C473" s="54"/>
      <c r="D473" s="54"/>
      <c r="E473" s="141"/>
      <c r="F473" s="141"/>
      <c r="G473" s="54"/>
      <c r="H473" s="54"/>
      <c r="I473" s="54"/>
      <c r="J473" s="54"/>
      <c r="K473" s="54"/>
      <c r="L473" s="54"/>
      <c r="M473" s="54"/>
      <c r="N473" s="54"/>
      <c r="P473" s="44"/>
    </row>
    <row r="474">
      <c r="A474" s="54"/>
      <c r="B474" s="54"/>
      <c r="C474" s="54"/>
      <c r="D474" s="54"/>
      <c r="E474" s="141"/>
      <c r="F474" s="141"/>
      <c r="G474" s="54"/>
      <c r="H474" s="54"/>
      <c r="I474" s="54"/>
      <c r="J474" s="54"/>
      <c r="K474" s="54"/>
      <c r="L474" s="54"/>
      <c r="M474" s="54"/>
      <c r="N474" s="54"/>
      <c r="P474" s="44"/>
    </row>
    <row r="475">
      <c r="A475" s="54"/>
      <c r="B475" s="54"/>
      <c r="C475" s="54"/>
      <c r="D475" s="54"/>
      <c r="E475" s="141"/>
      <c r="F475" s="141"/>
      <c r="G475" s="54"/>
      <c r="H475" s="54"/>
      <c r="I475" s="54"/>
      <c r="J475" s="54"/>
      <c r="K475" s="54"/>
      <c r="L475" s="54"/>
      <c r="M475" s="54"/>
      <c r="N475" s="54"/>
      <c r="P475" s="44"/>
    </row>
    <row r="476">
      <c r="A476" s="54"/>
      <c r="B476" s="54"/>
      <c r="C476" s="54"/>
      <c r="D476" s="54"/>
      <c r="E476" s="141"/>
      <c r="F476" s="141"/>
      <c r="G476" s="54"/>
      <c r="H476" s="54"/>
      <c r="I476" s="54"/>
      <c r="J476" s="54"/>
      <c r="K476" s="54"/>
      <c r="L476" s="54"/>
      <c r="M476" s="54"/>
      <c r="N476" s="54"/>
      <c r="P476" s="44"/>
    </row>
    <row r="477">
      <c r="A477" s="54"/>
      <c r="B477" s="54"/>
      <c r="C477" s="54"/>
      <c r="D477" s="54"/>
      <c r="E477" s="141"/>
      <c r="F477" s="141"/>
      <c r="G477" s="54"/>
      <c r="H477" s="54"/>
      <c r="I477" s="54"/>
      <c r="J477" s="54"/>
      <c r="K477" s="54"/>
      <c r="L477" s="54"/>
      <c r="M477" s="54"/>
      <c r="N477" s="54"/>
      <c r="P477" s="44"/>
    </row>
    <row r="478">
      <c r="A478" s="54"/>
      <c r="B478" s="54"/>
      <c r="C478" s="54"/>
      <c r="D478" s="54"/>
      <c r="E478" s="141"/>
      <c r="F478" s="141"/>
      <c r="G478" s="54"/>
      <c r="H478" s="54"/>
      <c r="I478" s="54"/>
      <c r="J478" s="54"/>
      <c r="K478" s="54"/>
      <c r="L478" s="54"/>
      <c r="M478" s="54"/>
      <c r="N478" s="54"/>
      <c r="P478" s="44"/>
    </row>
    <row r="479">
      <c r="A479" s="54"/>
      <c r="B479" s="54"/>
      <c r="C479" s="54"/>
      <c r="D479" s="54"/>
      <c r="E479" s="141"/>
      <c r="F479" s="141"/>
      <c r="G479" s="54"/>
      <c r="H479" s="54"/>
      <c r="I479" s="54"/>
      <c r="J479" s="54"/>
      <c r="K479" s="54"/>
      <c r="L479" s="54"/>
      <c r="M479" s="54"/>
      <c r="N479" s="54"/>
      <c r="P479" s="44"/>
    </row>
    <row r="480">
      <c r="A480" s="54"/>
      <c r="B480" s="54"/>
      <c r="C480" s="54"/>
      <c r="D480" s="54"/>
      <c r="E480" s="141"/>
      <c r="F480" s="141"/>
      <c r="G480" s="54"/>
      <c r="H480" s="54"/>
      <c r="I480" s="54"/>
      <c r="J480" s="54"/>
      <c r="K480" s="54"/>
      <c r="L480" s="54"/>
      <c r="M480" s="54"/>
      <c r="N480" s="54"/>
      <c r="P480" s="44"/>
    </row>
    <row r="481">
      <c r="A481" s="54"/>
      <c r="B481" s="54"/>
      <c r="C481" s="54"/>
      <c r="D481" s="54"/>
      <c r="E481" s="141"/>
      <c r="F481" s="141"/>
      <c r="G481" s="54"/>
      <c r="H481" s="54"/>
      <c r="I481" s="54"/>
      <c r="J481" s="54"/>
      <c r="K481" s="54"/>
      <c r="L481" s="54"/>
      <c r="M481" s="54"/>
      <c r="N481" s="54"/>
      <c r="P481" s="44"/>
    </row>
    <row r="482">
      <c r="A482" s="54"/>
      <c r="B482" s="54"/>
      <c r="C482" s="54"/>
      <c r="D482" s="54"/>
      <c r="E482" s="141"/>
      <c r="F482" s="141"/>
      <c r="G482" s="54"/>
      <c r="H482" s="54"/>
      <c r="I482" s="54"/>
      <c r="J482" s="54"/>
      <c r="K482" s="54"/>
      <c r="L482" s="54"/>
      <c r="M482" s="54"/>
      <c r="N482" s="54"/>
      <c r="P482" s="44"/>
    </row>
    <row r="483">
      <c r="A483" s="54"/>
      <c r="B483" s="54"/>
      <c r="C483" s="54"/>
      <c r="D483" s="54"/>
      <c r="E483" s="141"/>
      <c r="F483" s="141"/>
      <c r="G483" s="54"/>
      <c r="H483" s="54"/>
      <c r="I483" s="54"/>
      <c r="J483" s="54"/>
      <c r="K483" s="54"/>
      <c r="L483" s="54"/>
      <c r="M483" s="54"/>
      <c r="N483" s="54"/>
      <c r="P483" s="44"/>
    </row>
    <row r="484">
      <c r="A484" s="54"/>
      <c r="B484" s="54"/>
      <c r="C484" s="54"/>
      <c r="D484" s="54"/>
      <c r="E484" s="141"/>
      <c r="F484" s="141"/>
      <c r="G484" s="54"/>
      <c r="H484" s="54"/>
      <c r="I484" s="54"/>
      <c r="J484" s="54"/>
      <c r="K484" s="54"/>
      <c r="L484" s="54"/>
      <c r="M484" s="54"/>
      <c r="N484" s="54"/>
      <c r="P484" s="44"/>
    </row>
    <row r="485">
      <c r="A485" s="54"/>
      <c r="B485" s="54"/>
      <c r="C485" s="54"/>
      <c r="D485" s="54"/>
      <c r="E485" s="141"/>
      <c r="F485" s="141"/>
      <c r="G485" s="54"/>
      <c r="H485" s="54"/>
      <c r="I485" s="54"/>
      <c r="J485" s="54"/>
      <c r="K485" s="54"/>
      <c r="L485" s="54"/>
      <c r="M485" s="54"/>
      <c r="N485" s="54"/>
      <c r="P485" s="44"/>
    </row>
    <row r="486">
      <c r="A486" s="54"/>
      <c r="B486" s="54"/>
      <c r="C486" s="54"/>
      <c r="D486" s="54"/>
      <c r="E486" s="141"/>
      <c r="F486" s="141"/>
      <c r="G486" s="54"/>
      <c r="H486" s="54"/>
      <c r="I486" s="54"/>
      <c r="J486" s="54"/>
      <c r="K486" s="54"/>
      <c r="L486" s="54"/>
      <c r="M486" s="54"/>
      <c r="N486" s="54"/>
      <c r="P486" s="44"/>
    </row>
    <row r="487">
      <c r="A487" s="54"/>
      <c r="B487" s="54"/>
      <c r="C487" s="54"/>
      <c r="D487" s="54"/>
      <c r="E487" s="141"/>
      <c r="F487" s="141"/>
      <c r="G487" s="54"/>
      <c r="H487" s="54"/>
      <c r="I487" s="54"/>
      <c r="J487" s="54"/>
      <c r="K487" s="54"/>
      <c r="L487" s="54"/>
      <c r="M487" s="54"/>
      <c r="N487" s="54"/>
      <c r="P487" s="44"/>
    </row>
    <row r="488">
      <c r="A488" s="54"/>
      <c r="B488" s="54"/>
      <c r="C488" s="54"/>
      <c r="D488" s="54"/>
      <c r="E488" s="141"/>
      <c r="F488" s="141"/>
      <c r="G488" s="54"/>
      <c r="H488" s="54"/>
      <c r="I488" s="54"/>
      <c r="J488" s="54"/>
      <c r="K488" s="54"/>
      <c r="L488" s="54"/>
      <c r="M488" s="54"/>
      <c r="N488" s="54"/>
      <c r="P488" s="44"/>
    </row>
    <row r="489">
      <c r="A489" s="54"/>
      <c r="B489" s="54"/>
      <c r="C489" s="54"/>
      <c r="D489" s="54"/>
      <c r="E489" s="141"/>
      <c r="F489" s="141"/>
      <c r="G489" s="54"/>
      <c r="H489" s="54"/>
      <c r="I489" s="54"/>
      <c r="J489" s="54"/>
      <c r="K489" s="54"/>
      <c r="L489" s="54"/>
      <c r="M489" s="54"/>
      <c r="N489" s="54"/>
      <c r="P489" s="44"/>
    </row>
    <row r="490">
      <c r="A490" s="54"/>
      <c r="B490" s="54"/>
      <c r="C490" s="54"/>
      <c r="D490" s="54"/>
      <c r="E490" s="141"/>
      <c r="F490" s="141"/>
      <c r="G490" s="54"/>
      <c r="H490" s="54"/>
      <c r="I490" s="54"/>
      <c r="J490" s="54"/>
      <c r="K490" s="54"/>
      <c r="L490" s="54"/>
      <c r="M490" s="54"/>
      <c r="N490" s="54"/>
      <c r="P490" s="44"/>
    </row>
    <row r="491">
      <c r="A491" s="54"/>
      <c r="B491" s="54"/>
      <c r="C491" s="54"/>
      <c r="D491" s="54"/>
      <c r="E491" s="141"/>
      <c r="F491" s="141"/>
      <c r="G491" s="54"/>
      <c r="H491" s="54"/>
      <c r="I491" s="54"/>
      <c r="J491" s="54"/>
      <c r="K491" s="54"/>
      <c r="L491" s="54"/>
      <c r="M491" s="54"/>
      <c r="N491" s="54"/>
      <c r="P491" s="44"/>
    </row>
    <row r="492">
      <c r="A492" s="54"/>
      <c r="B492" s="54"/>
      <c r="C492" s="54"/>
      <c r="D492" s="54"/>
      <c r="E492" s="141"/>
      <c r="F492" s="141"/>
      <c r="G492" s="54"/>
      <c r="H492" s="54"/>
      <c r="I492" s="54"/>
      <c r="J492" s="54"/>
      <c r="K492" s="54"/>
      <c r="L492" s="54"/>
      <c r="M492" s="54"/>
      <c r="N492" s="54"/>
      <c r="P492" s="44"/>
    </row>
    <row r="493">
      <c r="A493" s="54"/>
      <c r="B493" s="54"/>
      <c r="C493" s="54"/>
      <c r="D493" s="54"/>
      <c r="E493" s="141"/>
      <c r="F493" s="141"/>
      <c r="G493" s="54"/>
      <c r="H493" s="54"/>
      <c r="I493" s="54"/>
      <c r="J493" s="54"/>
      <c r="K493" s="54"/>
      <c r="L493" s="54"/>
      <c r="M493" s="54"/>
      <c r="N493" s="54"/>
      <c r="P493" s="44"/>
    </row>
    <row r="494">
      <c r="A494" s="54"/>
      <c r="B494" s="54"/>
      <c r="C494" s="54"/>
      <c r="D494" s="54"/>
      <c r="E494" s="141"/>
      <c r="F494" s="141"/>
      <c r="G494" s="54"/>
      <c r="H494" s="54"/>
      <c r="I494" s="54"/>
      <c r="J494" s="54"/>
      <c r="K494" s="54"/>
      <c r="L494" s="54"/>
      <c r="M494" s="54"/>
      <c r="N494" s="54"/>
      <c r="P494" s="44"/>
    </row>
    <row r="495">
      <c r="A495" s="54"/>
      <c r="B495" s="54"/>
      <c r="C495" s="54"/>
      <c r="D495" s="54"/>
      <c r="E495" s="141"/>
      <c r="F495" s="141"/>
      <c r="G495" s="54"/>
      <c r="H495" s="54"/>
      <c r="I495" s="54"/>
      <c r="J495" s="54"/>
      <c r="K495" s="54"/>
      <c r="L495" s="54"/>
      <c r="M495" s="54"/>
      <c r="N495" s="54"/>
      <c r="P495" s="44"/>
    </row>
    <row r="496">
      <c r="A496" s="54"/>
      <c r="B496" s="54"/>
      <c r="C496" s="54"/>
      <c r="D496" s="54"/>
      <c r="E496" s="141"/>
      <c r="F496" s="141"/>
      <c r="G496" s="54"/>
      <c r="H496" s="54"/>
      <c r="I496" s="54"/>
      <c r="J496" s="54"/>
      <c r="K496" s="54"/>
      <c r="L496" s="54"/>
      <c r="M496" s="54"/>
      <c r="N496" s="54"/>
      <c r="P496" s="44"/>
    </row>
    <row r="497">
      <c r="A497" s="54"/>
      <c r="B497" s="54"/>
      <c r="C497" s="54"/>
      <c r="D497" s="54"/>
      <c r="E497" s="141"/>
      <c r="F497" s="141"/>
      <c r="G497" s="54"/>
      <c r="H497" s="54"/>
      <c r="I497" s="54"/>
      <c r="J497" s="54"/>
      <c r="K497" s="54"/>
      <c r="L497" s="54"/>
      <c r="M497" s="54"/>
      <c r="N497" s="54"/>
      <c r="P497" s="44"/>
    </row>
    <row r="498">
      <c r="A498" s="54"/>
      <c r="B498" s="54"/>
      <c r="C498" s="54"/>
      <c r="D498" s="54"/>
      <c r="E498" s="141"/>
      <c r="F498" s="141"/>
      <c r="G498" s="54"/>
      <c r="H498" s="54"/>
      <c r="I498" s="54"/>
      <c r="J498" s="54"/>
      <c r="K498" s="54"/>
      <c r="L498" s="54"/>
      <c r="M498" s="54"/>
      <c r="N498" s="54"/>
      <c r="P498" s="44"/>
    </row>
    <row r="499">
      <c r="A499" s="54"/>
      <c r="B499" s="54"/>
      <c r="C499" s="54"/>
      <c r="D499" s="54"/>
      <c r="E499" s="141"/>
      <c r="F499" s="141"/>
      <c r="G499" s="54"/>
      <c r="H499" s="54"/>
      <c r="I499" s="54"/>
      <c r="J499" s="54"/>
      <c r="K499" s="54"/>
      <c r="L499" s="54"/>
      <c r="M499" s="54"/>
      <c r="N499" s="54"/>
      <c r="P499" s="44"/>
    </row>
    <row r="500">
      <c r="A500" s="54"/>
      <c r="B500" s="54"/>
      <c r="C500" s="54"/>
      <c r="D500" s="54"/>
      <c r="E500" s="141"/>
      <c r="F500" s="141"/>
      <c r="G500" s="54"/>
      <c r="H500" s="54"/>
      <c r="I500" s="54"/>
      <c r="J500" s="54"/>
      <c r="K500" s="54"/>
      <c r="L500" s="54"/>
      <c r="M500" s="54"/>
      <c r="N500" s="54"/>
      <c r="P500" s="44"/>
    </row>
    <row r="501">
      <c r="A501" s="54"/>
      <c r="B501" s="54"/>
      <c r="C501" s="54"/>
      <c r="D501" s="54"/>
      <c r="E501" s="141"/>
      <c r="F501" s="141"/>
      <c r="G501" s="54"/>
      <c r="H501" s="54"/>
      <c r="I501" s="54"/>
      <c r="J501" s="54"/>
      <c r="K501" s="54"/>
      <c r="L501" s="54"/>
      <c r="M501" s="54"/>
      <c r="N501" s="54"/>
      <c r="P501" s="44"/>
    </row>
    <row r="502">
      <c r="A502" s="54"/>
      <c r="B502" s="54"/>
      <c r="C502" s="54"/>
      <c r="D502" s="54"/>
      <c r="E502" s="141"/>
      <c r="F502" s="141"/>
      <c r="G502" s="54"/>
      <c r="H502" s="54"/>
      <c r="I502" s="54"/>
      <c r="J502" s="54"/>
      <c r="K502" s="54"/>
      <c r="L502" s="54"/>
      <c r="M502" s="54"/>
      <c r="N502" s="54"/>
      <c r="P502" s="44"/>
    </row>
    <row r="503">
      <c r="A503" s="54"/>
      <c r="B503" s="54"/>
      <c r="C503" s="54"/>
      <c r="D503" s="54"/>
      <c r="E503" s="141"/>
      <c r="F503" s="141"/>
      <c r="G503" s="54"/>
      <c r="H503" s="54"/>
      <c r="I503" s="54"/>
      <c r="J503" s="54"/>
      <c r="K503" s="54"/>
      <c r="L503" s="54"/>
      <c r="M503" s="54"/>
      <c r="N503" s="54"/>
      <c r="P503" s="44"/>
    </row>
    <row r="504">
      <c r="A504" s="54"/>
      <c r="B504" s="54"/>
      <c r="C504" s="54"/>
      <c r="D504" s="54"/>
      <c r="E504" s="141"/>
      <c r="F504" s="141"/>
      <c r="G504" s="54"/>
      <c r="H504" s="54"/>
      <c r="I504" s="54"/>
      <c r="J504" s="54"/>
      <c r="K504" s="54"/>
      <c r="L504" s="54"/>
      <c r="M504" s="54"/>
      <c r="N504" s="54"/>
      <c r="P504" s="44"/>
    </row>
    <row r="505">
      <c r="A505" s="54"/>
      <c r="B505" s="54"/>
      <c r="C505" s="54"/>
      <c r="D505" s="54"/>
      <c r="E505" s="141"/>
      <c r="F505" s="141"/>
      <c r="G505" s="54"/>
      <c r="H505" s="54"/>
      <c r="I505" s="54"/>
      <c r="J505" s="54"/>
      <c r="K505" s="54"/>
      <c r="L505" s="54"/>
      <c r="M505" s="54"/>
      <c r="N505" s="54"/>
      <c r="P505" s="44"/>
    </row>
    <row r="506">
      <c r="A506" s="54"/>
      <c r="B506" s="54"/>
      <c r="C506" s="54"/>
      <c r="D506" s="54"/>
      <c r="E506" s="141"/>
      <c r="F506" s="141"/>
      <c r="G506" s="54"/>
      <c r="H506" s="54"/>
      <c r="I506" s="54"/>
      <c r="J506" s="54"/>
      <c r="K506" s="54"/>
      <c r="L506" s="54"/>
      <c r="M506" s="54"/>
      <c r="N506" s="54"/>
      <c r="P506" s="44"/>
    </row>
    <row r="507">
      <c r="A507" s="54"/>
      <c r="B507" s="54"/>
      <c r="C507" s="54"/>
      <c r="D507" s="54"/>
      <c r="E507" s="141"/>
      <c r="F507" s="141"/>
      <c r="G507" s="54"/>
      <c r="H507" s="54"/>
      <c r="I507" s="54"/>
      <c r="J507" s="54"/>
      <c r="K507" s="54"/>
      <c r="L507" s="54"/>
      <c r="M507" s="54"/>
      <c r="N507" s="54"/>
      <c r="P507" s="44"/>
    </row>
    <row r="508">
      <c r="A508" s="54"/>
      <c r="B508" s="54"/>
      <c r="C508" s="54"/>
      <c r="D508" s="54"/>
      <c r="E508" s="141"/>
      <c r="F508" s="141"/>
      <c r="G508" s="54"/>
      <c r="H508" s="54"/>
      <c r="I508" s="54"/>
      <c r="J508" s="54"/>
      <c r="K508" s="54"/>
      <c r="L508" s="54"/>
      <c r="M508" s="54"/>
      <c r="N508" s="54"/>
      <c r="P508" s="44"/>
    </row>
    <row r="509">
      <c r="A509" s="54"/>
      <c r="B509" s="54"/>
      <c r="C509" s="54"/>
      <c r="D509" s="54"/>
      <c r="E509" s="141"/>
      <c r="F509" s="141"/>
      <c r="G509" s="54"/>
      <c r="H509" s="54"/>
      <c r="I509" s="54"/>
      <c r="J509" s="54"/>
      <c r="K509" s="54"/>
      <c r="L509" s="54"/>
      <c r="M509" s="54"/>
      <c r="N509" s="54"/>
      <c r="P509" s="44"/>
    </row>
    <row r="510">
      <c r="A510" s="54"/>
      <c r="B510" s="54"/>
      <c r="C510" s="54"/>
      <c r="D510" s="54"/>
      <c r="E510" s="141"/>
      <c r="F510" s="141"/>
      <c r="G510" s="54"/>
      <c r="H510" s="54"/>
      <c r="I510" s="54"/>
      <c r="J510" s="54"/>
      <c r="K510" s="54"/>
      <c r="L510" s="54"/>
      <c r="M510" s="54"/>
      <c r="N510" s="54"/>
      <c r="P510" s="44"/>
    </row>
    <row r="511">
      <c r="A511" s="54"/>
      <c r="B511" s="54"/>
      <c r="C511" s="54"/>
      <c r="D511" s="54"/>
      <c r="E511" s="141"/>
      <c r="F511" s="141"/>
      <c r="G511" s="54"/>
      <c r="H511" s="54"/>
      <c r="I511" s="54"/>
      <c r="J511" s="54"/>
      <c r="K511" s="54"/>
      <c r="L511" s="54"/>
      <c r="M511" s="54"/>
      <c r="N511" s="54"/>
      <c r="P511" s="44"/>
    </row>
    <row r="512">
      <c r="A512" s="54"/>
      <c r="B512" s="54"/>
      <c r="C512" s="54"/>
      <c r="D512" s="54"/>
      <c r="E512" s="141"/>
      <c r="F512" s="141"/>
      <c r="G512" s="54"/>
      <c r="H512" s="54"/>
      <c r="I512" s="54"/>
      <c r="J512" s="54"/>
      <c r="K512" s="54"/>
      <c r="L512" s="54"/>
      <c r="M512" s="54"/>
      <c r="N512" s="54"/>
      <c r="P512" s="44"/>
    </row>
    <row r="513">
      <c r="A513" s="54"/>
      <c r="B513" s="54"/>
      <c r="C513" s="54"/>
      <c r="D513" s="54"/>
      <c r="E513" s="141"/>
      <c r="F513" s="141"/>
      <c r="G513" s="54"/>
      <c r="H513" s="54"/>
      <c r="I513" s="54"/>
      <c r="J513" s="54"/>
      <c r="K513" s="54"/>
      <c r="L513" s="54"/>
      <c r="M513" s="54"/>
      <c r="N513" s="54"/>
      <c r="P513" s="44"/>
    </row>
    <row r="514">
      <c r="A514" s="54"/>
      <c r="B514" s="54"/>
      <c r="C514" s="54"/>
      <c r="D514" s="54"/>
      <c r="E514" s="141"/>
      <c r="F514" s="141"/>
      <c r="G514" s="54"/>
      <c r="H514" s="54"/>
      <c r="I514" s="54"/>
      <c r="J514" s="54"/>
      <c r="K514" s="54"/>
      <c r="L514" s="54"/>
      <c r="M514" s="54"/>
      <c r="N514" s="54"/>
      <c r="P514" s="44"/>
    </row>
    <row r="515">
      <c r="A515" s="54"/>
      <c r="B515" s="54"/>
      <c r="C515" s="54"/>
      <c r="D515" s="54"/>
      <c r="E515" s="141"/>
      <c r="F515" s="141"/>
      <c r="G515" s="54"/>
      <c r="H515" s="54"/>
      <c r="I515" s="54"/>
      <c r="J515" s="54"/>
      <c r="K515" s="54"/>
      <c r="L515" s="54"/>
      <c r="M515" s="54"/>
      <c r="N515" s="54"/>
      <c r="P515" s="44"/>
    </row>
    <row r="516">
      <c r="A516" s="54"/>
      <c r="B516" s="54"/>
      <c r="C516" s="54"/>
      <c r="D516" s="54"/>
      <c r="E516" s="141"/>
      <c r="F516" s="141"/>
      <c r="G516" s="54"/>
      <c r="H516" s="54"/>
      <c r="I516" s="54"/>
      <c r="J516" s="54"/>
      <c r="K516" s="54"/>
      <c r="L516" s="54"/>
      <c r="M516" s="54"/>
      <c r="N516" s="54"/>
      <c r="P516" s="44"/>
    </row>
    <row r="517">
      <c r="A517" s="54"/>
      <c r="B517" s="54"/>
      <c r="C517" s="54"/>
      <c r="D517" s="54"/>
      <c r="E517" s="141"/>
      <c r="F517" s="141"/>
      <c r="G517" s="54"/>
      <c r="H517" s="54"/>
      <c r="I517" s="54"/>
      <c r="J517" s="54"/>
      <c r="K517" s="54"/>
      <c r="L517" s="54"/>
      <c r="M517" s="54"/>
      <c r="N517" s="54"/>
      <c r="P517" s="44"/>
    </row>
    <row r="518">
      <c r="A518" s="54"/>
      <c r="B518" s="54"/>
      <c r="C518" s="54"/>
      <c r="D518" s="54"/>
      <c r="E518" s="141"/>
      <c r="F518" s="141"/>
      <c r="G518" s="54"/>
      <c r="H518" s="54"/>
      <c r="I518" s="54"/>
      <c r="J518" s="54"/>
      <c r="K518" s="54"/>
      <c r="L518" s="54"/>
      <c r="M518" s="54"/>
      <c r="N518" s="54"/>
      <c r="P518" s="44"/>
    </row>
    <row r="519">
      <c r="A519" s="54"/>
      <c r="B519" s="54"/>
      <c r="C519" s="54"/>
      <c r="D519" s="54"/>
      <c r="E519" s="141"/>
      <c r="F519" s="141"/>
      <c r="G519" s="54"/>
      <c r="H519" s="54"/>
      <c r="I519" s="54"/>
      <c r="J519" s="54"/>
      <c r="K519" s="54"/>
      <c r="L519" s="54"/>
      <c r="M519" s="54"/>
      <c r="N519" s="54"/>
      <c r="P519" s="44"/>
    </row>
    <row r="520">
      <c r="A520" s="54"/>
      <c r="B520" s="54"/>
      <c r="C520" s="54"/>
      <c r="D520" s="54"/>
      <c r="E520" s="141"/>
      <c r="F520" s="141"/>
      <c r="G520" s="54"/>
      <c r="H520" s="54"/>
      <c r="I520" s="54"/>
      <c r="J520" s="54"/>
      <c r="K520" s="54"/>
      <c r="L520" s="54"/>
      <c r="M520" s="54"/>
      <c r="N520" s="54"/>
      <c r="P520" s="44"/>
    </row>
    <row r="521">
      <c r="A521" s="54"/>
      <c r="B521" s="54"/>
      <c r="C521" s="54"/>
      <c r="D521" s="54"/>
      <c r="E521" s="141"/>
      <c r="F521" s="141"/>
      <c r="G521" s="54"/>
      <c r="H521" s="54"/>
      <c r="I521" s="54"/>
      <c r="J521" s="54"/>
      <c r="K521" s="54"/>
      <c r="L521" s="54"/>
      <c r="M521" s="54"/>
      <c r="N521" s="54"/>
      <c r="P521" s="44"/>
    </row>
    <row r="522">
      <c r="A522" s="54"/>
      <c r="B522" s="54"/>
      <c r="C522" s="54"/>
      <c r="D522" s="54"/>
      <c r="E522" s="141"/>
      <c r="F522" s="141"/>
      <c r="G522" s="54"/>
      <c r="H522" s="54"/>
      <c r="I522" s="54"/>
      <c r="J522" s="54"/>
      <c r="K522" s="54"/>
      <c r="L522" s="54"/>
      <c r="M522" s="54"/>
      <c r="N522" s="54"/>
      <c r="P522" s="44"/>
    </row>
    <row r="523">
      <c r="A523" s="54"/>
      <c r="B523" s="54"/>
      <c r="C523" s="54"/>
      <c r="D523" s="54"/>
      <c r="E523" s="141"/>
      <c r="F523" s="141"/>
      <c r="G523" s="54"/>
      <c r="H523" s="54"/>
      <c r="I523" s="54"/>
      <c r="J523" s="54"/>
      <c r="K523" s="54"/>
      <c r="L523" s="54"/>
      <c r="M523" s="54"/>
      <c r="N523" s="54"/>
      <c r="P523" s="44"/>
    </row>
    <row r="524">
      <c r="A524" s="54"/>
      <c r="B524" s="54"/>
      <c r="C524" s="54"/>
      <c r="D524" s="54"/>
      <c r="E524" s="141"/>
      <c r="F524" s="141"/>
      <c r="G524" s="54"/>
      <c r="H524" s="54"/>
      <c r="I524" s="54"/>
      <c r="J524" s="54"/>
      <c r="K524" s="54"/>
      <c r="L524" s="54"/>
      <c r="M524" s="54"/>
      <c r="N524" s="54"/>
      <c r="P524" s="44"/>
    </row>
    <row r="525">
      <c r="A525" s="54"/>
      <c r="B525" s="54"/>
      <c r="C525" s="54"/>
      <c r="D525" s="54"/>
      <c r="E525" s="141"/>
      <c r="F525" s="141"/>
      <c r="G525" s="54"/>
      <c r="H525" s="54"/>
      <c r="I525" s="54"/>
      <c r="J525" s="54"/>
      <c r="K525" s="54"/>
      <c r="L525" s="54"/>
      <c r="M525" s="54"/>
      <c r="N525" s="54"/>
      <c r="P525" s="44"/>
    </row>
    <row r="526">
      <c r="A526" s="54"/>
      <c r="B526" s="54"/>
      <c r="C526" s="54"/>
      <c r="D526" s="54"/>
      <c r="E526" s="141"/>
      <c r="F526" s="141"/>
      <c r="G526" s="54"/>
      <c r="H526" s="54"/>
      <c r="I526" s="54"/>
      <c r="J526" s="54"/>
      <c r="K526" s="54"/>
      <c r="L526" s="54"/>
      <c r="M526" s="54"/>
      <c r="N526" s="54"/>
      <c r="P526" s="44"/>
    </row>
    <row r="527">
      <c r="A527" s="54"/>
      <c r="B527" s="54"/>
      <c r="C527" s="54"/>
      <c r="D527" s="54"/>
      <c r="E527" s="141"/>
      <c r="F527" s="141"/>
      <c r="G527" s="54"/>
      <c r="H527" s="54"/>
      <c r="I527" s="54"/>
      <c r="J527" s="54"/>
      <c r="K527" s="54"/>
      <c r="L527" s="54"/>
      <c r="M527" s="54"/>
      <c r="N527" s="54"/>
      <c r="P527" s="44"/>
    </row>
    <row r="528">
      <c r="A528" s="54"/>
      <c r="B528" s="54"/>
      <c r="C528" s="54"/>
      <c r="D528" s="54"/>
      <c r="E528" s="141"/>
      <c r="F528" s="141"/>
      <c r="G528" s="54"/>
      <c r="H528" s="54"/>
      <c r="I528" s="54"/>
      <c r="J528" s="54"/>
      <c r="K528" s="54"/>
      <c r="L528" s="54"/>
      <c r="M528" s="54"/>
      <c r="N528" s="54"/>
      <c r="P528" s="44"/>
    </row>
    <row r="529">
      <c r="A529" s="54"/>
      <c r="B529" s="54"/>
      <c r="C529" s="54"/>
      <c r="D529" s="54"/>
      <c r="E529" s="141"/>
      <c r="F529" s="141"/>
      <c r="G529" s="54"/>
      <c r="H529" s="54"/>
      <c r="I529" s="54"/>
      <c r="J529" s="54"/>
      <c r="K529" s="54"/>
      <c r="L529" s="54"/>
      <c r="M529" s="54"/>
      <c r="N529" s="54"/>
      <c r="P529" s="44"/>
    </row>
    <row r="530">
      <c r="A530" s="54"/>
      <c r="B530" s="54"/>
      <c r="C530" s="54"/>
      <c r="D530" s="54"/>
      <c r="E530" s="141"/>
      <c r="F530" s="141"/>
      <c r="G530" s="54"/>
      <c r="H530" s="54"/>
      <c r="I530" s="54"/>
      <c r="J530" s="54"/>
      <c r="K530" s="54"/>
      <c r="L530" s="54"/>
      <c r="M530" s="54"/>
      <c r="N530" s="54"/>
      <c r="P530" s="44"/>
    </row>
    <row r="531">
      <c r="A531" s="54"/>
      <c r="B531" s="54"/>
      <c r="C531" s="54"/>
      <c r="D531" s="54"/>
      <c r="E531" s="141"/>
      <c r="F531" s="141"/>
      <c r="G531" s="54"/>
      <c r="H531" s="54"/>
      <c r="I531" s="54"/>
      <c r="J531" s="54"/>
      <c r="K531" s="54"/>
      <c r="L531" s="54"/>
      <c r="M531" s="54"/>
      <c r="N531" s="54"/>
      <c r="P531" s="44"/>
    </row>
    <row r="532">
      <c r="A532" s="54"/>
      <c r="B532" s="54"/>
      <c r="C532" s="54"/>
      <c r="D532" s="54"/>
      <c r="E532" s="141"/>
      <c r="F532" s="141"/>
      <c r="G532" s="54"/>
      <c r="H532" s="54"/>
      <c r="I532" s="54"/>
      <c r="J532" s="54"/>
      <c r="K532" s="54"/>
      <c r="L532" s="54"/>
      <c r="M532" s="54"/>
      <c r="N532" s="54"/>
      <c r="P532" s="44"/>
    </row>
    <row r="533">
      <c r="A533" s="54"/>
      <c r="B533" s="54"/>
      <c r="C533" s="54"/>
      <c r="D533" s="54"/>
      <c r="E533" s="141"/>
      <c r="F533" s="141"/>
      <c r="G533" s="54"/>
      <c r="H533" s="54"/>
      <c r="I533" s="54"/>
      <c r="J533" s="54"/>
      <c r="K533" s="54"/>
      <c r="L533" s="54"/>
      <c r="M533" s="54"/>
      <c r="N533" s="54"/>
      <c r="P533" s="44"/>
    </row>
    <row r="534">
      <c r="A534" s="54"/>
      <c r="B534" s="54"/>
      <c r="C534" s="54"/>
      <c r="D534" s="54"/>
      <c r="E534" s="141"/>
      <c r="F534" s="141"/>
      <c r="G534" s="54"/>
      <c r="H534" s="54"/>
      <c r="I534" s="54"/>
      <c r="J534" s="54"/>
      <c r="K534" s="54"/>
      <c r="L534" s="54"/>
      <c r="M534" s="54"/>
      <c r="N534" s="54"/>
      <c r="P534" s="44"/>
    </row>
    <row r="535">
      <c r="A535" s="54"/>
      <c r="B535" s="54"/>
      <c r="C535" s="54"/>
      <c r="D535" s="54"/>
      <c r="E535" s="141"/>
      <c r="F535" s="141"/>
      <c r="G535" s="54"/>
      <c r="H535" s="54"/>
      <c r="I535" s="54"/>
      <c r="J535" s="54"/>
      <c r="K535" s="54"/>
      <c r="L535" s="54"/>
      <c r="M535" s="54"/>
      <c r="N535" s="54"/>
      <c r="P535" s="44"/>
    </row>
    <row r="536">
      <c r="A536" s="54"/>
      <c r="B536" s="54"/>
      <c r="C536" s="54"/>
      <c r="D536" s="54"/>
      <c r="E536" s="141"/>
      <c r="F536" s="141"/>
      <c r="G536" s="54"/>
      <c r="H536" s="54"/>
      <c r="I536" s="54"/>
      <c r="J536" s="54"/>
      <c r="K536" s="54"/>
      <c r="L536" s="54"/>
      <c r="M536" s="54"/>
      <c r="N536" s="54"/>
      <c r="P536" s="44"/>
    </row>
    <row r="537">
      <c r="A537" s="54"/>
      <c r="B537" s="54"/>
      <c r="C537" s="54"/>
      <c r="D537" s="54"/>
      <c r="E537" s="141"/>
      <c r="F537" s="141"/>
      <c r="G537" s="54"/>
      <c r="H537" s="54"/>
      <c r="I537" s="54"/>
      <c r="J537" s="54"/>
      <c r="K537" s="54"/>
      <c r="L537" s="54"/>
      <c r="M537" s="54"/>
      <c r="N537" s="54"/>
      <c r="P537" s="44"/>
    </row>
    <row r="538">
      <c r="A538" s="54"/>
      <c r="B538" s="54"/>
      <c r="C538" s="54"/>
      <c r="D538" s="54"/>
      <c r="E538" s="141"/>
      <c r="F538" s="141"/>
      <c r="G538" s="54"/>
      <c r="H538" s="54"/>
      <c r="I538" s="54"/>
      <c r="J538" s="54"/>
      <c r="K538" s="54"/>
      <c r="L538" s="54"/>
      <c r="M538" s="54"/>
      <c r="N538" s="54"/>
      <c r="P538" s="44"/>
    </row>
    <row r="539">
      <c r="A539" s="54"/>
      <c r="B539" s="54"/>
      <c r="C539" s="54"/>
      <c r="D539" s="54"/>
      <c r="E539" s="141"/>
      <c r="F539" s="141"/>
      <c r="G539" s="54"/>
      <c r="H539" s="54"/>
      <c r="I539" s="54"/>
      <c r="J539" s="54"/>
      <c r="K539" s="54"/>
      <c r="L539" s="54"/>
      <c r="M539" s="54"/>
      <c r="N539" s="54"/>
      <c r="P539" s="44"/>
    </row>
    <row r="540">
      <c r="A540" s="54"/>
      <c r="B540" s="54"/>
      <c r="C540" s="54"/>
      <c r="D540" s="54"/>
      <c r="E540" s="141"/>
      <c r="F540" s="141"/>
      <c r="G540" s="54"/>
      <c r="H540" s="54"/>
      <c r="I540" s="54"/>
      <c r="J540" s="54"/>
      <c r="K540" s="54"/>
      <c r="L540" s="54"/>
      <c r="M540" s="54"/>
      <c r="N540" s="54"/>
      <c r="P540" s="44"/>
    </row>
    <row r="541">
      <c r="A541" s="54"/>
      <c r="B541" s="54"/>
      <c r="C541" s="54"/>
      <c r="D541" s="54"/>
      <c r="E541" s="141"/>
      <c r="F541" s="141"/>
      <c r="G541" s="54"/>
      <c r="H541" s="54"/>
      <c r="I541" s="54"/>
      <c r="J541" s="54"/>
      <c r="K541" s="54"/>
      <c r="L541" s="54"/>
      <c r="M541" s="54"/>
      <c r="N541" s="54"/>
      <c r="P541" s="44"/>
    </row>
    <row r="542">
      <c r="A542" s="54"/>
      <c r="B542" s="54"/>
      <c r="C542" s="54"/>
      <c r="D542" s="54"/>
      <c r="E542" s="141"/>
      <c r="F542" s="141"/>
      <c r="G542" s="54"/>
      <c r="H542" s="54"/>
      <c r="I542" s="54"/>
      <c r="J542" s="54"/>
      <c r="K542" s="54"/>
      <c r="L542" s="54"/>
      <c r="M542" s="54"/>
      <c r="N542" s="54"/>
      <c r="P542" s="44"/>
    </row>
    <row r="543">
      <c r="A543" s="54"/>
      <c r="B543" s="54"/>
      <c r="C543" s="54"/>
      <c r="D543" s="54"/>
      <c r="E543" s="141"/>
      <c r="F543" s="141"/>
      <c r="G543" s="54"/>
      <c r="H543" s="54"/>
      <c r="I543" s="54"/>
      <c r="J543" s="54"/>
      <c r="K543" s="54"/>
      <c r="L543" s="54"/>
      <c r="M543" s="54"/>
      <c r="N543" s="54"/>
      <c r="P543" s="44"/>
    </row>
    <row r="544">
      <c r="A544" s="54"/>
      <c r="B544" s="54"/>
      <c r="C544" s="54"/>
      <c r="D544" s="54"/>
      <c r="E544" s="141"/>
      <c r="F544" s="141"/>
      <c r="G544" s="54"/>
      <c r="H544" s="54"/>
      <c r="I544" s="54"/>
      <c r="J544" s="54"/>
      <c r="K544" s="54"/>
      <c r="L544" s="54"/>
      <c r="M544" s="54"/>
      <c r="N544" s="54"/>
      <c r="P544" s="44"/>
    </row>
    <row r="545">
      <c r="A545" s="54"/>
      <c r="B545" s="54"/>
      <c r="C545" s="54"/>
      <c r="D545" s="54"/>
      <c r="E545" s="141"/>
      <c r="F545" s="141"/>
      <c r="G545" s="54"/>
      <c r="H545" s="54"/>
      <c r="I545" s="54"/>
      <c r="J545" s="54"/>
      <c r="K545" s="54"/>
      <c r="L545" s="54"/>
      <c r="M545" s="54"/>
      <c r="N545" s="54"/>
      <c r="P545" s="44"/>
    </row>
    <row r="546">
      <c r="A546" s="54"/>
      <c r="B546" s="54"/>
      <c r="C546" s="54"/>
      <c r="D546" s="54"/>
      <c r="E546" s="141"/>
      <c r="F546" s="141"/>
      <c r="G546" s="54"/>
      <c r="H546" s="54"/>
      <c r="I546" s="54"/>
      <c r="J546" s="54"/>
      <c r="K546" s="54"/>
      <c r="L546" s="54"/>
      <c r="M546" s="54"/>
      <c r="N546" s="54"/>
      <c r="P546" s="44"/>
    </row>
    <row r="547">
      <c r="A547" s="54"/>
      <c r="B547" s="54"/>
      <c r="C547" s="54"/>
      <c r="D547" s="54"/>
      <c r="E547" s="141"/>
      <c r="F547" s="141"/>
      <c r="G547" s="54"/>
      <c r="H547" s="54"/>
      <c r="I547" s="54"/>
      <c r="J547" s="54"/>
      <c r="K547" s="54"/>
      <c r="L547" s="54"/>
      <c r="M547" s="54"/>
      <c r="N547" s="54"/>
      <c r="P547" s="44"/>
    </row>
    <row r="548">
      <c r="A548" s="54"/>
      <c r="B548" s="54"/>
      <c r="C548" s="54"/>
      <c r="D548" s="54"/>
      <c r="E548" s="141"/>
      <c r="F548" s="141"/>
      <c r="G548" s="54"/>
      <c r="H548" s="54"/>
      <c r="I548" s="54"/>
      <c r="J548" s="54"/>
      <c r="K548" s="54"/>
      <c r="L548" s="54"/>
      <c r="M548" s="54"/>
      <c r="N548" s="54"/>
      <c r="P548" s="44"/>
    </row>
    <row r="549">
      <c r="A549" s="54"/>
      <c r="B549" s="54"/>
      <c r="C549" s="54"/>
      <c r="D549" s="54"/>
      <c r="E549" s="141"/>
      <c r="F549" s="141"/>
      <c r="G549" s="54"/>
      <c r="H549" s="54"/>
      <c r="I549" s="54"/>
      <c r="J549" s="54"/>
      <c r="K549" s="54"/>
      <c r="L549" s="54"/>
      <c r="M549" s="54"/>
      <c r="N549" s="54"/>
      <c r="P549" s="44"/>
    </row>
    <row r="550">
      <c r="A550" s="54"/>
      <c r="B550" s="54"/>
      <c r="C550" s="54"/>
      <c r="D550" s="54"/>
      <c r="E550" s="141"/>
      <c r="F550" s="141"/>
      <c r="G550" s="54"/>
      <c r="H550" s="54"/>
      <c r="I550" s="54"/>
      <c r="J550" s="54"/>
      <c r="K550" s="54"/>
      <c r="L550" s="54"/>
      <c r="M550" s="54"/>
      <c r="N550" s="54"/>
      <c r="P550" s="44"/>
    </row>
    <row r="551">
      <c r="A551" s="54"/>
      <c r="B551" s="54"/>
      <c r="C551" s="54"/>
      <c r="D551" s="54"/>
      <c r="E551" s="141"/>
      <c r="F551" s="141"/>
      <c r="G551" s="54"/>
      <c r="H551" s="54"/>
      <c r="I551" s="54"/>
      <c r="J551" s="54"/>
      <c r="K551" s="54"/>
      <c r="L551" s="54"/>
      <c r="M551" s="54"/>
      <c r="N551" s="54"/>
      <c r="P551" s="44"/>
    </row>
    <row r="552">
      <c r="A552" s="54"/>
      <c r="B552" s="54"/>
      <c r="C552" s="54"/>
      <c r="D552" s="54"/>
      <c r="E552" s="141"/>
      <c r="F552" s="141"/>
      <c r="G552" s="54"/>
      <c r="H552" s="54"/>
      <c r="I552" s="54"/>
      <c r="J552" s="54"/>
      <c r="K552" s="54"/>
      <c r="L552" s="54"/>
      <c r="M552" s="54"/>
      <c r="N552" s="54"/>
      <c r="P552" s="44"/>
    </row>
    <row r="553">
      <c r="A553" s="54"/>
      <c r="B553" s="54"/>
      <c r="C553" s="54"/>
      <c r="D553" s="54"/>
      <c r="E553" s="141"/>
      <c r="F553" s="141"/>
      <c r="G553" s="54"/>
      <c r="H553" s="54"/>
      <c r="I553" s="54"/>
      <c r="J553" s="54"/>
      <c r="K553" s="54"/>
      <c r="L553" s="54"/>
      <c r="M553" s="54"/>
      <c r="N553" s="54"/>
      <c r="P553" s="44"/>
    </row>
    <row r="554">
      <c r="A554" s="54"/>
      <c r="B554" s="54"/>
      <c r="C554" s="54"/>
      <c r="D554" s="54"/>
      <c r="E554" s="141"/>
      <c r="F554" s="141"/>
      <c r="G554" s="54"/>
      <c r="H554" s="54"/>
      <c r="I554" s="54"/>
      <c r="J554" s="54"/>
      <c r="K554" s="54"/>
      <c r="L554" s="54"/>
      <c r="M554" s="54"/>
      <c r="N554" s="54"/>
      <c r="P554" s="44"/>
    </row>
    <row r="555">
      <c r="A555" s="54"/>
      <c r="B555" s="54"/>
      <c r="C555" s="54"/>
      <c r="D555" s="54"/>
      <c r="E555" s="141"/>
      <c r="F555" s="141"/>
      <c r="G555" s="54"/>
      <c r="H555" s="54"/>
      <c r="I555" s="54"/>
      <c r="J555" s="54"/>
      <c r="K555" s="54"/>
      <c r="L555" s="54"/>
      <c r="M555" s="54"/>
      <c r="N555" s="54"/>
      <c r="P555" s="44"/>
    </row>
    <row r="556">
      <c r="A556" s="54"/>
      <c r="B556" s="54"/>
      <c r="C556" s="54"/>
      <c r="D556" s="54"/>
      <c r="E556" s="141"/>
      <c r="F556" s="141"/>
      <c r="G556" s="54"/>
      <c r="H556" s="54"/>
      <c r="I556" s="54"/>
      <c r="J556" s="54"/>
      <c r="K556" s="54"/>
      <c r="L556" s="54"/>
      <c r="M556" s="54"/>
      <c r="N556" s="54"/>
      <c r="P556" s="44"/>
    </row>
    <row r="557">
      <c r="A557" s="54"/>
      <c r="B557" s="54"/>
      <c r="C557" s="54"/>
      <c r="D557" s="54"/>
      <c r="E557" s="141"/>
      <c r="F557" s="141"/>
      <c r="G557" s="54"/>
      <c r="H557" s="54"/>
      <c r="I557" s="54"/>
      <c r="J557" s="54"/>
      <c r="K557" s="54"/>
      <c r="L557" s="54"/>
      <c r="M557" s="54"/>
      <c r="N557" s="54"/>
      <c r="P557" s="44"/>
    </row>
    <row r="558">
      <c r="A558" s="54"/>
      <c r="B558" s="54"/>
      <c r="C558" s="54"/>
      <c r="D558" s="54"/>
      <c r="E558" s="141"/>
      <c r="F558" s="141"/>
      <c r="G558" s="54"/>
      <c r="H558" s="54"/>
      <c r="I558" s="54"/>
      <c r="J558" s="54"/>
      <c r="K558" s="54"/>
      <c r="L558" s="54"/>
      <c r="M558" s="54"/>
      <c r="N558" s="54"/>
      <c r="P558" s="44"/>
    </row>
    <row r="559">
      <c r="A559" s="54"/>
      <c r="B559" s="54"/>
      <c r="C559" s="54"/>
      <c r="D559" s="54"/>
      <c r="E559" s="141"/>
      <c r="F559" s="141"/>
      <c r="G559" s="54"/>
      <c r="H559" s="54"/>
      <c r="I559" s="54"/>
      <c r="J559" s="54"/>
      <c r="K559" s="54"/>
      <c r="L559" s="54"/>
      <c r="M559" s="54"/>
      <c r="N559" s="54"/>
      <c r="P559" s="44"/>
    </row>
    <row r="560">
      <c r="A560" s="54"/>
      <c r="B560" s="54"/>
      <c r="C560" s="54"/>
      <c r="D560" s="54"/>
      <c r="E560" s="141"/>
      <c r="F560" s="141"/>
      <c r="G560" s="54"/>
      <c r="H560" s="54"/>
      <c r="I560" s="54"/>
      <c r="J560" s="54"/>
      <c r="K560" s="54"/>
      <c r="L560" s="54"/>
      <c r="M560" s="54"/>
      <c r="N560" s="54"/>
      <c r="P560" s="44"/>
    </row>
    <row r="561">
      <c r="A561" s="54"/>
      <c r="B561" s="54"/>
      <c r="C561" s="54"/>
      <c r="D561" s="54"/>
      <c r="E561" s="141"/>
      <c r="F561" s="141"/>
      <c r="G561" s="54"/>
      <c r="H561" s="54"/>
      <c r="I561" s="54"/>
      <c r="J561" s="54"/>
      <c r="K561" s="54"/>
      <c r="L561" s="54"/>
      <c r="M561" s="54"/>
      <c r="N561" s="54"/>
      <c r="P561" s="44"/>
    </row>
    <row r="562">
      <c r="A562" s="54"/>
      <c r="B562" s="54"/>
      <c r="C562" s="54"/>
      <c r="D562" s="54"/>
      <c r="E562" s="141"/>
      <c r="F562" s="141"/>
      <c r="G562" s="54"/>
      <c r="H562" s="54"/>
      <c r="I562" s="54"/>
      <c r="J562" s="54"/>
      <c r="K562" s="54"/>
      <c r="L562" s="54"/>
      <c r="M562" s="54"/>
      <c r="N562" s="54"/>
      <c r="P562" s="44"/>
    </row>
    <row r="563">
      <c r="A563" s="54"/>
      <c r="B563" s="54"/>
      <c r="C563" s="54"/>
      <c r="D563" s="54"/>
      <c r="E563" s="141"/>
      <c r="F563" s="141"/>
      <c r="G563" s="54"/>
      <c r="H563" s="54"/>
      <c r="I563" s="54"/>
      <c r="J563" s="54"/>
      <c r="K563" s="54"/>
      <c r="L563" s="54"/>
      <c r="M563" s="54"/>
      <c r="N563" s="54"/>
      <c r="P563" s="44"/>
    </row>
    <row r="564">
      <c r="A564" s="54"/>
      <c r="B564" s="54"/>
      <c r="C564" s="54"/>
      <c r="D564" s="54"/>
      <c r="E564" s="141"/>
      <c r="F564" s="141"/>
      <c r="G564" s="54"/>
      <c r="H564" s="54"/>
      <c r="I564" s="54"/>
      <c r="J564" s="54"/>
      <c r="K564" s="54"/>
      <c r="L564" s="54"/>
      <c r="M564" s="54"/>
      <c r="N564" s="54"/>
      <c r="P564" s="44"/>
    </row>
    <row r="565">
      <c r="A565" s="54"/>
      <c r="B565" s="54"/>
      <c r="C565" s="54"/>
      <c r="D565" s="54"/>
      <c r="E565" s="141"/>
      <c r="F565" s="141"/>
      <c r="G565" s="54"/>
      <c r="H565" s="54"/>
      <c r="I565" s="54"/>
      <c r="J565" s="54"/>
      <c r="K565" s="54"/>
      <c r="L565" s="54"/>
      <c r="M565" s="54"/>
      <c r="N565" s="54"/>
      <c r="P565" s="44"/>
    </row>
    <row r="566">
      <c r="A566" s="54"/>
      <c r="B566" s="54"/>
      <c r="C566" s="54"/>
      <c r="D566" s="54"/>
      <c r="E566" s="141"/>
      <c r="F566" s="141"/>
      <c r="G566" s="54"/>
      <c r="H566" s="54"/>
      <c r="I566" s="54"/>
      <c r="J566" s="54"/>
      <c r="K566" s="54"/>
      <c r="L566" s="54"/>
      <c r="M566" s="54"/>
      <c r="N566" s="54"/>
      <c r="P566" s="44"/>
    </row>
    <row r="567">
      <c r="A567" s="54"/>
      <c r="B567" s="54"/>
      <c r="C567" s="54"/>
      <c r="D567" s="54"/>
      <c r="E567" s="141"/>
      <c r="F567" s="141"/>
      <c r="G567" s="54"/>
      <c r="H567" s="54"/>
      <c r="I567" s="54"/>
      <c r="J567" s="54"/>
      <c r="K567" s="54"/>
      <c r="L567" s="54"/>
      <c r="M567" s="54"/>
      <c r="N567" s="54"/>
      <c r="P567" s="44"/>
    </row>
    <row r="568">
      <c r="A568" s="54"/>
      <c r="B568" s="54"/>
      <c r="C568" s="54"/>
      <c r="D568" s="54"/>
      <c r="E568" s="141"/>
      <c r="F568" s="141"/>
      <c r="G568" s="54"/>
      <c r="H568" s="54"/>
      <c r="I568" s="54"/>
      <c r="J568" s="54"/>
      <c r="K568" s="54"/>
      <c r="L568" s="54"/>
      <c r="M568" s="54"/>
      <c r="N568" s="54"/>
      <c r="P568" s="44"/>
    </row>
    <row r="569">
      <c r="A569" s="54"/>
      <c r="B569" s="54"/>
      <c r="C569" s="54"/>
      <c r="D569" s="54"/>
      <c r="E569" s="141"/>
      <c r="F569" s="141"/>
      <c r="G569" s="54"/>
      <c r="H569" s="54"/>
      <c r="I569" s="54"/>
      <c r="J569" s="54"/>
      <c r="K569" s="54"/>
      <c r="L569" s="54"/>
      <c r="M569" s="54"/>
      <c r="N569" s="54"/>
      <c r="P569" s="44"/>
    </row>
    <row r="570">
      <c r="A570" s="54"/>
      <c r="B570" s="54"/>
      <c r="C570" s="54"/>
      <c r="D570" s="54"/>
      <c r="E570" s="141"/>
      <c r="F570" s="141"/>
      <c r="G570" s="54"/>
      <c r="H570" s="54"/>
      <c r="I570" s="54"/>
      <c r="J570" s="54"/>
      <c r="K570" s="54"/>
      <c r="L570" s="54"/>
      <c r="M570" s="54"/>
      <c r="N570" s="54"/>
      <c r="P570" s="44"/>
    </row>
    <row r="571">
      <c r="A571" s="54"/>
      <c r="B571" s="54"/>
      <c r="C571" s="54"/>
      <c r="D571" s="54"/>
      <c r="E571" s="141"/>
      <c r="F571" s="141"/>
      <c r="G571" s="54"/>
      <c r="H571" s="54"/>
      <c r="I571" s="54"/>
      <c r="J571" s="54"/>
      <c r="K571" s="54"/>
      <c r="L571" s="54"/>
      <c r="M571" s="54"/>
      <c r="N571" s="54"/>
      <c r="P571" s="44"/>
    </row>
    <row r="572">
      <c r="A572" s="54"/>
      <c r="B572" s="54"/>
      <c r="C572" s="54"/>
      <c r="D572" s="54"/>
      <c r="E572" s="141"/>
      <c r="F572" s="141"/>
      <c r="G572" s="54"/>
      <c r="H572" s="54"/>
      <c r="I572" s="54"/>
      <c r="J572" s="54"/>
      <c r="K572" s="54"/>
      <c r="L572" s="54"/>
      <c r="M572" s="54"/>
      <c r="N572" s="54"/>
      <c r="P572" s="44"/>
    </row>
    <row r="573">
      <c r="A573" s="54"/>
      <c r="B573" s="54"/>
      <c r="C573" s="54"/>
      <c r="D573" s="54"/>
      <c r="E573" s="141"/>
      <c r="F573" s="141"/>
      <c r="G573" s="54"/>
      <c r="H573" s="54"/>
      <c r="I573" s="54"/>
      <c r="J573" s="54"/>
      <c r="K573" s="54"/>
      <c r="L573" s="54"/>
      <c r="M573" s="54"/>
      <c r="N573" s="54"/>
      <c r="P573" s="44"/>
    </row>
    <row r="574">
      <c r="A574" s="54"/>
      <c r="B574" s="54"/>
      <c r="C574" s="54"/>
      <c r="D574" s="54"/>
      <c r="E574" s="141"/>
      <c r="F574" s="141"/>
      <c r="G574" s="54"/>
      <c r="H574" s="54"/>
      <c r="I574" s="54"/>
      <c r="J574" s="54"/>
      <c r="K574" s="54"/>
      <c r="L574" s="54"/>
      <c r="M574" s="54"/>
      <c r="N574" s="54"/>
      <c r="P574" s="44"/>
    </row>
    <row r="575">
      <c r="A575" s="54"/>
      <c r="B575" s="54"/>
      <c r="C575" s="54"/>
      <c r="D575" s="54"/>
      <c r="E575" s="141"/>
      <c r="F575" s="141"/>
      <c r="G575" s="54"/>
      <c r="H575" s="54"/>
      <c r="I575" s="54"/>
      <c r="J575" s="54"/>
      <c r="K575" s="54"/>
      <c r="L575" s="54"/>
      <c r="M575" s="54"/>
      <c r="N575" s="54"/>
      <c r="P575" s="44"/>
    </row>
    <row r="576">
      <c r="A576" s="54"/>
      <c r="B576" s="54"/>
      <c r="C576" s="54"/>
      <c r="D576" s="54"/>
      <c r="E576" s="141"/>
      <c r="F576" s="141"/>
      <c r="G576" s="54"/>
      <c r="H576" s="54"/>
      <c r="I576" s="54"/>
      <c r="J576" s="54"/>
      <c r="K576" s="54"/>
      <c r="L576" s="54"/>
      <c r="M576" s="54"/>
      <c r="N576" s="54"/>
      <c r="P576" s="44"/>
    </row>
    <row r="577">
      <c r="A577" s="54"/>
      <c r="B577" s="54"/>
      <c r="C577" s="54"/>
      <c r="D577" s="54"/>
      <c r="E577" s="141"/>
      <c r="F577" s="141"/>
      <c r="G577" s="54"/>
      <c r="H577" s="54"/>
      <c r="I577" s="54"/>
      <c r="J577" s="54"/>
      <c r="K577" s="54"/>
      <c r="L577" s="54"/>
      <c r="M577" s="54"/>
      <c r="N577" s="54"/>
      <c r="P577" s="44"/>
    </row>
    <row r="578">
      <c r="A578" s="54"/>
      <c r="B578" s="54"/>
      <c r="C578" s="54"/>
      <c r="D578" s="54"/>
      <c r="E578" s="141"/>
      <c r="F578" s="141"/>
      <c r="G578" s="54"/>
      <c r="H578" s="54"/>
      <c r="I578" s="54"/>
      <c r="J578" s="54"/>
      <c r="K578" s="54"/>
      <c r="L578" s="54"/>
      <c r="M578" s="54"/>
      <c r="N578" s="54"/>
      <c r="P578" s="44"/>
    </row>
    <row r="579">
      <c r="A579" s="54"/>
      <c r="B579" s="54"/>
      <c r="C579" s="54"/>
      <c r="D579" s="54"/>
      <c r="E579" s="141"/>
      <c r="F579" s="141"/>
      <c r="G579" s="54"/>
      <c r="H579" s="54"/>
      <c r="I579" s="54"/>
      <c r="J579" s="54"/>
      <c r="K579" s="54"/>
      <c r="L579" s="54"/>
      <c r="M579" s="54"/>
      <c r="N579" s="54"/>
      <c r="P579" s="44"/>
    </row>
    <row r="580">
      <c r="A580" s="54"/>
      <c r="B580" s="54"/>
      <c r="C580" s="54"/>
      <c r="D580" s="54"/>
      <c r="E580" s="141"/>
      <c r="F580" s="141"/>
      <c r="G580" s="54"/>
      <c r="H580" s="54"/>
      <c r="I580" s="54"/>
      <c r="J580" s="54"/>
      <c r="K580" s="54"/>
      <c r="L580" s="54"/>
      <c r="M580" s="54"/>
      <c r="N580" s="54"/>
      <c r="P580" s="44"/>
    </row>
    <row r="581">
      <c r="A581" s="54"/>
      <c r="B581" s="54"/>
      <c r="C581" s="54"/>
      <c r="D581" s="54"/>
      <c r="E581" s="141"/>
      <c r="F581" s="141"/>
      <c r="G581" s="54"/>
      <c r="H581" s="54"/>
      <c r="I581" s="54"/>
      <c r="J581" s="54"/>
      <c r="K581" s="54"/>
      <c r="L581" s="54"/>
      <c r="M581" s="54"/>
      <c r="N581" s="54"/>
      <c r="P581" s="44"/>
    </row>
    <row r="582">
      <c r="A582" s="54"/>
      <c r="B582" s="54"/>
      <c r="C582" s="54"/>
      <c r="D582" s="54"/>
      <c r="E582" s="141"/>
      <c r="F582" s="141"/>
      <c r="G582" s="54"/>
      <c r="H582" s="54"/>
      <c r="I582" s="54"/>
      <c r="J582" s="54"/>
      <c r="K582" s="54"/>
      <c r="L582" s="54"/>
      <c r="M582" s="54"/>
      <c r="N582" s="54"/>
      <c r="P582" s="44"/>
    </row>
    <row r="583">
      <c r="A583" s="54"/>
      <c r="B583" s="54"/>
      <c r="C583" s="54"/>
      <c r="D583" s="54"/>
      <c r="E583" s="141"/>
      <c r="F583" s="141"/>
      <c r="G583" s="54"/>
      <c r="H583" s="54"/>
      <c r="I583" s="54"/>
      <c r="J583" s="54"/>
      <c r="K583" s="54"/>
      <c r="L583" s="54"/>
      <c r="M583" s="54"/>
      <c r="N583" s="54"/>
      <c r="P583" s="44"/>
    </row>
    <row r="584">
      <c r="A584" s="54"/>
      <c r="B584" s="54"/>
      <c r="C584" s="54"/>
      <c r="D584" s="54"/>
      <c r="E584" s="141"/>
      <c r="F584" s="141"/>
      <c r="G584" s="54"/>
      <c r="H584" s="54"/>
      <c r="I584" s="54"/>
      <c r="J584" s="54"/>
      <c r="K584" s="54"/>
      <c r="L584" s="54"/>
      <c r="M584" s="54"/>
      <c r="N584" s="54"/>
      <c r="P584" s="44"/>
    </row>
    <row r="585">
      <c r="A585" s="54"/>
      <c r="B585" s="54"/>
      <c r="C585" s="54"/>
      <c r="D585" s="54"/>
      <c r="E585" s="141"/>
      <c r="F585" s="141"/>
      <c r="G585" s="54"/>
      <c r="H585" s="54"/>
      <c r="I585" s="54"/>
      <c r="J585" s="54"/>
      <c r="K585" s="54"/>
      <c r="L585" s="54"/>
      <c r="M585" s="54"/>
      <c r="N585" s="54"/>
      <c r="P585" s="44"/>
    </row>
    <row r="586">
      <c r="A586" s="54"/>
      <c r="B586" s="54"/>
      <c r="C586" s="54"/>
      <c r="D586" s="54"/>
      <c r="E586" s="141"/>
      <c r="F586" s="141"/>
      <c r="G586" s="54"/>
      <c r="H586" s="54"/>
      <c r="I586" s="54"/>
      <c r="J586" s="54"/>
      <c r="K586" s="54"/>
      <c r="L586" s="54"/>
      <c r="M586" s="54"/>
      <c r="N586" s="54"/>
      <c r="P586" s="44"/>
    </row>
    <row r="587">
      <c r="A587" s="54"/>
      <c r="B587" s="54"/>
      <c r="C587" s="54"/>
      <c r="D587" s="54"/>
      <c r="E587" s="141"/>
      <c r="F587" s="141"/>
      <c r="G587" s="54"/>
      <c r="H587" s="54"/>
      <c r="I587" s="54"/>
      <c r="J587" s="54"/>
      <c r="K587" s="54"/>
      <c r="L587" s="54"/>
      <c r="M587" s="54"/>
      <c r="N587" s="54"/>
      <c r="P587" s="44"/>
    </row>
    <row r="588">
      <c r="A588" s="54"/>
      <c r="B588" s="54"/>
      <c r="C588" s="54"/>
      <c r="D588" s="54"/>
      <c r="E588" s="141"/>
      <c r="F588" s="141"/>
      <c r="G588" s="54"/>
      <c r="H588" s="54"/>
      <c r="I588" s="54"/>
      <c r="J588" s="54"/>
      <c r="K588" s="54"/>
      <c r="L588" s="54"/>
      <c r="M588" s="54"/>
      <c r="N588" s="54"/>
      <c r="P588" s="44"/>
    </row>
    <row r="589">
      <c r="A589" s="54"/>
      <c r="B589" s="54"/>
      <c r="C589" s="54"/>
      <c r="D589" s="54"/>
      <c r="E589" s="141"/>
      <c r="F589" s="141"/>
      <c r="G589" s="54"/>
      <c r="H589" s="54"/>
      <c r="I589" s="54"/>
      <c r="J589" s="54"/>
      <c r="K589" s="54"/>
      <c r="L589" s="54"/>
      <c r="M589" s="54"/>
      <c r="N589" s="54"/>
      <c r="P589" s="44"/>
    </row>
    <row r="590">
      <c r="A590" s="54"/>
      <c r="B590" s="54"/>
      <c r="C590" s="54"/>
      <c r="D590" s="54"/>
      <c r="E590" s="141"/>
      <c r="F590" s="141"/>
      <c r="G590" s="54"/>
      <c r="H590" s="54"/>
      <c r="I590" s="54"/>
      <c r="J590" s="54"/>
      <c r="K590" s="54"/>
      <c r="L590" s="54"/>
      <c r="M590" s="54"/>
      <c r="N590" s="54"/>
      <c r="P590" s="44"/>
    </row>
    <row r="591">
      <c r="A591" s="54"/>
      <c r="B591" s="54"/>
      <c r="C591" s="54"/>
      <c r="D591" s="54"/>
      <c r="E591" s="141"/>
      <c r="F591" s="141"/>
      <c r="G591" s="54"/>
      <c r="H591" s="54"/>
      <c r="I591" s="54"/>
      <c r="J591" s="54"/>
      <c r="K591" s="54"/>
      <c r="L591" s="54"/>
      <c r="M591" s="54"/>
      <c r="N591" s="54"/>
      <c r="P591" s="44"/>
    </row>
    <row r="592">
      <c r="A592" s="54"/>
      <c r="B592" s="54"/>
      <c r="C592" s="54"/>
      <c r="D592" s="54"/>
      <c r="E592" s="141"/>
      <c r="F592" s="141"/>
      <c r="G592" s="54"/>
      <c r="H592" s="54"/>
      <c r="I592" s="54"/>
      <c r="J592" s="54"/>
      <c r="K592" s="54"/>
      <c r="L592" s="54"/>
      <c r="M592" s="54"/>
      <c r="N592" s="54"/>
      <c r="P592" s="44"/>
    </row>
    <row r="593">
      <c r="A593" s="54"/>
      <c r="B593" s="54"/>
      <c r="C593" s="54"/>
      <c r="D593" s="54"/>
      <c r="E593" s="141"/>
      <c r="F593" s="141"/>
      <c r="G593" s="54"/>
      <c r="H593" s="54"/>
      <c r="I593" s="54"/>
      <c r="J593" s="54"/>
      <c r="K593" s="54"/>
      <c r="L593" s="54"/>
      <c r="M593" s="54"/>
      <c r="N593" s="54"/>
      <c r="P593" s="44"/>
    </row>
    <row r="594">
      <c r="A594" s="54"/>
      <c r="B594" s="54"/>
      <c r="C594" s="54"/>
      <c r="D594" s="54"/>
      <c r="E594" s="141"/>
      <c r="F594" s="141"/>
      <c r="G594" s="54"/>
      <c r="H594" s="54"/>
      <c r="I594" s="54"/>
      <c r="J594" s="54"/>
      <c r="K594" s="54"/>
      <c r="L594" s="54"/>
      <c r="M594" s="54"/>
      <c r="N594" s="54"/>
      <c r="P594" s="44"/>
    </row>
    <row r="595">
      <c r="A595" s="54"/>
      <c r="B595" s="54"/>
      <c r="C595" s="54"/>
      <c r="D595" s="54"/>
      <c r="E595" s="141"/>
      <c r="F595" s="141"/>
      <c r="G595" s="54"/>
      <c r="H595" s="54"/>
      <c r="I595" s="54"/>
      <c r="J595" s="54"/>
      <c r="K595" s="54"/>
      <c r="L595" s="54"/>
      <c r="M595" s="54"/>
      <c r="N595" s="54"/>
      <c r="P595" s="44"/>
    </row>
    <row r="596">
      <c r="A596" s="54"/>
      <c r="B596" s="54"/>
      <c r="C596" s="54"/>
      <c r="D596" s="54"/>
      <c r="E596" s="141"/>
      <c r="F596" s="141"/>
      <c r="G596" s="54"/>
      <c r="H596" s="54"/>
      <c r="I596" s="54"/>
      <c r="J596" s="54"/>
      <c r="K596" s="54"/>
      <c r="L596" s="54"/>
      <c r="M596" s="54"/>
      <c r="N596" s="54"/>
      <c r="P596" s="44"/>
    </row>
    <row r="597">
      <c r="A597" s="54"/>
      <c r="B597" s="54"/>
      <c r="C597" s="54"/>
      <c r="D597" s="54"/>
      <c r="E597" s="141"/>
      <c r="F597" s="141"/>
      <c r="G597" s="54"/>
      <c r="H597" s="54"/>
      <c r="I597" s="54"/>
      <c r="J597" s="54"/>
      <c r="K597" s="54"/>
      <c r="L597" s="54"/>
      <c r="M597" s="54"/>
      <c r="N597" s="54"/>
      <c r="P597" s="44"/>
    </row>
    <row r="598">
      <c r="A598" s="54"/>
      <c r="B598" s="54"/>
      <c r="C598" s="54"/>
      <c r="D598" s="54"/>
      <c r="E598" s="141"/>
      <c r="F598" s="141"/>
      <c r="G598" s="54"/>
      <c r="H598" s="54"/>
      <c r="I598" s="54"/>
      <c r="J598" s="54"/>
      <c r="K598" s="54"/>
      <c r="L598" s="54"/>
      <c r="M598" s="54"/>
      <c r="N598" s="54"/>
      <c r="P598" s="44"/>
    </row>
    <row r="599">
      <c r="A599" s="54"/>
      <c r="B599" s="54"/>
      <c r="C599" s="54"/>
      <c r="D599" s="54"/>
      <c r="E599" s="141"/>
      <c r="F599" s="141"/>
      <c r="G599" s="54"/>
      <c r="H599" s="54"/>
      <c r="I599" s="54"/>
      <c r="J599" s="54"/>
      <c r="K599" s="54"/>
      <c r="L599" s="54"/>
      <c r="M599" s="54"/>
      <c r="N599" s="54"/>
      <c r="P599" s="44"/>
    </row>
    <row r="600">
      <c r="A600" s="54"/>
      <c r="B600" s="54"/>
      <c r="C600" s="54"/>
      <c r="D600" s="54"/>
      <c r="E600" s="141"/>
      <c r="F600" s="141"/>
      <c r="G600" s="54"/>
      <c r="H600" s="54"/>
      <c r="I600" s="54"/>
      <c r="J600" s="54"/>
      <c r="K600" s="54"/>
      <c r="L600" s="54"/>
      <c r="M600" s="54"/>
      <c r="N600" s="54"/>
      <c r="P600" s="44"/>
    </row>
    <row r="601">
      <c r="A601" s="54"/>
      <c r="B601" s="54"/>
      <c r="C601" s="54"/>
      <c r="D601" s="54"/>
      <c r="E601" s="141"/>
      <c r="F601" s="141"/>
      <c r="G601" s="54"/>
      <c r="H601" s="54"/>
      <c r="I601" s="54"/>
      <c r="J601" s="54"/>
      <c r="K601" s="54"/>
      <c r="L601" s="54"/>
      <c r="M601" s="54"/>
      <c r="N601" s="54"/>
      <c r="P601" s="44"/>
    </row>
    <row r="602">
      <c r="A602" s="54"/>
      <c r="B602" s="54"/>
      <c r="C602" s="54"/>
      <c r="D602" s="54"/>
      <c r="E602" s="141"/>
      <c r="F602" s="141"/>
      <c r="G602" s="54"/>
      <c r="H602" s="54"/>
      <c r="I602" s="54"/>
      <c r="J602" s="54"/>
      <c r="K602" s="54"/>
      <c r="L602" s="54"/>
      <c r="M602" s="54"/>
      <c r="N602" s="54"/>
      <c r="P602" s="44"/>
    </row>
    <row r="603">
      <c r="A603" s="54"/>
      <c r="B603" s="54"/>
      <c r="C603" s="54"/>
      <c r="D603" s="54"/>
      <c r="E603" s="141"/>
      <c r="F603" s="141"/>
      <c r="G603" s="54"/>
      <c r="H603" s="54"/>
      <c r="I603" s="54"/>
      <c r="J603" s="54"/>
      <c r="K603" s="54"/>
      <c r="L603" s="54"/>
      <c r="M603" s="54"/>
      <c r="N603" s="54"/>
      <c r="P603" s="44"/>
    </row>
    <row r="604">
      <c r="A604" s="54"/>
      <c r="B604" s="54"/>
      <c r="C604" s="54"/>
      <c r="D604" s="54"/>
      <c r="E604" s="141"/>
      <c r="F604" s="141"/>
      <c r="G604" s="54"/>
      <c r="H604" s="54"/>
      <c r="I604" s="54"/>
      <c r="J604" s="54"/>
      <c r="K604" s="54"/>
      <c r="L604" s="54"/>
      <c r="M604" s="54"/>
      <c r="N604" s="54"/>
      <c r="P604" s="44"/>
    </row>
    <row r="605">
      <c r="A605" s="54"/>
      <c r="B605" s="54"/>
      <c r="C605" s="54"/>
      <c r="D605" s="54"/>
      <c r="E605" s="141"/>
      <c r="F605" s="141"/>
      <c r="G605" s="54"/>
      <c r="H605" s="54"/>
      <c r="I605" s="54"/>
      <c r="J605" s="54"/>
      <c r="K605" s="54"/>
      <c r="L605" s="54"/>
      <c r="M605" s="54"/>
      <c r="N605" s="54"/>
      <c r="P605" s="44"/>
    </row>
    <row r="606">
      <c r="A606" s="54"/>
      <c r="B606" s="54"/>
      <c r="C606" s="54"/>
      <c r="D606" s="54"/>
      <c r="E606" s="141"/>
      <c r="F606" s="141"/>
      <c r="G606" s="54"/>
      <c r="H606" s="54"/>
      <c r="I606" s="54"/>
      <c r="J606" s="54"/>
      <c r="K606" s="54"/>
      <c r="L606" s="54"/>
      <c r="M606" s="54"/>
      <c r="N606" s="54"/>
      <c r="P606" s="44"/>
    </row>
    <row r="607">
      <c r="A607" s="54"/>
      <c r="B607" s="54"/>
      <c r="C607" s="54"/>
      <c r="D607" s="54"/>
      <c r="E607" s="141"/>
      <c r="F607" s="141"/>
      <c r="G607" s="54"/>
      <c r="H607" s="54"/>
      <c r="I607" s="54"/>
      <c r="J607" s="54"/>
      <c r="K607" s="54"/>
      <c r="L607" s="54"/>
      <c r="M607" s="54"/>
      <c r="N607" s="54"/>
      <c r="P607" s="44"/>
    </row>
    <row r="608">
      <c r="A608" s="54"/>
      <c r="B608" s="54"/>
      <c r="C608" s="54"/>
      <c r="D608" s="54"/>
      <c r="E608" s="141"/>
      <c r="F608" s="141"/>
      <c r="G608" s="54"/>
      <c r="H608" s="54"/>
      <c r="I608" s="54"/>
      <c r="J608" s="54"/>
      <c r="K608" s="54"/>
      <c r="L608" s="54"/>
      <c r="M608" s="54"/>
      <c r="N608" s="54"/>
      <c r="P608" s="44"/>
    </row>
    <row r="609">
      <c r="A609" s="54"/>
      <c r="B609" s="54"/>
      <c r="C609" s="54"/>
      <c r="D609" s="54"/>
      <c r="E609" s="141"/>
      <c r="F609" s="141"/>
      <c r="G609" s="54"/>
      <c r="H609" s="54"/>
      <c r="I609" s="54"/>
      <c r="J609" s="54"/>
      <c r="K609" s="54"/>
      <c r="L609" s="54"/>
      <c r="M609" s="54"/>
      <c r="N609" s="54"/>
      <c r="P609" s="44"/>
    </row>
    <row r="610">
      <c r="A610" s="54"/>
      <c r="B610" s="54"/>
      <c r="C610" s="54"/>
      <c r="D610" s="54"/>
      <c r="E610" s="141"/>
      <c r="F610" s="141"/>
      <c r="G610" s="54"/>
      <c r="H610" s="54"/>
      <c r="I610" s="54"/>
      <c r="J610" s="54"/>
      <c r="K610" s="54"/>
      <c r="L610" s="54"/>
      <c r="M610" s="54"/>
      <c r="N610" s="54"/>
      <c r="P610" s="44"/>
    </row>
    <row r="611">
      <c r="A611" s="54"/>
      <c r="B611" s="54"/>
      <c r="C611" s="54"/>
      <c r="D611" s="54"/>
      <c r="E611" s="141"/>
      <c r="F611" s="141"/>
      <c r="G611" s="54"/>
      <c r="H611" s="54"/>
      <c r="I611" s="54"/>
      <c r="J611" s="54"/>
      <c r="K611" s="54"/>
      <c r="L611" s="54"/>
      <c r="M611" s="54"/>
      <c r="N611" s="54"/>
      <c r="P611" s="44"/>
    </row>
    <row r="612">
      <c r="A612" s="54"/>
      <c r="B612" s="54"/>
      <c r="C612" s="54"/>
      <c r="D612" s="54"/>
      <c r="E612" s="141"/>
      <c r="F612" s="141"/>
      <c r="G612" s="54"/>
      <c r="H612" s="54"/>
      <c r="I612" s="54"/>
      <c r="J612" s="54"/>
      <c r="K612" s="54"/>
      <c r="L612" s="54"/>
      <c r="M612" s="54"/>
      <c r="N612" s="54"/>
      <c r="P612" s="44"/>
    </row>
    <row r="613">
      <c r="A613" s="54"/>
      <c r="B613" s="54"/>
      <c r="C613" s="54"/>
      <c r="D613" s="54"/>
      <c r="E613" s="141"/>
      <c r="F613" s="141"/>
      <c r="G613" s="54"/>
      <c r="H613" s="54"/>
      <c r="I613" s="54"/>
      <c r="J613" s="54"/>
      <c r="K613" s="54"/>
      <c r="L613" s="54"/>
      <c r="M613" s="54"/>
      <c r="N613" s="54"/>
      <c r="P613" s="44"/>
    </row>
    <row r="614">
      <c r="A614" s="54"/>
      <c r="B614" s="54"/>
      <c r="C614" s="54"/>
      <c r="D614" s="54"/>
      <c r="E614" s="141"/>
      <c r="F614" s="141"/>
      <c r="G614" s="54"/>
      <c r="H614" s="54"/>
      <c r="I614" s="54"/>
      <c r="J614" s="54"/>
      <c r="K614" s="54"/>
      <c r="L614" s="54"/>
      <c r="M614" s="54"/>
      <c r="N614" s="54"/>
      <c r="P614" s="44"/>
    </row>
    <row r="615">
      <c r="A615" s="54"/>
      <c r="B615" s="54"/>
      <c r="C615" s="54"/>
      <c r="D615" s="54"/>
      <c r="E615" s="141"/>
      <c r="F615" s="141"/>
      <c r="G615" s="54"/>
      <c r="H615" s="54"/>
      <c r="I615" s="54"/>
      <c r="J615" s="54"/>
      <c r="K615" s="54"/>
      <c r="L615" s="54"/>
      <c r="M615" s="54"/>
      <c r="N615" s="54"/>
      <c r="P615" s="44"/>
    </row>
    <row r="616">
      <c r="A616" s="54"/>
      <c r="B616" s="54"/>
      <c r="C616" s="54"/>
      <c r="D616" s="54"/>
      <c r="E616" s="141"/>
      <c r="F616" s="141"/>
      <c r="G616" s="54"/>
      <c r="H616" s="54"/>
      <c r="I616" s="54"/>
      <c r="J616" s="54"/>
      <c r="K616" s="54"/>
      <c r="L616" s="54"/>
      <c r="M616" s="54"/>
      <c r="N616" s="54"/>
      <c r="P616" s="44"/>
    </row>
    <row r="617">
      <c r="A617" s="54"/>
      <c r="B617" s="54"/>
      <c r="C617" s="54"/>
      <c r="D617" s="54"/>
      <c r="E617" s="141"/>
      <c r="F617" s="141"/>
      <c r="G617" s="54"/>
      <c r="H617" s="54"/>
      <c r="I617" s="54"/>
      <c r="J617" s="54"/>
      <c r="K617" s="54"/>
      <c r="L617" s="54"/>
      <c r="M617" s="54"/>
      <c r="N617" s="54"/>
      <c r="P617" s="44"/>
    </row>
    <row r="618">
      <c r="A618" s="54"/>
      <c r="B618" s="54"/>
      <c r="C618" s="54"/>
      <c r="D618" s="54"/>
      <c r="E618" s="141"/>
      <c r="F618" s="141"/>
      <c r="G618" s="54"/>
      <c r="H618" s="54"/>
      <c r="I618" s="54"/>
      <c r="J618" s="54"/>
      <c r="K618" s="54"/>
      <c r="L618" s="54"/>
      <c r="M618" s="54"/>
      <c r="N618" s="54"/>
      <c r="P618" s="44"/>
    </row>
    <row r="619">
      <c r="A619" s="54"/>
      <c r="B619" s="54"/>
      <c r="C619" s="54"/>
      <c r="D619" s="54"/>
      <c r="E619" s="141"/>
      <c r="F619" s="141"/>
      <c r="G619" s="54"/>
      <c r="H619" s="54"/>
      <c r="I619" s="54"/>
      <c r="J619" s="54"/>
      <c r="K619" s="54"/>
      <c r="L619" s="54"/>
      <c r="M619" s="54"/>
      <c r="N619" s="54"/>
      <c r="P619" s="44"/>
    </row>
    <row r="620">
      <c r="A620" s="54"/>
      <c r="B620" s="54"/>
      <c r="C620" s="54"/>
      <c r="D620" s="54"/>
      <c r="E620" s="141"/>
      <c r="F620" s="141"/>
      <c r="G620" s="54"/>
      <c r="H620" s="54"/>
      <c r="I620" s="54"/>
      <c r="J620" s="54"/>
      <c r="K620" s="54"/>
      <c r="L620" s="54"/>
      <c r="M620" s="54"/>
      <c r="N620" s="54"/>
      <c r="P620" s="44"/>
    </row>
    <row r="621">
      <c r="A621" s="54"/>
      <c r="B621" s="54"/>
      <c r="C621" s="54"/>
      <c r="D621" s="54"/>
      <c r="E621" s="141"/>
      <c r="F621" s="141"/>
      <c r="G621" s="54"/>
      <c r="H621" s="54"/>
      <c r="I621" s="54"/>
      <c r="J621" s="54"/>
      <c r="K621" s="54"/>
      <c r="L621" s="54"/>
      <c r="M621" s="54"/>
      <c r="N621" s="54"/>
      <c r="P621" s="44"/>
    </row>
    <row r="622">
      <c r="A622" s="54"/>
      <c r="B622" s="54"/>
      <c r="C622" s="54"/>
      <c r="D622" s="54"/>
      <c r="E622" s="141"/>
      <c r="F622" s="141"/>
      <c r="G622" s="54"/>
      <c r="H622" s="54"/>
      <c r="I622" s="54"/>
      <c r="J622" s="54"/>
      <c r="K622" s="54"/>
      <c r="L622" s="54"/>
      <c r="M622" s="54"/>
      <c r="N622" s="54"/>
      <c r="P622" s="44"/>
    </row>
    <row r="623">
      <c r="A623" s="54"/>
      <c r="B623" s="54"/>
      <c r="C623" s="54"/>
      <c r="D623" s="54"/>
      <c r="E623" s="141"/>
      <c r="F623" s="141"/>
      <c r="G623" s="54"/>
      <c r="H623" s="54"/>
      <c r="I623" s="54"/>
      <c r="J623" s="54"/>
      <c r="K623" s="54"/>
      <c r="L623" s="54"/>
      <c r="M623" s="54"/>
      <c r="N623" s="54"/>
      <c r="P623" s="44"/>
    </row>
    <row r="624">
      <c r="A624" s="54"/>
      <c r="B624" s="54"/>
      <c r="C624" s="54"/>
      <c r="D624" s="54"/>
      <c r="E624" s="141"/>
      <c r="F624" s="141"/>
      <c r="G624" s="54"/>
      <c r="H624" s="54"/>
      <c r="I624" s="54"/>
      <c r="J624" s="54"/>
      <c r="K624" s="54"/>
      <c r="L624" s="54"/>
      <c r="M624" s="54"/>
      <c r="N624" s="54"/>
      <c r="P624" s="44"/>
    </row>
    <row r="625">
      <c r="A625" s="54"/>
      <c r="B625" s="54"/>
      <c r="C625" s="54"/>
      <c r="D625" s="54"/>
      <c r="E625" s="141"/>
      <c r="F625" s="141"/>
      <c r="G625" s="54"/>
      <c r="H625" s="54"/>
      <c r="I625" s="54"/>
      <c r="J625" s="54"/>
      <c r="K625" s="54"/>
      <c r="L625" s="54"/>
      <c r="M625" s="54"/>
      <c r="N625" s="54"/>
      <c r="P625" s="44"/>
    </row>
    <row r="626">
      <c r="A626" s="54"/>
      <c r="B626" s="54"/>
      <c r="C626" s="54"/>
      <c r="D626" s="54"/>
      <c r="E626" s="141"/>
      <c r="F626" s="141"/>
      <c r="G626" s="54"/>
      <c r="H626" s="54"/>
      <c r="I626" s="54"/>
      <c r="J626" s="54"/>
      <c r="K626" s="54"/>
      <c r="L626" s="54"/>
      <c r="M626" s="54"/>
      <c r="N626" s="54"/>
      <c r="P626" s="44"/>
    </row>
    <row r="627">
      <c r="A627" s="54"/>
      <c r="B627" s="54"/>
      <c r="C627" s="54"/>
      <c r="D627" s="54"/>
      <c r="E627" s="141"/>
      <c r="F627" s="141"/>
      <c r="G627" s="54"/>
      <c r="H627" s="54"/>
      <c r="I627" s="54"/>
      <c r="J627" s="54"/>
      <c r="K627" s="54"/>
      <c r="L627" s="54"/>
      <c r="M627" s="54"/>
      <c r="N627" s="54"/>
      <c r="P627" s="44"/>
    </row>
    <row r="628">
      <c r="A628" s="54"/>
      <c r="B628" s="54"/>
      <c r="C628" s="54"/>
      <c r="D628" s="54"/>
      <c r="E628" s="141"/>
      <c r="F628" s="141"/>
      <c r="G628" s="54"/>
      <c r="H628" s="54"/>
      <c r="I628" s="54"/>
      <c r="J628" s="54"/>
      <c r="K628" s="54"/>
      <c r="L628" s="54"/>
      <c r="M628" s="54"/>
      <c r="N628" s="54"/>
      <c r="P628" s="44"/>
    </row>
    <row r="629">
      <c r="A629" s="54"/>
      <c r="B629" s="54"/>
      <c r="C629" s="54"/>
      <c r="D629" s="54"/>
      <c r="E629" s="141"/>
      <c r="F629" s="141"/>
      <c r="G629" s="54"/>
      <c r="H629" s="54"/>
      <c r="I629" s="54"/>
      <c r="J629" s="54"/>
      <c r="K629" s="54"/>
      <c r="L629" s="54"/>
      <c r="M629" s="54"/>
      <c r="N629" s="54"/>
      <c r="P629" s="44"/>
    </row>
    <row r="630">
      <c r="A630" s="54"/>
      <c r="B630" s="54"/>
      <c r="C630" s="54"/>
      <c r="D630" s="54"/>
      <c r="E630" s="141"/>
      <c r="F630" s="141"/>
      <c r="G630" s="54"/>
      <c r="H630" s="54"/>
      <c r="I630" s="54"/>
      <c r="J630" s="54"/>
      <c r="K630" s="54"/>
      <c r="L630" s="54"/>
      <c r="M630" s="54"/>
      <c r="N630" s="54"/>
      <c r="P630" s="44"/>
    </row>
    <row r="631">
      <c r="A631" s="54"/>
      <c r="B631" s="54"/>
      <c r="C631" s="54"/>
      <c r="D631" s="54"/>
      <c r="E631" s="141"/>
      <c r="F631" s="141"/>
      <c r="G631" s="54"/>
      <c r="H631" s="54"/>
      <c r="I631" s="54"/>
      <c r="J631" s="54"/>
      <c r="K631" s="54"/>
      <c r="L631" s="54"/>
      <c r="M631" s="54"/>
      <c r="N631" s="54"/>
      <c r="P631" s="44"/>
    </row>
    <row r="632">
      <c r="A632" s="54"/>
      <c r="B632" s="54"/>
      <c r="C632" s="54"/>
      <c r="D632" s="54"/>
      <c r="E632" s="141"/>
      <c r="F632" s="141"/>
      <c r="G632" s="54"/>
      <c r="H632" s="54"/>
      <c r="I632" s="54"/>
      <c r="J632" s="54"/>
      <c r="K632" s="54"/>
      <c r="L632" s="54"/>
      <c r="M632" s="54"/>
      <c r="N632" s="54"/>
      <c r="P632" s="44"/>
    </row>
    <row r="633">
      <c r="A633" s="54"/>
      <c r="B633" s="54"/>
      <c r="C633" s="54"/>
      <c r="D633" s="54"/>
      <c r="E633" s="141"/>
      <c r="F633" s="141"/>
      <c r="G633" s="54"/>
      <c r="H633" s="54"/>
      <c r="I633" s="54"/>
      <c r="J633" s="54"/>
      <c r="K633" s="54"/>
      <c r="L633" s="54"/>
      <c r="M633" s="54"/>
      <c r="N633" s="54"/>
      <c r="P633" s="44"/>
    </row>
    <row r="634">
      <c r="A634" s="54"/>
      <c r="B634" s="54"/>
      <c r="C634" s="54"/>
      <c r="D634" s="54"/>
      <c r="E634" s="141"/>
      <c r="F634" s="141"/>
      <c r="G634" s="54"/>
      <c r="H634" s="54"/>
      <c r="I634" s="54"/>
      <c r="J634" s="54"/>
      <c r="K634" s="54"/>
      <c r="L634" s="54"/>
      <c r="M634" s="54"/>
      <c r="N634" s="54"/>
      <c r="P634" s="44"/>
    </row>
    <row r="635">
      <c r="A635" s="54"/>
      <c r="B635" s="54"/>
      <c r="C635" s="54"/>
      <c r="D635" s="54"/>
      <c r="E635" s="141"/>
      <c r="F635" s="141"/>
      <c r="G635" s="54"/>
      <c r="H635" s="54"/>
      <c r="I635" s="54"/>
      <c r="J635" s="54"/>
      <c r="K635" s="54"/>
      <c r="L635" s="54"/>
      <c r="M635" s="54"/>
      <c r="N635" s="54"/>
      <c r="P635" s="44"/>
    </row>
    <row r="636">
      <c r="A636" s="54"/>
      <c r="B636" s="54"/>
      <c r="C636" s="54"/>
      <c r="D636" s="54"/>
      <c r="E636" s="141"/>
      <c r="F636" s="141"/>
      <c r="G636" s="54"/>
      <c r="H636" s="54"/>
      <c r="I636" s="54"/>
      <c r="J636" s="54"/>
      <c r="K636" s="54"/>
      <c r="L636" s="54"/>
      <c r="M636" s="54"/>
      <c r="N636" s="54"/>
      <c r="P636" s="44"/>
    </row>
    <row r="637">
      <c r="A637" s="54"/>
      <c r="B637" s="54"/>
      <c r="C637" s="54"/>
      <c r="D637" s="54"/>
      <c r="E637" s="141"/>
      <c r="F637" s="141"/>
      <c r="G637" s="54"/>
      <c r="H637" s="54"/>
      <c r="I637" s="54"/>
      <c r="J637" s="54"/>
      <c r="K637" s="54"/>
      <c r="L637" s="54"/>
      <c r="M637" s="54"/>
      <c r="N637" s="54"/>
      <c r="P637" s="44"/>
    </row>
    <row r="638">
      <c r="A638" s="54"/>
      <c r="B638" s="54"/>
      <c r="C638" s="54"/>
      <c r="D638" s="54"/>
      <c r="E638" s="141"/>
      <c r="F638" s="141"/>
      <c r="G638" s="54"/>
      <c r="H638" s="54"/>
      <c r="I638" s="54"/>
      <c r="J638" s="54"/>
      <c r="K638" s="54"/>
      <c r="L638" s="54"/>
      <c r="M638" s="54"/>
      <c r="N638" s="54"/>
      <c r="P638" s="44"/>
    </row>
    <row r="639">
      <c r="A639" s="54"/>
      <c r="B639" s="54"/>
      <c r="C639" s="54"/>
      <c r="D639" s="54"/>
      <c r="E639" s="141"/>
      <c r="F639" s="141"/>
      <c r="G639" s="54"/>
      <c r="H639" s="54"/>
      <c r="I639" s="54"/>
      <c r="J639" s="54"/>
      <c r="K639" s="54"/>
      <c r="L639" s="54"/>
      <c r="M639" s="54"/>
      <c r="N639" s="54"/>
      <c r="P639" s="44"/>
    </row>
    <row r="640">
      <c r="A640" s="54"/>
      <c r="B640" s="54"/>
      <c r="C640" s="54"/>
      <c r="D640" s="54"/>
      <c r="E640" s="141"/>
      <c r="F640" s="141"/>
      <c r="G640" s="54"/>
      <c r="H640" s="54"/>
      <c r="I640" s="54"/>
      <c r="J640" s="54"/>
      <c r="K640" s="54"/>
      <c r="L640" s="54"/>
      <c r="M640" s="54"/>
      <c r="N640" s="54"/>
      <c r="P640" s="44"/>
    </row>
    <row r="641">
      <c r="A641" s="54"/>
      <c r="B641" s="54"/>
      <c r="C641" s="54"/>
      <c r="D641" s="54"/>
      <c r="E641" s="141"/>
      <c r="F641" s="141"/>
      <c r="G641" s="54"/>
      <c r="H641" s="54"/>
      <c r="I641" s="54"/>
      <c r="J641" s="54"/>
      <c r="K641" s="54"/>
      <c r="L641" s="54"/>
      <c r="M641" s="54"/>
      <c r="N641" s="54"/>
      <c r="P641" s="44"/>
    </row>
    <row r="642">
      <c r="A642" s="54"/>
      <c r="B642" s="54"/>
      <c r="C642" s="54"/>
      <c r="D642" s="54"/>
      <c r="E642" s="141"/>
      <c r="F642" s="141"/>
      <c r="G642" s="54"/>
      <c r="H642" s="54"/>
      <c r="I642" s="54"/>
      <c r="J642" s="54"/>
      <c r="K642" s="54"/>
      <c r="L642" s="54"/>
      <c r="M642" s="54"/>
      <c r="N642" s="54"/>
      <c r="P642" s="44"/>
    </row>
    <row r="643">
      <c r="A643" s="54"/>
      <c r="B643" s="54"/>
      <c r="C643" s="54"/>
      <c r="D643" s="54"/>
      <c r="E643" s="141"/>
      <c r="F643" s="141"/>
      <c r="G643" s="54"/>
      <c r="H643" s="54"/>
      <c r="I643" s="54"/>
      <c r="J643" s="54"/>
      <c r="K643" s="54"/>
      <c r="L643" s="54"/>
      <c r="M643" s="54"/>
      <c r="N643" s="54"/>
      <c r="P643" s="44"/>
    </row>
    <row r="644">
      <c r="A644" s="54"/>
      <c r="B644" s="54"/>
      <c r="C644" s="54"/>
      <c r="D644" s="54"/>
      <c r="E644" s="141"/>
      <c r="F644" s="141"/>
      <c r="G644" s="54"/>
      <c r="H644" s="54"/>
      <c r="I644" s="54"/>
      <c r="J644" s="54"/>
      <c r="K644" s="54"/>
      <c r="L644" s="54"/>
      <c r="M644" s="54"/>
      <c r="N644" s="54"/>
      <c r="P644" s="44"/>
    </row>
    <row r="645">
      <c r="A645" s="54"/>
      <c r="B645" s="54"/>
      <c r="C645" s="54"/>
      <c r="D645" s="54"/>
      <c r="E645" s="141"/>
      <c r="F645" s="141"/>
      <c r="G645" s="54"/>
      <c r="H645" s="54"/>
      <c r="I645" s="54"/>
      <c r="J645" s="54"/>
      <c r="K645" s="54"/>
      <c r="L645" s="54"/>
      <c r="M645" s="54"/>
      <c r="N645" s="54"/>
      <c r="P645" s="44"/>
    </row>
    <row r="646">
      <c r="A646" s="54"/>
      <c r="B646" s="54"/>
      <c r="C646" s="54"/>
      <c r="D646" s="54"/>
      <c r="E646" s="141"/>
      <c r="F646" s="141"/>
      <c r="G646" s="54"/>
      <c r="H646" s="54"/>
      <c r="I646" s="54"/>
      <c r="J646" s="54"/>
      <c r="K646" s="54"/>
      <c r="L646" s="54"/>
      <c r="M646" s="54"/>
      <c r="N646" s="54"/>
      <c r="P646" s="44"/>
    </row>
    <row r="647">
      <c r="A647" s="54"/>
      <c r="B647" s="54"/>
      <c r="C647" s="54"/>
      <c r="D647" s="54"/>
      <c r="E647" s="141"/>
      <c r="F647" s="141"/>
      <c r="G647" s="54"/>
      <c r="H647" s="54"/>
      <c r="I647" s="54"/>
      <c r="J647" s="54"/>
      <c r="K647" s="54"/>
      <c r="L647" s="54"/>
      <c r="M647" s="54"/>
      <c r="N647" s="54"/>
      <c r="P647" s="44"/>
    </row>
    <row r="648">
      <c r="A648" s="54"/>
      <c r="B648" s="54"/>
      <c r="C648" s="54"/>
      <c r="D648" s="54"/>
      <c r="E648" s="141"/>
      <c r="F648" s="141"/>
      <c r="G648" s="54"/>
      <c r="H648" s="54"/>
      <c r="I648" s="54"/>
      <c r="J648" s="54"/>
      <c r="K648" s="54"/>
      <c r="L648" s="54"/>
      <c r="M648" s="54"/>
      <c r="N648" s="54"/>
      <c r="P648" s="44"/>
    </row>
    <row r="649">
      <c r="A649" s="54"/>
      <c r="B649" s="54"/>
      <c r="C649" s="54"/>
      <c r="D649" s="54"/>
      <c r="E649" s="141"/>
      <c r="F649" s="141"/>
      <c r="G649" s="54"/>
      <c r="H649" s="54"/>
      <c r="I649" s="54"/>
      <c r="J649" s="54"/>
      <c r="K649" s="54"/>
      <c r="L649" s="54"/>
      <c r="M649" s="54"/>
      <c r="N649" s="54"/>
      <c r="P649" s="44"/>
    </row>
    <row r="650">
      <c r="A650" s="54"/>
      <c r="B650" s="54"/>
      <c r="C650" s="54"/>
      <c r="D650" s="54"/>
      <c r="E650" s="141"/>
      <c r="F650" s="141"/>
      <c r="G650" s="54"/>
      <c r="H650" s="54"/>
      <c r="I650" s="54"/>
      <c r="J650" s="54"/>
      <c r="K650" s="54"/>
      <c r="L650" s="54"/>
      <c r="M650" s="54"/>
      <c r="N650" s="54"/>
      <c r="P650" s="44"/>
    </row>
    <row r="651">
      <c r="A651" s="54"/>
      <c r="B651" s="54"/>
      <c r="C651" s="54"/>
      <c r="D651" s="54"/>
      <c r="E651" s="141"/>
      <c r="F651" s="141"/>
      <c r="G651" s="54"/>
      <c r="H651" s="54"/>
      <c r="I651" s="54"/>
      <c r="J651" s="54"/>
      <c r="K651" s="54"/>
      <c r="L651" s="54"/>
      <c r="M651" s="54"/>
      <c r="N651" s="54"/>
      <c r="P651" s="44"/>
    </row>
    <row r="652">
      <c r="A652" s="54"/>
      <c r="B652" s="54"/>
      <c r="C652" s="54"/>
      <c r="D652" s="54"/>
      <c r="E652" s="141"/>
      <c r="F652" s="141"/>
      <c r="G652" s="54"/>
      <c r="H652" s="54"/>
      <c r="I652" s="54"/>
      <c r="J652" s="54"/>
      <c r="K652" s="54"/>
      <c r="L652" s="54"/>
      <c r="M652" s="54"/>
      <c r="N652" s="54"/>
      <c r="P652" s="44"/>
    </row>
    <row r="653">
      <c r="A653" s="54"/>
      <c r="B653" s="54"/>
      <c r="C653" s="54"/>
      <c r="D653" s="54"/>
      <c r="E653" s="141"/>
      <c r="F653" s="141"/>
      <c r="G653" s="54"/>
      <c r="H653" s="54"/>
      <c r="I653" s="54"/>
      <c r="J653" s="54"/>
      <c r="K653" s="54"/>
      <c r="L653" s="54"/>
      <c r="M653" s="54"/>
      <c r="N653" s="54"/>
      <c r="P653" s="44"/>
    </row>
    <row r="654">
      <c r="A654" s="54"/>
      <c r="B654" s="54"/>
      <c r="C654" s="54"/>
      <c r="D654" s="54"/>
      <c r="E654" s="141"/>
      <c r="F654" s="141"/>
      <c r="G654" s="54"/>
      <c r="H654" s="54"/>
      <c r="I654" s="54"/>
      <c r="J654" s="54"/>
      <c r="K654" s="54"/>
      <c r="L654" s="54"/>
      <c r="M654" s="54"/>
      <c r="N654" s="54"/>
      <c r="P654" s="44"/>
    </row>
    <row r="655">
      <c r="A655" s="54"/>
      <c r="B655" s="54"/>
      <c r="C655" s="54"/>
      <c r="D655" s="54"/>
      <c r="E655" s="141"/>
      <c r="F655" s="141"/>
      <c r="G655" s="54"/>
      <c r="H655" s="54"/>
      <c r="I655" s="54"/>
      <c r="J655" s="54"/>
      <c r="K655" s="54"/>
      <c r="L655" s="54"/>
      <c r="M655" s="54"/>
      <c r="N655" s="54"/>
      <c r="P655" s="44"/>
    </row>
    <row r="656">
      <c r="A656" s="54"/>
      <c r="B656" s="54"/>
      <c r="C656" s="54"/>
      <c r="D656" s="54"/>
      <c r="E656" s="141"/>
      <c r="F656" s="141"/>
      <c r="G656" s="54"/>
      <c r="H656" s="54"/>
      <c r="I656" s="54"/>
      <c r="J656" s="54"/>
      <c r="K656" s="54"/>
      <c r="L656" s="54"/>
      <c r="M656" s="54"/>
      <c r="N656" s="54"/>
      <c r="P656" s="44"/>
    </row>
    <row r="657">
      <c r="A657" s="54"/>
      <c r="B657" s="54"/>
      <c r="C657" s="54"/>
      <c r="D657" s="54"/>
      <c r="E657" s="141"/>
      <c r="F657" s="141"/>
      <c r="G657" s="54"/>
      <c r="H657" s="54"/>
      <c r="I657" s="54"/>
      <c r="J657" s="54"/>
      <c r="K657" s="54"/>
      <c r="L657" s="54"/>
      <c r="M657" s="54"/>
      <c r="N657" s="54"/>
      <c r="P657" s="44"/>
    </row>
    <row r="658">
      <c r="A658" s="54"/>
      <c r="B658" s="54"/>
      <c r="C658" s="54"/>
      <c r="D658" s="54"/>
      <c r="E658" s="141"/>
      <c r="F658" s="141"/>
      <c r="G658" s="54"/>
      <c r="H658" s="54"/>
      <c r="I658" s="54"/>
      <c r="J658" s="54"/>
      <c r="K658" s="54"/>
      <c r="L658" s="54"/>
      <c r="M658" s="54"/>
      <c r="N658" s="54"/>
      <c r="P658" s="44"/>
    </row>
    <row r="659">
      <c r="A659" s="54"/>
      <c r="B659" s="54"/>
      <c r="C659" s="54"/>
      <c r="D659" s="54"/>
      <c r="E659" s="141"/>
      <c r="F659" s="141"/>
      <c r="G659" s="54"/>
      <c r="H659" s="54"/>
      <c r="I659" s="54"/>
      <c r="J659" s="54"/>
      <c r="K659" s="54"/>
      <c r="L659" s="54"/>
      <c r="M659" s="54"/>
      <c r="N659" s="54"/>
      <c r="P659" s="44"/>
    </row>
    <row r="660">
      <c r="A660" s="54"/>
      <c r="B660" s="54"/>
      <c r="C660" s="54"/>
      <c r="D660" s="54"/>
      <c r="E660" s="141"/>
      <c r="F660" s="141"/>
      <c r="G660" s="54"/>
      <c r="H660" s="54"/>
      <c r="I660" s="54"/>
      <c r="J660" s="54"/>
      <c r="K660" s="54"/>
      <c r="L660" s="54"/>
      <c r="M660" s="54"/>
      <c r="N660" s="54"/>
      <c r="P660" s="44"/>
    </row>
    <row r="661">
      <c r="A661" s="54"/>
      <c r="B661" s="54"/>
      <c r="C661" s="54"/>
      <c r="D661" s="54"/>
      <c r="E661" s="141"/>
      <c r="F661" s="141"/>
      <c r="G661" s="54"/>
      <c r="H661" s="54"/>
      <c r="I661" s="54"/>
      <c r="J661" s="54"/>
      <c r="K661" s="54"/>
      <c r="L661" s="54"/>
      <c r="M661" s="54"/>
      <c r="N661" s="54"/>
      <c r="P661" s="44"/>
    </row>
    <row r="662">
      <c r="A662" s="54"/>
      <c r="B662" s="54"/>
      <c r="C662" s="54"/>
      <c r="D662" s="54"/>
      <c r="E662" s="141"/>
      <c r="F662" s="141"/>
      <c r="G662" s="54"/>
      <c r="H662" s="54"/>
      <c r="I662" s="54"/>
      <c r="J662" s="54"/>
      <c r="K662" s="54"/>
      <c r="L662" s="54"/>
      <c r="M662" s="54"/>
      <c r="N662" s="54"/>
      <c r="P662" s="44"/>
    </row>
    <row r="663">
      <c r="A663" s="54"/>
      <c r="B663" s="54"/>
      <c r="C663" s="54"/>
      <c r="D663" s="54"/>
      <c r="E663" s="141"/>
      <c r="F663" s="141"/>
      <c r="G663" s="54"/>
      <c r="H663" s="54"/>
      <c r="I663" s="54"/>
      <c r="J663" s="54"/>
      <c r="K663" s="54"/>
      <c r="L663" s="54"/>
      <c r="M663" s="54"/>
      <c r="N663" s="54"/>
      <c r="P663" s="44"/>
    </row>
    <row r="664">
      <c r="A664" s="54"/>
      <c r="B664" s="54"/>
      <c r="C664" s="54"/>
      <c r="D664" s="54"/>
      <c r="E664" s="141"/>
      <c r="F664" s="141"/>
      <c r="G664" s="54"/>
      <c r="H664" s="54"/>
      <c r="I664" s="54"/>
      <c r="J664" s="54"/>
      <c r="K664" s="54"/>
      <c r="L664" s="54"/>
      <c r="M664" s="54"/>
      <c r="N664" s="54"/>
      <c r="P664" s="44"/>
    </row>
    <row r="665">
      <c r="A665" s="54"/>
      <c r="B665" s="54"/>
      <c r="C665" s="54"/>
      <c r="D665" s="54"/>
      <c r="E665" s="141"/>
      <c r="F665" s="141"/>
      <c r="G665" s="54"/>
      <c r="H665" s="54"/>
      <c r="I665" s="54"/>
      <c r="J665" s="54"/>
      <c r="K665" s="54"/>
      <c r="L665" s="54"/>
      <c r="M665" s="54"/>
      <c r="N665" s="54"/>
      <c r="P665" s="44"/>
    </row>
    <row r="666">
      <c r="A666" s="54"/>
      <c r="B666" s="54"/>
      <c r="C666" s="54"/>
      <c r="D666" s="54"/>
      <c r="E666" s="141"/>
      <c r="F666" s="141"/>
      <c r="G666" s="54"/>
      <c r="H666" s="54"/>
      <c r="I666" s="54"/>
      <c r="J666" s="54"/>
      <c r="K666" s="54"/>
      <c r="L666" s="54"/>
      <c r="M666" s="54"/>
      <c r="N666" s="54"/>
      <c r="P666" s="44"/>
    </row>
    <row r="667">
      <c r="A667" s="54"/>
      <c r="B667" s="54"/>
      <c r="C667" s="54"/>
      <c r="D667" s="54"/>
      <c r="E667" s="141"/>
      <c r="F667" s="141"/>
      <c r="G667" s="54"/>
      <c r="H667" s="54"/>
      <c r="I667" s="54"/>
      <c r="J667" s="54"/>
      <c r="K667" s="54"/>
      <c r="L667" s="54"/>
      <c r="M667" s="54"/>
      <c r="N667" s="54"/>
      <c r="P667" s="44"/>
    </row>
    <row r="668">
      <c r="A668" s="54"/>
      <c r="B668" s="54"/>
      <c r="C668" s="54"/>
      <c r="D668" s="54"/>
      <c r="E668" s="141"/>
      <c r="F668" s="141"/>
      <c r="G668" s="54"/>
      <c r="H668" s="54"/>
      <c r="I668" s="54"/>
      <c r="J668" s="54"/>
      <c r="K668" s="54"/>
      <c r="L668" s="54"/>
      <c r="M668" s="54"/>
      <c r="N668" s="54"/>
      <c r="P668" s="44"/>
    </row>
    <row r="669">
      <c r="A669" s="54"/>
      <c r="B669" s="54"/>
      <c r="C669" s="54"/>
      <c r="D669" s="54"/>
      <c r="E669" s="141"/>
      <c r="F669" s="141"/>
      <c r="G669" s="54"/>
      <c r="H669" s="54"/>
      <c r="I669" s="54"/>
      <c r="J669" s="54"/>
      <c r="K669" s="54"/>
      <c r="L669" s="54"/>
      <c r="M669" s="54"/>
      <c r="N669" s="54"/>
      <c r="P669" s="44"/>
    </row>
    <row r="670">
      <c r="A670" s="54"/>
      <c r="B670" s="54"/>
      <c r="C670" s="54"/>
      <c r="D670" s="54"/>
      <c r="E670" s="141"/>
      <c r="F670" s="141"/>
      <c r="G670" s="54"/>
      <c r="H670" s="54"/>
      <c r="I670" s="54"/>
      <c r="J670" s="54"/>
      <c r="K670" s="54"/>
      <c r="L670" s="54"/>
      <c r="M670" s="54"/>
      <c r="N670" s="54"/>
      <c r="P670" s="44"/>
    </row>
    <row r="671">
      <c r="A671" s="54"/>
      <c r="B671" s="54"/>
      <c r="C671" s="54"/>
      <c r="D671" s="54"/>
      <c r="E671" s="141"/>
      <c r="F671" s="141"/>
      <c r="G671" s="54"/>
      <c r="H671" s="54"/>
      <c r="I671" s="54"/>
      <c r="J671" s="54"/>
      <c r="K671" s="54"/>
      <c r="L671" s="54"/>
      <c r="M671" s="54"/>
      <c r="N671" s="54"/>
      <c r="P671" s="44"/>
    </row>
    <row r="672">
      <c r="A672" s="54"/>
      <c r="B672" s="54"/>
      <c r="C672" s="54"/>
      <c r="D672" s="54"/>
      <c r="E672" s="141"/>
      <c r="F672" s="141"/>
      <c r="G672" s="54"/>
      <c r="H672" s="54"/>
      <c r="I672" s="54"/>
      <c r="J672" s="54"/>
      <c r="K672" s="54"/>
      <c r="L672" s="54"/>
      <c r="M672" s="54"/>
      <c r="N672" s="54"/>
      <c r="P672" s="44"/>
    </row>
    <row r="673">
      <c r="A673" s="54"/>
      <c r="B673" s="54"/>
      <c r="C673" s="54"/>
      <c r="D673" s="54"/>
      <c r="E673" s="141"/>
      <c r="F673" s="141"/>
      <c r="G673" s="54"/>
      <c r="H673" s="54"/>
      <c r="I673" s="54"/>
      <c r="J673" s="54"/>
      <c r="K673" s="54"/>
      <c r="L673" s="54"/>
      <c r="M673" s="54"/>
      <c r="N673" s="54"/>
      <c r="P673" s="44"/>
    </row>
    <row r="674">
      <c r="A674" s="54"/>
      <c r="B674" s="54"/>
      <c r="C674" s="54"/>
      <c r="D674" s="54"/>
      <c r="E674" s="141"/>
      <c r="F674" s="141"/>
      <c r="G674" s="54"/>
      <c r="H674" s="54"/>
      <c r="I674" s="54"/>
      <c r="J674" s="54"/>
      <c r="K674" s="54"/>
      <c r="L674" s="54"/>
      <c r="M674" s="54"/>
      <c r="N674" s="54"/>
      <c r="P674" s="44"/>
    </row>
    <row r="675">
      <c r="A675" s="54"/>
      <c r="B675" s="54"/>
      <c r="C675" s="54"/>
      <c r="D675" s="54"/>
      <c r="E675" s="141"/>
      <c r="F675" s="141"/>
      <c r="G675" s="54"/>
      <c r="H675" s="54"/>
      <c r="I675" s="54"/>
      <c r="J675" s="54"/>
      <c r="K675" s="54"/>
      <c r="L675" s="54"/>
      <c r="M675" s="54"/>
      <c r="N675" s="54"/>
      <c r="P675" s="44"/>
    </row>
    <row r="676">
      <c r="A676" s="54"/>
      <c r="B676" s="54"/>
      <c r="C676" s="54"/>
      <c r="D676" s="54"/>
      <c r="E676" s="141"/>
      <c r="F676" s="141"/>
      <c r="G676" s="54"/>
      <c r="H676" s="54"/>
      <c r="I676" s="54"/>
      <c r="J676" s="54"/>
      <c r="K676" s="54"/>
      <c r="L676" s="54"/>
      <c r="M676" s="54"/>
      <c r="N676" s="54"/>
      <c r="P676" s="44"/>
    </row>
    <row r="677">
      <c r="A677" s="54"/>
      <c r="B677" s="54"/>
      <c r="C677" s="54"/>
      <c r="D677" s="54"/>
      <c r="E677" s="141"/>
      <c r="F677" s="141"/>
      <c r="G677" s="54"/>
      <c r="H677" s="54"/>
      <c r="I677" s="54"/>
      <c r="J677" s="54"/>
      <c r="K677" s="54"/>
      <c r="L677" s="54"/>
      <c r="M677" s="54"/>
      <c r="N677" s="54"/>
      <c r="P677" s="44"/>
    </row>
    <row r="678">
      <c r="A678" s="54"/>
      <c r="B678" s="54"/>
      <c r="C678" s="54"/>
      <c r="D678" s="54"/>
      <c r="E678" s="141"/>
      <c r="F678" s="141"/>
      <c r="G678" s="54"/>
      <c r="H678" s="54"/>
      <c r="I678" s="54"/>
      <c r="J678" s="54"/>
      <c r="K678" s="54"/>
      <c r="L678" s="54"/>
      <c r="M678" s="54"/>
      <c r="N678" s="54"/>
      <c r="P678" s="44"/>
    </row>
    <row r="679">
      <c r="A679" s="54"/>
      <c r="B679" s="54"/>
      <c r="C679" s="54"/>
      <c r="D679" s="54"/>
      <c r="E679" s="141"/>
      <c r="F679" s="141"/>
      <c r="G679" s="54"/>
      <c r="H679" s="54"/>
      <c r="I679" s="54"/>
      <c r="J679" s="54"/>
      <c r="K679" s="54"/>
      <c r="L679" s="54"/>
      <c r="M679" s="54"/>
      <c r="N679" s="54"/>
      <c r="P679" s="44"/>
    </row>
    <row r="680">
      <c r="A680" s="54"/>
      <c r="B680" s="54"/>
      <c r="C680" s="54"/>
      <c r="D680" s="54"/>
      <c r="E680" s="141"/>
      <c r="F680" s="141"/>
      <c r="G680" s="54"/>
      <c r="H680" s="54"/>
      <c r="I680" s="54"/>
      <c r="J680" s="54"/>
      <c r="K680" s="54"/>
      <c r="L680" s="54"/>
      <c r="M680" s="54"/>
      <c r="N680" s="54"/>
      <c r="P680" s="44"/>
    </row>
    <row r="681">
      <c r="A681" s="54"/>
      <c r="B681" s="54"/>
      <c r="C681" s="54"/>
      <c r="D681" s="54"/>
      <c r="E681" s="141"/>
      <c r="F681" s="141"/>
      <c r="G681" s="54"/>
      <c r="H681" s="54"/>
      <c r="I681" s="54"/>
      <c r="J681" s="54"/>
      <c r="K681" s="54"/>
      <c r="L681" s="54"/>
      <c r="M681" s="54"/>
      <c r="N681" s="54"/>
      <c r="P681" s="44"/>
    </row>
    <row r="682">
      <c r="A682" s="54"/>
      <c r="B682" s="54"/>
      <c r="C682" s="54"/>
      <c r="D682" s="54"/>
      <c r="E682" s="141"/>
      <c r="F682" s="141"/>
      <c r="G682" s="54"/>
      <c r="H682" s="54"/>
      <c r="I682" s="54"/>
      <c r="J682" s="54"/>
      <c r="K682" s="54"/>
      <c r="L682" s="54"/>
      <c r="M682" s="54"/>
      <c r="N682" s="54"/>
      <c r="P682" s="44"/>
    </row>
    <row r="683">
      <c r="A683" s="54"/>
      <c r="B683" s="54"/>
      <c r="C683" s="54"/>
      <c r="D683" s="54"/>
      <c r="E683" s="141"/>
      <c r="F683" s="141"/>
      <c r="G683" s="54"/>
      <c r="H683" s="54"/>
      <c r="I683" s="54"/>
      <c r="J683" s="54"/>
      <c r="K683" s="54"/>
      <c r="L683" s="54"/>
      <c r="M683" s="54"/>
      <c r="N683" s="54"/>
      <c r="P683" s="44"/>
    </row>
    <row r="684">
      <c r="A684" s="54"/>
      <c r="B684" s="54"/>
      <c r="C684" s="54"/>
      <c r="D684" s="54"/>
      <c r="E684" s="141"/>
      <c r="F684" s="141"/>
      <c r="G684" s="54"/>
      <c r="H684" s="54"/>
      <c r="I684" s="54"/>
      <c r="J684" s="54"/>
      <c r="K684" s="54"/>
      <c r="L684" s="54"/>
      <c r="M684" s="54"/>
      <c r="N684" s="54"/>
      <c r="P684" s="44"/>
    </row>
    <row r="685">
      <c r="A685" s="54"/>
      <c r="B685" s="54"/>
      <c r="C685" s="54"/>
      <c r="D685" s="54"/>
      <c r="E685" s="141"/>
      <c r="F685" s="141"/>
      <c r="G685" s="54"/>
      <c r="H685" s="54"/>
      <c r="I685" s="54"/>
      <c r="J685" s="54"/>
      <c r="K685" s="54"/>
      <c r="L685" s="54"/>
      <c r="M685" s="54"/>
      <c r="N685" s="54"/>
      <c r="P685" s="44"/>
    </row>
    <row r="686">
      <c r="A686" s="54"/>
      <c r="B686" s="54"/>
      <c r="C686" s="54"/>
      <c r="D686" s="54"/>
      <c r="E686" s="141"/>
      <c r="F686" s="141"/>
      <c r="G686" s="54"/>
      <c r="H686" s="54"/>
      <c r="I686" s="54"/>
      <c r="J686" s="54"/>
      <c r="K686" s="54"/>
      <c r="L686" s="54"/>
      <c r="M686" s="54"/>
      <c r="N686" s="54"/>
      <c r="P686" s="44"/>
    </row>
    <row r="687">
      <c r="A687" s="54"/>
      <c r="B687" s="54"/>
      <c r="C687" s="54"/>
      <c r="D687" s="54"/>
      <c r="E687" s="141"/>
      <c r="F687" s="141"/>
      <c r="G687" s="54"/>
      <c r="H687" s="54"/>
      <c r="I687" s="54"/>
      <c r="J687" s="54"/>
      <c r="K687" s="54"/>
      <c r="L687" s="54"/>
      <c r="M687" s="54"/>
      <c r="N687" s="54"/>
      <c r="P687" s="44"/>
    </row>
    <row r="688">
      <c r="A688" s="54"/>
      <c r="B688" s="54"/>
      <c r="C688" s="54"/>
      <c r="D688" s="54"/>
      <c r="E688" s="141"/>
      <c r="F688" s="141"/>
      <c r="G688" s="54"/>
      <c r="H688" s="54"/>
      <c r="I688" s="54"/>
      <c r="J688" s="54"/>
      <c r="K688" s="54"/>
      <c r="L688" s="54"/>
      <c r="M688" s="54"/>
      <c r="N688" s="54"/>
      <c r="P688" s="44"/>
    </row>
    <row r="689">
      <c r="A689" s="54"/>
      <c r="B689" s="54"/>
      <c r="C689" s="54"/>
      <c r="D689" s="54"/>
      <c r="E689" s="141"/>
      <c r="F689" s="141"/>
      <c r="G689" s="54"/>
      <c r="H689" s="54"/>
      <c r="I689" s="54"/>
      <c r="J689" s="54"/>
      <c r="K689" s="54"/>
      <c r="L689" s="54"/>
      <c r="M689" s="54"/>
      <c r="N689" s="54"/>
      <c r="P689" s="44"/>
    </row>
    <row r="690">
      <c r="A690" s="54"/>
      <c r="B690" s="54"/>
      <c r="C690" s="54"/>
      <c r="D690" s="54"/>
      <c r="E690" s="141"/>
      <c r="F690" s="141"/>
      <c r="G690" s="54"/>
      <c r="H690" s="54"/>
      <c r="I690" s="54"/>
      <c r="J690" s="54"/>
      <c r="K690" s="54"/>
      <c r="L690" s="54"/>
      <c r="M690" s="54"/>
      <c r="N690" s="54"/>
      <c r="P690" s="44"/>
    </row>
    <row r="691">
      <c r="A691" s="54"/>
      <c r="B691" s="54"/>
      <c r="C691" s="54"/>
      <c r="D691" s="54"/>
      <c r="E691" s="141"/>
      <c r="F691" s="141"/>
      <c r="G691" s="54"/>
      <c r="H691" s="54"/>
      <c r="I691" s="54"/>
      <c r="J691" s="54"/>
      <c r="K691" s="54"/>
      <c r="L691" s="54"/>
      <c r="M691" s="54"/>
      <c r="N691" s="54"/>
      <c r="P691" s="44"/>
    </row>
    <row r="692">
      <c r="A692" s="54"/>
      <c r="B692" s="54"/>
      <c r="C692" s="54"/>
      <c r="D692" s="54"/>
      <c r="E692" s="141"/>
      <c r="F692" s="141"/>
      <c r="G692" s="54"/>
      <c r="H692" s="54"/>
      <c r="I692" s="54"/>
      <c r="J692" s="54"/>
      <c r="K692" s="54"/>
      <c r="L692" s="54"/>
      <c r="M692" s="54"/>
      <c r="N692" s="54"/>
      <c r="P692" s="44"/>
    </row>
    <row r="693">
      <c r="A693" s="54"/>
      <c r="B693" s="54"/>
      <c r="C693" s="54"/>
      <c r="D693" s="54"/>
      <c r="E693" s="141"/>
      <c r="F693" s="141"/>
      <c r="G693" s="54"/>
      <c r="H693" s="54"/>
      <c r="I693" s="54"/>
      <c r="J693" s="54"/>
      <c r="K693" s="54"/>
      <c r="L693" s="54"/>
      <c r="M693" s="54"/>
      <c r="N693" s="54"/>
      <c r="P693" s="44"/>
    </row>
    <row r="694">
      <c r="A694" s="54"/>
      <c r="B694" s="54"/>
      <c r="C694" s="54"/>
      <c r="D694" s="54"/>
      <c r="E694" s="141"/>
      <c r="F694" s="141"/>
      <c r="G694" s="54"/>
      <c r="H694" s="54"/>
      <c r="I694" s="54"/>
      <c r="J694" s="54"/>
      <c r="K694" s="54"/>
      <c r="L694" s="54"/>
      <c r="M694" s="54"/>
      <c r="N694" s="54"/>
      <c r="P694" s="44"/>
    </row>
    <row r="695">
      <c r="A695" s="54"/>
      <c r="B695" s="54"/>
      <c r="C695" s="54"/>
      <c r="D695" s="54"/>
      <c r="E695" s="141"/>
      <c r="F695" s="141"/>
      <c r="G695" s="54"/>
      <c r="H695" s="54"/>
      <c r="I695" s="54"/>
      <c r="J695" s="54"/>
      <c r="K695" s="54"/>
      <c r="L695" s="54"/>
      <c r="M695" s="54"/>
      <c r="N695" s="54"/>
      <c r="P695" s="44"/>
    </row>
    <row r="696">
      <c r="A696" s="54"/>
      <c r="B696" s="54"/>
      <c r="C696" s="54"/>
      <c r="D696" s="54"/>
      <c r="E696" s="141"/>
      <c r="F696" s="141"/>
      <c r="G696" s="54"/>
      <c r="H696" s="54"/>
      <c r="I696" s="54"/>
      <c r="J696" s="54"/>
      <c r="K696" s="54"/>
      <c r="L696" s="54"/>
      <c r="M696" s="54"/>
      <c r="N696" s="54"/>
      <c r="P696" s="44"/>
    </row>
    <row r="697">
      <c r="A697" s="54"/>
      <c r="B697" s="54"/>
      <c r="C697" s="54"/>
      <c r="D697" s="54"/>
      <c r="E697" s="141"/>
      <c r="F697" s="141"/>
      <c r="G697" s="54"/>
      <c r="H697" s="54"/>
      <c r="I697" s="54"/>
      <c r="J697" s="54"/>
      <c r="K697" s="54"/>
      <c r="L697" s="54"/>
      <c r="M697" s="54"/>
      <c r="N697" s="54"/>
      <c r="P697" s="44"/>
    </row>
    <row r="698">
      <c r="A698" s="54"/>
      <c r="B698" s="54"/>
      <c r="C698" s="54"/>
      <c r="D698" s="54"/>
      <c r="E698" s="141"/>
      <c r="F698" s="141"/>
      <c r="G698" s="54"/>
      <c r="H698" s="54"/>
      <c r="I698" s="54"/>
      <c r="J698" s="54"/>
      <c r="K698" s="54"/>
      <c r="L698" s="54"/>
      <c r="M698" s="54"/>
      <c r="N698" s="54"/>
      <c r="P698" s="44"/>
    </row>
    <row r="699">
      <c r="A699" s="54"/>
      <c r="B699" s="54"/>
      <c r="C699" s="54"/>
      <c r="D699" s="54"/>
      <c r="E699" s="141"/>
      <c r="F699" s="141"/>
      <c r="G699" s="54"/>
      <c r="H699" s="54"/>
      <c r="I699" s="54"/>
      <c r="J699" s="54"/>
      <c r="K699" s="54"/>
      <c r="L699" s="54"/>
      <c r="M699" s="54"/>
      <c r="N699" s="54"/>
      <c r="P699" s="44"/>
    </row>
    <row r="700">
      <c r="A700" s="54"/>
      <c r="B700" s="54"/>
      <c r="C700" s="54"/>
      <c r="D700" s="54"/>
      <c r="E700" s="141"/>
      <c r="F700" s="141"/>
      <c r="G700" s="54"/>
      <c r="H700" s="54"/>
      <c r="I700" s="54"/>
      <c r="J700" s="54"/>
      <c r="K700" s="54"/>
      <c r="L700" s="54"/>
      <c r="M700" s="54"/>
      <c r="N700" s="54"/>
      <c r="P700" s="44"/>
    </row>
    <row r="701">
      <c r="A701" s="54"/>
      <c r="B701" s="54"/>
      <c r="C701" s="54"/>
      <c r="D701" s="54"/>
      <c r="E701" s="141"/>
      <c r="F701" s="141"/>
      <c r="G701" s="54"/>
      <c r="H701" s="54"/>
      <c r="I701" s="54"/>
      <c r="J701" s="54"/>
      <c r="K701" s="54"/>
      <c r="L701" s="54"/>
      <c r="M701" s="54"/>
      <c r="N701" s="54"/>
      <c r="P701" s="44"/>
    </row>
    <row r="702">
      <c r="A702" s="54"/>
      <c r="B702" s="54"/>
      <c r="C702" s="54"/>
      <c r="D702" s="54"/>
      <c r="E702" s="141"/>
      <c r="F702" s="141"/>
      <c r="G702" s="54"/>
      <c r="H702" s="54"/>
      <c r="I702" s="54"/>
      <c r="J702" s="54"/>
      <c r="K702" s="54"/>
      <c r="L702" s="54"/>
      <c r="M702" s="54"/>
      <c r="N702" s="54"/>
      <c r="P702" s="44"/>
    </row>
    <row r="703">
      <c r="A703" s="54"/>
      <c r="B703" s="54"/>
      <c r="C703" s="54"/>
      <c r="D703" s="54"/>
      <c r="E703" s="141"/>
      <c r="F703" s="141"/>
      <c r="G703" s="54"/>
      <c r="H703" s="54"/>
      <c r="I703" s="54"/>
      <c r="J703" s="54"/>
      <c r="K703" s="54"/>
      <c r="L703" s="54"/>
      <c r="M703" s="54"/>
      <c r="N703" s="54"/>
      <c r="P703" s="44"/>
    </row>
    <row r="704">
      <c r="A704" s="54"/>
      <c r="B704" s="54"/>
      <c r="C704" s="54"/>
      <c r="D704" s="54"/>
      <c r="E704" s="141"/>
      <c r="F704" s="141"/>
      <c r="G704" s="54"/>
      <c r="H704" s="54"/>
      <c r="I704" s="54"/>
      <c r="J704" s="54"/>
      <c r="K704" s="54"/>
      <c r="L704" s="54"/>
      <c r="M704" s="54"/>
      <c r="N704" s="54"/>
      <c r="P704" s="44"/>
    </row>
    <row r="705">
      <c r="A705" s="54"/>
      <c r="B705" s="54"/>
      <c r="C705" s="54"/>
      <c r="D705" s="54"/>
      <c r="E705" s="141"/>
      <c r="F705" s="141"/>
      <c r="G705" s="54"/>
      <c r="H705" s="54"/>
      <c r="I705" s="54"/>
      <c r="J705" s="54"/>
      <c r="K705" s="54"/>
      <c r="L705" s="54"/>
      <c r="M705" s="54"/>
      <c r="N705" s="54"/>
      <c r="P705" s="44"/>
    </row>
    <row r="706">
      <c r="A706" s="54"/>
      <c r="B706" s="54"/>
      <c r="C706" s="54"/>
      <c r="D706" s="54"/>
      <c r="E706" s="141"/>
      <c r="F706" s="141"/>
      <c r="G706" s="54"/>
      <c r="H706" s="54"/>
      <c r="I706" s="54"/>
      <c r="J706" s="54"/>
      <c r="K706" s="54"/>
      <c r="L706" s="54"/>
      <c r="M706" s="54"/>
      <c r="N706" s="54"/>
      <c r="P706" s="44"/>
    </row>
    <row r="707">
      <c r="A707" s="54"/>
      <c r="B707" s="54"/>
      <c r="C707" s="54"/>
      <c r="D707" s="54"/>
      <c r="E707" s="141"/>
      <c r="F707" s="141"/>
      <c r="G707" s="54"/>
      <c r="H707" s="54"/>
      <c r="I707" s="54"/>
      <c r="J707" s="54"/>
      <c r="K707" s="54"/>
      <c r="L707" s="54"/>
      <c r="M707" s="54"/>
      <c r="N707" s="54"/>
      <c r="P707" s="44"/>
    </row>
    <row r="708">
      <c r="A708" s="54"/>
      <c r="B708" s="54"/>
      <c r="C708" s="54"/>
      <c r="D708" s="54"/>
      <c r="E708" s="141"/>
      <c r="F708" s="141"/>
      <c r="G708" s="54"/>
      <c r="H708" s="54"/>
      <c r="I708" s="54"/>
      <c r="J708" s="54"/>
      <c r="K708" s="54"/>
      <c r="L708" s="54"/>
      <c r="M708" s="54"/>
      <c r="N708" s="54"/>
      <c r="P708" s="44"/>
    </row>
    <row r="709">
      <c r="A709" s="54"/>
      <c r="B709" s="54"/>
      <c r="C709" s="54"/>
      <c r="D709" s="54"/>
      <c r="E709" s="141"/>
      <c r="F709" s="141"/>
      <c r="G709" s="54"/>
      <c r="H709" s="54"/>
      <c r="I709" s="54"/>
      <c r="J709" s="54"/>
      <c r="K709" s="54"/>
      <c r="L709" s="54"/>
      <c r="M709" s="54"/>
      <c r="N709" s="54"/>
      <c r="P709" s="44"/>
    </row>
    <row r="710">
      <c r="A710" s="54"/>
      <c r="B710" s="54"/>
      <c r="C710" s="54"/>
      <c r="D710" s="54"/>
      <c r="E710" s="141"/>
      <c r="F710" s="141"/>
      <c r="G710" s="54"/>
      <c r="H710" s="54"/>
      <c r="I710" s="54"/>
      <c r="J710" s="54"/>
      <c r="K710" s="54"/>
      <c r="L710" s="54"/>
      <c r="M710" s="54"/>
      <c r="N710" s="54"/>
      <c r="P710" s="44"/>
    </row>
    <row r="711">
      <c r="A711" s="54"/>
      <c r="B711" s="54"/>
      <c r="C711" s="54"/>
      <c r="D711" s="54"/>
      <c r="E711" s="141"/>
      <c r="F711" s="141"/>
      <c r="G711" s="54"/>
      <c r="H711" s="54"/>
      <c r="I711" s="54"/>
      <c r="J711" s="54"/>
      <c r="K711" s="54"/>
      <c r="L711" s="54"/>
      <c r="M711" s="54"/>
      <c r="N711" s="54"/>
      <c r="P711" s="44"/>
    </row>
    <row r="712">
      <c r="A712" s="54"/>
      <c r="B712" s="54"/>
      <c r="C712" s="54"/>
      <c r="D712" s="54"/>
      <c r="E712" s="141"/>
      <c r="F712" s="141"/>
      <c r="G712" s="54"/>
      <c r="H712" s="54"/>
      <c r="I712" s="54"/>
      <c r="J712" s="54"/>
      <c r="K712" s="54"/>
      <c r="L712" s="54"/>
      <c r="M712" s="54"/>
      <c r="N712" s="54"/>
      <c r="P712" s="44"/>
    </row>
    <row r="713">
      <c r="A713" s="54"/>
      <c r="B713" s="54"/>
      <c r="C713" s="54"/>
      <c r="D713" s="54"/>
      <c r="E713" s="141"/>
      <c r="F713" s="141"/>
      <c r="G713" s="54"/>
      <c r="H713" s="54"/>
      <c r="I713" s="54"/>
      <c r="J713" s="54"/>
      <c r="K713" s="54"/>
      <c r="L713" s="54"/>
      <c r="M713" s="54"/>
      <c r="N713" s="54"/>
      <c r="P713" s="44"/>
    </row>
    <row r="714">
      <c r="A714" s="54"/>
      <c r="B714" s="54"/>
      <c r="C714" s="54"/>
      <c r="D714" s="54"/>
      <c r="E714" s="141"/>
      <c r="F714" s="141"/>
      <c r="G714" s="54"/>
      <c r="H714" s="54"/>
      <c r="I714" s="54"/>
      <c r="J714" s="54"/>
      <c r="K714" s="54"/>
      <c r="L714" s="54"/>
      <c r="M714" s="54"/>
      <c r="N714" s="54"/>
      <c r="P714" s="44"/>
    </row>
    <row r="715">
      <c r="A715" s="54"/>
      <c r="B715" s="54"/>
      <c r="C715" s="54"/>
      <c r="D715" s="54"/>
      <c r="E715" s="141"/>
      <c r="F715" s="141"/>
      <c r="G715" s="54"/>
      <c r="H715" s="54"/>
      <c r="I715" s="54"/>
      <c r="J715" s="54"/>
      <c r="K715" s="54"/>
      <c r="L715" s="54"/>
      <c r="M715" s="54"/>
      <c r="N715" s="54"/>
      <c r="P715" s="44"/>
    </row>
    <row r="716">
      <c r="A716" s="54"/>
      <c r="B716" s="54"/>
      <c r="C716" s="54"/>
      <c r="D716" s="54"/>
      <c r="E716" s="141"/>
      <c r="F716" s="141"/>
      <c r="G716" s="54"/>
      <c r="H716" s="54"/>
      <c r="I716" s="54"/>
      <c r="J716" s="54"/>
      <c r="K716" s="54"/>
      <c r="L716" s="54"/>
      <c r="M716" s="54"/>
      <c r="N716" s="54"/>
      <c r="P716" s="44"/>
    </row>
    <row r="717">
      <c r="A717" s="54"/>
      <c r="B717" s="54"/>
      <c r="C717" s="54"/>
      <c r="D717" s="54"/>
      <c r="E717" s="141"/>
      <c r="F717" s="141"/>
      <c r="G717" s="54"/>
      <c r="H717" s="54"/>
      <c r="I717" s="54"/>
      <c r="J717" s="54"/>
      <c r="K717" s="54"/>
      <c r="L717" s="54"/>
      <c r="M717" s="54"/>
      <c r="N717" s="54"/>
      <c r="P717" s="44"/>
    </row>
    <row r="718">
      <c r="A718" s="54"/>
      <c r="B718" s="54"/>
      <c r="C718" s="54"/>
      <c r="D718" s="54"/>
      <c r="E718" s="141"/>
      <c r="F718" s="141"/>
      <c r="G718" s="54"/>
      <c r="H718" s="54"/>
      <c r="I718" s="54"/>
      <c r="J718" s="54"/>
      <c r="K718" s="54"/>
      <c r="L718" s="54"/>
      <c r="M718" s="54"/>
      <c r="N718" s="54"/>
      <c r="P718" s="44"/>
    </row>
    <row r="719">
      <c r="A719" s="54"/>
      <c r="B719" s="54"/>
      <c r="C719" s="54"/>
      <c r="D719" s="54"/>
      <c r="E719" s="141"/>
      <c r="F719" s="141"/>
      <c r="G719" s="54"/>
      <c r="H719" s="54"/>
      <c r="I719" s="54"/>
      <c r="J719" s="54"/>
      <c r="K719" s="54"/>
      <c r="L719" s="54"/>
      <c r="M719" s="54"/>
      <c r="N719" s="54"/>
      <c r="P719" s="44"/>
    </row>
    <row r="720">
      <c r="A720" s="54"/>
      <c r="B720" s="54"/>
      <c r="C720" s="54"/>
      <c r="D720" s="54"/>
      <c r="E720" s="141"/>
      <c r="F720" s="141"/>
      <c r="G720" s="54"/>
      <c r="H720" s="54"/>
      <c r="I720" s="54"/>
      <c r="J720" s="54"/>
      <c r="K720" s="54"/>
      <c r="L720" s="54"/>
      <c r="M720" s="54"/>
      <c r="N720" s="54"/>
      <c r="P720" s="44"/>
    </row>
    <row r="721">
      <c r="A721" s="54"/>
      <c r="B721" s="54"/>
      <c r="C721" s="54"/>
      <c r="D721" s="54"/>
      <c r="E721" s="141"/>
      <c r="F721" s="141"/>
      <c r="G721" s="54"/>
      <c r="H721" s="54"/>
      <c r="I721" s="54"/>
      <c r="J721" s="54"/>
      <c r="K721" s="54"/>
      <c r="L721" s="54"/>
      <c r="M721" s="54"/>
      <c r="N721" s="54"/>
      <c r="P721" s="44"/>
    </row>
    <row r="722">
      <c r="A722" s="54"/>
      <c r="B722" s="54"/>
      <c r="C722" s="54"/>
      <c r="D722" s="54"/>
      <c r="E722" s="141"/>
      <c r="F722" s="141"/>
      <c r="G722" s="54"/>
      <c r="H722" s="54"/>
      <c r="I722" s="54"/>
      <c r="J722" s="54"/>
      <c r="K722" s="54"/>
      <c r="L722" s="54"/>
      <c r="M722" s="54"/>
      <c r="N722" s="54"/>
      <c r="P722" s="44"/>
    </row>
    <row r="723">
      <c r="A723" s="54"/>
      <c r="B723" s="54"/>
      <c r="C723" s="54"/>
      <c r="D723" s="54"/>
      <c r="E723" s="141"/>
      <c r="F723" s="141"/>
      <c r="G723" s="54"/>
      <c r="H723" s="54"/>
      <c r="I723" s="54"/>
      <c r="J723" s="54"/>
      <c r="K723" s="54"/>
      <c r="L723" s="54"/>
      <c r="M723" s="54"/>
      <c r="N723" s="54"/>
      <c r="P723" s="44"/>
    </row>
    <row r="724">
      <c r="A724" s="54"/>
      <c r="B724" s="54"/>
      <c r="C724" s="54"/>
      <c r="D724" s="54"/>
      <c r="E724" s="141"/>
      <c r="F724" s="141"/>
      <c r="G724" s="54"/>
      <c r="H724" s="54"/>
      <c r="I724" s="54"/>
      <c r="J724" s="54"/>
      <c r="K724" s="54"/>
      <c r="L724" s="54"/>
      <c r="M724" s="54"/>
      <c r="N724" s="54"/>
      <c r="P724" s="44"/>
    </row>
    <row r="725">
      <c r="A725" s="54"/>
      <c r="B725" s="54"/>
      <c r="C725" s="54"/>
      <c r="D725" s="54"/>
      <c r="E725" s="141"/>
      <c r="F725" s="141"/>
      <c r="G725" s="54"/>
      <c r="H725" s="54"/>
      <c r="I725" s="54"/>
      <c r="J725" s="54"/>
      <c r="K725" s="54"/>
      <c r="L725" s="54"/>
      <c r="M725" s="54"/>
      <c r="N725" s="54"/>
      <c r="P725" s="44"/>
    </row>
    <row r="726">
      <c r="A726" s="54"/>
      <c r="B726" s="54"/>
      <c r="C726" s="54"/>
      <c r="D726" s="54"/>
      <c r="E726" s="141"/>
      <c r="F726" s="141"/>
      <c r="G726" s="54"/>
      <c r="H726" s="54"/>
      <c r="I726" s="54"/>
      <c r="J726" s="54"/>
      <c r="K726" s="54"/>
      <c r="L726" s="54"/>
      <c r="M726" s="54"/>
      <c r="N726" s="54"/>
      <c r="P726" s="44"/>
    </row>
    <row r="727">
      <c r="A727" s="54"/>
      <c r="B727" s="54"/>
      <c r="C727" s="54"/>
      <c r="D727" s="54"/>
      <c r="E727" s="141"/>
      <c r="F727" s="141"/>
      <c r="G727" s="54"/>
      <c r="H727" s="54"/>
      <c r="I727" s="54"/>
      <c r="J727" s="54"/>
      <c r="K727" s="54"/>
      <c r="L727" s="54"/>
      <c r="M727" s="54"/>
      <c r="N727" s="54"/>
      <c r="P727" s="44"/>
    </row>
    <row r="728">
      <c r="A728" s="54"/>
      <c r="B728" s="54"/>
      <c r="C728" s="54"/>
      <c r="D728" s="54"/>
      <c r="E728" s="141"/>
      <c r="F728" s="141"/>
      <c r="G728" s="54"/>
      <c r="H728" s="54"/>
      <c r="I728" s="54"/>
      <c r="J728" s="54"/>
      <c r="K728" s="54"/>
      <c r="L728" s="54"/>
      <c r="M728" s="54"/>
      <c r="N728" s="54"/>
      <c r="P728" s="44"/>
    </row>
    <row r="729">
      <c r="A729" s="54"/>
      <c r="B729" s="54"/>
      <c r="C729" s="54"/>
      <c r="D729" s="54"/>
      <c r="E729" s="141"/>
      <c r="F729" s="141"/>
      <c r="G729" s="54"/>
      <c r="H729" s="54"/>
      <c r="I729" s="54"/>
      <c r="J729" s="54"/>
      <c r="K729" s="54"/>
      <c r="L729" s="54"/>
      <c r="M729" s="54"/>
      <c r="N729" s="54"/>
      <c r="P729" s="44"/>
    </row>
    <row r="730">
      <c r="A730" s="54"/>
      <c r="B730" s="54"/>
      <c r="C730" s="54"/>
      <c r="D730" s="54"/>
      <c r="E730" s="141"/>
      <c r="F730" s="141"/>
      <c r="G730" s="54"/>
      <c r="H730" s="54"/>
      <c r="I730" s="54"/>
      <c r="J730" s="54"/>
      <c r="K730" s="54"/>
      <c r="L730" s="54"/>
      <c r="M730" s="54"/>
      <c r="N730" s="54"/>
      <c r="P730" s="44"/>
    </row>
    <row r="731">
      <c r="A731" s="54"/>
      <c r="B731" s="54"/>
      <c r="C731" s="54"/>
      <c r="D731" s="54"/>
      <c r="E731" s="141"/>
      <c r="F731" s="141"/>
      <c r="G731" s="54"/>
      <c r="H731" s="54"/>
      <c r="I731" s="54"/>
      <c r="J731" s="54"/>
      <c r="K731" s="54"/>
      <c r="L731" s="54"/>
      <c r="M731" s="54"/>
      <c r="N731" s="54"/>
      <c r="P731" s="44"/>
    </row>
    <row r="732">
      <c r="A732" s="54"/>
      <c r="B732" s="54"/>
      <c r="C732" s="54"/>
      <c r="D732" s="54"/>
      <c r="E732" s="141"/>
      <c r="F732" s="141"/>
      <c r="G732" s="54"/>
      <c r="H732" s="54"/>
      <c r="I732" s="54"/>
      <c r="J732" s="54"/>
      <c r="K732" s="54"/>
      <c r="L732" s="54"/>
      <c r="M732" s="54"/>
      <c r="N732" s="54"/>
      <c r="P732" s="44"/>
    </row>
    <row r="733">
      <c r="A733" s="54"/>
      <c r="B733" s="54"/>
      <c r="C733" s="54"/>
      <c r="D733" s="54"/>
      <c r="E733" s="141"/>
      <c r="F733" s="141"/>
      <c r="G733" s="54"/>
      <c r="H733" s="54"/>
      <c r="I733" s="54"/>
      <c r="J733" s="54"/>
      <c r="K733" s="54"/>
      <c r="L733" s="54"/>
      <c r="M733" s="54"/>
      <c r="N733" s="54"/>
      <c r="P733" s="44"/>
    </row>
    <row r="734">
      <c r="A734" s="54"/>
      <c r="B734" s="54"/>
      <c r="C734" s="54"/>
      <c r="D734" s="54"/>
      <c r="E734" s="141"/>
      <c r="F734" s="141"/>
      <c r="G734" s="54"/>
      <c r="H734" s="54"/>
      <c r="I734" s="54"/>
      <c r="J734" s="54"/>
      <c r="K734" s="54"/>
      <c r="L734" s="54"/>
      <c r="M734" s="54"/>
      <c r="N734" s="54"/>
      <c r="P734" s="44"/>
    </row>
    <row r="735">
      <c r="A735" s="54"/>
      <c r="B735" s="54"/>
      <c r="C735" s="54"/>
      <c r="D735" s="54"/>
      <c r="E735" s="141"/>
      <c r="F735" s="141"/>
      <c r="G735" s="54"/>
      <c r="H735" s="54"/>
      <c r="I735" s="54"/>
      <c r="J735" s="54"/>
      <c r="K735" s="54"/>
      <c r="L735" s="54"/>
      <c r="M735" s="54"/>
      <c r="N735" s="54"/>
      <c r="P735" s="44"/>
    </row>
    <row r="736">
      <c r="A736" s="54"/>
      <c r="B736" s="54"/>
      <c r="C736" s="54"/>
      <c r="D736" s="54"/>
      <c r="E736" s="141"/>
      <c r="F736" s="141"/>
      <c r="G736" s="54"/>
      <c r="H736" s="54"/>
      <c r="I736" s="54"/>
      <c r="J736" s="54"/>
      <c r="K736" s="54"/>
      <c r="L736" s="54"/>
      <c r="M736" s="54"/>
      <c r="N736" s="54"/>
      <c r="P736" s="44"/>
    </row>
    <row r="737">
      <c r="A737" s="54"/>
      <c r="B737" s="54"/>
      <c r="C737" s="54"/>
      <c r="D737" s="54"/>
      <c r="E737" s="141"/>
      <c r="F737" s="141"/>
      <c r="G737" s="54"/>
      <c r="H737" s="54"/>
      <c r="I737" s="54"/>
      <c r="J737" s="54"/>
      <c r="K737" s="54"/>
      <c r="L737" s="54"/>
      <c r="M737" s="54"/>
      <c r="N737" s="54"/>
      <c r="P737" s="44"/>
    </row>
    <row r="738">
      <c r="A738" s="54"/>
      <c r="B738" s="54"/>
      <c r="C738" s="54"/>
      <c r="D738" s="54"/>
      <c r="E738" s="141"/>
      <c r="F738" s="141"/>
      <c r="G738" s="54"/>
      <c r="H738" s="54"/>
      <c r="I738" s="54"/>
      <c r="J738" s="54"/>
      <c r="K738" s="54"/>
      <c r="L738" s="54"/>
      <c r="M738" s="54"/>
      <c r="N738" s="54"/>
      <c r="P738" s="44"/>
    </row>
    <row r="739">
      <c r="A739" s="54"/>
      <c r="B739" s="54"/>
      <c r="C739" s="54"/>
      <c r="D739" s="54"/>
      <c r="E739" s="141"/>
      <c r="F739" s="141"/>
      <c r="G739" s="54"/>
      <c r="H739" s="54"/>
      <c r="I739" s="54"/>
      <c r="J739" s="54"/>
      <c r="K739" s="54"/>
      <c r="L739" s="54"/>
      <c r="M739" s="54"/>
      <c r="N739" s="54"/>
      <c r="P739" s="44"/>
    </row>
    <row r="740">
      <c r="A740" s="54"/>
      <c r="B740" s="54"/>
      <c r="C740" s="54"/>
      <c r="D740" s="54"/>
      <c r="E740" s="141"/>
      <c r="F740" s="141"/>
      <c r="G740" s="54"/>
      <c r="H740" s="54"/>
      <c r="I740" s="54"/>
      <c r="J740" s="54"/>
      <c r="K740" s="54"/>
      <c r="L740" s="54"/>
      <c r="M740" s="54"/>
      <c r="N740" s="54"/>
      <c r="P740" s="44"/>
    </row>
    <row r="741">
      <c r="A741" s="54"/>
      <c r="B741" s="54"/>
      <c r="C741" s="54"/>
      <c r="D741" s="54"/>
      <c r="E741" s="141"/>
      <c r="F741" s="141"/>
      <c r="G741" s="54"/>
      <c r="H741" s="54"/>
      <c r="I741" s="54"/>
      <c r="J741" s="54"/>
      <c r="K741" s="54"/>
      <c r="L741" s="54"/>
      <c r="M741" s="54"/>
      <c r="N741" s="54"/>
      <c r="P741" s="44"/>
    </row>
    <row r="742">
      <c r="A742" s="54"/>
      <c r="B742" s="54"/>
      <c r="C742" s="54"/>
      <c r="D742" s="54"/>
      <c r="E742" s="141"/>
      <c r="F742" s="141"/>
      <c r="G742" s="54"/>
      <c r="H742" s="54"/>
      <c r="I742" s="54"/>
      <c r="J742" s="54"/>
      <c r="K742" s="54"/>
      <c r="L742" s="54"/>
      <c r="M742" s="54"/>
      <c r="N742" s="54"/>
      <c r="P742" s="44"/>
    </row>
    <row r="743">
      <c r="A743" s="54"/>
      <c r="B743" s="54"/>
      <c r="C743" s="54"/>
      <c r="D743" s="54"/>
      <c r="E743" s="141"/>
      <c r="F743" s="141"/>
      <c r="G743" s="54"/>
      <c r="H743" s="54"/>
      <c r="I743" s="54"/>
      <c r="J743" s="54"/>
      <c r="K743" s="54"/>
      <c r="L743" s="54"/>
      <c r="M743" s="54"/>
      <c r="N743" s="54"/>
      <c r="P743" s="44"/>
    </row>
    <row r="744">
      <c r="A744" s="54"/>
      <c r="B744" s="54"/>
      <c r="C744" s="54"/>
      <c r="D744" s="54"/>
      <c r="E744" s="141"/>
      <c r="F744" s="141"/>
      <c r="G744" s="54"/>
      <c r="H744" s="54"/>
      <c r="I744" s="54"/>
      <c r="J744" s="54"/>
      <c r="K744" s="54"/>
      <c r="L744" s="54"/>
      <c r="M744" s="54"/>
      <c r="N744" s="54"/>
      <c r="P744" s="44"/>
    </row>
    <row r="745">
      <c r="A745" s="54"/>
      <c r="B745" s="54"/>
      <c r="C745" s="54"/>
      <c r="D745" s="54"/>
      <c r="E745" s="141"/>
      <c r="F745" s="141"/>
      <c r="G745" s="54"/>
      <c r="H745" s="54"/>
      <c r="I745" s="54"/>
      <c r="J745" s="54"/>
      <c r="K745" s="54"/>
      <c r="L745" s="54"/>
      <c r="M745" s="54"/>
      <c r="N745" s="54"/>
      <c r="P745" s="44"/>
    </row>
    <row r="746">
      <c r="A746" s="54"/>
      <c r="B746" s="54"/>
      <c r="C746" s="54"/>
      <c r="D746" s="54"/>
      <c r="E746" s="141"/>
      <c r="F746" s="141"/>
      <c r="G746" s="54"/>
      <c r="H746" s="54"/>
      <c r="I746" s="54"/>
      <c r="J746" s="54"/>
      <c r="K746" s="54"/>
      <c r="L746" s="54"/>
      <c r="M746" s="54"/>
      <c r="N746" s="54"/>
      <c r="P746" s="44"/>
    </row>
    <row r="747">
      <c r="A747" s="54"/>
      <c r="B747" s="54"/>
      <c r="C747" s="54"/>
      <c r="D747" s="54"/>
      <c r="E747" s="141"/>
      <c r="F747" s="141"/>
      <c r="G747" s="54"/>
      <c r="H747" s="54"/>
      <c r="I747" s="54"/>
      <c r="J747" s="54"/>
      <c r="K747" s="54"/>
      <c r="L747" s="54"/>
      <c r="M747" s="54"/>
      <c r="N747" s="54"/>
      <c r="P747" s="44"/>
    </row>
    <row r="748">
      <c r="A748" s="54"/>
      <c r="B748" s="54"/>
      <c r="C748" s="54"/>
      <c r="D748" s="54"/>
      <c r="E748" s="141"/>
      <c r="F748" s="141"/>
      <c r="G748" s="54"/>
      <c r="H748" s="54"/>
      <c r="I748" s="54"/>
      <c r="J748" s="54"/>
      <c r="K748" s="54"/>
      <c r="L748" s="54"/>
      <c r="M748" s="54"/>
      <c r="N748" s="54"/>
      <c r="P748" s="44"/>
    </row>
    <row r="749">
      <c r="A749" s="54"/>
      <c r="B749" s="54"/>
      <c r="C749" s="54"/>
      <c r="D749" s="54"/>
      <c r="E749" s="141"/>
      <c r="F749" s="141"/>
      <c r="G749" s="54"/>
      <c r="H749" s="54"/>
      <c r="I749" s="54"/>
      <c r="J749" s="54"/>
      <c r="K749" s="54"/>
      <c r="L749" s="54"/>
      <c r="M749" s="54"/>
      <c r="N749" s="54"/>
      <c r="P749" s="44"/>
    </row>
    <row r="750">
      <c r="A750" s="54"/>
      <c r="B750" s="54"/>
      <c r="C750" s="54"/>
      <c r="D750" s="54"/>
      <c r="E750" s="141"/>
      <c r="F750" s="141"/>
      <c r="G750" s="54"/>
      <c r="H750" s="54"/>
      <c r="I750" s="54"/>
      <c r="J750" s="54"/>
      <c r="K750" s="54"/>
      <c r="L750" s="54"/>
      <c r="M750" s="54"/>
      <c r="N750" s="54"/>
      <c r="P750" s="44"/>
    </row>
    <row r="751">
      <c r="A751" s="54"/>
      <c r="B751" s="54"/>
      <c r="C751" s="54"/>
      <c r="D751" s="54"/>
      <c r="E751" s="141"/>
      <c r="F751" s="141"/>
      <c r="G751" s="54"/>
      <c r="H751" s="54"/>
      <c r="I751" s="54"/>
      <c r="J751" s="54"/>
      <c r="K751" s="54"/>
      <c r="L751" s="54"/>
      <c r="M751" s="54"/>
      <c r="N751" s="54"/>
      <c r="P751" s="44"/>
    </row>
    <row r="752">
      <c r="A752" s="54"/>
      <c r="B752" s="54"/>
      <c r="C752" s="54"/>
      <c r="D752" s="54"/>
      <c r="E752" s="141"/>
      <c r="F752" s="141"/>
      <c r="G752" s="54"/>
      <c r="H752" s="54"/>
      <c r="I752" s="54"/>
      <c r="J752" s="54"/>
      <c r="K752" s="54"/>
      <c r="L752" s="54"/>
      <c r="M752" s="54"/>
      <c r="N752" s="54"/>
      <c r="P752" s="44"/>
    </row>
    <row r="753">
      <c r="A753" s="54"/>
      <c r="B753" s="54"/>
      <c r="C753" s="54"/>
      <c r="D753" s="54"/>
      <c r="E753" s="141"/>
      <c r="F753" s="141"/>
      <c r="G753" s="54"/>
      <c r="H753" s="54"/>
      <c r="I753" s="54"/>
      <c r="J753" s="54"/>
      <c r="K753" s="54"/>
      <c r="L753" s="54"/>
      <c r="M753" s="54"/>
      <c r="N753" s="54"/>
      <c r="P753" s="44"/>
    </row>
    <row r="754">
      <c r="A754" s="54"/>
      <c r="B754" s="54"/>
      <c r="C754" s="54"/>
      <c r="D754" s="54"/>
      <c r="E754" s="141"/>
      <c r="F754" s="141"/>
      <c r="G754" s="54"/>
      <c r="H754" s="54"/>
      <c r="I754" s="54"/>
      <c r="J754" s="54"/>
      <c r="K754" s="54"/>
      <c r="L754" s="54"/>
      <c r="M754" s="54"/>
      <c r="N754" s="54"/>
      <c r="P754" s="44"/>
    </row>
    <row r="755">
      <c r="A755" s="54"/>
      <c r="B755" s="54"/>
      <c r="C755" s="54"/>
      <c r="D755" s="54"/>
      <c r="E755" s="141"/>
      <c r="F755" s="141"/>
      <c r="G755" s="54"/>
      <c r="H755" s="54"/>
      <c r="I755" s="54"/>
      <c r="J755" s="54"/>
      <c r="K755" s="54"/>
      <c r="L755" s="54"/>
      <c r="M755" s="54"/>
      <c r="N755" s="54"/>
      <c r="P755" s="44"/>
    </row>
    <row r="756">
      <c r="A756" s="54"/>
      <c r="B756" s="54"/>
      <c r="C756" s="54"/>
      <c r="D756" s="54"/>
      <c r="E756" s="141"/>
      <c r="F756" s="141"/>
      <c r="G756" s="54"/>
      <c r="H756" s="54"/>
      <c r="I756" s="54"/>
      <c r="J756" s="54"/>
      <c r="K756" s="54"/>
      <c r="L756" s="54"/>
      <c r="M756" s="54"/>
      <c r="N756" s="54"/>
      <c r="P756" s="44"/>
    </row>
    <row r="757">
      <c r="A757" s="54"/>
      <c r="B757" s="54"/>
      <c r="C757" s="54"/>
      <c r="D757" s="54"/>
      <c r="E757" s="141"/>
      <c r="F757" s="141"/>
      <c r="G757" s="54"/>
      <c r="H757" s="54"/>
      <c r="I757" s="54"/>
      <c r="J757" s="54"/>
      <c r="K757" s="54"/>
      <c r="L757" s="54"/>
      <c r="M757" s="54"/>
      <c r="N757" s="54"/>
      <c r="P757" s="44"/>
    </row>
    <row r="758">
      <c r="A758" s="54"/>
      <c r="B758" s="54"/>
      <c r="C758" s="54"/>
      <c r="D758" s="54"/>
      <c r="E758" s="141"/>
      <c r="F758" s="141"/>
      <c r="G758" s="54"/>
      <c r="H758" s="54"/>
      <c r="I758" s="54"/>
      <c r="J758" s="54"/>
      <c r="K758" s="54"/>
      <c r="L758" s="54"/>
      <c r="M758" s="54"/>
      <c r="N758" s="54"/>
      <c r="P758" s="44"/>
    </row>
    <row r="759">
      <c r="A759" s="54"/>
      <c r="B759" s="54"/>
      <c r="C759" s="54"/>
      <c r="D759" s="54"/>
      <c r="E759" s="141"/>
      <c r="F759" s="141"/>
      <c r="G759" s="54"/>
      <c r="H759" s="54"/>
      <c r="I759" s="54"/>
      <c r="J759" s="54"/>
      <c r="K759" s="54"/>
      <c r="L759" s="54"/>
      <c r="M759" s="54"/>
      <c r="N759" s="54"/>
      <c r="P759" s="44"/>
    </row>
    <row r="760">
      <c r="A760" s="54"/>
      <c r="B760" s="54"/>
      <c r="C760" s="54"/>
      <c r="D760" s="54"/>
      <c r="E760" s="141"/>
      <c r="F760" s="141"/>
      <c r="G760" s="54"/>
      <c r="H760" s="54"/>
      <c r="I760" s="54"/>
      <c r="J760" s="54"/>
      <c r="K760" s="54"/>
      <c r="L760" s="54"/>
      <c r="M760" s="54"/>
      <c r="N760" s="54"/>
      <c r="P760" s="44"/>
    </row>
    <row r="761">
      <c r="A761" s="54"/>
      <c r="B761" s="54"/>
      <c r="C761" s="54"/>
      <c r="D761" s="54"/>
      <c r="E761" s="141"/>
      <c r="F761" s="141"/>
      <c r="G761" s="54"/>
      <c r="H761" s="54"/>
      <c r="I761" s="54"/>
      <c r="J761" s="54"/>
      <c r="K761" s="54"/>
      <c r="L761" s="54"/>
      <c r="M761" s="54"/>
      <c r="N761" s="54"/>
      <c r="P761" s="44"/>
    </row>
    <row r="762">
      <c r="A762" s="54"/>
      <c r="B762" s="54"/>
      <c r="C762" s="54"/>
      <c r="D762" s="54"/>
      <c r="E762" s="141"/>
      <c r="F762" s="141"/>
      <c r="G762" s="54"/>
      <c r="H762" s="54"/>
      <c r="I762" s="54"/>
      <c r="J762" s="54"/>
      <c r="K762" s="54"/>
      <c r="L762" s="54"/>
      <c r="M762" s="54"/>
      <c r="N762" s="54"/>
      <c r="P762" s="44"/>
    </row>
    <row r="763">
      <c r="A763" s="54"/>
      <c r="B763" s="54"/>
      <c r="C763" s="54"/>
      <c r="D763" s="54"/>
      <c r="E763" s="141"/>
      <c r="F763" s="141"/>
      <c r="G763" s="54"/>
      <c r="H763" s="54"/>
      <c r="I763" s="54"/>
      <c r="J763" s="54"/>
      <c r="K763" s="54"/>
      <c r="L763" s="54"/>
      <c r="M763" s="54"/>
      <c r="N763" s="54"/>
      <c r="P763" s="44"/>
    </row>
    <row r="764">
      <c r="A764" s="54"/>
      <c r="B764" s="54"/>
      <c r="C764" s="54"/>
      <c r="D764" s="54"/>
      <c r="E764" s="141"/>
      <c r="F764" s="141"/>
      <c r="G764" s="54"/>
      <c r="H764" s="54"/>
      <c r="I764" s="54"/>
      <c r="J764" s="54"/>
      <c r="K764" s="54"/>
      <c r="L764" s="54"/>
      <c r="M764" s="54"/>
      <c r="N764" s="54"/>
      <c r="P764" s="44"/>
    </row>
    <row r="765">
      <c r="A765" s="54"/>
      <c r="B765" s="54"/>
      <c r="C765" s="54"/>
      <c r="D765" s="54"/>
      <c r="E765" s="141"/>
      <c r="F765" s="141"/>
      <c r="G765" s="54"/>
      <c r="H765" s="54"/>
      <c r="I765" s="54"/>
      <c r="J765" s="54"/>
      <c r="K765" s="54"/>
      <c r="L765" s="54"/>
      <c r="M765" s="54"/>
      <c r="N765" s="54"/>
      <c r="P765" s="44"/>
    </row>
    <row r="766">
      <c r="A766" s="54"/>
      <c r="B766" s="54"/>
      <c r="C766" s="54"/>
      <c r="D766" s="54"/>
      <c r="E766" s="141"/>
      <c r="F766" s="141"/>
      <c r="G766" s="54"/>
      <c r="H766" s="54"/>
      <c r="I766" s="54"/>
      <c r="J766" s="54"/>
      <c r="K766" s="54"/>
      <c r="L766" s="54"/>
      <c r="M766" s="54"/>
      <c r="N766" s="54"/>
      <c r="P766" s="44"/>
    </row>
    <row r="767">
      <c r="A767" s="54"/>
      <c r="B767" s="54"/>
      <c r="C767" s="54"/>
      <c r="D767" s="54"/>
      <c r="E767" s="141"/>
      <c r="F767" s="141"/>
      <c r="G767" s="54"/>
      <c r="H767" s="54"/>
      <c r="I767" s="54"/>
      <c r="J767" s="54"/>
      <c r="K767" s="54"/>
      <c r="L767" s="54"/>
      <c r="M767" s="54"/>
      <c r="N767" s="54"/>
      <c r="P767" s="44"/>
    </row>
    <row r="768">
      <c r="A768" s="54"/>
      <c r="B768" s="54"/>
      <c r="C768" s="54"/>
      <c r="D768" s="54"/>
      <c r="E768" s="141"/>
      <c r="F768" s="141"/>
      <c r="G768" s="54"/>
      <c r="H768" s="54"/>
      <c r="I768" s="54"/>
      <c r="J768" s="54"/>
      <c r="K768" s="54"/>
      <c r="L768" s="54"/>
      <c r="M768" s="54"/>
      <c r="N768" s="54"/>
      <c r="P768" s="44"/>
    </row>
    <row r="769">
      <c r="A769" s="54"/>
      <c r="B769" s="54"/>
      <c r="C769" s="54"/>
      <c r="D769" s="54"/>
      <c r="E769" s="141"/>
      <c r="F769" s="141"/>
      <c r="G769" s="54"/>
      <c r="H769" s="54"/>
      <c r="I769" s="54"/>
      <c r="J769" s="54"/>
      <c r="K769" s="54"/>
      <c r="L769" s="54"/>
      <c r="M769" s="54"/>
      <c r="N769" s="54"/>
      <c r="P769" s="44"/>
    </row>
    <row r="770">
      <c r="A770" s="54"/>
      <c r="B770" s="54"/>
      <c r="C770" s="54"/>
      <c r="D770" s="54"/>
      <c r="E770" s="141"/>
      <c r="F770" s="141"/>
      <c r="G770" s="54"/>
      <c r="H770" s="54"/>
      <c r="I770" s="54"/>
      <c r="J770" s="54"/>
      <c r="K770" s="54"/>
      <c r="L770" s="54"/>
      <c r="M770" s="54"/>
      <c r="N770" s="54"/>
      <c r="P770" s="44"/>
    </row>
    <row r="771">
      <c r="A771" s="54"/>
      <c r="B771" s="54"/>
      <c r="C771" s="54"/>
      <c r="D771" s="54"/>
      <c r="E771" s="141"/>
      <c r="F771" s="141"/>
      <c r="G771" s="54"/>
      <c r="H771" s="54"/>
      <c r="I771" s="54"/>
      <c r="J771" s="54"/>
      <c r="K771" s="54"/>
      <c r="L771" s="54"/>
      <c r="M771" s="54"/>
      <c r="N771" s="54"/>
      <c r="P771" s="44"/>
    </row>
    <row r="772">
      <c r="A772" s="54"/>
      <c r="B772" s="54"/>
      <c r="C772" s="54"/>
      <c r="D772" s="54"/>
      <c r="E772" s="141"/>
      <c r="F772" s="141"/>
      <c r="G772" s="54"/>
      <c r="H772" s="54"/>
      <c r="I772" s="54"/>
      <c r="J772" s="54"/>
      <c r="K772" s="54"/>
      <c r="L772" s="54"/>
      <c r="M772" s="54"/>
      <c r="N772" s="54"/>
      <c r="P772" s="44"/>
    </row>
    <row r="773">
      <c r="A773" s="54"/>
      <c r="B773" s="54"/>
      <c r="C773" s="54"/>
      <c r="D773" s="54"/>
      <c r="E773" s="141"/>
      <c r="F773" s="141"/>
      <c r="G773" s="54"/>
      <c r="H773" s="54"/>
      <c r="I773" s="54"/>
      <c r="J773" s="54"/>
      <c r="K773" s="54"/>
      <c r="L773" s="54"/>
      <c r="M773" s="54"/>
      <c r="N773" s="54"/>
      <c r="P773" s="44"/>
    </row>
    <row r="774">
      <c r="A774" s="54"/>
      <c r="B774" s="54"/>
      <c r="C774" s="54"/>
      <c r="D774" s="54"/>
      <c r="E774" s="141"/>
      <c r="F774" s="141"/>
      <c r="G774" s="54"/>
      <c r="H774" s="54"/>
      <c r="I774" s="54"/>
      <c r="J774" s="54"/>
      <c r="K774" s="54"/>
      <c r="L774" s="54"/>
      <c r="M774" s="54"/>
      <c r="N774" s="54"/>
      <c r="P774" s="44"/>
    </row>
    <row r="775">
      <c r="A775" s="54"/>
      <c r="B775" s="54"/>
      <c r="C775" s="54"/>
      <c r="D775" s="54"/>
      <c r="E775" s="141"/>
      <c r="F775" s="141"/>
      <c r="G775" s="54"/>
      <c r="H775" s="54"/>
      <c r="I775" s="54"/>
      <c r="J775" s="54"/>
      <c r="K775" s="54"/>
      <c r="L775" s="54"/>
      <c r="M775" s="54"/>
      <c r="N775" s="54"/>
      <c r="P775" s="44"/>
    </row>
    <row r="776">
      <c r="A776" s="54"/>
      <c r="B776" s="54"/>
      <c r="C776" s="54"/>
      <c r="D776" s="54"/>
      <c r="E776" s="141"/>
      <c r="F776" s="141"/>
      <c r="G776" s="54"/>
      <c r="H776" s="54"/>
      <c r="I776" s="54"/>
      <c r="J776" s="54"/>
      <c r="K776" s="54"/>
      <c r="L776" s="54"/>
      <c r="M776" s="54"/>
      <c r="N776" s="54"/>
      <c r="P776" s="44"/>
    </row>
    <row r="777">
      <c r="A777" s="54"/>
      <c r="B777" s="54"/>
      <c r="C777" s="54"/>
      <c r="D777" s="54"/>
      <c r="E777" s="141"/>
      <c r="F777" s="141"/>
      <c r="G777" s="54"/>
      <c r="H777" s="54"/>
      <c r="I777" s="54"/>
      <c r="J777" s="54"/>
      <c r="K777" s="54"/>
      <c r="L777" s="54"/>
      <c r="M777" s="54"/>
      <c r="N777" s="54"/>
      <c r="P777" s="44"/>
    </row>
    <row r="778">
      <c r="A778" s="54"/>
      <c r="B778" s="54"/>
      <c r="C778" s="54"/>
      <c r="D778" s="54"/>
      <c r="E778" s="141"/>
      <c r="F778" s="141"/>
      <c r="G778" s="54"/>
      <c r="H778" s="54"/>
      <c r="I778" s="54"/>
      <c r="J778" s="54"/>
      <c r="K778" s="54"/>
      <c r="L778" s="54"/>
      <c r="M778" s="54"/>
      <c r="N778" s="54"/>
      <c r="P778" s="44"/>
    </row>
    <row r="779">
      <c r="A779" s="54"/>
      <c r="B779" s="54"/>
      <c r="C779" s="54"/>
      <c r="D779" s="54"/>
      <c r="E779" s="141"/>
      <c r="F779" s="141"/>
      <c r="G779" s="54"/>
      <c r="H779" s="54"/>
      <c r="I779" s="54"/>
      <c r="J779" s="54"/>
      <c r="K779" s="54"/>
      <c r="L779" s="54"/>
      <c r="M779" s="54"/>
      <c r="N779" s="54"/>
      <c r="P779" s="44"/>
    </row>
    <row r="780">
      <c r="A780" s="54"/>
      <c r="B780" s="54"/>
      <c r="C780" s="54"/>
      <c r="D780" s="54"/>
      <c r="E780" s="141"/>
      <c r="F780" s="141"/>
      <c r="G780" s="54"/>
      <c r="H780" s="54"/>
      <c r="I780" s="54"/>
      <c r="J780" s="54"/>
      <c r="K780" s="54"/>
      <c r="L780" s="54"/>
      <c r="M780" s="54"/>
      <c r="N780" s="54"/>
      <c r="P780" s="44"/>
    </row>
    <row r="781">
      <c r="A781" s="54"/>
      <c r="B781" s="54"/>
      <c r="C781" s="54"/>
      <c r="D781" s="54"/>
      <c r="E781" s="141"/>
      <c r="F781" s="141"/>
      <c r="G781" s="54"/>
      <c r="H781" s="54"/>
      <c r="I781" s="54"/>
      <c r="J781" s="54"/>
      <c r="K781" s="54"/>
      <c r="L781" s="54"/>
      <c r="M781" s="54"/>
      <c r="N781" s="54"/>
      <c r="P781" s="44"/>
    </row>
    <row r="782">
      <c r="A782" s="54"/>
      <c r="B782" s="54"/>
      <c r="C782" s="54"/>
      <c r="D782" s="54"/>
      <c r="E782" s="141"/>
      <c r="F782" s="141"/>
      <c r="G782" s="54"/>
      <c r="H782" s="54"/>
      <c r="I782" s="54"/>
      <c r="J782" s="54"/>
      <c r="K782" s="54"/>
      <c r="L782" s="54"/>
      <c r="M782" s="54"/>
      <c r="N782" s="54"/>
      <c r="P782" s="44"/>
    </row>
    <row r="783">
      <c r="A783" s="54"/>
      <c r="B783" s="54"/>
      <c r="C783" s="54"/>
      <c r="D783" s="54"/>
      <c r="E783" s="141"/>
      <c r="F783" s="141"/>
      <c r="G783" s="54"/>
      <c r="H783" s="54"/>
      <c r="I783" s="54"/>
      <c r="J783" s="54"/>
      <c r="K783" s="54"/>
      <c r="L783" s="54"/>
      <c r="M783" s="54"/>
      <c r="N783" s="54"/>
      <c r="P783" s="44"/>
    </row>
    <row r="784">
      <c r="A784" s="54"/>
      <c r="B784" s="54"/>
      <c r="C784" s="54"/>
      <c r="D784" s="54"/>
      <c r="E784" s="141"/>
      <c r="F784" s="141"/>
      <c r="G784" s="54"/>
      <c r="H784" s="54"/>
      <c r="I784" s="54"/>
      <c r="J784" s="54"/>
      <c r="K784" s="54"/>
      <c r="L784" s="54"/>
      <c r="M784" s="54"/>
      <c r="N784" s="54"/>
      <c r="P784" s="44"/>
    </row>
    <row r="785">
      <c r="A785" s="54"/>
      <c r="B785" s="54"/>
      <c r="C785" s="54"/>
      <c r="D785" s="54"/>
      <c r="E785" s="141"/>
      <c r="F785" s="141"/>
      <c r="G785" s="54"/>
      <c r="H785" s="54"/>
      <c r="I785" s="54"/>
      <c r="J785" s="54"/>
      <c r="K785" s="54"/>
      <c r="L785" s="54"/>
      <c r="M785" s="54"/>
      <c r="N785" s="54"/>
      <c r="P785" s="44"/>
    </row>
    <row r="786">
      <c r="A786" s="54"/>
      <c r="B786" s="54"/>
      <c r="C786" s="54"/>
      <c r="D786" s="54"/>
      <c r="E786" s="141"/>
      <c r="F786" s="141"/>
      <c r="G786" s="54"/>
      <c r="H786" s="54"/>
      <c r="I786" s="54"/>
      <c r="J786" s="54"/>
      <c r="K786" s="54"/>
      <c r="L786" s="54"/>
      <c r="M786" s="54"/>
      <c r="N786" s="54"/>
      <c r="P786" s="44"/>
    </row>
    <row r="787">
      <c r="A787" s="54"/>
      <c r="B787" s="54"/>
      <c r="C787" s="54"/>
      <c r="D787" s="54"/>
      <c r="E787" s="141"/>
      <c r="F787" s="141"/>
      <c r="G787" s="54"/>
      <c r="H787" s="54"/>
      <c r="I787" s="54"/>
      <c r="J787" s="54"/>
      <c r="K787" s="54"/>
      <c r="L787" s="54"/>
      <c r="M787" s="54"/>
      <c r="N787" s="54"/>
      <c r="P787" s="44"/>
    </row>
    <row r="788">
      <c r="A788" s="54"/>
      <c r="B788" s="54"/>
      <c r="C788" s="54"/>
      <c r="D788" s="54"/>
      <c r="E788" s="141"/>
      <c r="F788" s="141"/>
      <c r="G788" s="54"/>
      <c r="H788" s="54"/>
      <c r="I788" s="54"/>
      <c r="J788" s="54"/>
      <c r="K788" s="54"/>
      <c r="L788" s="54"/>
      <c r="M788" s="54"/>
      <c r="N788" s="54"/>
      <c r="P788" s="44"/>
    </row>
    <row r="789">
      <c r="A789" s="54"/>
      <c r="B789" s="54"/>
      <c r="C789" s="54"/>
      <c r="D789" s="54"/>
      <c r="E789" s="141"/>
      <c r="F789" s="141"/>
      <c r="G789" s="54"/>
      <c r="H789" s="54"/>
      <c r="I789" s="54"/>
      <c r="J789" s="54"/>
      <c r="K789" s="54"/>
      <c r="L789" s="54"/>
      <c r="M789" s="54"/>
      <c r="N789" s="54"/>
      <c r="P789" s="44"/>
    </row>
    <row r="790">
      <c r="A790" s="54"/>
      <c r="B790" s="54"/>
      <c r="C790" s="54"/>
      <c r="D790" s="54"/>
      <c r="E790" s="141"/>
      <c r="F790" s="141"/>
      <c r="G790" s="54"/>
      <c r="H790" s="54"/>
      <c r="I790" s="54"/>
      <c r="J790" s="54"/>
      <c r="K790" s="54"/>
      <c r="L790" s="54"/>
      <c r="M790" s="54"/>
      <c r="N790" s="54"/>
      <c r="P790" s="44"/>
    </row>
    <row r="791">
      <c r="A791" s="54"/>
      <c r="B791" s="54"/>
      <c r="C791" s="54"/>
      <c r="D791" s="54"/>
      <c r="E791" s="141"/>
      <c r="F791" s="141"/>
      <c r="G791" s="54"/>
      <c r="H791" s="54"/>
      <c r="I791" s="54"/>
      <c r="J791" s="54"/>
      <c r="K791" s="54"/>
      <c r="L791" s="54"/>
      <c r="M791" s="54"/>
      <c r="N791" s="54"/>
      <c r="P791" s="44"/>
    </row>
    <row r="792">
      <c r="A792" s="54"/>
      <c r="B792" s="54"/>
      <c r="C792" s="54"/>
      <c r="D792" s="54"/>
      <c r="E792" s="141"/>
      <c r="F792" s="141"/>
      <c r="G792" s="54"/>
      <c r="H792" s="54"/>
      <c r="I792" s="54"/>
      <c r="J792" s="54"/>
      <c r="K792" s="54"/>
      <c r="L792" s="54"/>
      <c r="M792" s="54"/>
      <c r="N792" s="54"/>
      <c r="P792" s="44"/>
    </row>
    <row r="793">
      <c r="A793" s="54"/>
      <c r="B793" s="54"/>
      <c r="C793" s="54"/>
      <c r="D793" s="54"/>
      <c r="E793" s="141"/>
      <c r="F793" s="141"/>
      <c r="G793" s="54"/>
      <c r="H793" s="54"/>
      <c r="I793" s="54"/>
      <c r="J793" s="54"/>
      <c r="K793" s="54"/>
      <c r="L793" s="54"/>
      <c r="M793" s="54"/>
      <c r="N793" s="54"/>
      <c r="P793" s="44"/>
    </row>
    <row r="794">
      <c r="A794" s="54"/>
      <c r="B794" s="54"/>
      <c r="C794" s="54"/>
      <c r="D794" s="54"/>
      <c r="E794" s="141"/>
      <c r="F794" s="141"/>
      <c r="G794" s="54"/>
      <c r="H794" s="54"/>
      <c r="I794" s="54"/>
      <c r="J794" s="54"/>
      <c r="K794" s="54"/>
      <c r="L794" s="54"/>
      <c r="M794" s="54"/>
      <c r="N794" s="54"/>
      <c r="P794" s="44"/>
    </row>
    <row r="795">
      <c r="A795" s="54"/>
      <c r="B795" s="54"/>
      <c r="C795" s="54"/>
      <c r="D795" s="54"/>
      <c r="E795" s="141"/>
      <c r="F795" s="141"/>
      <c r="G795" s="54"/>
      <c r="H795" s="54"/>
      <c r="I795" s="54"/>
      <c r="J795" s="54"/>
      <c r="K795" s="54"/>
      <c r="L795" s="54"/>
      <c r="M795" s="54"/>
      <c r="N795" s="54"/>
      <c r="P795" s="44"/>
    </row>
    <row r="796">
      <c r="A796" s="54"/>
      <c r="B796" s="54"/>
      <c r="C796" s="54"/>
      <c r="D796" s="54"/>
      <c r="E796" s="141"/>
      <c r="F796" s="141"/>
      <c r="G796" s="54"/>
      <c r="H796" s="54"/>
      <c r="I796" s="54"/>
      <c r="J796" s="54"/>
      <c r="K796" s="54"/>
      <c r="L796" s="54"/>
      <c r="M796" s="54"/>
      <c r="N796" s="54"/>
      <c r="P796" s="44"/>
    </row>
    <row r="797">
      <c r="A797" s="54"/>
      <c r="B797" s="54"/>
      <c r="C797" s="54"/>
      <c r="D797" s="54"/>
      <c r="E797" s="141"/>
      <c r="F797" s="141"/>
      <c r="G797" s="54"/>
      <c r="H797" s="54"/>
      <c r="I797" s="54"/>
      <c r="J797" s="54"/>
      <c r="K797" s="54"/>
      <c r="L797" s="54"/>
      <c r="M797" s="54"/>
      <c r="N797" s="54"/>
      <c r="P797" s="44"/>
    </row>
    <row r="798">
      <c r="A798" s="54"/>
      <c r="B798" s="54"/>
      <c r="C798" s="54"/>
      <c r="D798" s="54"/>
      <c r="E798" s="141"/>
      <c r="F798" s="141"/>
      <c r="G798" s="54"/>
      <c r="H798" s="54"/>
      <c r="I798" s="54"/>
      <c r="J798" s="54"/>
      <c r="K798" s="54"/>
      <c r="L798" s="54"/>
      <c r="M798" s="54"/>
      <c r="N798" s="54"/>
      <c r="P798" s="44"/>
    </row>
    <row r="799">
      <c r="A799" s="54"/>
      <c r="B799" s="54"/>
      <c r="C799" s="54"/>
      <c r="D799" s="54"/>
      <c r="E799" s="141"/>
      <c r="F799" s="141"/>
      <c r="G799" s="54"/>
      <c r="H799" s="54"/>
      <c r="I799" s="54"/>
      <c r="J799" s="54"/>
      <c r="K799" s="54"/>
      <c r="L799" s="54"/>
      <c r="M799" s="54"/>
      <c r="N799" s="54"/>
      <c r="P799" s="44"/>
    </row>
    <row r="800">
      <c r="A800" s="54"/>
      <c r="B800" s="54"/>
      <c r="C800" s="54"/>
      <c r="D800" s="54"/>
      <c r="E800" s="141"/>
      <c r="F800" s="141"/>
      <c r="G800" s="54"/>
      <c r="H800" s="54"/>
      <c r="I800" s="54"/>
      <c r="J800" s="54"/>
      <c r="K800" s="54"/>
      <c r="L800" s="54"/>
      <c r="M800" s="54"/>
      <c r="N800" s="54"/>
      <c r="P800" s="44"/>
    </row>
    <row r="801">
      <c r="A801" s="54"/>
      <c r="B801" s="54"/>
      <c r="C801" s="54"/>
      <c r="D801" s="54"/>
      <c r="E801" s="141"/>
      <c r="F801" s="141"/>
      <c r="G801" s="54"/>
      <c r="H801" s="54"/>
      <c r="I801" s="54"/>
      <c r="J801" s="54"/>
      <c r="K801" s="54"/>
      <c r="L801" s="54"/>
      <c r="M801" s="54"/>
      <c r="N801" s="54"/>
      <c r="P801" s="44"/>
    </row>
    <row r="802">
      <c r="A802" s="54"/>
      <c r="B802" s="54"/>
      <c r="C802" s="54"/>
      <c r="D802" s="54"/>
      <c r="E802" s="141"/>
      <c r="F802" s="141"/>
      <c r="G802" s="54"/>
      <c r="H802" s="54"/>
      <c r="I802" s="54"/>
      <c r="J802" s="54"/>
      <c r="K802" s="54"/>
      <c r="L802" s="54"/>
      <c r="M802" s="54"/>
      <c r="N802" s="54"/>
      <c r="P802" s="44"/>
    </row>
    <row r="803">
      <c r="A803" s="54"/>
      <c r="B803" s="54"/>
      <c r="C803" s="54"/>
      <c r="D803" s="54"/>
      <c r="E803" s="141"/>
      <c r="F803" s="141"/>
      <c r="G803" s="54"/>
      <c r="H803" s="54"/>
      <c r="I803" s="54"/>
      <c r="J803" s="54"/>
      <c r="K803" s="54"/>
      <c r="L803" s="54"/>
      <c r="M803" s="54"/>
      <c r="N803" s="54"/>
      <c r="P803" s="44"/>
    </row>
    <row r="804">
      <c r="A804" s="54"/>
      <c r="B804" s="54"/>
      <c r="C804" s="54"/>
      <c r="D804" s="54"/>
      <c r="E804" s="141"/>
      <c r="F804" s="141"/>
      <c r="G804" s="54"/>
      <c r="H804" s="54"/>
      <c r="I804" s="54"/>
      <c r="J804" s="54"/>
      <c r="K804" s="54"/>
      <c r="L804" s="54"/>
      <c r="M804" s="54"/>
      <c r="N804" s="54"/>
      <c r="P804" s="44"/>
    </row>
    <row r="805">
      <c r="A805" s="54"/>
      <c r="B805" s="54"/>
      <c r="C805" s="54"/>
      <c r="D805" s="54"/>
      <c r="E805" s="141"/>
      <c r="F805" s="141"/>
      <c r="G805" s="54"/>
      <c r="H805" s="54"/>
      <c r="I805" s="54"/>
      <c r="J805" s="54"/>
      <c r="K805" s="54"/>
      <c r="L805" s="54"/>
      <c r="M805" s="54"/>
      <c r="N805" s="54"/>
      <c r="P805" s="44"/>
    </row>
    <row r="806">
      <c r="A806" s="54"/>
      <c r="B806" s="54"/>
      <c r="C806" s="54"/>
      <c r="D806" s="54"/>
      <c r="E806" s="141"/>
      <c r="F806" s="141"/>
      <c r="G806" s="54"/>
      <c r="H806" s="54"/>
      <c r="I806" s="54"/>
      <c r="J806" s="54"/>
      <c r="K806" s="54"/>
      <c r="L806" s="54"/>
      <c r="M806" s="54"/>
      <c r="N806" s="54"/>
      <c r="P806" s="44"/>
    </row>
    <row r="807">
      <c r="A807" s="54"/>
      <c r="B807" s="54"/>
      <c r="C807" s="54"/>
      <c r="D807" s="54"/>
      <c r="E807" s="141"/>
      <c r="F807" s="141"/>
      <c r="G807" s="54"/>
      <c r="H807" s="54"/>
      <c r="I807" s="54"/>
      <c r="J807" s="54"/>
      <c r="K807" s="54"/>
      <c r="L807" s="54"/>
      <c r="M807" s="54"/>
      <c r="N807" s="54"/>
      <c r="P807" s="44"/>
    </row>
    <row r="808">
      <c r="A808" s="54"/>
      <c r="B808" s="54"/>
      <c r="C808" s="54"/>
      <c r="D808" s="54"/>
      <c r="E808" s="141"/>
      <c r="F808" s="141"/>
      <c r="G808" s="54"/>
      <c r="H808" s="54"/>
      <c r="I808" s="54"/>
      <c r="J808" s="54"/>
      <c r="K808" s="54"/>
      <c r="L808" s="54"/>
      <c r="M808" s="54"/>
      <c r="N808" s="54"/>
      <c r="P808" s="44"/>
    </row>
    <row r="809">
      <c r="A809" s="54"/>
      <c r="B809" s="54"/>
      <c r="C809" s="54"/>
      <c r="D809" s="54"/>
      <c r="E809" s="141"/>
      <c r="F809" s="141"/>
      <c r="G809" s="54"/>
      <c r="H809" s="54"/>
      <c r="I809" s="54"/>
      <c r="J809" s="54"/>
      <c r="K809" s="54"/>
      <c r="L809" s="54"/>
      <c r="M809" s="54"/>
      <c r="N809" s="54"/>
      <c r="P809" s="44"/>
    </row>
    <row r="810">
      <c r="A810" s="54"/>
      <c r="B810" s="54"/>
      <c r="C810" s="54"/>
      <c r="D810" s="54"/>
      <c r="E810" s="141"/>
      <c r="F810" s="141"/>
      <c r="G810" s="54"/>
      <c r="H810" s="54"/>
      <c r="I810" s="54"/>
      <c r="J810" s="54"/>
      <c r="K810" s="54"/>
      <c r="L810" s="54"/>
      <c r="M810" s="54"/>
      <c r="N810" s="54"/>
      <c r="P810" s="44"/>
    </row>
    <row r="811">
      <c r="A811" s="54"/>
      <c r="B811" s="54"/>
      <c r="C811" s="54"/>
      <c r="D811" s="54"/>
      <c r="E811" s="141"/>
      <c r="F811" s="141"/>
      <c r="G811" s="54"/>
      <c r="H811" s="54"/>
      <c r="I811" s="54"/>
      <c r="J811" s="54"/>
      <c r="K811" s="54"/>
      <c r="L811" s="54"/>
      <c r="M811" s="54"/>
      <c r="N811" s="54"/>
      <c r="P811" s="44"/>
    </row>
    <row r="812">
      <c r="A812" s="54"/>
      <c r="B812" s="54"/>
      <c r="C812" s="54"/>
      <c r="D812" s="54"/>
      <c r="E812" s="141"/>
      <c r="F812" s="141"/>
      <c r="G812" s="54"/>
      <c r="H812" s="54"/>
      <c r="I812" s="54"/>
      <c r="J812" s="54"/>
      <c r="K812" s="54"/>
      <c r="L812" s="54"/>
      <c r="M812" s="54"/>
      <c r="N812" s="54"/>
      <c r="P812" s="44"/>
    </row>
    <row r="813">
      <c r="A813" s="54"/>
      <c r="B813" s="54"/>
      <c r="C813" s="54"/>
      <c r="D813" s="54"/>
      <c r="E813" s="141"/>
      <c r="F813" s="141"/>
      <c r="G813" s="54"/>
      <c r="H813" s="54"/>
      <c r="I813" s="54"/>
      <c r="J813" s="54"/>
      <c r="K813" s="54"/>
      <c r="L813" s="54"/>
      <c r="M813" s="54"/>
      <c r="N813" s="54"/>
      <c r="P813" s="44"/>
    </row>
    <row r="814">
      <c r="A814" s="54"/>
      <c r="B814" s="54"/>
      <c r="C814" s="54"/>
      <c r="D814" s="54"/>
      <c r="E814" s="141"/>
      <c r="F814" s="141"/>
      <c r="G814" s="54"/>
      <c r="H814" s="54"/>
      <c r="I814" s="54"/>
      <c r="J814" s="54"/>
      <c r="K814" s="54"/>
      <c r="L814" s="54"/>
      <c r="M814" s="54"/>
      <c r="N814" s="54"/>
      <c r="P814" s="44"/>
    </row>
    <row r="815">
      <c r="A815" s="54"/>
      <c r="B815" s="54"/>
      <c r="C815" s="54"/>
      <c r="D815" s="54"/>
      <c r="E815" s="141"/>
      <c r="F815" s="141"/>
      <c r="G815" s="54"/>
      <c r="H815" s="54"/>
      <c r="I815" s="54"/>
      <c r="J815" s="54"/>
      <c r="K815" s="54"/>
      <c r="L815" s="54"/>
      <c r="M815" s="54"/>
      <c r="N815" s="54"/>
      <c r="P815" s="44"/>
    </row>
    <row r="816">
      <c r="A816" s="54"/>
      <c r="B816" s="54"/>
      <c r="C816" s="54"/>
      <c r="D816" s="54"/>
      <c r="E816" s="141"/>
      <c r="F816" s="141"/>
      <c r="G816" s="54"/>
      <c r="H816" s="54"/>
      <c r="I816" s="54"/>
      <c r="J816" s="54"/>
      <c r="K816" s="54"/>
      <c r="L816" s="54"/>
      <c r="M816" s="54"/>
      <c r="N816" s="54"/>
      <c r="P816" s="44"/>
    </row>
    <row r="817">
      <c r="A817" s="54"/>
      <c r="B817" s="54"/>
      <c r="C817" s="54"/>
      <c r="D817" s="54"/>
      <c r="E817" s="141"/>
      <c r="F817" s="141"/>
      <c r="G817" s="54"/>
      <c r="H817" s="54"/>
      <c r="I817" s="54"/>
      <c r="J817" s="54"/>
      <c r="K817" s="54"/>
      <c r="L817" s="54"/>
      <c r="M817" s="54"/>
      <c r="N817" s="54"/>
      <c r="P817" s="44"/>
    </row>
    <row r="818">
      <c r="A818" s="54"/>
      <c r="B818" s="54"/>
      <c r="C818" s="54"/>
      <c r="D818" s="54"/>
      <c r="E818" s="141"/>
      <c r="F818" s="141"/>
      <c r="G818" s="54"/>
      <c r="H818" s="54"/>
      <c r="I818" s="54"/>
      <c r="J818" s="54"/>
      <c r="K818" s="54"/>
      <c r="L818" s="54"/>
      <c r="M818" s="54"/>
      <c r="N818" s="54"/>
      <c r="P818" s="44"/>
    </row>
    <row r="819">
      <c r="A819" s="54"/>
      <c r="B819" s="54"/>
      <c r="C819" s="54"/>
      <c r="D819" s="54"/>
      <c r="E819" s="141"/>
      <c r="F819" s="141"/>
      <c r="G819" s="54"/>
      <c r="H819" s="54"/>
      <c r="I819" s="54"/>
      <c r="J819" s="54"/>
      <c r="K819" s="54"/>
      <c r="L819" s="54"/>
      <c r="M819" s="54"/>
      <c r="N819" s="54"/>
      <c r="P819" s="44"/>
    </row>
    <row r="820">
      <c r="A820" s="54"/>
      <c r="B820" s="54"/>
      <c r="C820" s="54"/>
      <c r="D820" s="54"/>
      <c r="E820" s="141"/>
      <c r="F820" s="141"/>
      <c r="G820" s="54"/>
      <c r="H820" s="54"/>
      <c r="I820" s="54"/>
      <c r="J820" s="54"/>
      <c r="K820" s="54"/>
      <c r="L820" s="54"/>
      <c r="M820" s="54"/>
      <c r="N820" s="54"/>
      <c r="P820" s="44"/>
    </row>
    <row r="821">
      <c r="A821" s="54"/>
      <c r="B821" s="54"/>
      <c r="C821" s="54"/>
      <c r="D821" s="54"/>
      <c r="E821" s="141"/>
      <c r="F821" s="141"/>
      <c r="G821" s="54"/>
      <c r="H821" s="54"/>
      <c r="I821" s="54"/>
      <c r="J821" s="54"/>
      <c r="K821" s="54"/>
      <c r="L821" s="54"/>
      <c r="M821" s="54"/>
      <c r="N821" s="54"/>
      <c r="P821" s="44"/>
    </row>
    <row r="822">
      <c r="A822" s="54"/>
      <c r="B822" s="54"/>
      <c r="C822" s="54"/>
      <c r="D822" s="54"/>
      <c r="E822" s="141"/>
      <c r="F822" s="141"/>
      <c r="G822" s="54"/>
      <c r="H822" s="54"/>
      <c r="I822" s="54"/>
      <c r="J822" s="54"/>
      <c r="K822" s="54"/>
      <c r="L822" s="54"/>
      <c r="M822" s="54"/>
      <c r="N822" s="54"/>
      <c r="P822" s="44"/>
    </row>
    <row r="823">
      <c r="A823" s="54"/>
      <c r="B823" s="54"/>
      <c r="C823" s="54"/>
      <c r="D823" s="54"/>
      <c r="E823" s="141"/>
      <c r="F823" s="141"/>
      <c r="G823" s="54"/>
      <c r="H823" s="54"/>
      <c r="I823" s="54"/>
      <c r="J823" s="54"/>
      <c r="K823" s="54"/>
      <c r="L823" s="54"/>
      <c r="M823" s="54"/>
      <c r="N823" s="54"/>
      <c r="P823" s="44"/>
    </row>
    <row r="824">
      <c r="A824" s="54"/>
      <c r="B824" s="54"/>
      <c r="C824" s="54"/>
      <c r="D824" s="54"/>
      <c r="E824" s="141"/>
      <c r="F824" s="141"/>
      <c r="G824" s="54"/>
      <c r="H824" s="54"/>
      <c r="I824" s="54"/>
      <c r="J824" s="54"/>
      <c r="K824" s="54"/>
      <c r="L824" s="54"/>
      <c r="M824" s="54"/>
      <c r="N824" s="54"/>
      <c r="P824" s="44"/>
    </row>
    <row r="825">
      <c r="A825" s="54"/>
      <c r="B825" s="54"/>
      <c r="C825" s="54"/>
      <c r="D825" s="54"/>
      <c r="E825" s="141"/>
      <c r="F825" s="141"/>
      <c r="G825" s="54"/>
      <c r="H825" s="54"/>
      <c r="I825" s="54"/>
      <c r="J825" s="54"/>
      <c r="K825" s="54"/>
      <c r="L825" s="54"/>
      <c r="M825" s="54"/>
      <c r="N825" s="54"/>
      <c r="P825" s="44"/>
    </row>
    <row r="826">
      <c r="A826" s="54"/>
      <c r="B826" s="54"/>
      <c r="C826" s="54"/>
      <c r="D826" s="54"/>
      <c r="E826" s="141"/>
      <c r="F826" s="141"/>
      <c r="G826" s="54"/>
      <c r="H826" s="54"/>
      <c r="I826" s="54"/>
      <c r="J826" s="54"/>
      <c r="K826" s="54"/>
      <c r="L826" s="54"/>
      <c r="M826" s="54"/>
      <c r="N826" s="54"/>
      <c r="P826" s="44"/>
    </row>
    <row r="827">
      <c r="A827" s="54"/>
      <c r="B827" s="54"/>
      <c r="C827" s="54"/>
      <c r="D827" s="54"/>
      <c r="E827" s="141"/>
      <c r="F827" s="141"/>
      <c r="G827" s="54"/>
      <c r="H827" s="54"/>
      <c r="I827" s="54"/>
      <c r="J827" s="54"/>
      <c r="K827" s="54"/>
      <c r="L827" s="54"/>
      <c r="M827" s="54"/>
      <c r="N827" s="54"/>
      <c r="P827" s="44"/>
    </row>
    <row r="828">
      <c r="A828" s="54"/>
      <c r="B828" s="54"/>
      <c r="C828" s="54"/>
      <c r="D828" s="54"/>
      <c r="E828" s="141"/>
      <c r="F828" s="141"/>
      <c r="G828" s="54"/>
      <c r="H828" s="54"/>
      <c r="I828" s="54"/>
      <c r="J828" s="54"/>
      <c r="K828" s="54"/>
      <c r="L828" s="54"/>
      <c r="M828" s="54"/>
      <c r="N828" s="54"/>
      <c r="P828" s="44"/>
    </row>
    <row r="829">
      <c r="A829" s="54"/>
      <c r="B829" s="54"/>
      <c r="C829" s="54"/>
      <c r="D829" s="54"/>
      <c r="E829" s="141"/>
      <c r="F829" s="141"/>
      <c r="G829" s="54"/>
      <c r="H829" s="54"/>
      <c r="I829" s="54"/>
      <c r="J829" s="54"/>
      <c r="K829" s="54"/>
      <c r="L829" s="54"/>
      <c r="M829" s="54"/>
      <c r="N829" s="54"/>
      <c r="P829" s="44"/>
    </row>
    <row r="830">
      <c r="A830" s="54"/>
      <c r="B830" s="54"/>
      <c r="C830" s="54"/>
      <c r="D830" s="54"/>
      <c r="E830" s="141"/>
      <c r="F830" s="141"/>
      <c r="G830" s="54"/>
      <c r="H830" s="54"/>
      <c r="I830" s="54"/>
      <c r="J830" s="54"/>
      <c r="K830" s="54"/>
      <c r="L830" s="54"/>
      <c r="M830" s="54"/>
      <c r="N830" s="54"/>
      <c r="P830" s="44"/>
    </row>
    <row r="831">
      <c r="A831" s="54"/>
      <c r="B831" s="54"/>
      <c r="C831" s="54"/>
      <c r="D831" s="54"/>
      <c r="E831" s="141"/>
      <c r="F831" s="141"/>
      <c r="G831" s="54"/>
      <c r="H831" s="54"/>
      <c r="I831" s="54"/>
      <c r="J831" s="54"/>
      <c r="K831" s="54"/>
      <c r="L831" s="54"/>
      <c r="M831" s="54"/>
      <c r="N831" s="54"/>
      <c r="P831" s="44"/>
    </row>
    <row r="832">
      <c r="A832" s="54"/>
      <c r="B832" s="54"/>
      <c r="C832" s="54"/>
      <c r="D832" s="54"/>
      <c r="E832" s="141"/>
      <c r="F832" s="141"/>
      <c r="G832" s="54"/>
      <c r="H832" s="54"/>
      <c r="I832" s="54"/>
      <c r="J832" s="54"/>
      <c r="K832" s="54"/>
      <c r="L832" s="54"/>
      <c r="M832" s="54"/>
      <c r="N832" s="54"/>
      <c r="P832" s="44"/>
    </row>
    <row r="833">
      <c r="A833" s="54"/>
      <c r="B833" s="54"/>
      <c r="C833" s="54"/>
      <c r="D833" s="54"/>
      <c r="E833" s="141"/>
      <c r="F833" s="141"/>
      <c r="G833" s="54"/>
      <c r="H833" s="54"/>
      <c r="I833" s="54"/>
      <c r="J833" s="54"/>
      <c r="K833" s="54"/>
      <c r="L833" s="54"/>
      <c r="M833" s="54"/>
      <c r="N833" s="54"/>
      <c r="P833" s="44"/>
    </row>
    <row r="834">
      <c r="A834" s="54"/>
      <c r="B834" s="54"/>
      <c r="C834" s="54"/>
      <c r="D834" s="54"/>
      <c r="E834" s="141"/>
      <c r="F834" s="141"/>
      <c r="G834" s="54"/>
      <c r="H834" s="54"/>
      <c r="I834" s="54"/>
      <c r="J834" s="54"/>
      <c r="K834" s="54"/>
      <c r="L834" s="54"/>
      <c r="M834" s="54"/>
      <c r="N834" s="54"/>
      <c r="P834" s="44"/>
    </row>
    <row r="835">
      <c r="A835" s="54"/>
      <c r="B835" s="54"/>
      <c r="C835" s="54"/>
      <c r="D835" s="54"/>
      <c r="E835" s="141"/>
      <c r="F835" s="141"/>
      <c r="G835" s="54"/>
      <c r="H835" s="54"/>
      <c r="I835" s="54"/>
      <c r="J835" s="54"/>
      <c r="K835" s="54"/>
      <c r="L835" s="54"/>
      <c r="M835" s="54"/>
      <c r="N835" s="54"/>
      <c r="P835" s="44"/>
    </row>
    <row r="836">
      <c r="A836" s="54"/>
      <c r="B836" s="54"/>
      <c r="C836" s="54"/>
      <c r="D836" s="54"/>
      <c r="E836" s="141"/>
      <c r="F836" s="141"/>
      <c r="G836" s="54"/>
      <c r="H836" s="54"/>
      <c r="I836" s="54"/>
      <c r="J836" s="54"/>
      <c r="K836" s="54"/>
      <c r="L836" s="54"/>
      <c r="M836" s="54"/>
      <c r="N836" s="54"/>
      <c r="P836" s="44"/>
    </row>
    <row r="837">
      <c r="A837" s="54"/>
      <c r="B837" s="54"/>
      <c r="C837" s="54"/>
      <c r="D837" s="54"/>
      <c r="E837" s="141"/>
      <c r="F837" s="141"/>
      <c r="G837" s="54"/>
      <c r="H837" s="54"/>
      <c r="I837" s="54"/>
      <c r="J837" s="54"/>
      <c r="K837" s="54"/>
      <c r="L837" s="54"/>
      <c r="M837" s="54"/>
      <c r="N837" s="54"/>
      <c r="P837" s="44"/>
    </row>
    <row r="838">
      <c r="A838" s="54"/>
      <c r="B838" s="54"/>
      <c r="C838" s="54"/>
      <c r="D838" s="54"/>
      <c r="E838" s="141"/>
      <c r="F838" s="141"/>
      <c r="G838" s="54"/>
      <c r="H838" s="54"/>
      <c r="I838" s="54"/>
      <c r="J838" s="54"/>
      <c r="K838" s="54"/>
      <c r="L838" s="54"/>
      <c r="M838" s="54"/>
      <c r="N838" s="54"/>
      <c r="P838" s="44"/>
    </row>
    <row r="839">
      <c r="A839" s="54"/>
      <c r="B839" s="54"/>
      <c r="C839" s="54"/>
      <c r="D839" s="54"/>
      <c r="E839" s="141"/>
      <c r="F839" s="141"/>
      <c r="G839" s="54"/>
      <c r="H839" s="54"/>
      <c r="I839" s="54"/>
      <c r="J839" s="54"/>
      <c r="K839" s="54"/>
      <c r="L839" s="54"/>
      <c r="M839" s="54"/>
      <c r="N839" s="54"/>
      <c r="P839" s="44"/>
    </row>
    <row r="840">
      <c r="A840" s="54"/>
      <c r="B840" s="54"/>
      <c r="C840" s="54"/>
      <c r="D840" s="54"/>
      <c r="E840" s="141"/>
      <c r="F840" s="141"/>
      <c r="G840" s="54"/>
      <c r="H840" s="54"/>
      <c r="I840" s="54"/>
      <c r="J840" s="54"/>
      <c r="K840" s="54"/>
      <c r="L840" s="54"/>
      <c r="M840" s="54"/>
      <c r="N840" s="54"/>
      <c r="P840" s="44"/>
    </row>
    <row r="841">
      <c r="A841" s="54"/>
      <c r="B841" s="54"/>
      <c r="C841" s="54"/>
      <c r="D841" s="54"/>
      <c r="E841" s="141"/>
      <c r="F841" s="141"/>
      <c r="G841" s="54"/>
      <c r="H841" s="54"/>
      <c r="I841" s="54"/>
      <c r="J841" s="54"/>
      <c r="K841" s="54"/>
      <c r="L841" s="54"/>
      <c r="M841" s="54"/>
      <c r="N841" s="54"/>
      <c r="P841" s="44"/>
    </row>
    <row r="842">
      <c r="A842" s="54"/>
      <c r="B842" s="54"/>
      <c r="C842" s="54"/>
      <c r="D842" s="54"/>
      <c r="E842" s="141"/>
      <c r="F842" s="141"/>
      <c r="G842" s="54"/>
      <c r="H842" s="54"/>
      <c r="I842" s="54"/>
      <c r="J842" s="54"/>
      <c r="K842" s="54"/>
      <c r="L842" s="54"/>
      <c r="M842" s="54"/>
      <c r="N842" s="54"/>
      <c r="P842" s="44"/>
    </row>
    <row r="843">
      <c r="A843" s="54"/>
      <c r="B843" s="54"/>
      <c r="C843" s="54"/>
      <c r="D843" s="54"/>
      <c r="E843" s="141"/>
      <c r="F843" s="141"/>
      <c r="G843" s="54"/>
      <c r="H843" s="54"/>
      <c r="I843" s="54"/>
      <c r="J843" s="54"/>
      <c r="K843" s="54"/>
      <c r="L843" s="54"/>
      <c r="M843" s="54"/>
      <c r="N843" s="54"/>
      <c r="P843" s="44"/>
    </row>
    <row r="844">
      <c r="A844" s="54"/>
      <c r="B844" s="54"/>
      <c r="C844" s="54"/>
      <c r="D844" s="54"/>
      <c r="E844" s="141"/>
      <c r="F844" s="141"/>
      <c r="G844" s="54"/>
      <c r="H844" s="54"/>
      <c r="I844" s="54"/>
      <c r="J844" s="54"/>
      <c r="K844" s="54"/>
      <c r="L844" s="54"/>
      <c r="M844" s="54"/>
      <c r="N844" s="54"/>
      <c r="P844" s="44"/>
    </row>
    <row r="845">
      <c r="A845" s="54"/>
      <c r="B845" s="54"/>
      <c r="C845" s="54"/>
      <c r="D845" s="54"/>
      <c r="E845" s="141"/>
      <c r="F845" s="141"/>
      <c r="G845" s="54"/>
      <c r="H845" s="54"/>
      <c r="I845" s="54"/>
      <c r="J845" s="54"/>
      <c r="K845" s="54"/>
      <c r="L845" s="54"/>
      <c r="M845" s="54"/>
      <c r="N845" s="54"/>
      <c r="P845" s="44"/>
    </row>
    <row r="846">
      <c r="A846" s="54"/>
      <c r="B846" s="54"/>
      <c r="C846" s="54"/>
      <c r="D846" s="54"/>
      <c r="E846" s="141"/>
      <c r="F846" s="141"/>
      <c r="G846" s="54"/>
      <c r="H846" s="54"/>
      <c r="I846" s="54"/>
      <c r="J846" s="54"/>
      <c r="K846" s="54"/>
      <c r="L846" s="54"/>
      <c r="M846" s="54"/>
      <c r="N846" s="54"/>
      <c r="P846" s="44"/>
    </row>
    <row r="847">
      <c r="A847" s="54"/>
      <c r="B847" s="54"/>
      <c r="C847" s="54"/>
      <c r="D847" s="54"/>
      <c r="E847" s="141"/>
      <c r="F847" s="141"/>
      <c r="G847" s="54"/>
      <c r="H847" s="54"/>
      <c r="I847" s="54"/>
      <c r="J847" s="54"/>
      <c r="K847" s="54"/>
      <c r="L847" s="54"/>
      <c r="M847" s="54"/>
      <c r="N847" s="54"/>
      <c r="P847" s="44"/>
    </row>
    <row r="848">
      <c r="A848" s="54"/>
      <c r="B848" s="54"/>
      <c r="C848" s="54"/>
      <c r="D848" s="54"/>
      <c r="E848" s="141"/>
      <c r="F848" s="141"/>
      <c r="G848" s="54"/>
      <c r="H848" s="54"/>
      <c r="I848" s="54"/>
      <c r="J848" s="54"/>
      <c r="K848" s="54"/>
      <c r="L848" s="54"/>
      <c r="M848" s="54"/>
      <c r="N848" s="54"/>
      <c r="P848" s="44"/>
    </row>
    <row r="849">
      <c r="A849" s="54"/>
      <c r="B849" s="54"/>
      <c r="C849" s="54"/>
      <c r="D849" s="54"/>
      <c r="E849" s="141"/>
      <c r="F849" s="141"/>
      <c r="G849" s="54"/>
      <c r="H849" s="54"/>
      <c r="I849" s="54"/>
      <c r="J849" s="54"/>
      <c r="K849" s="54"/>
      <c r="L849" s="54"/>
      <c r="M849" s="54"/>
      <c r="N849" s="54"/>
      <c r="P849" s="44"/>
    </row>
    <row r="850">
      <c r="A850" s="54"/>
      <c r="B850" s="54"/>
      <c r="C850" s="54"/>
      <c r="D850" s="54"/>
      <c r="E850" s="141"/>
      <c r="F850" s="141"/>
      <c r="G850" s="54"/>
      <c r="H850" s="54"/>
      <c r="I850" s="54"/>
      <c r="J850" s="54"/>
      <c r="K850" s="54"/>
      <c r="L850" s="54"/>
      <c r="M850" s="54"/>
      <c r="N850" s="54"/>
      <c r="P850" s="44"/>
    </row>
    <row r="851">
      <c r="A851" s="54"/>
      <c r="B851" s="54"/>
      <c r="C851" s="54"/>
      <c r="D851" s="54"/>
      <c r="E851" s="141"/>
      <c r="F851" s="141"/>
      <c r="G851" s="54"/>
      <c r="H851" s="54"/>
      <c r="I851" s="54"/>
      <c r="J851" s="54"/>
      <c r="K851" s="54"/>
      <c r="L851" s="54"/>
      <c r="M851" s="54"/>
      <c r="N851" s="54"/>
      <c r="P851" s="44"/>
    </row>
    <row r="852">
      <c r="A852" s="54"/>
      <c r="B852" s="54"/>
      <c r="C852" s="54"/>
      <c r="D852" s="54"/>
      <c r="E852" s="141"/>
      <c r="F852" s="141"/>
      <c r="G852" s="54"/>
      <c r="H852" s="54"/>
      <c r="I852" s="54"/>
      <c r="J852" s="54"/>
      <c r="K852" s="54"/>
      <c r="L852" s="54"/>
      <c r="M852" s="54"/>
      <c r="N852" s="54"/>
      <c r="P852" s="44"/>
    </row>
    <row r="853">
      <c r="A853" s="54"/>
      <c r="B853" s="54"/>
      <c r="C853" s="54"/>
      <c r="D853" s="54"/>
      <c r="E853" s="141"/>
      <c r="F853" s="141"/>
      <c r="G853" s="54"/>
      <c r="H853" s="54"/>
      <c r="I853" s="54"/>
      <c r="J853" s="54"/>
      <c r="K853" s="54"/>
      <c r="L853" s="54"/>
      <c r="M853" s="54"/>
      <c r="N853" s="54"/>
      <c r="P853" s="44"/>
    </row>
    <row r="854">
      <c r="A854" s="54"/>
      <c r="B854" s="54"/>
      <c r="C854" s="54"/>
      <c r="D854" s="54"/>
      <c r="E854" s="141"/>
      <c r="F854" s="141"/>
      <c r="G854" s="54"/>
      <c r="H854" s="54"/>
      <c r="I854" s="54"/>
      <c r="J854" s="54"/>
      <c r="K854" s="54"/>
      <c r="L854" s="54"/>
      <c r="M854" s="54"/>
      <c r="N854" s="54"/>
      <c r="P854" s="44"/>
    </row>
    <row r="855">
      <c r="A855" s="54"/>
      <c r="B855" s="54"/>
      <c r="C855" s="54"/>
      <c r="D855" s="54"/>
      <c r="E855" s="141"/>
      <c r="F855" s="141"/>
      <c r="G855" s="54"/>
      <c r="H855" s="54"/>
      <c r="I855" s="54"/>
      <c r="J855" s="54"/>
      <c r="K855" s="54"/>
      <c r="L855" s="54"/>
      <c r="M855" s="54"/>
      <c r="N855" s="54"/>
      <c r="P855" s="44"/>
    </row>
    <row r="856">
      <c r="A856" s="54"/>
      <c r="B856" s="54"/>
      <c r="C856" s="54"/>
      <c r="D856" s="54"/>
      <c r="E856" s="141"/>
      <c r="F856" s="141"/>
      <c r="G856" s="54"/>
      <c r="H856" s="54"/>
      <c r="I856" s="54"/>
      <c r="J856" s="54"/>
      <c r="K856" s="54"/>
      <c r="L856" s="54"/>
      <c r="M856" s="54"/>
      <c r="N856" s="54"/>
      <c r="P856" s="44"/>
    </row>
    <row r="857">
      <c r="A857" s="54"/>
      <c r="B857" s="54"/>
      <c r="C857" s="54"/>
      <c r="D857" s="54"/>
      <c r="E857" s="141"/>
      <c r="F857" s="141"/>
      <c r="G857" s="54"/>
      <c r="H857" s="54"/>
      <c r="I857" s="54"/>
      <c r="J857" s="54"/>
      <c r="K857" s="54"/>
      <c r="L857" s="54"/>
      <c r="M857" s="54"/>
      <c r="N857" s="54"/>
      <c r="P857" s="44"/>
    </row>
    <row r="858">
      <c r="A858" s="54"/>
      <c r="B858" s="54"/>
      <c r="C858" s="54"/>
      <c r="D858" s="54"/>
      <c r="E858" s="141"/>
      <c r="F858" s="141"/>
      <c r="G858" s="54"/>
      <c r="H858" s="54"/>
      <c r="I858" s="54"/>
      <c r="J858" s="54"/>
      <c r="K858" s="54"/>
      <c r="L858" s="54"/>
      <c r="M858" s="54"/>
      <c r="N858" s="54"/>
      <c r="P858" s="44"/>
    </row>
    <row r="859">
      <c r="A859" s="54"/>
      <c r="B859" s="54"/>
      <c r="C859" s="54"/>
      <c r="D859" s="54"/>
      <c r="E859" s="141"/>
      <c r="F859" s="141"/>
      <c r="G859" s="54"/>
      <c r="H859" s="54"/>
      <c r="I859" s="54"/>
      <c r="J859" s="54"/>
      <c r="K859" s="54"/>
      <c r="L859" s="54"/>
      <c r="M859" s="54"/>
      <c r="N859" s="54"/>
      <c r="P859" s="44"/>
    </row>
    <row r="860">
      <c r="A860" s="54"/>
      <c r="B860" s="54"/>
      <c r="C860" s="54"/>
      <c r="D860" s="54"/>
      <c r="E860" s="141"/>
      <c r="F860" s="141"/>
      <c r="G860" s="54"/>
      <c r="H860" s="54"/>
      <c r="I860" s="54"/>
      <c r="J860" s="54"/>
      <c r="K860" s="54"/>
      <c r="L860" s="54"/>
      <c r="M860" s="54"/>
      <c r="N860" s="54"/>
      <c r="P860" s="44"/>
    </row>
    <row r="861">
      <c r="A861" s="54"/>
      <c r="B861" s="54"/>
      <c r="C861" s="54"/>
      <c r="D861" s="54"/>
      <c r="E861" s="141"/>
      <c r="F861" s="141"/>
      <c r="G861" s="54"/>
      <c r="H861" s="54"/>
      <c r="I861" s="54"/>
      <c r="J861" s="54"/>
      <c r="K861" s="54"/>
      <c r="L861" s="54"/>
      <c r="M861" s="54"/>
      <c r="N861" s="54"/>
      <c r="P861" s="44"/>
    </row>
    <row r="862">
      <c r="A862" s="54"/>
      <c r="B862" s="54"/>
      <c r="C862" s="54"/>
      <c r="D862" s="54"/>
      <c r="E862" s="141"/>
      <c r="F862" s="141"/>
      <c r="G862" s="54"/>
      <c r="H862" s="54"/>
      <c r="I862" s="54"/>
      <c r="J862" s="54"/>
      <c r="K862" s="54"/>
      <c r="L862" s="54"/>
      <c r="M862" s="54"/>
      <c r="N862" s="54"/>
      <c r="P862" s="44"/>
    </row>
    <row r="863">
      <c r="A863" s="54"/>
      <c r="B863" s="54"/>
      <c r="C863" s="54"/>
      <c r="D863" s="54"/>
      <c r="E863" s="141"/>
      <c r="F863" s="141"/>
      <c r="G863" s="54"/>
      <c r="H863" s="54"/>
      <c r="I863" s="54"/>
      <c r="J863" s="54"/>
      <c r="K863" s="54"/>
      <c r="L863" s="54"/>
      <c r="M863" s="54"/>
      <c r="N863" s="54"/>
      <c r="P863" s="44"/>
    </row>
    <row r="864">
      <c r="A864" s="54"/>
      <c r="B864" s="54"/>
      <c r="C864" s="54"/>
      <c r="D864" s="54"/>
      <c r="E864" s="141"/>
      <c r="F864" s="141"/>
      <c r="G864" s="54"/>
      <c r="H864" s="54"/>
      <c r="I864" s="54"/>
      <c r="J864" s="54"/>
      <c r="K864" s="54"/>
      <c r="L864" s="54"/>
      <c r="M864" s="54"/>
      <c r="N864" s="54"/>
      <c r="P864" s="44"/>
    </row>
    <row r="865">
      <c r="A865" s="54"/>
      <c r="B865" s="54"/>
      <c r="C865" s="54"/>
      <c r="D865" s="54"/>
      <c r="E865" s="141"/>
      <c r="F865" s="141"/>
      <c r="G865" s="54"/>
      <c r="H865" s="54"/>
      <c r="I865" s="54"/>
      <c r="J865" s="54"/>
      <c r="K865" s="54"/>
      <c r="L865" s="54"/>
      <c r="M865" s="54"/>
      <c r="N865" s="54"/>
      <c r="P865" s="44"/>
    </row>
    <row r="866">
      <c r="A866" s="54"/>
      <c r="B866" s="54"/>
      <c r="C866" s="54"/>
      <c r="D866" s="54"/>
      <c r="E866" s="141"/>
      <c r="F866" s="141"/>
      <c r="G866" s="54"/>
      <c r="H866" s="54"/>
      <c r="I866" s="54"/>
      <c r="J866" s="54"/>
      <c r="K866" s="54"/>
      <c r="L866" s="54"/>
      <c r="M866" s="54"/>
      <c r="N866" s="54"/>
      <c r="P866" s="44"/>
    </row>
    <row r="867">
      <c r="A867" s="54"/>
      <c r="B867" s="54"/>
      <c r="C867" s="54"/>
      <c r="D867" s="54"/>
      <c r="E867" s="141"/>
      <c r="F867" s="141"/>
      <c r="G867" s="54"/>
      <c r="H867" s="54"/>
      <c r="I867" s="54"/>
      <c r="J867" s="54"/>
      <c r="K867" s="54"/>
      <c r="L867" s="54"/>
      <c r="M867" s="54"/>
      <c r="N867" s="54"/>
      <c r="P867" s="44"/>
    </row>
    <row r="868">
      <c r="A868" s="54"/>
      <c r="B868" s="54"/>
      <c r="C868" s="54"/>
      <c r="D868" s="54"/>
      <c r="E868" s="141"/>
      <c r="F868" s="141"/>
      <c r="G868" s="54"/>
      <c r="H868" s="54"/>
      <c r="I868" s="54"/>
      <c r="J868" s="54"/>
      <c r="K868" s="54"/>
      <c r="L868" s="54"/>
      <c r="M868" s="54"/>
      <c r="N868" s="54"/>
      <c r="P868" s="44"/>
    </row>
    <row r="869">
      <c r="A869" s="54"/>
      <c r="B869" s="54"/>
      <c r="C869" s="54"/>
      <c r="D869" s="54"/>
      <c r="E869" s="141"/>
      <c r="F869" s="141"/>
      <c r="G869" s="54"/>
      <c r="H869" s="54"/>
      <c r="I869" s="54"/>
      <c r="J869" s="54"/>
      <c r="K869" s="54"/>
      <c r="L869" s="54"/>
      <c r="M869" s="54"/>
      <c r="N869" s="54"/>
      <c r="P869" s="44"/>
    </row>
    <row r="870">
      <c r="A870" s="54"/>
      <c r="B870" s="54"/>
      <c r="C870" s="54"/>
      <c r="D870" s="54"/>
      <c r="E870" s="141"/>
      <c r="F870" s="141"/>
      <c r="G870" s="54"/>
      <c r="H870" s="54"/>
      <c r="I870" s="54"/>
      <c r="J870" s="54"/>
      <c r="K870" s="54"/>
      <c r="L870" s="54"/>
      <c r="M870" s="54"/>
      <c r="N870" s="54"/>
      <c r="P870" s="44"/>
    </row>
    <row r="871">
      <c r="A871" s="54"/>
      <c r="B871" s="54"/>
      <c r="C871" s="54"/>
      <c r="D871" s="54"/>
      <c r="E871" s="141"/>
      <c r="F871" s="141"/>
      <c r="G871" s="54"/>
      <c r="H871" s="54"/>
      <c r="I871" s="54"/>
      <c r="J871" s="54"/>
      <c r="K871" s="54"/>
      <c r="L871" s="54"/>
      <c r="M871" s="54"/>
      <c r="N871" s="54"/>
      <c r="P871" s="44"/>
    </row>
    <row r="872">
      <c r="A872" s="54"/>
      <c r="B872" s="54"/>
      <c r="C872" s="54"/>
      <c r="D872" s="54"/>
      <c r="E872" s="141"/>
      <c r="F872" s="141"/>
      <c r="G872" s="54"/>
      <c r="H872" s="54"/>
      <c r="I872" s="54"/>
      <c r="J872" s="54"/>
      <c r="K872" s="54"/>
      <c r="L872" s="54"/>
      <c r="M872" s="54"/>
      <c r="N872" s="54"/>
      <c r="P872" s="44"/>
    </row>
    <row r="873">
      <c r="A873" s="54"/>
      <c r="B873" s="54"/>
      <c r="C873" s="54"/>
      <c r="D873" s="54"/>
      <c r="E873" s="141"/>
      <c r="F873" s="141"/>
      <c r="G873" s="54"/>
      <c r="H873" s="54"/>
      <c r="I873" s="54"/>
      <c r="J873" s="54"/>
      <c r="K873" s="54"/>
      <c r="L873" s="54"/>
      <c r="M873" s="54"/>
      <c r="N873" s="54"/>
      <c r="P873" s="44"/>
    </row>
    <row r="874">
      <c r="A874" s="54"/>
      <c r="B874" s="54"/>
      <c r="C874" s="54"/>
      <c r="D874" s="54"/>
      <c r="E874" s="141"/>
      <c r="F874" s="141"/>
      <c r="G874" s="54"/>
      <c r="H874" s="54"/>
      <c r="I874" s="54"/>
      <c r="J874" s="54"/>
      <c r="K874" s="54"/>
      <c r="L874" s="54"/>
      <c r="M874" s="54"/>
      <c r="N874" s="54"/>
      <c r="P874" s="44"/>
    </row>
    <row r="875">
      <c r="A875" s="54"/>
      <c r="B875" s="54"/>
      <c r="C875" s="54"/>
      <c r="D875" s="54"/>
      <c r="E875" s="141"/>
      <c r="F875" s="141"/>
      <c r="G875" s="54"/>
      <c r="H875" s="54"/>
      <c r="I875" s="54"/>
      <c r="J875" s="54"/>
      <c r="K875" s="54"/>
      <c r="L875" s="54"/>
      <c r="M875" s="54"/>
      <c r="N875" s="54"/>
      <c r="P875" s="44"/>
    </row>
    <row r="876">
      <c r="A876" s="54"/>
      <c r="B876" s="54"/>
      <c r="C876" s="54"/>
      <c r="D876" s="54"/>
      <c r="E876" s="141"/>
      <c r="F876" s="141"/>
      <c r="G876" s="54"/>
      <c r="H876" s="54"/>
      <c r="I876" s="54"/>
      <c r="J876" s="54"/>
      <c r="K876" s="54"/>
      <c r="L876" s="54"/>
      <c r="M876" s="54"/>
      <c r="N876" s="54"/>
      <c r="P876" s="44"/>
    </row>
    <row r="877">
      <c r="A877" s="54"/>
      <c r="B877" s="54"/>
      <c r="C877" s="54"/>
      <c r="D877" s="54"/>
      <c r="E877" s="141"/>
      <c r="F877" s="141"/>
      <c r="G877" s="54"/>
      <c r="H877" s="54"/>
      <c r="I877" s="54"/>
      <c r="J877" s="54"/>
      <c r="K877" s="54"/>
      <c r="L877" s="54"/>
      <c r="M877" s="54"/>
      <c r="N877" s="54"/>
      <c r="P877" s="44"/>
    </row>
    <row r="878">
      <c r="A878" s="54"/>
      <c r="B878" s="54"/>
      <c r="C878" s="54"/>
      <c r="D878" s="54"/>
      <c r="E878" s="141"/>
      <c r="F878" s="141"/>
      <c r="G878" s="54"/>
      <c r="H878" s="54"/>
      <c r="I878" s="54"/>
      <c r="J878" s="54"/>
      <c r="K878" s="54"/>
      <c r="L878" s="54"/>
      <c r="M878" s="54"/>
      <c r="N878" s="54"/>
      <c r="P878" s="44"/>
    </row>
    <row r="879">
      <c r="A879" s="54"/>
      <c r="B879" s="54"/>
      <c r="C879" s="54"/>
      <c r="D879" s="54"/>
      <c r="E879" s="141"/>
      <c r="F879" s="141"/>
      <c r="G879" s="54"/>
      <c r="H879" s="54"/>
      <c r="I879" s="54"/>
      <c r="J879" s="54"/>
      <c r="K879" s="54"/>
      <c r="L879" s="54"/>
      <c r="M879" s="54"/>
      <c r="N879" s="54"/>
      <c r="P879" s="44"/>
    </row>
    <row r="880">
      <c r="A880" s="54"/>
      <c r="B880" s="54"/>
      <c r="C880" s="54"/>
      <c r="D880" s="54"/>
      <c r="E880" s="141"/>
      <c r="F880" s="141"/>
      <c r="G880" s="54"/>
      <c r="H880" s="54"/>
      <c r="I880" s="54"/>
      <c r="J880" s="54"/>
      <c r="K880" s="54"/>
      <c r="L880" s="54"/>
      <c r="M880" s="54"/>
      <c r="N880" s="54"/>
      <c r="P880" s="44"/>
    </row>
    <row r="881">
      <c r="A881" s="54"/>
      <c r="B881" s="54"/>
      <c r="C881" s="54"/>
      <c r="D881" s="54"/>
      <c r="E881" s="141"/>
      <c r="F881" s="141"/>
      <c r="G881" s="54"/>
      <c r="H881" s="54"/>
      <c r="I881" s="54"/>
      <c r="J881" s="54"/>
      <c r="K881" s="54"/>
      <c r="L881" s="54"/>
      <c r="M881" s="54"/>
      <c r="N881" s="54"/>
      <c r="P881" s="44"/>
    </row>
    <row r="882">
      <c r="A882" s="54"/>
      <c r="B882" s="54"/>
      <c r="C882" s="54"/>
      <c r="D882" s="54"/>
      <c r="E882" s="141"/>
      <c r="F882" s="141"/>
      <c r="G882" s="54"/>
      <c r="H882" s="54"/>
      <c r="I882" s="54"/>
      <c r="J882" s="54"/>
      <c r="K882" s="54"/>
      <c r="L882" s="54"/>
      <c r="M882" s="54"/>
      <c r="N882" s="54"/>
      <c r="P882" s="44"/>
    </row>
    <row r="883">
      <c r="A883" s="54"/>
      <c r="B883" s="54"/>
      <c r="C883" s="54"/>
      <c r="D883" s="54"/>
      <c r="E883" s="141"/>
      <c r="F883" s="141"/>
      <c r="G883" s="54"/>
      <c r="H883" s="54"/>
      <c r="I883" s="54"/>
      <c r="J883" s="54"/>
      <c r="K883" s="54"/>
      <c r="L883" s="54"/>
      <c r="M883" s="54"/>
      <c r="N883" s="54"/>
      <c r="P883" s="44"/>
    </row>
    <row r="884">
      <c r="A884" s="54"/>
      <c r="B884" s="54"/>
      <c r="C884" s="54"/>
      <c r="D884" s="54"/>
      <c r="E884" s="141"/>
      <c r="F884" s="141"/>
      <c r="G884" s="54"/>
      <c r="H884" s="54"/>
      <c r="I884" s="54"/>
      <c r="J884" s="54"/>
      <c r="K884" s="54"/>
      <c r="L884" s="54"/>
      <c r="M884" s="54"/>
      <c r="N884" s="54"/>
      <c r="P884" s="44"/>
    </row>
    <row r="885">
      <c r="A885" s="54"/>
      <c r="B885" s="54"/>
      <c r="C885" s="54"/>
      <c r="D885" s="54"/>
      <c r="E885" s="141"/>
      <c r="F885" s="141"/>
      <c r="G885" s="54"/>
      <c r="H885" s="54"/>
      <c r="I885" s="54"/>
      <c r="J885" s="54"/>
      <c r="K885" s="54"/>
      <c r="L885" s="54"/>
      <c r="M885" s="54"/>
      <c r="N885" s="54"/>
      <c r="P885" s="44"/>
    </row>
    <row r="886">
      <c r="A886" s="54"/>
      <c r="B886" s="54"/>
      <c r="C886" s="54"/>
      <c r="D886" s="54"/>
      <c r="E886" s="141"/>
      <c r="F886" s="141"/>
      <c r="G886" s="54"/>
      <c r="H886" s="54"/>
      <c r="I886" s="54"/>
      <c r="J886" s="54"/>
      <c r="K886" s="54"/>
      <c r="L886" s="54"/>
      <c r="M886" s="54"/>
      <c r="N886" s="54"/>
      <c r="P886" s="44"/>
    </row>
    <row r="887">
      <c r="A887" s="54"/>
      <c r="B887" s="54"/>
      <c r="C887" s="54"/>
      <c r="D887" s="54"/>
      <c r="E887" s="141"/>
      <c r="F887" s="141"/>
      <c r="G887" s="54"/>
      <c r="H887" s="54"/>
      <c r="I887" s="54"/>
      <c r="J887" s="54"/>
      <c r="K887" s="54"/>
      <c r="L887" s="54"/>
      <c r="M887" s="54"/>
      <c r="N887" s="54"/>
      <c r="P887" s="44"/>
    </row>
    <row r="888">
      <c r="A888" s="54"/>
      <c r="B888" s="54"/>
      <c r="C888" s="54"/>
      <c r="D888" s="54"/>
      <c r="E888" s="141"/>
      <c r="F888" s="141"/>
      <c r="G888" s="54"/>
      <c r="H888" s="54"/>
      <c r="I888" s="54"/>
      <c r="J888" s="54"/>
      <c r="K888" s="54"/>
      <c r="L888" s="54"/>
      <c r="M888" s="54"/>
      <c r="N888" s="54"/>
      <c r="P888" s="44"/>
    </row>
    <row r="889">
      <c r="A889" s="54"/>
      <c r="B889" s="54"/>
      <c r="C889" s="54"/>
      <c r="D889" s="54"/>
      <c r="E889" s="141"/>
      <c r="F889" s="141"/>
      <c r="G889" s="54"/>
      <c r="H889" s="54"/>
      <c r="I889" s="54"/>
      <c r="J889" s="54"/>
      <c r="K889" s="54"/>
      <c r="L889" s="54"/>
      <c r="M889" s="54"/>
      <c r="N889" s="54"/>
      <c r="P889" s="44"/>
    </row>
    <row r="890">
      <c r="A890" s="54"/>
      <c r="B890" s="54"/>
      <c r="C890" s="54"/>
      <c r="D890" s="54"/>
      <c r="E890" s="141"/>
      <c r="F890" s="141"/>
      <c r="G890" s="54"/>
      <c r="H890" s="54"/>
      <c r="I890" s="54"/>
      <c r="J890" s="54"/>
      <c r="K890" s="54"/>
      <c r="L890" s="54"/>
      <c r="M890" s="54"/>
      <c r="N890" s="54"/>
      <c r="P890" s="44"/>
    </row>
    <row r="891">
      <c r="A891" s="54"/>
      <c r="B891" s="54"/>
      <c r="C891" s="54"/>
      <c r="D891" s="54"/>
      <c r="E891" s="141"/>
      <c r="F891" s="141"/>
      <c r="G891" s="54"/>
      <c r="H891" s="54"/>
      <c r="I891" s="54"/>
      <c r="J891" s="54"/>
      <c r="K891" s="54"/>
      <c r="L891" s="54"/>
      <c r="M891" s="54"/>
      <c r="N891" s="54"/>
      <c r="P891" s="44"/>
    </row>
    <row r="892">
      <c r="A892" s="54"/>
      <c r="B892" s="54"/>
      <c r="C892" s="54"/>
      <c r="D892" s="54"/>
      <c r="E892" s="141"/>
      <c r="F892" s="141"/>
      <c r="G892" s="54"/>
      <c r="H892" s="54"/>
      <c r="I892" s="54"/>
      <c r="J892" s="54"/>
      <c r="K892" s="54"/>
      <c r="L892" s="54"/>
      <c r="M892" s="54"/>
      <c r="N892" s="54"/>
      <c r="P892" s="44"/>
    </row>
    <row r="893">
      <c r="A893" s="54"/>
      <c r="B893" s="54"/>
      <c r="C893" s="54"/>
      <c r="D893" s="54"/>
      <c r="E893" s="141"/>
      <c r="F893" s="141"/>
      <c r="G893" s="54"/>
      <c r="H893" s="54"/>
      <c r="I893" s="54"/>
      <c r="J893" s="54"/>
      <c r="K893" s="54"/>
      <c r="L893" s="54"/>
      <c r="M893" s="54"/>
      <c r="N893" s="54"/>
      <c r="P893" s="44"/>
    </row>
    <row r="894">
      <c r="A894" s="54"/>
      <c r="B894" s="54"/>
      <c r="C894" s="54"/>
      <c r="D894" s="54"/>
      <c r="E894" s="141"/>
      <c r="F894" s="141"/>
      <c r="G894" s="54"/>
      <c r="H894" s="54"/>
      <c r="I894" s="54"/>
      <c r="J894" s="54"/>
      <c r="K894" s="54"/>
      <c r="L894" s="54"/>
      <c r="M894" s="54"/>
      <c r="N894" s="54"/>
      <c r="P894" s="44"/>
    </row>
    <row r="895">
      <c r="A895" s="54"/>
      <c r="B895" s="54"/>
      <c r="C895" s="54"/>
      <c r="D895" s="54"/>
      <c r="E895" s="141"/>
      <c r="F895" s="141"/>
      <c r="G895" s="54"/>
      <c r="H895" s="54"/>
      <c r="I895" s="54"/>
      <c r="J895" s="54"/>
      <c r="K895" s="54"/>
      <c r="L895" s="54"/>
      <c r="M895" s="54"/>
      <c r="N895" s="54"/>
      <c r="P895" s="44"/>
    </row>
    <row r="896">
      <c r="A896" s="54"/>
      <c r="B896" s="54"/>
      <c r="C896" s="54"/>
      <c r="D896" s="54"/>
      <c r="E896" s="141"/>
      <c r="F896" s="141"/>
      <c r="G896" s="54"/>
      <c r="H896" s="54"/>
      <c r="I896" s="54"/>
      <c r="J896" s="54"/>
      <c r="K896" s="54"/>
      <c r="L896" s="54"/>
      <c r="M896" s="54"/>
      <c r="N896" s="54"/>
      <c r="P896" s="44"/>
    </row>
    <row r="897">
      <c r="A897" s="54"/>
      <c r="B897" s="54"/>
      <c r="C897" s="54"/>
      <c r="D897" s="54"/>
      <c r="E897" s="141"/>
      <c r="F897" s="141"/>
      <c r="G897" s="54"/>
      <c r="H897" s="54"/>
      <c r="I897" s="54"/>
      <c r="J897" s="54"/>
      <c r="K897" s="54"/>
      <c r="L897" s="54"/>
      <c r="M897" s="54"/>
      <c r="N897" s="54"/>
      <c r="P897" s="44"/>
    </row>
    <row r="898">
      <c r="A898" s="54"/>
      <c r="B898" s="54"/>
      <c r="C898" s="54"/>
      <c r="D898" s="54"/>
      <c r="E898" s="141"/>
      <c r="F898" s="141"/>
      <c r="G898" s="54"/>
      <c r="H898" s="54"/>
      <c r="I898" s="54"/>
      <c r="J898" s="54"/>
      <c r="K898" s="54"/>
      <c r="L898" s="54"/>
      <c r="M898" s="54"/>
      <c r="N898" s="54"/>
      <c r="P898" s="44"/>
    </row>
    <row r="899">
      <c r="A899" s="54"/>
      <c r="B899" s="54"/>
      <c r="C899" s="54"/>
      <c r="D899" s="54"/>
      <c r="E899" s="141"/>
      <c r="F899" s="141"/>
      <c r="G899" s="54"/>
      <c r="H899" s="54"/>
      <c r="I899" s="54"/>
      <c r="J899" s="54"/>
      <c r="K899" s="54"/>
      <c r="L899" s="54"/>
      <c r="M899" s="54"/>
      <c r="N899" s="54"/>
      <c r="P899" s="44"/>
    </row>
    <row r="900">
      <c r="A900" s="54"/>
      <c r="B900" s="54"/>
      <c r="C900" s="54"/>
      <c r="D900" s="54"/>
      <c r="E900" s="141"/>
      <c r="F900" s="141"/>
      <c r="G900" s="54"/>
      <c r="H900" s="54"/>
      <c r="I900" s="54"/>
      <c r="J900" s="54"/>
      <c r="K900" s="54"/>
      <c r="L900" s="54"/>
      <c r="M900" s="54"/>
      <c r="N900" s="54"/>
      <c r="P900" s="44"/>
    </row>
    <row r="901">
      <c r="A901" s="54"/>
      <c r="B901" s="54"/>
      <c r="C901" s="54"/>
      <c r="D901" s="54"/>
      <c r="E901" s="141"/>
      <c r="F901" s="141"/>
      <c r="G901" s="54"/>
      <c r="H901" s="54"/>
      <c r="I901" s="54"/>
      <c r="J901" s="54"/>
      <c r="K901" s="54"/>
      <c r="L901" s="54"/>
      <c r="M901" s="54"/>
      <c r="N901" s="54"/>
      <c r="P901" s="44"/>
    </row>
    <row r="902">
      <c r="A902" s="54"/>
      <c r="B902" s="54"/>
      <c r="C902" s="54"/>
      <c r="D902" s="54"/>
      <c r="E902" s="141"/>
      <c r="F902" s="141"/>
      <c r="G902" s="54"/>
      <c r="H902" s="54"/>
      <c r="I902" s="54"/>
      <c r="J902" s="54"/>
      <c r="K902" s="54"/>
      <c r="L902" s="54"/>
      <c r="M902" s="54"/>
      <c r="N902" s="54"/>
      <c r="P902" s="44"/>
    </row>
    <row r="903">
      <c r="A903" s="54"/>
      <c r="B903" s="54"/>
      <c r="C903" s="54"/>
      <c r="D903" s="54"/>
      <c r="E903" s="141"/>
      <c r="F903" s="141"/>
      <c r="G903" s="54"/>
      <c r="H903" s="54"/>
      <c r="I903" s="54"/>
      <c r="J903" s="54"/>
      <c r="K903" s="54"/>
      <c r="L903" s="54"/>
      <c r="M903" s="54"/>
      <c r="N903" s="54"/>
      <c r="P903" s="44"/>
    </row>
    <row r="904">
      <c r="A904" s="54"/>
      <c r="B904" s="54"/>
      <c r="C904" s="54"/>
      <c r="D904" s="54"/>
      <c r="E904" s="141"/>
      <c r="F904" s="141"/>
      <c r="G904" s="54"/>
      <c r="H904" s="54"/>
      <c r="I904" s="54"/>
      <c r="J904" s="54"/>
      <c r="K904" s="54"/>
      <c r="L904" s="54"/>
      <c r="M904" s="54"/>
      <c r="N904" s="54"/>
      <c r="P904" s="44"/>
    </row>
    <row r="905">
      <c r="A905" s="54"/>
      <c r="B905" s="54"/>
      <c r="C905" s="54"/>
      <c r="D905" s="54"/>
      <c r="E905" s="141"/>
      <c r="F905" s="141"/>
      <c r="G905" s="54"/>
      <c r="H905" s="54"/>
      <c r="I905" s="54"/>
      <c r="J905" s="54"/>
      <c r="K905" s="54"/>
      <c r="L905" s="54"/>
      <c r="M905" s="54"/>
      <c r="N905" s="54"/>
      <c r="P905" s="44"/>
    </row>
    <row r="906">
      <c r="A906" s="54"/>
      <c r="B906" s="54"/>
      <c r="C906" s="54"/>
      <c r="D906" s="54"/>
      <c r="E906" s="141"/>
      <c r="F906" s="141"/>
      <c r="G906" s="54"/>
      <c r="H906" s="54"/>
      <c r="I906" s="54"/>
      <c r="J906" s="54"/>
      <c r="K906" s="54"/>
      <c r="L906" s="54"/>
      <c r="M906" s="54"/>
      <c r="N906" s="54"/>
      <c r="P906" s="44"/>
    </row>
    <row r="907">
      <c r="A907" s="54"/>
      <c r="B907" s="54"/>
      <c r="C907" s="54"/>
      <c r="D907" s="54"/>
      <c r="E907" s="141"/>
      <c r="F907" s="141"/>
      <c r="G907" s="54"/>
      <c r="H907" s="54"/>
      <c r="I907" s="54"/>
      <c r="J907" s="54"/>
      <c r="K907" s="54"/>
      <c r="L907" s="54"/>
      <c r="M907" s="54"/>
      <c r="N907" s="54"/>
      <c r="P907" s="44"/>
    </row>
    <row r="908">
      <c r="A908" s="54"/>
      <c r="B908" s="54"/>
      <c r="C908" s="54"/>
      <c r="D908" s="54"/>
      <c r="E908" s="141"/>
      <c r="F908" s="141"/>
      <c r="G908" s="54"/>
      <c r="H908" s="54"/>
      <c r="I908" s="54"/>
      <c r="J908" s="54"/>
      <c r="K908" s="54"/>
      <c r="L908" s="54"/>
      <c r="M908" s="54"/>
      <c r="N908" s="54"/>
      <c r="P908" s="44"/>
    </row>
    <row r="909">
      <c r="A909" s="54"/>
      <c r="B909" s="54"/>
      <c r="C909" s="54"/>
      <c r="D909" s="54"/>
      <c r="E909" s="141"/>
      <c r="F909" s="141"/>
      <c r="G909" s="54"/>
      <c r="H909" s="54"/>
      <c r="I909" s="54"/>
      <c r="J909" s="54"/>
      <c r="K909" s="54"/>
      <c r="L909" s="54"/>
      <c r="M909" s="54"/>
      <c r="N909" s="54"/>
      <c r="P909" s="44"/>
    </row>
    <row r="910">
      <c r="A910" s="54"/>
      <c r="B910" s="54"/>
      <c r="C910" s="54"/>
      <c r="D910" s="54"/>
      <c r="E910" s="141"/>
      <c r="F910" s="141"/>
      <c r="G910" s="54"/>
      <c r="H910" s="54"/>
      <c r="I910" s="54"/>
      <c r="J910" s="54"/>
      <c r="K910" s="54"/>
      <c r="L910" s="54"/>
      <c r="M910" s="54"/>
      <c r="N910" s="54"/>
      <c r="P910" s="44"/>
    </row>
    <row r="911">
      <c r="A911" s="54"/>
      <c r="B911" s="54"/>
      <c r="C911" s="54"/>
      <c r="D911" s="54"/>
      <c r="E911" s="141"/>
      <c r="F911" s="141"/>
      <c r="G911" s="54"/>
      <c r="H911" s="54"/>
      <c r="I911" s="54"/>
      <c r="J911" s="54"/>
      <c r="K911" s="54"/>
      <c r="L911" s="54"/>
      <c r="M911" s="54"/>
      <c r="N911" s="54"/>
      <c r="P911" s="44"/>
    </row>
    <row r="912">
      <c r="A912" s="54"/>
      <c r="B912" s="54"/>
      <c r="C912" s="54"/>
      <c r="D912" s="54"/>
      <c r="E912" s="141"/>
      <c r="F912" s="141"/>
      <c r="G912" s="54"/>
      <c r="H912" s="54"/>
      <c r="I912" s="54"/>
      <c r="J912" s="54"/>
      <c r="K912" s="54"/>
      <c r="L912" s="54"/>
      <c r="M912" s="54"/>
      <c r="N912" s="54"/>
      <c r="P912" s="44"/>
    </row>
    <row r="913">
      <c r="A913" s="54"/>
      <c r="B913" s="54"/>
      <c r="C913" s="54"/>
      <c r="D913" s="54"/>
      <c r="E913" s="141"/>
      <c r="F913" s="141"/>
      <c r="G913" s="54"/>
      <c r="H913" s="54"/>
      <c r="I913" s="54"/>
      <c r="J913" s="54"/>
      <c r="K913" s="54"/>
      <c r="L913" s="54"/>
      <c r="M913" s="54"/>
      <c r="N913" s="54"/>
      <c r="P913" s="44"/>
    </row>
    <row r="914">
      <c r="A914" s="54"/>
      <c r="B914" s="54"/>
      <c r="C914" s="54"/>
      <c r="D914" s="54"/>
      <c r="E914" s="141"/>
      <c r="F914" s="141"/>
      <c r="G914" s="54"/>
      <c r="H914" s="54"/>
      <c r="I914" s="54"/>
      <c r="J914" s="54"/>
      <c r="K914" s="54"/>
      <c r="L914" s="54"/>
      <c r="M914" s="54"/>
      <c r="N914" s="54"/>
      <c r="P914" s="44"/>
    </row>
    <row r="915">
      <c r="A915" s="54"/>
      <c r="B915" s="54"/>
      <c r="C915" s="54"/>
      <c r="D915" s="54"/>
      <c r="E915" s="141"/>
      <c r="F915" s="141"/>
      <c r="G915" s="54"/>
      <c r="H915" s="54"/>
      <c r="I915" s="54"/>
      <c r="J915" s="54"/>
      <c r="K915" s="54"/>
      <c r="L915" s="54"/>
      <c r="M915" s="54"/>
      <c r="N915" s="54"/>
      <c r="P915" s="44"/>
    </row>
    <row r="916">
      <c r="A916" s="54"/>
      <c r="B916" s="54"/>
      <c r="C916" s="54"/>
      <c r="D916" s="54"/>
      <c r="E916" s="141"/>
      <c r="F916" s="141"/>
      <c r="G916" s="54"/>
      <c r="H916" s="54"/>
      <c r="I916" s="54"/>
      <c r="J916" s="54"/>
      <c r="K916" s="54"/>
      <c r="L916" s="54"/>
      <c r="M916" s="54"/>
      <c r="N916" s="54"/>
      <c r="P916" s="44"/>
    </row>
    <row r="917">
      <c r="A917" s="54"/>
      <c r="B917" s="54"/>
      <c r="C917" s="54"/>
      <c r="D917" s="54"/>
      <c r="E917" s="141"/>
      <c r="F917" s="141"/>
      <c r="G917" s="54"/>
      <c r="H917" s="54"/>
      <c r="I917" s="54"/>
      <c r="J917" s="54"/>
      <c r="K917" s="54"/>
      <c r="L917" s="54"/>
      <c r="M917" s="54"/>
      <c r="N917" s="54"/>
      <c r="P917" s="44"/>
    </row>
    <row r="918">
      <c r="A918" s="54"/>
      <c r="B918" s="54"/>
      <c r="C918" s="54"/>
      <c r="D918" s="54"/>
      <c r="E918" s="141"/>
      <c r="F918" s="141"/>
      <c r="G918" s="54"/>
      <c r="H918" s="54"/>
      <c r="I918" s="54"/>
      <c r="J918" s="54"/>
      <c r="K918" s="54"/>
      <c r="L918" s="54"/>
      <c r="M918" s="54"/>
      <c r="N918" s="54"/>
      <c r="P918" s="44"/>
    </row>
    <row r="919">
      <c r="A919" s="54"/>
      <c r="B919" s="54"/>
      <c r="C919" s="54"/>
      <c r="D919" s="54"/>
      <c r="E919" s="141"/>
      <c r="F919" s="141"/>
      <c r="G919" s="54"/>
      <c r="H919" s="54"/>
      <c r="I919" s="54"/>
      <c r="J919" s="54"/>
      <c r="K919" s="54"/>
      <c r="L919" s="54"/>
      <c r="M919" s="54"/>
      <c r="N919" s="54"/>
      <c r="P919" s="44"/>
    </row>
    <row r="920">
      <c r="A920" s="54"/>
      <c r="B920" s="54"/>
      <c r="C920" s="54"/>
      <c r="D920" s="54"/>
      <c r="E920" s="141"/>
      <c r="F920" s="141"/>
      <c r="G920" s="54"/>
      <c r="H920" s="54"/>
      <c r="I920" s="54"/>
      <c r="J920" s="54"/>
      <c r="K920" s="54"/>
      <c r="L920" s="54"/>
      <c r="M920" s="54"/>
      <c r="N920" s="54"/>
      <c r="P920" s="44"/>
    </row>
    <row r="921">
      <c r="A921" s="54"/>
      <c r="B921" s="54"/>
      <c r="C921" s="54"/>
      <c r="D921" s="54"/>
      <c r="E921" s="141"/>
      <c r="F921" s="141"/>
      <c r="G921" s="54"/>
      <c r="H921" s="54"/>
      <c r="I921" s="54"/>
      <c r="J921" s="54"/>
      <c r="K921" s="54"/>
      <c r="L921" s="54"/>
      <c r="M921" s="54"/>
      <c r="N921" s="54"/>
      <c r="P921" s="44"/>
    </row>
    <row r="922">
      <c r="A922" s="54"/>
      <c r="B922" s="54"/>
      <c r="C922" s="54"/>
      <c r="D922" s="54"/>
      <c r="E922" s="141"/>
      <c r="F922" s="141"/>
      <c r="G922" s="54"/>
      <c r="H922" s="54"/>
      <c r="I922" s="54"/>
      <c r="J922" s="54"/>
      <c r="K922" s="54"/>
      <c r="L922" s="54"/>
      <c r="M922" s="54"/>
      <c r="N922" s="54"/>
      <c r="P922" s="44"/>
    </row>
    <row r="923">
      <c r="A923" s="54"/>
      <c r="B923" s="54"/>
      <c r="C923" s="54"/>
      <c r="D923" s="54"/>
      <c r="E923" s="141"/>
      <c r="F923" s="141"/>
      <c r="G923" s="54"/>
      <c r="H923" s="54"/>
      <c r="I923" s="54"/>
      <c r="J923" s="54"/>
      <c r="K923" s="54"/>
      <c r="L923" s="54"/>
      <c r="M923" s="54"/>
      <c r="N923" s="54"/>
      <c r="P923" s="44"/>
    </row>
    <row r="924">
      <c r="A924" s="54"/>
      <c r="B924" s="54"/>
      <c r="C924" s="54"/>
      <c r="D924" s="54"/>
      <c r="E924" s="141"/>
      <c r="F924" s="141"/>
      <c r="G924" s="54"/>
      <c r="H924" s="54"/>
      <c r="I924" s="54"/>
      <c r="J924" s="54"/>
      <c r="K924" s="54"/>
      <c r="L924" s="54"/>
      <c r="M924" s="54"/>
      <c r="N924" s="54"/>
      <c r="P924" s="44"/>
    </row>
    <row r="925">
      <c r="A925" s="54"/>
      <c r="B925" s="54"/>
      <c r="C925" s="54"/>
      <c r="D925" s="54"/>
      <c r="E925" s="141"/>
      <c r="F925" s="141"/>
      <c r="G925" s="54"/>
      <c r="H925" s="54"/>
      <c r="I925" s="54"/>
      <c r="J925" s="54"/>
      <c r="K925" s="54"/>
      <c r="L925" s="54"/>
      <c r="M925" s="54"/>
      <c r="N925" s="54"/>
      <c r="P925" s="44"/>
    </row>
    <row r="926">
      <c r="A926" s="54"/>
      <c r="B926" s="54"/>
      <c r="C926" s="54"/>
      <c r="D926" s="54"/>
      <c r="E926" s="141"/>
      <c r="F926" s="141"/>
      <c r="G926" s="54"/>
      <c r="H926" s="54"/>
      <c r="I926" s="54"/>
      <c r="J926" s="54"/>
      <c r="K926" s="54"/>
      <c r="L926" s="54"/>
      <c r="M926" s="54"/>
      <c r="N926" s="54"/>
      <c r="P926" s="44"/>
    </row>
    <row r="927">
      <c r="A927" s="54"/>
      <c r="B927" s="54"/>
      <c r="C927" s="54"/>
      <c r="D927" s="54"/>
      <c r="E927" s="141"/>
      <c r="F927" s="141"/>
      <c r="G927" s="54"/>
      <c r="H927" s="54"/>
      <c r="I927" s="54"/>
      <c r="J927" s="54"/>
      <c r="K927" s="54"/>
      <c r="L927" s="54"/>
      <c r="M927" s="54"/>
      <c r="N927" s="54"/>
      <c r="P927" s="44"/>
    </row>
    <row r="928">
      <c r="A928" s="54"/>
      <c r="B928" s="54"/>
      <c r="C928" s="54"/>
      <c r="D928" s="54"/>
      <c r="E928" s="141"/>
      <c r="F928" s="141"/>
      <c r="G928" s="54"/>
      <c r="H928" s="54"/>
      <c r="I928" s="54"/>
      <c r="J928" s="54"/>
      <c r="K928" s="54"/>
      <c r="L928" s="54"/>
      <c r="M928" s="54"/>
      <c r="N928" s="54"/>
      <c r="P928" s="44"/>
    </row>
    <row r="929">
      <c r="A929" s="54"/>
      <c r="B929" s="54"/>
      <c r="C929" s="54"/>
      <c r="D929" s="54"/>
      <c r="E929" s="141"/>
      <c r="F929" s="141"/>
      <c r="G929" s="54"/>
      <c r="H929" s="54"/>
      <c r="I929" s="54"/>
      <c r="J929" s="54"/>
      <c r="K929" s="54"/>
      <c r="L929" s="54"/>
      <c r="M929" s="54"/>
      <c r="N929" s="54"/>
      <c r="P929" s="44"/>
    </row>
    <row r="930">
      <c r="A930" s="54"/>
      <c r="B930" s="54"/>
      <c r="C930" s="54"/>
      <c r="D930" s="54"/>
      <c r="E930" s="141"/>
      <c r="F930" s="141"/>
      <c r="G930" s="54"/>
      <c r="H930" s="54"/>
      <c r="I930" s="54"/>
      <c r="J930" s="54"/>
      <c r="K930" s="54"/>
      <c r="L930" s="54"/>
      <c r="M930" s="54"/>
      <c r="N930" s="54"/>
      <c r="P930" s="44"/>
    </row>
    <row r="931">
      <c r="A931" s="54"/>
      <c r="B931" s="54"/>
      <c r="C931" s="54"/>
      <c r="D931" s="54"/>
      <c r="E931" s="141"/>
      <c r="F931" s="141"/>
      <c r="G931" s="54"/>
      <c r="H931" s="54"/>
      <c r="I931" s="54"/>
      <c r="J931" s="54"/>
      <c r="K931" s="54"/>
      <c r="L931" s="54"/>
      <c r="M931" s="54"/>
      <c r="N931" s="54"/>
      <c r="P931" s="44"/>
    </row>
    <row r="932">
      <c r="A932" s="54"/>
      <c r="B932" s="54"/>
      <c r="C932" s="54"/>
      <c r="D932" s="54"/>
      <c r="E932" s="141"/>
      <c r="F932" s="141"/>
      <c r="G932" s="54"/>
      <c r="H932" s="54"/>
      <c r="I932" s="54"/>
      <c r="J932" s="54"/>
      <c r="K932" s="54"/>
      <c r="L932" s="54"/>
      <c r="M932" s="54"/>
      <c r="N932" s="54"/>
      <c r="P932" s="44"/>
    </row>
    <row r="933">
      <c r="A933" s="54"/>
      <c r="B933" s="54"/>
      <c r="C933" s="54"/>
      <c r="D933" s="54"/>
      <c r="E933" s="141"/>
      <c r="F933" s="141"/>
      <c r="G933" s="54"/>
      <c r="H933" s="54"/>
      <c r="I933" s="54"/>
      <c r="J933" s="54"/>
      <c r="K933" s="54"/>
      <c r="L933" s="54"/>
      <c r="M933" s="54"/>
      <c r="N933" s="54"/>
      <c r="P933" s="44"/>
    </row>
    <row r="934">
      <c r="A934" s="54"/>
      <c r="B934" s="54"/>
      <c r="C934" s="54"/>
      <c r="D934" s="54"/>
      <c r="E934" s="141"/>
      <c r="F934" s="141"/>
      <c r="G934" s="54"/>
      <c r="H934" s="54"/>
      <c r="I934" s="54"/>
      <c r="J934" s="54"/>
      <c r="K934" s="54"/>
      <c r="L934" s="54"/>
      <c r="M934" s="54"/>
      <c r="N934" s="54"/>
      <c r="P934" s="44"/>
    </row>
    <row r="935">
      <c r="A935" s="54"/>
      <c r="B935" s="54"/>
      <c r="C935" s="54"/>
      <c r="D935" s="54"/>
      <c r="E935" s="141"/>
      <c r="F935" s="141"/>
      <c r="G935" s="54"/>
      <c r="H935" s="54"/>
      <c r="I935" s="54"/>
      <c r="J935" s="54"/>
      <c r="K935" s="54"/>
      <c r="L935" s="54"/>
      <c r="M935" s="54"/>
      <c r="N935" s="54"/>
      <c r="P935" s="44"/>
    </row>
    <row r="936">
      <c r="A936" s="54"/>
      <c r="B936" s="54"/>
      <c r="C936" s="54"/>
      <c r="D936" s="54"/>
      <c r="E936" s="141"/>
      <c r="F936" s="141"/>
      <c r="G936" s="54"/>
      <c r="H936" s="54"/>
      <c r="I936" s="54"/>
      <c r="J936" s="54"/>
      <c r="K936" s="54"/>
      <c r="L936" s="54"/>
      <c r="M936" s="54"/>
      <c r="N936" s="54"/>
      <c r="P936" s="44"/>
    </row>
    <row r="937">
      <c r="A937" s="54"/>
      <c r="B937" s="54"/>
      <c r="C937" s="54"/>
      <c r="D937" s="54"/>
      <c r="E937" s="141"/>
      <c r="F937" s="141"/>
      <c r="G937" s="54"/>
      <c r="H937" s="54"/>
      <c r="I937" s="54"/>
      <c r="J937" s="54"/>
      <c r="K937" s="54"/>
      <c r="L937" s="54"/>
      <c r="M937" s="54"/>
      <c r="N937" s="54"/>
      <c r="P937" s="44"/>
    </row>
    <row r="938">
      <c r="A938" s="54"/>
      <c r="B938" s="54"/>
      <c r="C938" s="54"/>
      <c r="D938" s="54"/>
      <c r="E938" s="141"/>
      <c r="F938" s="141"/>
      <c r="G938" s="54"/>
      <c r="H938" s="54"/>
      <c r="I938" s="54"/>
      <c r="J938" s="54"/>
      <c r="K938" s="54"/>
      <c r="L938" s="54"/>
      <c r="M938" s="54"/>
      <c r="N938" s="54"/>
      <c r="P938" s="44"/>
    </row>
    <row r="939">
      <c r="A939" s="54"/>
      <c r="B939" s="54"/>
      <c r="C939" s="54"/>
      <c r="D939" s="54"/>
      <c r="E939" s="141"/>
      <c r="F939" s="141"/>
      <c r="G939" s="54"/>
      <c r="H939" s="54"/>
      <c r="I939" s="54"/>
      <c r="J939" s="54"/>
      <c r="K939" s="54"/>
      <c r="L939" s="54"/>
      <c r="M939" s="54"/>
      <c r="N939" s="54"/>
      <c r="P939" s="44"/>
    </row>
    <row r="940">
      <c r="A940" s="54"/>
      <c r="B940" s="54"/>
      <c r="C940" s="54"/>
      <c r="D940" s="54"/>
      <c r="E940" s="141"/>
      <c r="F940" s="141"/>
      <c r="G940" s="54"/>
      <c r="H940" s="54"/>
      <c r="I940" s="54"/>
      <c r="J940" s="54"/>
      <c r="K940" s="54"/>
      <c r="L940" s="54"/>
      <c r="M940" s="54"/>
      <c r="N940" s="54"/>
      <c r="P940" s="44"/>
    </row>
    <row r="941">
      <c r="A941" s="54"/>
      <c r="B941" s="54"/>
      <c r="C941" s="54"/>
      <c r="D941" s="54"/>
      <c r="E941" s="141"/>
      <c r="F941" s="141"/>
      <c r="G941" s="54"/>
      <c r="H941" s="54"/>
      <c r="I941" s="54"/>
      <c r="J941" s="54"/>
      <c r="K941" s="54"/>
      <c r="L941" s="54"/>
      <c r="M941" s="54"/>
      <c r="N941" s="54"/>
      <c r="P941" s="44"/>
    </row>
    <row r="942">
      <c r="A942" s="54"/>
      <c r="B942" s="54"/>
      <c r="C942" s="54"/>
      <c r="D942" s="54"/>
      <c r="E942" s="141"/>
      <c r="F942" s="141"/>
      <c r="G942" s="54"/>
      <c r="H942" s="54"/>
      <c r="I942" s="54"/>
      <c r="J942" s="54"/>
      <c r="K942" s="54"/>
      <c r="L942" s="54"/>
      <c r="M942" s="54"/>
      <c r="N942" s="54"/>
      <c r="P942" s="44"/>
    </row>
    <row r="943">
      <c r="A943" s="54"/>
      <c r="B943" s="54"/>
      <c r="C943" s="54"/>
      <c r="D943" s="54"/>
      <c r="E943" s="141"/>
      <c r="F943" s="141"/>
      <c r="G943" s="54"/>
      <c r="H943" s="54"/>
      <c r="I943" s="54"/>
      <c r="J943" s="54"/>
      <c r="K943" s="54"/>
      <c r="L943" s="54"/>
      <c r="M943" s="54"/>
      <c r="N943" s="54"/>
      <c r="P943" s="44"/>
    </row>
    <row r="944">
      <c r="A944" s="54"/>
      <c r="B944" s="54"/>
      <c r="C944" s="54"/>
      <c r="D944" s="54"/>
      <c r="E944" s="141"/>
      <c r="F944" s="141"/>
      <c r="G944" s="54"/>
      <c r="H944" s="54"/>
      <c r="I944" s="54"/>
      <c r="J944" s="54"/>
      <c r="K944" s="54"/>
      <c r="L944" s="54"/>
      <c r="M944" s="54"/>
      <c r="N944" s="54"/>
      <c r="P944" s="44"/>
    </row>
    <row r="945">
      <c r="A945" s="54"/>
      <c r="B945" s="54"/>
      <c r="C945" s="54"/>
      <c r="D945" s="54"/>
      <c r="E945" s="141"/>
      <c r="F945" s="141"/>
      <c r="G945" s="54"/>
      <c r="H945" s="54"/>
      <c r="I945" s="54"/>
      <c r="J945" s="54"/>
      <c r="K945" s="54"/>
      <c r="L945" s="54"/>
      <c r="M945" s="54"/>
      <c r="N945" s="54"/>
      <c r="P945" s="44"/>
    </row>
    <row r="946">
      <c r="A946" s="54"/>
      <c r="B946" s="54"/>
      <c r="C946" s="54"/>
      <c r="D946" s="54"/>
      <c r="E946" s="141"/>
      <c r="F946" s="141"/>
      <c r="G946" s="54"/>
      <c r="H946" s="54"/>
      <c r="I946" s="54"/>
      <c r="J946" s="54"/>
      <c r="K946" s="54"/>
      <c r="L946" s="54"/>
      <c r="M946" s="54"/>
      <c r="N946" s="54"/>
      <c r="P946" s="44"/>
    </row>
    <row r="947">
      <c r="A947" s="54"/>
      <c r="B947" s="54"/>
      <c r="C947" s="54"/>
      <c r="D947" s="54"/>
      <c r="E947" s="141"/>
      <c r="F947" s="141"/>
      <c r="G947" s="54"/>
      <c r="H947" s="54"/>
      <c r="I947" s="54"/>
      <c r="J947" s="54"/>
      <c r="K947" s="54"/>
      <c r="L947" s="54"/>
      <c r="M947" s="54"/>
      <c r="N947" s="54"/>
      <c r="P947" s="44"/>
    </row>
    <row r="948">
      <c r="A948" s="54"/>
      <c r="B948" s="54"/>
      <c r="C948" s="54"/>
      <c r="D948" s="54"/>
      <c r="E948" s="141"/>
      <c r="F948" s="141"/>
      <c r="G948" s="54"/>
      <c r="H948" s="54"/>
      <c r="I948" s="54"/>
      <c r="J948" s="54"/>
      <c r="K948" s="54"/>
      <c r="L948" s="54"/>
      <c r="M948" s="54"/>
      <c r="N948" s="54"/>
      <c r="P948" s="44"/>
    </row>
    <row r="949">
      <c r="A949" s="54"/>
      <c r="B949" s="54"/>
      <c r="C949" s="54"/>
      <c r="D949" s="54"/>
      <c r="E949" s="141"/>
      <c r="F949" s="141"/>
      <c r="G949" s="54"/>
      <c r="H949" s="54"/>
      <c r="I949" s="54"/>
      <c r="J949" s="54"/>
      <c r="K949" s="54"/>
      <c r="L949" s="54"/>
      <c r="M949" s="54"/>
      <c r="N949" s="54"/>
      <c r="P949" s="44"/>
    </row>
    <row r="950">
      <c r="A950" s="54"/>
      <c r="B950" s="54"/>
      <c r="C950" s="54"/>
      <c r="D950" s="54"/>
      <c r="E950" s="141"/>
      <c r="F950" s="141"/>
      <c r="G950" s="54"/>
      <c r="H950" s="54"/>
      <c r="I950" s="54"/>
      <c r="J950" s="54"/>
      <c r="K950" s="54"/>
      <c r="L950" s="54"/>
      <c r="M950" s="54"/>
      <c r="N950" s="54"/>
      <c r="P950" s="44"/>
    </row>
    <row r="951">
      <c r="A951" s="54"/>
      <c r="B951" s="54"/>
      <c r="C951" s="54"/>
      <c r="D951" s="54"/>
      <c r="E951" s="141"/>
      <c r="F951" s="141"/>
      <c r="G951" s="54"/>
      <c r="H951" s="54"/>
      <c r="I951" s="54"/>
      <c r="J951" s="54"/>
      <c r="K951" s="54"/>
      <c r="L951" s="54"/>
      <c r="M951" s="54"/>
      <c r="N951" s="54"/>
      <c r="P951" s="44"/>
    </row>
    <row r="952">
      <c r="A952" s="54"/>
      <c r="B952" s="54"/>
      <c r="C952" s="54"/>
      <c r="D952" s="54"/>
      <c r="E952" s="141"/>
      <c r="F952" s="141"/>
      <c r="G952" s="54"/>
      <c r="H952" s="54"/>
      <c r="I952" s="54"/>
      <c r="J952" s="54"/>
      <c r="K952" s="54"/>
      <c r="L952" s="54"/>
      <c r="M952" s="54"/>
      <c r="N952" s="54"/>
      <c r="P952" s="44"/>
    </row>
    <row r="953">
      <c r="A953" s="54"/>
      <c r="B953" s="54"/>
      <c r="C953" s="54"/>
      <c r="D953" s="54"/>
      <c r="E953" s="141"/>
      <c r="F953" s="141"/>
      <c r="G953" s="54"/>
      <c r="H953" s="54"/>
      <c r="I953" s="54"/>
      <c r="J953" s="54"/>
      <c r="K953" s="54"/>
      <c r="L953" s="54"/>
      <c r="M953" s="54"/>
      <c r="N953" s="54"/>
      <c r="P953" s="44"/>
    </row>
    <row r="954">
      <c r="A954" s="54"/>
      <c r="B954" s="54"/>
      <c r="C954" s="54"/>
      <c r="D954" s="54"/>
      <c r="E954" s="141"/>
      <c r="F954" s="141"/>
      <c r="G954" s="54"/>
      <c r="H954" s="54"/>
      <c r="I954" s="54"/>
      <c r="J954" s="54"/>
      <c r="K954" s="54"/>
      <c r="L954" s="54"/>
      <c r="M954" s="54"/>
      <c r="N954" s="54"/>
      <c r="P954" s="44"/>
    </row>
    <row r="955">
      <c r="A955" s="54"/>
      <c r="B955" s="54"/>
      <c r="C955" s="54"/>
      <c r="D955" s="54"/>
      <c r="E955" s="141"/>
      <c r="F955" s="141"/>
      <c r="G955" s="54"/>
      <c r="H955" s="54"/>
      <c r="I955" s="54"/>
      <c r="J955" s="54"/>
      <c r="K955" s="54"/>
      <c r="L955" s="54"/>
      <c r="M955" s="54"/>
      <c r="N955" s="54"/>
      <c r="P955" s="44"/>
    </row>
    <row r="956">
      <c r="A956" s="54"/>
      <c r="B956" s="54"/>
      <c r="C956" s="54"/>
      <c r="D956" s="54"/>
      <c r="E956" s="141"/>
      <c r="F956" s="141"/>
      <c r="G956" s="54"/>
      <c r="H956" s="54"/>
      <c r="I956" s="54"/>
      <c r="J956" s="54"/>
      <c r="K956" s="54"/>
      <c r="L956" s="54"/>
      <c r="M956" s="54"/>
      <c r="N956" s="54"/>
      <c r="P956" s="44"/>
    </row>
    <row r="957">
      <c r="A957" s="54"/>
      <c r="B957" s="54"/>
      <c r="C957" s="54"/>
      <c r="D957" s="54"/>
      <c r="E957" s="141"/>
      <c r="F957" s="141"/>
      <c r="G957" s="54"/>
      <c r="H957" s="54"/>
      <c r="I957" s="54"/>
      <c r="J957" s="54"/>
      <c r="K957" s="54"/>
      <c r="L957" s="54"/>
      <c r="M957" s="54"/>
      <c r="N957" s="54"/>
      <c r="P957" s="44"/>
    </row>
    <row r="958">
      <c r="A958" s="54"/>
      <c r="B958" s="54"/>
      <c r="C958" s="54"/>
      <c r="D958" s="54"/>
      <c r="E958" s="141"/>
      <c r="F958" s="141"/>
      <c r="G958" s="54"/>
      <c r="H958" s="54"/>
      <c r="I958" s="54"/>
      <c r="J958" s="54"/>
      <c r="K958" s="54"/>
      <c r="L958" s="54"/>
      <c r="M958" s="54"/>
      <c r="N958" s="54"/>
      <c r="P958" s="44"/>
    </row>
    <row r="959">
      <c r="A959" s="54"/>
      <c r="B959" s="54"/>
      <c r="C959" s="54"/>
      <c r="D959" s="54"/>
      <c r="E959" s="141"/>
      <c r="F959" s="141"/>
      <c r="G959" s="54"/>
      <c r="H959" s="54"/>
      <c r="I959" s="54"/>
      <c r="J959" s="54"/>
      <c r="K959" s="54"/>
      <c r="L959" s="54"/>
      <c r="M959" s="54"/>
      <c r="N959" s="54"/>
      <c r="P959" s="44"/>
    </row>
    <row r="960">
      <c r="A960" s="54"/>
      <c r="B960" s="54"/>
      <c r="C960" s="54"/>
      <c r="D960" s="54"/>
      <c r="E960" s="141"/>
      <c r="F960" s="141"/>
      <c r="G960" s="54"/>
      <c r="H960" s="54"/>
      <c r="I960" s="54"/>
      <c r="J960" s="54"/>
      <c r="K960" s="54"/>
      <c r="L960" s="54"/>
      <c r="M960" s="54"/>
      <c r="N960" s="54"/>
      <c r="P960" s="44"/>
    </row>
    <row r="961">
      <c r="A961" s="54"/>
      <c r="B961" s="54"/>
      <c r="C961" s="54"/>
      <c r="D961" s="54"/>
      <c r="E961" s="141"/>
      <c r="F961" s="141"/>
      <c r="G961" s="54"/>
      <c r="H961" s="54"/>
      <c r="I961" s="54"/>
      <c r="J961" s="54"/>
      <c r="K961" s="54"/>
      <c r="L961" s="54"/>
      <c r="M961" s="54"/>
      <c r="N961" s="54"/>
      <c r="P961" s="44"/>
    </row>
    <row r="962">
      <c r="A962" s="54"/>
      <c r="B962" s="54"/>
      <c r="C962" s="54"/>
      <c r="D962" s="54"/>
      <c r="E962" s="141"/>
      <c r="F962" s="141"/>
      <c r="G962" s="54"/>
      <c r="H962" s="54"/>
      <c r="I962" s="54"/>
      <c r="J962" s="54"/>
      <c r="K962" s="54"/>
      <c r="L962" s="54"/>
      <c r="M962" s="54"/>
      <c r="N962" s="54"/>
      <c r="P962" s="44"/>
    </row>
    <row r="963">
      <c r="A963" s="54"/>
      <c r="B963" s="54"/>
      <c r="C963" s="54"/>
      <c r="D963" s="54"/>
      <c r="E963" s="141"/>
      <c r="F963" s="141"/>
      <c r="G963" s="54"/>
      <c r="H963" s="54"/>
      <c r="I963" s="54"/>
      <c r="J963" s="54"/>
      <c r="K963" s="54"/>
      <c r="L963" s="54"/>
      <c r="M963" s="54"/>
      <c r="N963" s="54"/>
      <c r="P963" s="44"/>
    </row>
    <row r="964">
      <c r="A964" s="54"/>
      <c r="B964" s="54"/>
      <c r="C964" s="54"/>
      <c r="D964" s="54"/>
      <c r="E964" s="141"/>
      <c r="F964" s="141"/>
      <c r="G964" s="54"/>
      <c r="H964" s="54"/>
      <c r="I964" s="54"/>
      <c r="J964" s="54"/>
      <c r="K964" s="54"/>
      <c r="L964" s="54"/>
      <c r="M964" s="54"/>
      <c r="N964" s="54"/>
      <c r="P964" s="44"/>
    </row>
    <row r="965">
      <c r="A965" s="54"/>
      <c r="B965" s="54"/>
      <c r="C965" s="54"/>
      <c r="D965" s="54"/>
      <c r="E965" s="141"/>
      <c r="F965" s="141"/>
      <c r="G965" s="54"/>
      <c r="H965" s="54"/>
      <c r="I965" s="54"/>
      <c r="J965" s="54"/>
      <c r="K965" s="54"/>
      <c r="L965" s="54"/>
      <c r="M965" s="54"/>
      <c r="N965" s="54"/>
      <c r="P965" s="44"/>
    </row>
    <row r="966">
      <c r="A966" s="54"/>
      <c r="B966" s="54"/>
      <c r="C966" s="54"/>
      <c r="D966" s="54"/>
      <c r="E966" s="141"/>
      <c r="F966" s="141"/>
      <c r="G966" s="54"/>
      <c r="H966" s="54"/>
      <c r="I966" s="54"/>
      <c r="J966" s="54"/>
      <c r="K966" s="54"/>
      <c r="L966" s="54"/>
      <c r="M966" s="54"/>
      <c r="N966" s="54"/>
      <c r="P966" s="44"/>
    </row>
    <row r="967">
      <c r="A967" s="54"/>
      <c r="B967" s="54"/>
      <c r="C967" s="54"/>
      <c r="D967" s="54"/>
      <c r="E967" s="141"/>
      <c r="F967" s="141"/>
      <c r="G967" s="54"/>
      <c r="H967" s="54"/>
      <c r="I967" s="54"/>
      <c r="J967" s="54"/>
      <c r="K967" s="54"/>
      <c r="L967" s="54"/>
      <c r="M967" s="54"/>
      <c r="N967" s="54"/>
      <c r="P967" s="44"/>
    </row>
    <row r="968">
      <c r="A968" s="54"/>
      <c r="B968" s="54"/>
      <c r="C968" s="54"/>
      <c r="D968" s="54"/>
      <c r="E968" s="141"/>
      <c r="F968" s="141"/>
      <c r="G968" s="54"/>
      <c r="H968" s="54"/>
      <c r="I968" s="54"/>
      <c r="J968" s="54"/>
      <c r="K968" s="54"/>
      <c r="L968" s="54"/>
      <c r="M968" s="54"/>
      <c r="N968" s="54"/>
      <c r="P968" s="44"/>
    </row>
    <row r="969">
      <c r="A969" s="54"/>
      <c r="B969" s="54"/>
      <c r="C969" s="54"/>
      <c r="D969" s="54"/>
      <c r="E969" s="141"/>
      <c r="F969" s="141"/>
      <c r="G969" s="54"/>
      <c r="H969" s="54"/>
      <c r="I969" s="54"/>
      <c r="J969" s="54"/>
      <c r="K969" s="54"/>
      <c r="L969" s="54"/>
      <c r="M969" s="54"/>
      <c r="N969" s="54"/>
      <c r="P969" s="44"/>
    </row>
    <row r="970">
      <c r="A970" s="54"/>
      <c r="B970" s="54"/>
      <c r="C970" s="54"/>
      <c r="D970" s="54"/>
      <c r="E970" s="141"/>
      <c r="F970" s="141"/>
      <c r="G970" s="54"/>
      <c r="H970" s="54"/>
      <c r="I970" s="54"/>
      <c r="J970" s="54"/>
      <c r="K970" s="54"/>
      <c r="L970" s="54"/>
      <c r="M970" s="54"/>
      <c r="N970" s="54"/>
      <c r="P970" s="44"/>
    </row>
    <row r="971">
      <c r="A971" s="54"/>
      <c r="B971" s="54"/>
      <c r="C971" s="54"/>
      <c r="D971" s="54"/>
      <c r="E971" s="141"/>
      <c r="F971" s="141"/>
      <c r="G971" s="54"/>
      <c r="H971" s="54"/>
      <c r="I971" s="54"/>
      <c r="J971" s="54"/>
      <c r="K971" s="54"/>
      <c r="L971" s="54"/>
      <c r="M971" s="54"/>
      <c r="N971" s="54"/>
      <c r="P971" s="44"/>
    </row>
    <row r="972">
      <c r="A972" s="54"/>
      <c r="B972" s="54"/>
      <c r="C972" s="54"/>
      <c r="D972" s="54"/>
      <c r="E972" s="141"/>
      <c r="F972" s="141"/>
      <c r="G972" s="54"/>
      <c r="H972" s="54"/>
      <c r="I972" s="54"/>
      <c r="J972" s="54"/>
      <c r="K972" s="54"/>
      <c r="L972" s="54"/>
      <c r="M972" s="54"/>
      <c r="N972" s="54"/>
      <c r="P972" s="44"/>
    </row>
    <row r="973">
      <c r="A973" s="54"/>
      <c r="B973" s="54"/>
      <c r="C973" s="54"/>
      <c r="D973" s="54"/>
      <c r="E973" s="141"/>
      <c r="F973" s="141"/>
      <c r="G973" s="54"/>
      <c r="H973" s="54"/>
      <c r="I973" s="54"/>
      <c r="J973" s="54"/>
      <c r="K973" s="54"/>
      <c r="L973" s="54"/>
      <c r="M973" s="54"/>
      <c r="N973" s="54"/>
      <c r="P973" s="44"/>
    </row>
    <row r="974">
      <c r="A974" s="54"/>
      <c r="B974" s="54"/>
      <c r="C974" s="54"/>
      <c r="D974" s="54"/>
      <c r="E974" s="141"/>
      <c r="F974" s="141"/>
      <c r="G974" s="54"/>
      <c r="H974" s="54"/>
      <c r="I974" s="54"/>
      <c r="J974" s="54"/>
      <c r="K974" s="54"/>
      <c r="L974" s="54"/>
      <c r="M974" s="54"/>
      <c r="N974" s="54"/>
      <c r="P974" s="44"/>
    </row>
    <row r="975">
      <c r="A975" s="54"/>
      <c r="B975" s="54"/>
      <c r="C975" s="54"/>
      <c r="D975" s="54"/>
      <c r="E975" s="141"/>
      <c r="F975" s="141"/>
      <c r="G975" s="54"/>
      <c r="H975" s="54"/>
      <c r="I975" s="54"/>
      <c r="J975" s="54"/>
      <c r="K975" s="54"/>
      <c r="L975" s="54"/>
      <c r="M975" s="54"/>
      <c r="N975" s="54"/>
      <c r="P975" s="44"/>
    </row>
    <row r="976">
      <c r="A976" s="54"/>
      <c r="B976" s="54"/>
      <c r="C976" s="54"/>
      <c r="D976" s="54"/>
      <c r="E976" s="141"/>
      <c r="F976" s="141"/>
      <c r="G976" s="54"/>
      <c r="H976" s="54"/>
      <c r="I976" s="54"/>
      <c r="J976" s="54"/>
      <c r="K976" s="54"/>
      <c r="L976" s="54"/>
      <c r="M976" s="54"/>
      <c r="N976" s="54"/>
      <c r="P976" s="44"/>
    </row>
    <row r="977">
      <c r="A977" s="54"/>
      <c r="B977" s="54"/>
      <c r="C977" s="54"/>
      <c r="D977" s="54"/>
      <c r="E977" s="141"/>
      <c r="F977" s="141"/>
      <c r="G977" s="54"/>
      <c r="H977" s="54"/>
      <c r="I977" s="54"/>
      <c r="J977" s="54"/>
      <c r="K977" s="54"/>
      <c r="L977" s="54"/>
      <c r="M977" s="54"/>
      <c r="N977" s="54"/>
      <c r="P977" s="44"/>
    </row>
    <row r="978">
      <c r="A978" s="54"/>
      <c r="B978" s="54"/>
      <c r="C978" s="54"/>
      <c r="D978" s="54"/>
      <c r="E978" s="141"/>
      <c r="F978" s="141"/>
      <c r="G978" s="54"/>
      <c r="H978" s="54"/>
      <c r="I978" s="54"/>
      <c r="J978" s="54"/>
      <c r="K978" s="54"/>
      <c r="L978" s="54"/>
      <c r="M978" s="54"/>
      <c r="N978" s="54"/>
      <c r="P978" s="44"/>
    </row>
    <row r="979">
      <c r="A979" s="54"/>
      <c r="B979" s="54"/>
      <c r="C979" s="54"/>
      <c r="D979" s="54"/>
      <c r="E979" s="141"/>
      <c r="F979" s="141"/>
      <c r="G979" s="54"/>
      <c r="H979" s="54"/>
      <c r="I979" s="54"/>
      <c r="J979" s="54"/>
      <c r="K979" s="54"/>
      <c r="L979" s="54"/>
      <c r="M979" s="54"/>
      <c r="N979" s="54"/>
      <c r="P979" s="44"/>
    </row>
    <row r="980">
      <c r="A980" s="54"/>
      <c r="B980" s="54"/>
      <c r="C980" s="54"/>
      <c r="D980" s="54"/>
      <c r="E980" s="141"/>
      <c r="F980" s="141"/>
      <c r="G980" s="54"/>
      <c r="H980" s="54"/>
      <c r="I980" s="54"/>
      <c r="J980" s="54"/>
      <c r="K980" s="54"/>
      <c r="L980" s="54"/>
      <c r="M980" s="54"/>
      <c r="N980" s="54"/>
      <c r="P980" s="44"/>
    </row>
    <row r="981">
      <c r="A981" s="54"/>
      <c r="B981" s="54"/>
      <c r="C981" s="54"/>
      <c r="D981" s="54"/>
      <c r="E981" s="141"/>
      <c r="F981" s="141"/>
      <c r="G981" s="54"/>
      <c r="H981" s="54"/>
      <c r="I981" s="54"/>
      <c r="J981" s="54"/>
      <c r="K981" s="54"/>
      <c r="L981" s="54"/>
      <c r="M981" s="54"/>
      <c r="N981" s="54"/>
      <c r="P981" s="44"/>
    </row>
    <row r="982">
      <c r="A982" s="54"/>
      <c r="B982" s="54"/>
      <c r="C982" s="54"/>
      <c r="D982" s="54"/>
      <c r="E982" s="141"/>
      <c r="F982" s="141"/>
      <c r="G982" s="54"/>
      <c r="H982" s="54"/>
      <c r="I982" s="54"/>
      <c r="J982" s="54"/>
      <c r="K982" s="54"/>
      <c r="L982" s="54"/>
      <c r="M982" s="54"/>
      <c r="N982" s="54"/>
      <c r="P982" s="44"/>
    </row>
    <row r="983">
      <c r="A983" s="54"/>
      <c r="B983" s="54"/>
      <c r="C983" s="54"/>
      <c r="D983" s="54"/>
      <c r="E983" s="141"/>
      <c r="F983" s="141"/>
      <c r="G983" s="54"/>
      <c r="H983" s="54"/>
      <c r="I983" s="54"/>
      <c r="J983" s="54"/>
      <c r="K983" s="54"/>
      <c r="L983" s="54"/>
      <c r="M983" s="54"/>
      <c r="N983" s="54"/>
      <c r="P983" s="44"/>
    </row>
    <row r="984">
      <c r="A984" s="54"/>
      <c r="B984" s="54"/>
      <c r="C984" s="54"/>
      <c r="D984" s="54"/>
      <c r="E984" s="141"/>
      <c r="F984" s="141"/>
      <c r="G984" s="54"/>
      <c r="H984" s="54"/>
      <c r="I984" s="54"/>
      <c r="J984" s="54"/>
      <c r="K984" s="54"/>
      <c r="L984" s="54"/>
      <c r="M984" s="54"/>
      <c r="N984" s="54"/>
      <c r="P984" s="44"/>
    </row>
    <row r="985">
      <c r="A985" s="54"/>
      <c r="B985" s="54"/>
      <c r="C985" s="54"/>
      <c r="D985" s="54"/>
      <c r="E985" s="141"/>
      <c r="F985" s="141"/>
      <c r="G985" s="54"/>
      <c r="H985" s="54"/>
      <c r="I985" s="54"/>
      <c r="J985" s="54"/>
      <c r="K985" s="54"/>
      <c r="L985" s="54"/>
      <c r="M985" s="54"/>
      <c r="N985" s="54"/>
      <c r="P985" s="44"/>
    </row>
    <row r="986">
      <c r="A986" s="54"/>
      <c r="B986" s="54"/>
      <c r="C986" s="54"/>
      <c r="D986" s="54"/>
      <c r="E986" s="141"/>
      <c r="F986" s="141"/>
      <c r="G986" s="54"/>
      <c r="H986" s="54"/>
      <c r="I986" s="54"/>
      <c r="J986" s="54"/>
      <c r="K986" s="54"/>
      <c r="L986" s="54"/>
      <c r="M986" s="54"/>
      <c r="N986" s="54"/>
      <c r="P986" s="44"/>
    </row>
    <row r="987">
      <c r="A987" s="54"/>
      <c r="B987" s="54"/>
      <c r="C987" s="54"/>
      <c r="D987" s="54"/>
      <c r="E987" s="141"/>
      <c r="F987" s="141"/>
      <c r="G987" s="54"/>
      <c r="H987" s="54"/>
      <c r="I987" s="54"/>
      <c r="J987" s="54"/>
      <c r="K987" s="54"/>
      <c r="L987" s="54"/>
      <c r="M987" s="54"/>
      <c r="N987" s="54"/>
      <c r="P987" s="44"/>
    </row>
    <row r="988">
      <c r="A988" s="54"/>
      <c r="B988" s="54"/>
      <c r="C988" s="54"/>
      <c r="D988" s="54"/>
      <c r="E988" s="141"/>
      <c r="F988" s="141"/>
      <c r="G988" s="54"/>
      <c r="H988" s="54"/>
      <c r="I988" s="54"/>
      <c r="J988" s="54"/>
      <c r="K988" s="54"/>
      <c r="L988" s="54"/>
      <c r="M988" s="54"/>
      <c r="N988" s="54"/>
      <c r="P988" s="44"/>
    </row>
    <row r="989">
      <c r="A989" s="54"/>
      <c r="B989" s="54"/>
      <c r="C989" s="54"/>
      <c r="D989" s="54"/>
      <c r="E989" s="141"/>
      <c r="F989" s="141"/>
      <c r="G989" s="54"/>
      <c r="H989" s="54"/>
      <c r="I989" s="54"/>
      <c r="J989" s="54"/>
      <c r="K989" s="54"/>
      <c r="L989" s="54"/>
      <c r="M989" s="54"/>
      <c r="N989" s="54"/>
      <c r="P989" s="44"/>
    </row>
    <row r="990">
      <c r="A990" s="54"/>
      <c r="B990" s="54"/>
      <c r="C990" s="54"/>
      <c r="D990" s="54"/>
      <c r="E990" s="141"/>
      <c r="F990" s="141"/>
      <c r="G990" s="54"/>
      <c r="H990" s="54"/>
      <c r="I990" s="54"/>
      <c r="J990" s="54"/>
      <c r="K990" s="54"/>
      <c r="L990" s="54"/>
      <c r="M990" s="54"/>
      <c r="N990" s="54"/>
      <c r="P990" s="44"/>
    </row>
    <row r="991">
      <c r="A991" s="54"/>
      <c r="B991" s="54"/>
      <c r="C991" s="54"/>
      <c r="D991" s="54"/>
      <c r="E991" s="141"/>
      <c r="F991" s="141"/>
      <c r="G991" s="54"/>
      <c r="H991" s="54"/>
      <c r="I991" s="54"/>
      <c r="J991" s="54"/>
      <c r="K991" s="54"/>
      <c r="L991" s="54"/>
      <c r="M991" s="54"/>
      <c r="N991" s="54"/>
      <c r="P991" s="44"/>
    </row>
    <row r="992">
      <c r="A992" s="54"/>
      <c r="B992" s="54"/>
      <c r="C992" s="54"/>
      <c r="D992" s="54"/>
      <c r="E992" s="141"/>
      <c r="F992" s="141"/>
      <c r="G992" s="54"/>
      <c r="H992" s="54"/>
      <c r="I992" s="54"/>
      <c r="J992" s="54"/>
      <c r="K992" s="54"/>
      <c r="L992" s="54"/>
      <c r="M992" s="54"/>
      <c r="N992" s="54"/>
      <c r="P992" s="44"/>
    </row>
    <row r="993">
      <c r="A993" s="54"/>
      <c r="B993" s="54"/>
      <c r="C993" s="54"/>
      <c r="D993" s="54"/>
      <c r="E993" s="141"/>
      <c r="F993" s="141"/>
      <c r="G993" s="54"/>
      <c r="H993" s="54"/>
      <c r="I993" s="54"/>
      <c r="J993" s="54"/>
      <c r="K993" s="54"/>
      <c r="L993" s="54"/>
      <c r="M993" s="54"/>
      <c r="N993" s="54"/>
      <c r="P993" s="44"/>
    </row>
    <row r="994">
      <c r="A994" s="54"/>
      <c r="B994" s="54"/>
      <c r="C994" s="54"/>
      <c r="D994" s="54"/>
      <c r="E994" s="141"/>
      <c r="F994" s="141"/>
      <c r="G994" s="54"/>
      <c r="H994" s="54"/>
      <c r="I994" s="54"/>
      <c r="J994" s="54"/>
      <c r="K994" s="54"/>
      <c r="L994" s="54"/>
      <c r="M994" s="54"/>
      <c r="N994" s="54"/>
      <c r="P994" s="44"/>
    </row>
    <row r="995">
      <c r="A995" s="54"/>
      <c r="B995" s="54"/>
      <c r="C995" s="54"/>
      <c r="D995" s="54"/>
      <c r="E995" s="141"/>
      <c r="F995" s="141"/>
      <c r="G995" s="54"/>
      <c r="H995" s="54"/>
      <c r="I995" s="54"/>
      <c r="J995" s="54"/>
      <c r="K995" s="54"/>
      <c r="L995" s="54"/>
      <c r="M995" s="54"/>
      <c r="N995" s="54"/>
      <c r="P995" s="44"/>
    </row>
    <row r="996">
      <c r="A996" s="54"/>
      <c r="B996" s="54"/>
      <c r="C996" s="54"/>
      <c r="D996" s="54"/>
      <c r="E996" s="141"/>
      <c r="F996" s="141"/>
      <c r="G996" s="54"/>
      <c r="H996" s="54"/>
      <c r="I996" s="54"/>
      <c r="J996" s="54"/>
      <c r="K996" s="54"/>
      <c r="L996" s="54"/>
      <c r="M996" s="54"/>
      <c r="N996" s="54"/>
      <c r="P996" s="44"/>
    </row>
  </sheetData>
  <mergeCells count="92">
    <mergeCell ref="B232:I232"/>
    <mergeCell ref="B233:I233"/>
    <mergeCell ref="B238:I238"/>
    <mergeCell ref="M239:O239"/>
    <mergeCell ref="B242:I242"/>
    <mergeCell ref="M242:O242"/>
    <mergeCell ref="M245:O245"/>
    <mergeCell ref="B245:I245"/>
    <mergeCell ref="B248:I248"/>
    <mergeCell ref="M248:O248"/>
    <mergeCell ref="B251:I251"/>
    <mergeCell ref="M251:O251"/>
    <mergeCell ref="B254:I254"/>
    <mergeCell ref="M255:O255"/>
    <mergeCell ref="B258:I258"/>
    <mergeCell ref="B259:I259"/>
    <mergeCell ref="B260:I260"/>
    <mergeCell ref="M260:O260"/>
    <mergeCell ref="B263:I263"/>
    <mergeCell ref="M264:Q264"/>
    <mergeCell ref="M267:Q267"/>
    <mergeCell ref="B267:I267"/>
    <mergeCell ref="B270:I270"/>
    <mergeCell ref="M271:Q271"/>
    <mergeCell ref="B274:I274"/>
    <mergeCell ref="B275:I275"/>
    <mergeCell ref="M275:Q275"/>
    <mergeCell ref="M279:Q279"/>
    <mergeCell ref="B294:I294"/>
    <mergeCell ref="M295:Q295"/>
    <mergeCell ref="B298:I298"/>
    <mergeCell ref="M299:Q299"/>
    <mergeCell ref="B302:I302"/>
    <mergeCell ref="M303:Q303"/>
    <mergeCell ref="B315:I315"/>
    <mergeCell ref="M316:Q316"/>
    <mergeCell ref="B278:I278"/>
    <mergeCell ref="B282:I282"/>
    <mergeCell ref="B284:I284"/>
    <mergeCell ref="M284:Q284"/>
    <mergeCell ref="B287:I287"/>
    <mergeCell ref="B289:I289"/>
    <mergeCell ref="M290:Q290"/>
    <mergeCell ref="B3:I3"/>
    <mergeCell ref="B4:I4"/>
    <mergeCell ref="B10:I10"/>
    <mergeCell ref="B17:I17"/>
    <mergeCell ref="B23:I23"/>
    <mergeCell ref="B25:I25"/>
    <mergeCell ref="B26:I26"/>
    <mergeCell ref="B27:I27"/>
    <mergeCell ref="B28:I28"/>
    <mergeCell ref="B38:I38"/>
    <mergeCell ref="B46:I46"/>
    <mergeCell ref="B55:I55"/>
    <mergeCell ref="M56:O56"/>
    <mergeCell ref="M65:O65"/>
    <mergeCell ref="B64:I64"/>
    <mergeCell ref="B75:I75"/>
    <mergeCell ref="B86:I86"/>
    <mergeCell ref="B92:I92"/>
    <mergeCell ref="B99:I99"/>
    <mergeCell ref="B107:I107"/>
    <mergeCell ref="B118:I118"/>
    <mergeCell ref="B129:I129"/>
    <mergeCell ref="B130:I130"/>
    <mergeCell ref="B138:I138"/>
    <mergeCell ref="B146:I146"/>
    <mergeCell ref="B156:I156"/>
    <mergeCell ref="B161:I161"/>
    <mergeCell ref="B166:I166"/>
    <mergeCell ref="B171:I171"/>
    <mergeCell ref="B176:I176"/>
    <mergeCell ref="B179:I179"/>
    <mergeCell ref="B181:I181"/>
    <mergeCell ref="B185:I185"/>
    <mergeCell ref="B188:I188"/>
    <mergeCell ref="B192:I192"/>
    <mergeCell ref="B193:I193"/>
    <mergeCell ref="B194:I194"/>
    <mergeCell ref="B195:I195"/>
    <mergeCell ref="B199:I199"/>
    <mergeCell ref="B200:I200"/>
    <mergeCell ref="B201:I201"/>
    <mergeCell ref="B204:I204"/>
    <mergeCell ref="B209:I209"/>
    <mergeCell ref="B211:I211"/>
    <mergeCell ref="B215:I215"/>
    <mergeCell ref="B217:I217"/>
    <mergeCell ref="B220:I220"/>
    <mergeCell ref="B223:I223"/>
    <mergeCell ref="B227:I227"/>
  </mergeCells>
  <conditionalFormatting sqref="J278 J282 J284 J287 J289 J294 J298 J302 J315">
    <cfRule type="expression" dxfId="0" priority="1">
      <formula>ABS(J:J)&gt;7</formula>
    </cfRule>
  </conditionalFormatting>
  <conditionalFormatting sqref="K1:K996">
    <cfRule type="cellIs" dxfId="1" priority="2" operator="greaterThanOrEqual">
      <formula>32.5</formula>
    </cfRule>
  </conditionalFormatting>
  <conditionalFormatting sqref="K1:K996">
    <cfRule type="cellIs" dxfId="2" priority="3" operator="greaterThanOrEqual">
      <formula>31</formula>
    </cfRule>
  </conditionalFormatting>
  <conditionalFormatting sqref="J1:J996">
    <cfRule type="expression" dxfId="0" priority="4">
      <formula>ABS(J:J)&gt;5</formula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128</v>
      </c>
      <c r="M1" s="195">
        <v>31.0</v>
      </c>
      <c r="N1" s="9" t="s">
        <v>129</v>
      </c>
      <c r="O1" s="9">
        <v>70.0</v>
      </c>
    </row>
    <row r="2">
      <c r="A2" s="196" t="s">
        <v>130</v>
      </c>
      <c r="B2" s="54"/>
      <c r="C2" s="54"/>
      <c r="D2" s="54" t="str">
        <f>D4</f>
        <v>Кручко</v>
      </c>
      <c r="E2" s="54"/>
      <c r="F2" s="54">
        <f>SUM(F4:F1004)</f>
        <v>178442</v>
      </c>
      <c r="G2" s="54">
        <f>MAX(G4:G1004)</f>
        <v>509</v>
      </c>
      <c r="H2" s="54">
        <f t="shared" ref="H2:I2" si="1">SUM(H4:H1004)</f>
        <v>57064</v>
      </c>
      <c r="I2" s="54">
        <f t="shared" si="1"/>
        <v>56003.65</v>
      </c>
      <c r="J2" s="54">
        <f>H2-I2</f>
        <v>1060.35</v>
      </c>
      <c r="K2" s="63">
        <f>I2/F2*100</f>
        <v>31.3847917</v>
      </c>
      <c r="L2" s="64" t="s">
        <v>65</v>
      </c>
      <c r="M2" s="65"/>
      <c r="N2" s="54"/>
    </row>
    <row r="3">
      <c r="A3" s="66"/>
      <c r="B3" s="67" t="s">
        <v>66</v>
      </c>
      <c r="J3" s="66"/>
      <c r="K3" s="66"/>
      <c r="L3" s="66"/>
      <c r="M3" s="66"/>
      <c r="N3" s="66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94">
        <v>45304.0</v>
      </c>
      <c r="C4" s="94"/>
      <c r="D4" s="96" t="s">
        <v>131</v>
      </c>
      <c r="E4" s="96">
        <v>1593262.0</v>
      </c>
      <c r="F4" s="96">
        <v>1024.0</v>
      </c>
      <c r="G4" s="96">
        <v>481.0</v>
      </c>
      <c r="H4" s="97">
        <v>409.0</v>
      </c>
      <c r="I4" s="97">
        <v>400.0</v>
      </c>
      <c r="J4" s="97">
        <v>9.0</v>
      </c>
      <c r="K4" s="97">
        <v>39.06</v>
      </c>
      <c r="L4" s="54"/>
      <c r="M4" s="54"/>
      <c r="N4" s="54"/>
    </row>
    <row r="5">
      <c r="A5" s="54"/>
      <c r="B5" s="94">
        <v>45308.0</v>
      </c>
      <c r="C5" s="94"/>
      <c r="D5" s="96" t="s">
        <v>131</v>
      </c>
      <c r="E5" s="96">
        <v>1594065.0</v>
      </c>
      <c r="F5" s="96">
        <v>803.0</v>
      </c>
      <c r="G5" s="96">
        <v>415.0</v>
      </c>
      <c r="H5" s="97">
        <v>292.0</v>
      </c>
      <c r="I5" s="97">
        <v>300.0</v>
      </c>
      <c r="J5" s="97">
        <v>-8.0</v>
      </c>
      <c r="K5" s="97">
        <v>37.36</v>
      </c>
      <c r="L5" s="54"/>
      <c r="M5" s="54"/>
      <c r="N5" s="54"/>
    </row>
    <row r="6">
      <c r="A6" s="54"/>
      <c r="B6" s="94">
        <v>45311.0</v>
      </c>
      <c r="C6" s="94"/>
      <c r="D6" s="96" t="s">
        <v>131</v>
      </c>
      <c r="E6" s="96">
        <v>1594991.0</v>
      </c>
      <c r="F6" s="96">
        <v>926.0</v>
      </c>
      <c r="G6" s="96">
        <v>386.0</v>
      </c>
      <c r="H6" s="97">
        <v>290.0</v>
      </c>
      <c r="I6" s="97">
        <v>300.0</v>
      </c>
      <c r="J6" s="97">
        <v>-10.0</v>
      </c>
      <c r="K6" s="97">
        <v>32.4</v>
      </c>
      <c r="L6" s="54"/>
      <c r="M6" s="54"/>
      <c r="N6" s="54"/>
    </row>
    <row r="7">
      <c r="A7" s="54"/>
      <c r="B7" s="94">
        <v>45315.0</v>
      </c>
      <c r="C7" s="94"/>
      <c r="D7" s="96" t="s">
        <v>131</v>
      </c>
      <c r="E7" s="96">
        <v>1595729.0</v>
      </c>
      <c r="F7" s="96">
        <v>738.0</v>
      </c>
      <c r="G7" s="96">
        <v>469.0</v>
      </c>
      <c r="H7" s="97">
        <v>347.0</v>
      </c>
      <c r="I7" s="97">
        <v>350.0</v>
      </c>
      <c r="J7" s="97">
        <v>-3.0</v>
      </c>
      <c r="K7" s="97">
        <v>47.43</v>
      </c>
      <c r="L7" s="54"/>
      <c r="M7" s="54"/>
      <c r="N7" s="54"/>
    </row>
    <row r="8">
      <c r="A8" s="54"/>
      <c r="B8" s="94">
        <v>45318.0</v>
      </c>
      <c r="C8" s="94"/>
      <c r="D8" s="96" t="s">
        <v>131</v>
      </c>
      <c r="E8" s="96">
        <v>1596679.0</v>
      </c>
      <c r="F8" s="96">
        <v>950.0</v>
      </c>
      <c r="G8" s="96">
        <v>475.0</v>
      </c>
      <c r="H8" s="97">
        <v>349.0</v>
      </c>
      <c r="I8" s="97">
        <v>350.0</v>
      </c>
      <c r="J8" s="97">
        <v>-1.0</v>
      </c>
      <c r="K8" s="97">
        <v>36.84</v>
      </c>
      <c r="L8" s="54"/>
      <c r="M8" s="54"/>
      <c r="N8" s="54"/>
    </row>
    <row r="9">
      <c r="A9" s="66"/>
      <c r="B9" s="67" t="s">
        <v>68</v>
      </c>
      <c r="J9" s="66"/>
      <c r="K9" s="66"/>
      <c r="L9" s="66"/>
      <c r="M9" s="66"/>
      <c r="N9" s="66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</row>
    <row r="10">
      <c r="A10" s="54"/>
      <c r="B10" s="94">
        <v>45324.0</v>
      </c>
      <c r="C10" s="94"/>
      <c r="D10" s="95"/>
      <c r="E10" s="96">
        <v>1597569.0</v>
      </c>
      <c r="F10" s="96">
        <v>890.0</v>
      </c>
      <c r="G10" s="96">
        <v>443.0</v>
      </c>
      <c r="H10" s="97">
        <v>338.0</v>
      </c>
      <c r="I10" s="97">
        <v>350.0</v>
      </c>
      <c r="J10" s="97">
        <v>-12.0</v>
      </c>
      <c r="K10" s="97">
        <v>39.33</v>
      </c>
      <c r="L10" s="54"/>
      <c r="M10" s="74" t="s">
        <v>69</v>
      </c>
      <c r="N10" s="75"/>
      <c r="O10" s="76"/>
    </row>
    <row r="11">
      <c r="A11" s="54"/>
      <c r="B11" s="94">
        <v>45329.0</v>
      </c>
      <c r="C11" s="94"/>
      <c r="D11" s="95"/>
      <c r="E11" s="96">
        <v>1598304.0</v>
      </c>
      <c r="F11" s="96">
        <v>735.0</v>
      </c>
      <c r="G11" s="96">
        <v>488.0</v>
      </c>
      <c r="H11" s="97">
        <v>316.0</v>
      </c>
      <c r="I11" s="97">
        <v>320.72</v>
      </c>
      <c r="J11" s="97">
        <v>-4.72</v>
      </c>
      <c r="K11" s="97">
        <v>43.64</v>
      </c>
      <c r="L11" s="54"/>
      <c r="M11" s="77" t="s">
        <v>70</v>
      </c>
      <c r="N11" s="77" t="s">
        <v>71</v>
      </c>
      <c r="O11" s="78" t="s">
        <v>27</v>
      </c>
    </row>
    <row r="12">
      <c r="A12" s="54"/>
      <c r="B12" s="94">
        <v>45334.0</v>
      </c>
      <c r="C12" s="94"/>
      <c r="D12" s="95"/>
      <c r="E12" s="96">
        <v>1599103.0</v>
      </c>
      <c r="F12" s="96">
        <v>799.0</v>
      </c>
      <c r="G12" s="96">
        <v>489.0</v>
      </c>
      <c r="H12" s="97">
        <v>367.0</v>
      </c>
      <c r="I12" s="97">
        <v>367.72</v>
      </c>
      <c r="J12" s="97">
        <v>-0.72</v>
      </c>
      <c r="K12" s="97">
        <v>46.02</v>
      </c>
      <c r="L12" s="54"/>
      <c r="M12" s="79">
        <f>SUM(F10:F12)</f>
        <v>2424</v>
      </c>
      <c r="N12" s="79">
        <f>SUM(I10:I12)</f>
        <v>1038.44</v>
      </c>
      <c r="O12" s="81">
        <f>N12/M12*100</f>
        <v>42.83993399</v>
      </c>
    </row>
    <row r="13">
      <c r="A13" s="66"/>
      <c r="B13" s="67" t="s">
        <v>72</v>
      </c>
      <c r="J13" s="66"/>
      <c r="K13" s="66"/>
      <c r="L13" s="66"/>
      <c r="M13" s="66"/>
      <c r="N13" s="66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>
      <c r="A14" s="54"/>
      <c r="B14" s="94">
        <v>45356.0</v>
      </c>
      <c r="C14" s="94"/>
      <c r="D14" s="95"/>
      <c r="E14" s="96">
        <v>1599838.0</v>
      </c>
      <c r="F14" s="96">
        <v>735.0</v>
      </c>
      <c r="G14" s="96">
        <v>486.0</v>
      </c>
      <c r="H14" s="97">
        <v>351.0</v>
      </c>
      <c r="I14" s="97">
        <v>350.0</v>
      </c>
      <c r="J14" s="97">
        <v>1.0</v>
      </c>
      <c r="K14" s="97">
        <v>47.62</v>
      </c>
      <c r="L14" s="54"/>
      <c r="M14" s="54"/>
      <c r="N14" s="54"/>
    </row>
    <row r="15">
      <c r="A15" s="54"/>
      <c r="B15" s="94">
        <v>45363.0</v>
      </c>
      <c r="C15" s="94"/>
      <c r="D15" s="95"/>
      <c r="E15" s="96">
        <v>1600713.0</v>
      </c>
      <c r="F15" s="96">
        <v>875.0</v>
      </c>
      <c r="G15" s="96">
        <v>492.0</v>
      </c>
      <c r="H15" s="97">
        <v>359.0</v>
      </c>
      <c r="I15" s="97">
        <v>363.53</v>
      </c>
      <c r="J15" s="97">
        <v>-7.53</v>
      </c>
      <c r="K15" s="97">
        <v>41.89</v>
      </c>
      <c r="L15" s="54"/>
      <c r="M15" s="74" t="s">
        <v>73</v>
      </c>
      <c r="N15" s="75"/>
      <c r="O15" s="76"/>
    </row>
    <row r="16">
      <c r="A16" s="54"/>
      <c r="B16" s="94">
        <v>45371.0</v>
      </c>
      <c r="C16" s="94"/>
      <c r="D16" s="95"/>
      <c r="E16" s="96">
        <v>1601565.0</v>
      </c>
      <c r="F16" s="96">
        <v>852.0</v>
      </c>
      <c r="G16" s="96">
        <v>488.0</v>
      </c>
      <c r="H16" s="97">
        <v>349.0</v>
      </c>
      <c r="I16" s="97">
        <v>350.0</v>
      </c>
      <c r="J16" s="97">
        <v>-1.0</v>
      </c>
      <c r="K16" s="97">
        <v>41.08</v>
      </c>
      <c r="L16" s="54"/>
      <c r="M16" s="77" t="s">
        <v>70</v>
      </c>
      <c r="N16" s="77" t="s">
        <v>71</v>
      </c>
      <c r="O16" s="78" t="s">
        <v>27</v>
      </c>
    </row>
    <row r="17">
      <c r="A17" s="54"/>
      <c r="B17" s="94">
        <v>45379.0</v>
      </c>
      <c r="C17" s="94"/>
      <c r="D17" s="95"/>
      <c r="E17" s="96">
        <v>1602486.0</v>
      </c>
      <c r="F17" s="96">
        <v>921.0</v>
      </c>
      <c r="G17" s="96">
        <v>500.0</v>
      </c>
      <c r="H17" s="97">
        <v>392.0</v>
      </c>
      <c r="I17" s="97">
        <v>388.3</v>
      </c>
      <c r="J17" s="97">
        <v>3.7</v>
      </c>
      <c r="K17" s="97">
        <v>42.16</v>
      </c>
      <c r="L17" s="54"/>
      <c r="M17" s="79">
        <f>SUM(F14:F17)</f>
        <v>3383</v>
      </c>
      <c r="N17" s="79">
        <f>SUM(I14:I17)</f>
        <v>1451.83</v>
      </c>
      <c r="O17" s="81">
        <f>N17/M17*100</f>
        <v>42.91545965</v>
      </c>
    </row>
    <row r="18">
      <c r="A18" s="66"/>
      <c r="B18" s="67" t="s">
        <v>74</v>
      </c>
      <c r="J18" s="66"/>
      <c r="K18" s="66"/>
      <c r="L18" s="66"/>
      <c r="M18" s="66"/>
      <c r="N18" s="66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</row>
    <row r="19">
      <c r="A19" s="54"/>
      <c r="B19" s="94">
        <v>45387.0</v>
      </c>
      <c r="C19" s="94"/>
      <c r="D19" s="95"/>
      <c r="E19" s="96">
        <v>1603454.0</v>
      </c>
      <c r="F19" s="96">
        <v>968.0</v>
      </c>
      <c r="G19" s="96">
        <v>502.0</v>
      </c>
      <c r="H19" s="97">
        <v>390.0</v>
      </c>
      <c r="I19" s="97">
        <v>377.8</v>
      </c>
      <c r="J19" s="97">
        <v>12.2</v>
      </c>
      <c r="K19" s="97">
        <v>39.03</v>
      </c>
      <c r="L19" s="54"/>
      <c r="M19" s="197" t="str">
        <f>"тотал"&amp;" "&amp;B18</f>
        <v>тотал АПРЕЛЬ</v>
      </c>
      <c r="N19" s="75"/>
      <c r="O19" s="76"/>
    </row>
    <row r="20">
      <c r="A20" s="54"/>
      <c r="B20" s="94">
        <v>45401.0</v>
      </c>
      <c r="C20" s="94"/>
      <c r="D20" s="95"/>
      <c r="E20" s="96">
        <v>1604494.0</v>
      </c>
      <c r="F20" s="96">
        <v>1040.0</v>
      </c>
      <c r="G20" s="96">
        <v>496.0</v>
      </c>
      <c r="H20" s="97">
        <v>356.0</v>
      </c>
      <c r="I20" s="97">
        <v>364.14</v>
      </c>
      <c r="J20" s="97">
        <v>-8.14</v>
      </c>
      <c r="K20" s="97">
        <v>35.01</v>
      </c>
      <c r="L20" s="54"/>
      <c r="M20" s="198" t="s">
        <v>70</v>
      </c>
      <c r="N20" s="198" t="s">
        <v>71</v>
      </c>
      <c r="O20" s="83" t="s">
        <v>27</v>
      </c>
    </row>
    <row r="21">
      <c r="A21" s="54"/>
      <c r="B21" s="94">
        <v>45404.0</v>
      </c>
      <c r="C21" s="94"/>
      <c r="D21" s="95"/>
      <c r="E21" s="96">
        <v>1604929.0</v>
      </c>
      <c r="F21" s="96">
        <v>435.0</v>
      </c>
      <c r="G21" s="96">
        <v>493.0</v>
      </c>
      <c r="H21" s="97">
        <v>145.0</v>
      </c>
      <c r="I21" s="97">
        <v>135.86</v>
      </c>
      <c r="J21" s="97">
        <v>9.14</v>
      </c>
      <c r="K21" s="97">
        <v>31.23</v>
      </c>
      <c r="L21" s="54"/>
      <c r="M21" s="199">
        <f>SUM(F19:F23)</f>
        <v>4675</v>
      </c>
      <c r="N21" s="199">
        <f>SUM(I19:I23)</f>
        <v>1616.91</v>
      </c>
      <c r="O21" s="85">
        <f>N21/M21*100</f>
        <v>34.58631016</v>
      </c>
    </row>
    <row r="22">
      <c r="A22" s="54"/>
      <c r="B22" s="94">
        <v>45406.0</v>
      </c>
      <c r="C22" s="94"/>
      <c r="D22" s="95"/>
      <c r="E22" s="96">
        <v>1606187.0</v>
      </c>
      <c r="F22" s="96">
        <v>1258.0</v>
      </c>
      <c r="G22" s="96">
        <v>506.0</v>
      </c>
      <c r="H22" s="97">
        <v>413.0</v>
      </c>
      <c r="I22" s="97">
        <v>394.8</v>
      </c>
      <c r="J22" s="97">
        <v>18.2</v>
      </c>
      <c r="K22" s="97">
        <v>31.38</v>
      </c>
      <c r="L22" s="54"/>
      <c r="M22" s="54"/>
      <c r="N22" s="54"/>
    </row>
    <row r="23">
      <c r="A23" s="54"/>
      <c r="B23" s="200">
        <v>45411.0</v>
      </c>
      <c r="C23" s="200"/>
      <c r="D23" s="95"/>
      <c r="E23" s="96">
        <v>1607161.0</v>
      </c>
      <c r="F23" s="96">
        <v>974.0</v>
      </c>
      <c r="G23" s="96">
        <v>509.0</v>
      </c>
      <c r="H23" s="97">
        <v>360.0</v>
      </c>
      <c r="I23" s="97">
        <v>344.31</v>
      </c>
      <c r="J23" s="97">
        <v>15.69</v>
      </c>
      <c r="K23" s="97">
        <v>35.35</v>
      </c>
      <c r="L23" s="54"/>
      <c r="M23" s="54"/>
      <c r="N23" s="54"/>
    </row>
    <row r="24">
      <c r="A24" s="66"/>
      <c r="B24" s="67" t="s">
        <v>75</v>
      </c>
      <c r="J24" s="66"/>
      <c r="K24" s="66"/>
      <c r="L24" s="66"/>
      <c r="M24" s="66"/>
      <c r="N24" s="66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>
      <c r="A25" s="54"/>
      <c r="B25" s="96" t="s">
        <v>132</v>
      </c>
      <c r="C25" s="96"/>
      <c r="D25" s="95"/>
      <c r="E25" s="96">
        <v>1608086.0</v>
      </c>
      <c r="F25" s="96">
        <v>925.0</v>
      </c>
      <c r="G25" s="95"/>
      <c r="H25" s="97">
        <v>342.0</v>
      </c>
      <c r="I25" s="97">
        <v>325.22</v>
      </c>
      <c r="J25" s="97">
        <v>16.78</v>
      </c>
      <c r="K25" s="97">
        <v>35.16</v>
      </c>
      <c r="L25" s="54"/>
      <c r="M25" s="197" t="str">
        <f>"тотал"&amp;" "&amp;B24</f>
        <v>тотал МАЙ</v>
      </c>
      <c r="N25" s="75"/>
      <c r="O25" s="76"/>
    </row>
    <row r="26">
      <c r="A26" s="54"/>
      <c r="B26" s="96" t="s">
        <v>133</v>
      </c>
      <c r="C26" s="96"/>
      <c r="D26" s="95"/>
      <c r="E26" s="96">
        <v>1608346.0</v>
      </c>
      <c r="F26" s="96">
        <v>260.0</v>
      </c>
      <c r="G26" s="95"/>
      <c r="H26" s="97">
        <v>89.0</v>
      </c>
      <c r="I26" s="97">
        <v>84.53</v>
      </c>
      <c r="J26" s="97">
        <v>4.47</v>
      </c>
      <c r="K26" s="97">
        <v>32.51</v>
      </c>
      <c r="L26" s="54"/>
      <c r="M26" s="198" t="s">
        <v>70</v>
      </c>
      <c r="N26" s="198" t="s">
        <v>71</v>
      </c>
      <c r="O26" s="83" t="s">
        <v>27</v>
      </c>
    </row>
    <row r="27">
      <c r="A27" s="54"/>
      <c r="B27" s="96" t="s">
        <v>134</v>
      </c>
      <c r="C27" s="96"/>
      <c r="D27" s="95"/>
      <c r="E27" s="96">
        <v>1609414.0</v>
      </c>
      <c r="F27" s="96">
        <v>1068.0</v>
      </c>
      <c r="G27" s="95"/>
      <c r="H27" s="97">
        <v>309.0</v>
      </c>
      <c r="I27" s="97">
        <v>300.0</v>
      </c>
      <c r="J27" s="97">
        <v>9.0</v>
      </c>
      <c r="K27" s="97">
        <v>28.09</v>
      </c>
      <c r="L27" s="54"/>
      <c r="M27" s="199">
        <f>SUM(F25:F35)</f>
        <v>8620</v>
      </c>
      <c r="N27" s="199">
        <f>SUM(I25:I35)</f>
        <v>2810.9</v>
      </c>
      <c r="O27" s="85">
        <f>N27/M27*100</f>
        <v>32.60904872</v>
      </c>
    </row>
    <row r="28">
      <c r="A28" s="54"/>
      <c r="B28" s="96" t="s">
        <v>135</v>
      </c>
      <c r="C28" s="96"/>
      <c r="D28" s="95"/>
      <c r="E28" s="96">
        <v>1609709.0</v>
      </c>
      <c r="F28" s="96">
        <v>295.0</v>
      </c>
      <c r="G28" s="95"/>
      <c r="H28" s="97">
        <v>151.0</v>
      </c>
      <c r="I28" s="97">
        <v>140.76</v>
      </c>
      <c r="J28" s="97">
        <v>10.24</v>
      </c>
      <c r="K28" s="97">
        <v>47.72</v>
      </c>
      <c r="L28" s="54"/>
      <c r="M28" s="54"/>
      <c r="N28" s="54"/>
    </row>
    <row r="29">
      <c r="A29" s="54"/>
      <c r="B29" s="96" t="s">
        <v>136</v>
      </c>
      <c r="C29" s="96"/>
      <c r="D29" s="95"/>
      <c r="E29" s="96">
        <v>1610808.0</v>
      </c>
      <c r="F29" s="96">
        <v>1099.0</v>
      </c>
      <c r="G29" s="95"/>
      <c r="H29" s="97">
        <v>361.0</v>
      </c>
      <c r="I29" s="97">
        <v>350.0</v>
      </c>
      <c r="J29" s="97">
        <v>11.0</v>
      </c>
      <c r="K29" s="97">
        <v>31.85</v>
      </c>
      <c r="L29" s="54"/>
      <c r="M29" s="54"/>
      <c r="N29" s="54"/>
    </row>
    <row r="30">
      <c r="A30" s="54"/>
      <c r="B30" s="96" t="s">
        <v>137</v>
      </c>
      <c r="C30" s="96"/>
      <c r="D30" s="95"/>
      <c r="E30" s="96">
        <v>1611324.0</v>
      </c>
      <c r="F30" s="96">
        <v>516.0</v>
      </c>
      <c r="G30" s="95"/>
      <c r="H30" s="97">
        <v>104.0</v>
      </c>
      <c r="I30" s="97">
        <v>100.0</v>
      </c>
      <c r="J30" s="97">
        <v>4.0</v>
      </c>
      <c r="K30" s="97">
        <v>19.38</v>
      </c>
      <c r="L30" s="54"/>
      <c r="M30" s="54"/>
      <c r="N30" s="54"/>
    </row>
    <row r="31">
      <c r="A31" s="54"/>
      <c r="B31" s="96" t="s">
        <v>138</v>
      </c>
      <c r="C31" s="96"/>
      <c r="D31" s="95"/>
      <c r="E31" s="96">
        <v>1612251.0</v>
      </c>
      <c r="F31" s="96">
        <v>927.0</v>
      </c>
      <c r="G31" s="95"/>
      <c r="H31" s="97">
        <v>377.0</v>
      </c>
      <c r="I31" s="97">
        <v>359.83</v>
      </c>
      <c r="J31" s="97">
        <v>17.17</v>
      </c>
      <c r="K31" s="97">
        <v>38.82</v>
      </c>
      <c r="L31" s="54"/>
      <c r="M31" s="54"/>
      <c r="N31" s="54"/>
    </row>
    <row r="32">
      <c r="A32" s="54"/>
      <c r="B32" s="96" t="s">
        <v>139</v>
      </c>
      <c r="C32" s="96"/>
      <c r="D32" s="95"/>
      <c r="E32" s="96">
        <v>1613501.0</v>
      </c>
      <c r="F32" s="96">
        <v>1250.0</v>
      </c>
      <c r="G32" s="95"/>
      <c r="H32" s="97">
        <v>378.0</v>
      </c>
      <c r="I32" s="97">
        <v>366.06</v>
      </c>
      <c r="J32" s="97">
        <v>11.94</v>
      </c>
      <c r="K32" s="97">
        <v>29.28</v>
      </c>
      <c r="L32" s="54"/>
      <c r="M32" s="54"/>
      <c r="N32" s="54"/>
    </row>
    <row r="33">
      <c r="A33" s="54"/>
      <c r="B33" s="96" t="s">
        <v>139</v>
      </c>
      <c r="C33" s="96"/>
      <c r="D33" s="95"/>
      <c r="E33" s="96">
        <v>1613501.0</v>
      </c>
      <c r="F33" s="96">
        <v>0.0</v>
      </c>
      <c r="G33" s="96" t="s">
        <v>87</v>
      </c>
      <c r="H33" s="97">
        <v>130.0</v>
      </c>
      <c r="I33" s="97"/>
      <c r="J33" s="97">
        <v>130.0</v>
      </c>
      <c r="K33" s="97" t="s">
        <v>140</v>
      </c>
      <c r="L33" s="54"/>
      <c r="M33" s="54"/>
      <c r="N33" s="54"/>
    </row>
    <row r="34">
      <c r="A34" s="54"/>
      <c r="B34" s="94">
        <v>45436.0</v>
      </c>
      <c r="C34" s="94"/>
      <c r="D34" s="95"/>
      <c r="E34" s="96">
        <v>1614774.0</v>
      </c>
      <c r="F34" s="96">
        <v>1273.0</v>
      </c>
      <c r="G34" s="96">
        <v>502.0</v>
      </c>
      <c r="H34" s="97">
        <v>476.0</v>
      </c>
      <c r="I34" s="97">
        <v>426.0</v>
      </c>
      <c r="J34" s="97">
        <v>50.0</v>
      </c>
      <c r="K34" s="97">
        <v>33.46</v>
      </c>
      <c r="L34" s="54"/>
      <c r="M34" s="54"/>
      <c r="N34" s="54"/>
    </row>
    <row r="35">
      <c r="A35" s="54"/>
      <c r="B35" s="94">
        <v>45441.0</v>
      </c>
      <c r="C35" s="94"/>
      <c r="D35" s="95"/>
      <c r="E35" s="96">
        <v>1615781.0</v>
      </c>
      <c r="F35" s="96">
        <v>1007.0</v>
      </c>
      <c r="G35" s="96">
        <v>502.0</v>
      </c>
      <c r="H35" s="97">
        <v>373.0</v>
      </c>
      <c r="I35" s="97">
        <v>358.5</v>
      </c>
      <c r="J35" s="97">
        <v>14.5</v>
      </c>
      <c r="K35" s="97">
        <v>35.6</v>
      </c>
      <c r="L35" s="54"/>
      <c r="M35" s="54"/>
      <c r="N35" s="54"/>
    </row>
    <row r="36">
      <c r="A36" s="66"/>
      <c r="B36" s="67" t="s">
        <v>90</v>
      </c>
      <c r="J36" s="66"/>
      <c r="K36" s="66"/>
      <c r="L36" s="66"/>
      <c r="M36" s="197" t="str">
        <f>"тотал"&amp;" "&amp;B36</f>
        <v>тотал ИЮНЬ</v>
      </c>
      <c r="N36" s="75"/>
      <c r="O36" s="76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</row>
    <row r="37">
      <c r="A37" s="54"/>
      <c r="B37" s="94">
        <v>45448.0</v>
      </c>
      <c r="C37" s="94"/>
      <c r="D37" s="95"/>
      <c r="E37" s="96">
        <v>1616906.0</v>
      </c>
      <c r="F37" s="96">
        <v>1125.0</v>
      </c>
      <c r="G37" s="96">
        <v>485.0</v>
      </c>
      <c r="H37" s="97">
        <v>411.0</v>
      </c>
      <c r="I37" s="97">
        <v>400.0</v>
      </c>
      <c r="J37" s="97">
        <v>11.0</v>
      </c>
      <c r="K37" s="97">
        <v>35.56</v>
      </c>
      <c r="L37" s="54"/>
      <c r="M37" s="198" t="s">
        <v>70</v>
      </c>
      <c r="N37" s="198" t="s">
        <v>71</v>
      </c>
      <c r="O37" s="83" t="s">
        <v>27</v>
      </c>
    </row>
    <row r="38">
      <c r="A38" s="54"/>
      <c r="B38" s="94">
        <v>45452.0</v>
      </c>
      <c r="C38" s="94"/>
      <c r="D38" s="95"/>
      <c r="E38" s="96">
        <v>1617861.0</v>
      </c>
      <c r="F38" s="96">
        <v>955.0</v>
      </c>
      <c r="G38" s="96">
        <v>478.0</v>
      </c>
      <c r="H38" s="97">
        <v>366.0</v>
      </c>
      <c r="I38" s="97">
        <v>350.0</v>
      </c>
      <c r="J38" s="97">
        <v>16.0</v>
      </c>
      <c r="K38" s="97">
        <v>36.65</v>
      </c>
      <c r="L38" s="54"/>
      <c r="M38" s="199">
        <f>SUM(F37:F38)</f>
        <v>2080</v>
      </c>
      <c r="N38" s="199">
        <f>SUM(I37:I38)</f>
        <v>750</v>
      </c>
      <c r="O38" s="85">
        <f>N38/M38*100</f>
        <v>36.05769231</v>
      </c>
    </row>
    <row r="39">
      <c r="A39" s="66"/>
      <c r="B39" s="67" t="s">
        <v>92</v>
      </c>
      <c r="J39" s="66"/>
      <c r="K39" s="66"/>
      <c r="L39" s="66"/>
      <c r="M39" s="66"/>
      <c r="N39" s="66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>
      <c r="A40" s="54"/>
      <c r="B40" s="201">
        <v>45475.0</v>
      </c>
      <c r="C40" s="201"/>
      <c r="D40" s="95"/>
      <c r="E40" s="128">
        <v>1618942.0</v>
      </c>
      <c r="F40" s="95">
        <f>E40-E38</f>
        <v>1081</v>
      </c>
      <c r="G40" s="96">
        <v>481.0</v>
      </c>
      <c r="H40" s="97">
        <v>360.0</v>
      </c>
      <c r="I40" s="97">
        <v>349.84</v>
      </c>
      <c r="J40" s="97">
        <v>10.16</v>
      </c>
      <c r="K40" s="202">
        <f>I40/F40*100</f>
        <v>32.3626272</v>
      </c>
      <c r="L40" s="54"/>
      <c r="M40" s="74" t="s">
        <v>118</v>
      </c>
      <c r="N40" s="75"/>
      <c r="O40" s="76"/>
    </row>
    <row r="41">
      <c r="A41" s="54"/>
      <c r="B41" s="201">
        <v>45476.0</v>
      </c>
      <c r="C41" s="201"/>
      <c r="D41" s="95"/>
      <c r="E41" s="128">
        <v>1619579.0</v>
      </c>
      <c r="F41" s="96">
        <v>637.0</v>
      </c>
      <c r="G41" s="96">
        <v>413.0</v>
      </c>
      <c r="H41" s="97">
        <v>104.0</v>
      </c>
      <c r="I41" s="97">
        <v>100.0</v>
      </c>
      <c r="J41" s="97">
        <v>4.0</v>
      </c>
      <c r="K41" s="97">
        <v>15.7</v>
      </c>
      <c r="L41" s="54"/>
      <c r="M41" s="77" t="s">
        <v>70</v>
      </c>
      <c r="N41" s="77" t="s">
        <v>71</v>
      </c>
      <c r="O41" s="78" t="s">
        <v>27</v>
      </c>
    </row>
    <row r="42">
      <c r="A42" s="54"/>
      <c r="B42" s="201">
        <v>45477.0</v>
      </c>
      <c r="C42" s="201"/>
      <c r="D42" s="95"/>
      <c r="E42" s="128">
        <v>1620489.0</v>
      </c>
      <c r="F42" s="96">
        <v>910.0</v>
      </c>
      <c r="G42" s="96">
        <v>487.0</v>
      </c>
      <c r="H42" s="97">
        <v>357.0</v>
      </c>
      <c r="I42" s="97">
        <v>350.0</v>
      </c>
      <c r="J42" s="97">
        <v>7.0</v>
      </c>
      <c r="K42" s="97">
        <v>38.46</v>
      </c>
      <c r="L42" s="54"/>
      <c r="M42" s="79">
        <f>SUM(F40:F68)</f>
        <v>22037</v>
      </c>
      <c r="N42" s="79">
        <f>SUM(I40:I68)</f>
        <v>6242.74</v>
      </c>
      <c r="O42" s="81">
        <f>N42/M42*100</f>
        <v>28.32844761</v>
      </c>
    </row>
    <row r="43">
      <c r="A43" s="54"/>
      <c r="B43" s="201">
        <v>45478.0</v>
      </c>
      <c r="C43" s="201"/>
      <c r="D43" s="95"/>
      <c r="E43" s="128">
        <v>1621151.0</v>
      </c>
      <c r="F43" s="96">
        <v>662.0</v>
      </c>
      <c r="G43" s="96">
        <v>464.0</v>
      </c>
      <c r="H43" s="97">
        <v>154.0</v>
      </c>
      <c r="I43" s="97">
        <v>150.0</v>
      </c>
      <c r="J43" s="97">
        <v>4.0</v>
      </c>
      <c r="K43" s="97">
        <v>22.66</v>
      </c>
      <c r="L43" s="54"/>
      <c r="M43" s="54"/>
      <c r="N43" s="54"/>
    </row>
    <row r="44">
      <c r="A44" s="54"/>
      <c r="B44" s="201">
        <v>45479.0</v>
      </c>
      <c r="C44" s="201"/>
      <c r="D44" s="95"/>
      <c r="E44" s="128">
        <v>1622294.0</v>
      </c>
      <c r="F44" s="96">
        <v>1143.0</v>
      </c>
      <c r="G44" s="96">
        <v>482.0</v>
      </c>
      <c r="H44" s="97">
        <v>354.0</v>
      </c>
      <c r="I44" s="97">
        <v>350.0</v>
      </c>
      <c r="J44" s="97">
        <v>4.0</v>
      </c>
      <c r="K44" s="97">
        <v>30.62</v>
      </c>
      <c r="L44" s="54"/>
      <c r="M44" s="54"/>
      <c r="N44" s="54"/>
    </row>
    <row r="45">
      <c r="A45" s="54"/>
      <c r="B45" s="201">
        <v>45480.0</v>
      </c>
      <c r="C45" s="201"/>
      <c r="D45" s="95"/>
      <c r="E45" s="128">
        <v>1622697.0</v>
      </c>
      <c r="F45" s="96">
        <v>403.0</v>
      </c>
      <c r="G45" s="96">
        <v>476.0</v>
      </c>
      <c r="H45" s="97">
        <v>117.0</v>
      </c>
      <c r="I45" s="97">
        <v>100.0</v>
      </c>
      <c r="J45" s="97">
        <v>17.0</v>
      </c>
      <c r="K45" s="97">
        <v>24.81</v>
      </c>
      <c r="L45" s="54"/>
      <c r="M45" s="54"/>
      <c r="N45" s="54"/>
    </row>
    <row r="46">
      <c r="A46" s="54"/>
      <c r="B46" s="201">
        <v>45481.0</v>
      </c>
      <c r="C46" s="201"/>
      <c r="D46" s="95"/>
      <c r="E46" s="128">
        <v>1623841.0</v>
      </c>
      <c r="F46" s="96">
        <v>1144.0</v>
      </c>
      <c r="G46" s="96">
        <v>500.0</v>
      </c>
      <c r="H46" s="97">
        <v>340.0</v>
      </c>
      <c r="I46" s="97">
        <v>328.81</v>
      </c>
      <c r="J46" s="97">
        <v>11.19</v>
      </c>
      <c r="K46" s="97">
        <v>28.74</v>
      </c>
      <c r="L46" s="54"/>
      <c r="M46" s="54"/>
      <c r="N46" s="54"/>
    </row>
    <row r="47">
      <c r="A47" s="54"/>
      <c r="B47" s="201">
        <v>45482.0</v>
      </c>
      <c r="C47" s="201"/>
      <c r="D47" s="95"/>
      <c r="E47" s="128">
        <v>1624244.0</v>
      </c>
      <c r="F47" s="96">
        <v>403.0</v>
      </c>
      <c r="G47" s="96">
        <v>482.0</v>
      </c>
      <c r="H47" s="97">
        <v>120.0</v>
      </c>
      <c r="I47" s="97">
        <v>98.48</v>
      </c>
      <c r="J47" s="97">
        <v>21.52</v>
      </c>
      <c r="K47" s="97">
        <v>24.44</v>
      </c>
      <c r="L47" s="54"/>
      <c r="M47" s="54"/>
      <c r="N47" s="54"/>
    </row>
    <row r="48">
      <c r="A48" s="54"/>
      <c r="B48" s="96" t="s">
        <v>141</v>
      </c>
      <c r="C48" s="96"/>
      <c r="D48" s="95"/>
      <c r="E48" s="128">
        <v>1624371.0</v>
      </c>
      <c r="F48" s="96">
        <v>127.0</v>
      </c>
      <c r="G48" s="96">
        <v>459.0</v>
      </c>
      <c r="H48" s="97">
        <v>24.0</v>
      </c>
      <c r="I48" s="97">
        <v>20.0</v>
      </c>
      <c r="J48" s="97">
        <v>4.0</v>
      </c>
      <c r="K48" s="97">
        <v>15.75</v>
      </c>
      <c r="L48" s="54"/>
      <c r="M48" s="54"/>
      <c r="N48" s="54"/>
    </row>
    <row r="49">
      <c r="A49" s="54"/>
      <c r="B49" s="98">
        <v>45484.0</v>
      </c>
      <c r="C49" s="98"/>
      <c r="D49" s="102"/>
      <c r="E49" s="100">
        <v>1625486.0</v>
      </c>
      <c r="F49" s="99">
        <f t="shared" ref="F49:F68" si="2">E49-E48</f>
        <v>1115</v>
      </c>
      <c r="G49" s="100">
        <v>484.0</v>
      </c>
      <c r="H49" s="101">
        <v>347.0</v>
      </c>
      <c r="I49" s="101">
        <v>328.74</v>
      </c>
      <c r="J49" s="102">
        <f t="shared" ref="J49:J68" si="3">H49-I49</f>
        <v>18.26</v>
      </c>
      <c r="K49" s="103">
        <f t="shared" ref="K49:K68" si="4">I49/F49*100</f>
        <v>29.48340807</v>
      </c>
      <c r="L49" s="54"/>
      <c r="M49" s="54"/>
      <c r="N49" s="54"/>
    </row>
    <row r="50">
      <c r="A50" s="54"/>
      <c r="B50" s="98">
        <v>45485.0</v>
      </c>
      <c r="C50" s="98"/>
      <c r="D50" s="102"/>
      <c r="E50" s="100">
        <v>1625959.0</v>
      </c>
      <c r="F50" s="99">
        <f t="shared" si="2"/>
        <v>473</v>
      </c>
      <c r="G50" s="100">
        <v>460.0</v>
      </c>
      <c r="H50" s="101">
        <v>125.0</v>
      </c>
      <c r="I50" s="101">
        <v>120.0</v>
      </c>
      <c r="J50" s="102">
        <f t="shared" si="3"/>
        <v>5</v>
      </c>
      <c r="K50" s="103">
        <f t="shared" si="4"/>
        <v>25.36997886</v>
      </c>
      <c r="L50" s="54"/>
      <c r="M50" s="54"/>
      <c r="N50" s="54"/>
    </row>
    <row r="51">
      <c r="A51" s="54"/>
      <c r="B51" s="98">
        <v>45486.0</v>
      </c>
      <c r="C51" s="98"/>
      <c r="D51" s="102"/>
      <c r="E51" s="100">
        <v>1627103.0</v>
      </c>
      <c r="F51" s="99">
        <f t="shared" si="2"/>
        <v>1144</v>
      </c>
      <c r="G51" s="100">
        <v>492.0</v>
      </c>
      <c r="H51" s="101">
        <v>360.0</v>
      </c>
      <c r="I51" s="101">
        <v>339.36</v>
      </c>
      <c r="J51" s="102">
        <f t="shared" si="3"/>
        <v>20.64</v>
      </c>
      <c r="K51" s="103">
        <f t="shared" si="4"/>
        <v>29.66433566</v>
      </c>
      <c r="L51" s="54"/>
      <c r="M51" s="54"/>
      <c r="N51" s="54"/>
    </row>
    <row r="52">
      <c r="A52" s="54"/>
      <c r="B52" s="98">
        <v>45487.0</v>
      </c>
      <c r="C52" s="98"/>
      <c r="D52" s="102"/>
      <c r="E52" s="104">
        <v>1627481.0</v>
      </c>
      <c r="F52" s="99">
        <f t="shared" si="2"/>
        <v>378</v>
      </c>
      <c r="G52" s="100">
        <v>468.0</v>
      </c>
      <c r="H52" s="101">
        <v>115.0</v>
      </c>
      <c r="I52" s="101">
        <v>110.0</v>
      </c>
      <c r="J52" s="102">
        <f t="shared" si="3"/>
        <v>5</v>
      </c>
      <c r="K52" s="103">
        <f t="shared" si="4"/>
        <v>29.1005291</v>
      </c>
      <c r="L52" s="54"/>
      <c r="M52" s="54"/>
      <c r="N52" s="54"/>
    </row>
    <row r="53">
      <c r="A53" s="54"/>
      <c r="B53" s="98">
        <v>45489.0</v>
      </c>
      <c r="C53" s="98"/>
      <c r="D53" s="102"/>
      <c r="E53" s="104">
        <v>1628792.0</v>
      </c>
      <c r="F53" s="99">
        <f t="shared" si="2"/>
        <v>1311</v>
      </c>
      <c r="G53" s="100">
        <v>479.0</v>
      </c>
      <c r="H53" s="101">
        <v>359.0</v>
      </c>
      <c r="I53" s="101">
        <v>349.66</v>
      </c>
      <c r="J53" s="102">
        <f t="shared" si="3"/>
        <v>9.34</v>
      </c>
      <c r="K53" s="103">
        <f t="shared" si="4"/>
        <v>26.67124333</v>
      </c>
      <c r="L53" s="54"/>
      <c r="M53" s="54"/>
      <c r="N53" s="54"/>
    </row>
    <row r="54">
      <c r="A54" s="54"/>
      <c r="B54" s="98">
        <v>45489.0</v>
      </c>
      <c r="C54" s="98"/>
      <c r="D54" s="102"/>
      <c r="E54" s="104">
        <v>1629053.0</v>
      </c>
      <c r="F54" s="99">
        <f t="shared" si="2"/>
        <v>261</v>
      </c>
      <c r="G54" s="100">
        <v>500.0</v>
      </c>
      <c r="H54" s="101">
        <v>111.0</v>
      </c>
      <c r="I54" s="101">
        <v>87.88</v>
      </c>
      <c r="J54" s="102">
        <f t="shared" si="3"/>
        <v>23.12</v>
      </c>
      <c r="K54" s="103">
        <f t="shared" si="4"/>
        <v>33.67049808</v>
      </c>
      <c r="L54" s="54"/>
      <c r="M54" s="54"/>
      <c r="N54" s="54"/>
    </row>
    <row r="55">
      <c r="A55" s="54"/>
      <c r="B55" s="98">
        <v>45491.0</v>
      </c>
      <c r="C55" s="98"/>
      <c r="D55" s="102"/>
      <c r="E55" s="104">
        <v>1630345.0</v>
      </c>
      <c r="F55" s="99">
        <f t="shared" si="2"/>
        <v>1292</v>
      </c>
      <c r="G55" s="100">
        <v>475.0</v>
      </c>
      <c r="H55" s="101">
        <v>340.0</v>
      </c>
      <c r="I55" s="101">
        <v>339.74</v>
      </c>
      <c r="J55" s="102">
        <f t="shared" si="3"/>
        <v>0.26</v>
      </c>
      <c r="K55" s="103">
        <f t="shared" si="4"/>
        <v>26.29566563</v>
      </c>
      <c r="L55" s="54"/>
      <c r="M55" s="54"/>
      <c r="N55" s="54"/>
    </row>
    <row r="56">
      <c r="A56" s="54"/>
      <c r="B56" s="98">
        <v>45491.0</v>
      </c>
      <c r="C56" s="98"/>
      <c r="D56" s="102"/>
      <c r="E56" s="104">
        <v>1630605.0</v>
      </c>
      <c r="F56" s="99">
        <f t="shared" si="2"/>
        <v>260</v>
      </c>
      <c r="G56" s="100">
        <v>484.0</v>
      </c>
      <c r="H56" s="101">
        <v>92.0</v>
      </c>
      <c r="I56" s="101">
        <v>79.61</v>
      </c>
      <c r="J56" s="102">
        <f t="shared" si="3"/>
        <v>12.39</v>
      </c>
      <c r="K56" s="103">
        <f t="shared" si="4"/>
        <v>30.61923077</v>
      </c>
      <c r="L56" s="54"/>
      <c r="M56" s="54"/>
      <c r="N56" s="54"/>
    </row>
    <row r="57">
      <c r="A57" s="54"/>
      <c r="B57" s="98">
        <v>45493.0</v>
      </c>
      <c r="C57" s="98"/>
      <c r="D57" s="102"/>
      <c r="E57" s="104">
        <v>1631893.0</v>
      </c>
      <c r="F57" s="99">
        <f t="shared" si="2"/>
        <v>1288</v>
      </c>
      <c r="G57" s="100">
        <v>477.0</v>
      </c>
      <c r="H57" s="101">
        <v>359.0</v>
      </c>
      <c r="I57" s="101">
        <v>350.0</v>
      </c>
      <c r="J57" s="102">
        <f t="shared" si="3"/>
        <v>9</v>
      </c>
      <c r="K57" s="103">
        <f t="shared" si="4"/>
        <v>27.17391304</v>
      </c>
      <c r="L57" s="54"/>
      <c r="M57" s="54"/>
      <c r="N57" s="54"/>
    </row>
    <row r="58">
      <c r="A58" s="54"/>
      <c r="B58" s="98">
        <v>45493.0</v>
      </c>
      <c r="C58" s="98"/>
      <c r="D58" s="102"/>
      <c r="E58" s="100">
        <v>1632153.0</v>
      </c>
      <c r="F58" s="99">
        <f t="shared" si="2"/>
        <v>260</v>
      </c>
      <c r="G58" s="100">
        <v>490.0</v>
      </c>
      <c r="H58" s="101">
        <v>108.0</v>
      </c>
      <c r="I58" s="101">
        <v>90.62</v>
      </c>
      <c r="J58" s="102">
        <f t="shared" si="3"/>
        <v>17.38</v>
      </c>
      <c r="K58" s="103">
        <f t="shared" si="4"/>
        <v>34.85384615</v>
      </c>
      <c r="L58" s="54"/>
      <c r="M58" s="54"/>
      <c r="N58" s="54"/>
    </row>
    <row r="59">
      <c r="A59" s="54"/>
      <c r="B59" s="98">
        <v>45495.0</v>
      </c>
      <c r="C59" s="98"/>
      <c r="D59" s="102"/>
      <c r="E59" s="104">
        <v>1633443.0</v>
      </c>
      <c r="F59" s="99">
        <f t="shared" si="2"/>
        <v>1290</v>
      </c>
      <c r="G59" s="100">
        <v>473.0</v>
      </c>
      <c r="H59" s="101">
        <v>360.0</v>
      </c>
      <c r="I59" s="101">
        <v>350.0</v>
      </c>
      <c r="J59" s="102">
        <f t="shared" si="3"/>
        <v>10</v>
      </c>
      <c r="K59" s="103">
        <f t="shared" si="4"/>
        <v>27.13178295</v>
      </c>
      <c r="L59" s="54"/>
      <c r="M59" s="54"/>
      <c r="N59" s="54"/>
    </row>
    <row r="60">
      <c r="A60" s="54"/>
      <c r="B60" s="98">
        <v>45495.0</v>
      </c>
      <c r="C60" s="98"/>
      <c r="D60" s="102"/>
      <c r="E60" s="104">
        <v>1633704.0</v>
      </c>
      <c r="F60" s="99">
        <f t="shared" si="2"/>
        <v>261</v>
      </c>
      <c r="G60" s="100">
        <v>449.0</v>
      </c>
      <c r="H60" s="101">
        <v>60.0</v>
      </c>
      <c r="I60" s="101">
        <v>50.0</v>
      </c>
      <c r="J60" s="102">
        <f t="shared" si="3"/>
        <v>10</v>
      </c>
      <c r="K60" s="103">
        <f t="shared" si="4"/>
        <v>19.15708812</v>
      </c>
      <c r="L60" s="54"/>
      <c r="M60" s="54"/>
      <c r="N60" s="54"/>
    </row>
    <row r="61">
      <c r="A61" s="54"/>
      <c r="B61" s="98">
        <v>45497.0</v>
      </c>
      <c r="C61" s="98"/>
      <c r="D61" s="99"/>
      <c r="E61" s="100">
        <v>1635062.0</v>
      </c>
      <c r="F61" s="99">
        <f t="shared" si="2"/>
        <v>1358</v>
      </c>
      <c r="G61" s="100">
        <v>489.0</v>
      </c>
      <c r="H61" s="101">
        <v>411.0</v>
      </c>
      <c r="I61" s="101">
        <v>400.0</v>
      </c>
      <c r="J61" s="102">
        <f t="shared" si="3"/>
        <v>11</v>
      </c>
      <c r="K61" s="103">
        <f t="shared" si="4"/>
        <v>29.455081</v>
      </c>
      <c r="L61" s="54"/>
      <c r="M61" s="54"/>
      <c r="N61" s="54"/>
    </row>
    <row r="62">
      <c r="A62" s="54"/>
      <c r="B62" s="98">
        <v>45497.0</v>
      </c>
      <c r="C62" s="98"/>
      <c r="D62" s="99"/>
      <c r="E62" s="104">
        <v>1635252.0</v>
      </c>
      <c r="F62" s="99">
        <f t="shared" si="2"/>
        <v>190</v>
      </c>
      <c r="G62" s="100">
        <v>460.0</v>
      </c>
      <c r="H62" s="101">
        <v>53.0</v>
      </c>
      <c r="I62" s="101">
        <v>50.0</v>
      </c>
      <c r="J62" s="102">
        <f t="shared" si="3"/>
        <v>3</v>
      </c>
      <c r="K62" s="103">
        <f t="shared" si="4"/>
        <v>26.31578947</v>
      </c>
      <c r="L62" s="54"/>
      <c r="M62" s="54"/>
      <c r="N62" s="54"/>
    </row>
    <row r="63">
      <c r="A63" s="54"/>
      <c r="B63" s="98">
        <v>45499.0</v>
      </c>
      <c r="C63" s="98"/>
      <c r="D63" s="99"/>
      <c r="E63" s="104">
        <v>1636481.0</v>
      </c>
      <c r="F63" s="99">
        <f t="shared" si="2"/>
        <v>1229</v>
      </c>
      <c r="G63" s="100">
        <v>469.0</v>
      </c>
      <c r="H63" s="101">
        <v>365.0</v>
      </c>
      <c r="I63" s="101">
        <v>350.0</v>
      </c>
      <c r="J63" s="102">
        <f t="shared" si="3"/>
        <v>15</v>
      </c>
      <c r="K63" s="103">
        <f t="shared" si="4"/>
        <v>28.47843775</v>
      </c>
      <c r="L63" s="54"/>
      <c r="M63" s="54"/>
      <c r="N63" s="54"/>
    </row>
    <row r="64">
      <c r="A64" s="54"/>
      <c r="B64" s="98">
        <v>45499.0</v>
      </c>
      <c r="C64" s="98"/>
      <c r="D64" s="99"/>
      <c r="E64" s="100">
        <v>1636925.0</v>
      </c>
      <c r="F64" s="99">
        <f t="shared" si="2"/>
        <v>444</v>
      </c>
      <c r="G64" s="100">
        <v>421.0</v>
      </c>
      <c r="H64" s="101">
        <v>102.0</v>
      </c>
      <c r="I64" s="101">
        <v>100.0</v>
      </c>
      <c r="J64" s="102">
        <f t="shared" si="3"/>
        <v>2</v>
      </c>
      <c r="K64" s="103">
        <f t="shared" si="4"/>
        <v>22.52252252</v>
      </c>
      <c r="L64" s="54"/>
      <c r="M64" s="54"/>
      <c r="N64" s="54"/>
    </row>
    <row r="65">
      <c r="A65" s="54"/>
      <c r="B65" s="98">
        <v>45501.0</v>
      </c>
      <c r="C65" s="98"/>
      <c r="D65" s="99"/>
      <c r="E65" s="104">
        <v>1638088.0</v>
      </c>
      <c r="F65" s="99">
        <f t="shared" si="2"/>
        <v>1163</v>
      </c>
      <c r="G65" s="100">
        <v>442.0</v>
      </c>
      <c r="H65" s="101">
        <v>346.0</v>
      </c>
      <c r="I65" s="101">
        <v>350.0</v>
      </c>
      <c r="J65" s="102">
        <f t="shared" si="3"/>
        <v>-4</v>
      </c>
      <c r="K65" s="103">
        <f t="shared" si="4"/>
        <v>30.09458298</v>
      </c>
      <c r="L65" s="54"/>
      <c r="M65" s="54"/>
      <c r="N65" s="54"/>
    </row>
    <row r="66">
      <c r="A66" s="54"/>
      <c r="B66" s="98">
        <v>45501.0</v>
      </c>
      <c r="C66" s="98"/>
      <c r="D66" s="99"/>
      <c r="E66" s="104">
        <v>1638476.0</v>
      </c>
      <c r="F66" s="99">
        <f t="shared" si="2"/>
        <v>388</v>
      </c>
      <c r="G66" s="100">
        <v>438.0</v>
      </c>
      <c r="H66" s="101">
        <v>102.0</v>
      </c>
      <c r="I66" s="101">
        <v>100.0</v>
      </c>
      <c r="J66" s="102">
        <f t="shared" si="3"/>
        <v>2</v>
      </c>
      <c r="K66" s="103">
        <f t="shared" si="4"/>
        <v>25.77319588</v>
      </c>
      <c r="L66" s="54"/>
      <c r="M66" s="54"/>
      <c r="N66" s="54"/>
    </row>
    <row r="67">
      <c r="A67" s="54"/>
      <c r="B67" s="98">
        <v>45503.0</v>
      </c>
      <c r="C67" s="98"/>
      <c r="D67" s="99"/>
      <c r="E67" s="100">
        <v>1639642.0</v>
      </c>
      <c r="F67" s="99">
        <f t="shared" si="2"/>
        <v>1166</v>
      </c>
      <c r="G67" s="100">
        <v>460.0</v>
      </c>
      <c r="H67" s="101">
        <v>363.0</v>
      </c>
      <c r="I67" s="101">
        <v>350.0</v>
      </c>
      <c r="J67" s="102">
        <f t="shared" si="3"/>
        <v>13</v>
      </c>
      <c r="K67" s="103">
        <f t="shared" si="4"/>
        <v>30.01715266</v>
      </c>
      <c r="L67" s="54"/>
      <c r="M67" s="54"/>
      <c r="N67" s="54"/>
    </row>
    <row r="68">
      <c r="A68" s="54"/>
      <c r="B68" s="98">
        <v>45503.0</v>
      </c>
      <c r="C68" s="98"/>
      <c r="D68" s="99"/>
      <c r="E68" s="104">
        <v>1639898.0</v>
      </c>
      <c r="F68" s="99">
        <f t="shared" si="2"/>
        <v>256</v>
      </c>
      <c r="G68" s="100">
        <v>491.0</v>
      </c>
      <c r="H68" s="101">
        <v>123.0</v>
      </c>
      <c r="I68" s="101">
        <v>100.0</v>
      </c>
      <c r="J68" s="102">
        <f t="shared" si="3"/>
        <v>23</v>
      </c>
      <c r="K68" s="103">
        <f t="shared" si="4"/>
        <v>39.0625</v>
      </c>
      <c r="L68" s="54"/>
      <c r="M68" s="54"/>
      <c r="N68" s="54"/>
    </row>
    <row r="69">
      <c r="A69" s="66"/>
      <c r="B69" s="67" t="s">
        <v>95</v>
      </c>
      <c r="J69" s="66"/>
      <c r="K69" s="66"/>
      <c r="L69" s="66"/>
      <c r="M69" s="66"/>
      <c r="N69" s="66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</row>
    <row r="70">
      <c r="A70" s="54"/>
      <c r="B70" s="98">
        <v>45505.0</v>
      </c>
      <c r="C70" s="98"/>
      <c r="D70" s="99"/>
      <c r="E70" s="104">
        <v>1641191.0</v>
      </c>
      <c r="F70" s="99">
        <f>E70-E68</f>
        <v>1293</v>
      </c>
      <c r="G70" s="100">
        <v>470.0</v>
      </c>
      <c r="H70" s="101">
        <v>359.0</v>
      </c>
      <c r="I70" s="101">
        <v>350.0</v>
      </c>
      <c r="J70" s="102">
        <f t="shared" ref="J70:J85" si="5">H70-I70</f>
        <v>9</v>
      </c>
      <c r="K70" s="103">
        <f t="shared" ref="K70:K85" si="6">I70/F70*100</f>
        <v>27.06883217</v>
      </c>
      <c r="L70" s="54"/>
      <c r="M70" s="197" t="str">
        <f>"тотал"&amp;" "&amp;B69</f>
        <v>тотал АВГУСТ</v>
      </c>
      <c r="N70" s="75"/>
      <c r="O70" s="76"/>
    </row>
    <row r="71">
      <c r="A71" s="54"/>
      <c r="B71" s="98">
        <v>45505.0</v>
      </c>
      <c r="C71" s="98"/>
      <c r="D71" s="99"/>
      <c r="E71" s="104">
        <v>1641452.0</v>
      </c>
      <c r="F71" s="99">
        <f t="shared" ref="F71:F85" si="7">E71-E70</f>
        <v>261</v>
      </c>
      <c r="G71" s="100">
        <v>497.0</v>
      </c>
      <c r="H71" s="101">
        <v>106.0</v>
      </c>
      <c r="I71" s="101">
        <v>96.93</v>
      </c>
      <c r="J71" s="102">
        <f t="shared" si="5"/>
        <v>9.07</v>
      </c>
      <c r="K71" s="103">
        <f t="shared" si="6"/>
        <v>37.13793103</v>
      </c>
      <c r="L71" s="54"/>
      <c r="M71" s="198" t="s">
        <v>70</v>
      </c>
      <c r="N71" s="198" t="s">
        <v>71</v>
      </c>
      <c r="O71" s="83" t="s">
        <v>27</v>
      </c>
    </row>
    <row r="72">
      <c r="A72" s="54"/>
      <c r="B72" s="98">
        <v>45522.0</v>
      </c>
      <c r="C72" s="98"/>
      <c r="D72" s="99"/>
      <c r="E72" s="104">
        <v>1642833.0</v>
      </c>
      <c r="F72" s="99">
        <f t="shared" si="7"/>
        <v>1381</v>
      </c>
      <c r="G72" s="100">
        <v>457.0</v>
      </c>
      <c r="H72" s="101">
        <v>363.0</v>
      </c>
      <c r="I72" s="101">
        <v>350.0</v>
      </c>
      <c r="J72" s="102">
        <f t="shared" si="5"/>
        <v>13</v>
      </c>
      <c r="K72" s="103">
        <f t="shared" si="6"/>
        <v>25.34395366</v>
      </c>
      <c r="L72" s="54"/>
      <c r="M72" s="199">
        <f>SUM(F70:F85)</f>
        <v>12514</v>
      </c>
      <c r="N72" s="199">
        <f>SUM(I70:I85)</f>
        <v>3499.88</v>
      </c>
      <c r="O72" s="85">
        <f>N72/M72*100</f>
        <v>27.96771616</v>
      </c>
    </row>
    <row r="73">
      <c r="A73" s="54"/>
      <c r="B73" s="98">
        <v>45522.0</v>
      </c>
      <c r="C73" s="98"/>
      <c r="D73" s="99"/>
      <c r="E73" s="104">
        <v>1643094.0</v>
      </c>
      <c r="F73" s="99">
        <f t="shared" si="7"/>
        <v>261</v>
      </c>
      <c r="G73" s="100">
        <v>472.0</v>
      </c>
      <c r="H73" s="101">
        <v>105.0</v>
      </c>
      <c r="I73" s="101">
        <v>100.0</v>
      </c>
      <c r="J73" s="102">
        <f t="shared" si="5"/>
        <v>5</v>
      </c>
      <c r="K73" s="103">
        <f t="shared" si="6"/>
        <v>38.31417625</v>
      </c>
      <c r="L73" s="54"/>
      <c r="M73" s="54"/>
      <c r="N73" s="54"/>
    </row>
    <row r="74">
      <c r="A74" s="54"/>
      <c r="B74" s="98">
        <v>45524.0</v>
      </c>
      <c r="C74" s="98"/>
      <c r="D74" s="99"/>
      <c r="E74" s="104">
        <v>1644385.0</v>
      </c>
      <c r="F74" s="99">
        <f t="shared" si="7"/>
        <v>1291</v>
      </c>
      <c r="G74" s="100">
        <v>468.0</v>
      </c>
      <c r="H74" s="101">
        <v>351.0</v>
      </c>
      <c r="I74" s="101">
        <v>350.23</v>
      </c>
      <c r="J74" s="102">
        <f t="shared" si="5"/>
        <v>0.77</v>
      </c>
      <c r="K74" s="103">
        <f t="shared" si="6"/>
        <v>27.12858249</v>
      </c>
      <c r="L74" s="54"/>
      <c r="M74" s="54"/>
      <c r="N74" s="54"/>
    </row>
    <row r="75">
      <c r="A75" s="54"/>
      <c r="B75" s="98">
        <v>45524.0</v>
      </c>
      <c r="C75" s="98"/>
      <c r="D75" s="99"/>
      <c r="E75" s="104">
        <v>1644646.0</v>
      </c>
      <c r="F75" s="99">
        <f t="shared" si="7"/>
        <v>261</v>
      </c>
      <c r="G75" s="100">
        <v>495.0</v>
      </c>
      <c r="H75" s="101">
        <v>102.0</v>
      </c>
      <c r="I75" s="101">
        <v>80.73</v>
      </c>
      <c r="J75" s="102">
        <f t="shared" si="5"/>
        <v>21.27</v>
      </c>
      <c r="K75" s="103">
        <f t="shared" si="6"/>
        <v>30.93103448</v>
      </c>
      <c r="L75" s="54"/>
      <c r="M75" s="54"/>
      <c r="N75" s="54"/>
    </row>
    <row r="76">
      <c r="A76" s="54"/>
      <c r="B76" s="98">
        <v>45526.0</v>
      </c>
      <c r="C76" s="98"/>
      <c r="D76" s="99"/>
      <c r="E76" s="104">
        <v>1645945.0</v>
      </c>
      <c r="F76" s="99">
        <f t="shared" si="7"/>
        <v>1299</v>
      </c>
      <c r="G76" s="100">
        <v>467.0</v>
      </c>
      <c r="H76" s="101">
        <v>349.0</v>
      </c>
      <c r="I76" s="101">
        <v>350.0</v>
      </c>
      <c r="J76" s="102">
        <f t="shared" si="5"/>
        <v>-1</v>
      </c>
      <c r="K76" s="103">
        <f t="shared" si="6"/>
        <v>26.94380293</v>
      </c>
      <c r="L76" s="54"/>
      <c r="M76" s="54"/>
      <c r="N76" s="54"/>
    </row>
    <row r="77">
      <c r="A77" s="54"/>
      <c r="B77" s="98">
        <v>45526.0</v>
      </c>
      <c r="C77" s="98"/>
      <c r="D77" s="99"/>
      <c r="E77" s="100">
        <v>1646206.0</v>
      </c>
      <c r="F77" s="99">
        <f t="shared" si="7"/>
        <v>261</v>
      </c>
      <c r="G77" s="100">
        <v>501.0</v>
      </c>
      <c r="H77" s="101">
        <v>116.0</v>
      </c>
      <c r="I77" s="101">
        <v>94.22</v>
      </c>
      <c r="J77" s="102">
        <f t="shared" si="5"/>
        <v>21.78</v>
      </c>
      <c r="K77" s="103">
        <f t="shared" si="6"/>
        <v>36.09961686</v>
      </c>
      <c r="L77" s="54"/>
      <c r="M77" s="54"/>
      <c r="N77" s="54"/>
    </row>
    <row r="78">
      <c r="A78" s="54"/>
      <c r="B78" s="98">
        <v>45528.0</v>
      </c>
      <c r="C78" s="98"/>
      <c r="D78" s="99"/>
      <c r="E78" s="104">
        <v>1647497.0</v>
      </c>
      <c r="F78" s="99">
        <f t="shared" si="7"/>
        <v>1291</v>
      </c>
      <c r="G78" s="100">
        <v>477.0</v>
      </c>
      <c r="H78" s="101">
        <v>355.0</v>
      </c>
      <c r="I78" s="101">
        <v>350.0</v>
      </c>
      <c r="J78" s="102">
        <f t="shared" si="5"/>
        <v>5</v>
      </c>
      <c r="K78" s="103">
        <f t="shared" si="6"/>
        <v>27.11076685</v>
      </c>
      <c r="L78" s="54"/>
      <c r="M78" s="54"/>
      <c r="N78" s="54"/>
    </row>
    <row r="79">
      <c r="A79" s="54"/>
      <c r="B79" s="98">
        <v>45528.0</v>
      </c>
      <c r="C79" s="98"/>
      <c r="D79" s="99"/>
      <c r="E79" s="104">
        <v>1647758.0</v>
      </c>
      <c r="F79" s="99">
        <f t="shared" si="7"/>
        <v>261</v>
      </c>
      <c r="G79" s="100">
        <v>477.0</v>
      </c>
      <c r="H79" s="101">
        <v>96.0</v>
      </c>
      <c r="I79" s="101">
        <v>89.65</v>
      </c>
      <c r="J79" s="102">
        <f t="shared" si="5"/>
        <v>6.35</v>
      </c>
      <c r="K79" s="103">
        <f t="shared" si="6"/>
        <v>34.348659</v>
      </c>
      <c r="L79" s="54"/>
      <c r="M79" s="54"/>
      <c r="N79" s="54"/>
    </row>
    <row r="80">
      <c r="A80" s="54"/>
      <c r="B80" s="98">
        <v>45530.0</v>
      </c>
      <c r="C80" s="98"/>
      <c r="D80" s="99"/>
      <c r="E80" s="104">
        <v>1649050.0</v>
      </c>
      <c r="F80" s="99">
        <f t="shared" si="7"/>
        <v>1292</v>
      </c>
      <c r="G80" s="100">
        <v>464.0</v>
      </c>
      <c r="H80" s="101">
        <v>350.0</v>
      </c>
      <c r="I80" s="101">
        <v>350.0</v>
      </c>
      <c r="J80" s="102">
        <f t="shared" si="5"/>
        <v>0</v>
      </c>
      <c r="K80" s="103">
        <f t="shared" si="6"/>
        <v>27.08978328</v>
      </c>
      <c r="L80" s="54"/>
      <c r="M80" s="54"/>
      <c r="N80" s="54"/>
    </row>
    <row r="81">
      <c r="A81" s="54"/>
      <c r="B81" s="98">
        <v>45530.0</v>
      </c>
      <c r="C81" s="98"/>
      <c r="D81" s="99"/>
      <c r="E81" s="104">
        <v>1649310.0</v>
      </c>
      <c r="F81" s="99">
        <f t="shared" si="7"/>
        <v>260</v>
      </c>
      <c r="G81" s="100">
        <v>471.0</v>
      </c>
      <c r="H81" s="101">
        <v>80.0</v>
      </c>
      <c r="I81" s="101">
        <v>76.27</v>
      </c>
      <c r="J81" s="102">
        <f t="shared" si="5"/>
        <v>3.73</v>
      </c>
      <c r="K81" s="103">
        <f t="shared" si="6"/>
        <v>29.33461538</v>
      </c>
      <c r="L81" s="54"/>
      <c r="M81" s="54"/>
      <c r="N81" s="54"/>
    </row>
    <row r="82">
      <c r="A82" s="54"/>
      <c r="B82" s="98">
        <v>45532.0</v>
      </c>
      <c r="C82" s="98"/>
      <c r="D82" s="99"/>
      <c r="E82" s="104">
        <v>1650601.0</v>
      </c>
      <c r="F82" s="99">
        <f t="shared" si="7"/>
        <v>1291</v>
      </c>
      <c r="G82" s="100">
        <v>486.0</v>
      </c>
      <c r="H82" s="101">
        <v>365.0</v>
      </c>
      <c r="I82" s="101">
        <v>350.0</v>
      </c>
      <c r="J82" s="102">
        <f t="shared" si="5"/>
        <v>15</v>
      </c>
      <c r="K82" s="103">
        <f t="shared" si="6"/>
        <v>27.11076685</v>
      </c>
      <c r="L82" s="54"/>
      <c r="M82" s="54"/>
      <c r="N82" s="54"/>
    </row>
    <row r="83">
      <c r="A83" s="54"/>
      <c r="B83" s="98">
        <v>45532.0</v>
      </c>
      <c r="C83" s="98"/>
      <c r="D83" s="99"/>
      <c r="E83" s="104">
        <v>1650862.0</v>
      </c>
      <c r="F83" s="99">
        <f t="shared" si="7"/>
        <v>261</v>
      </c>
      <c r="G83" s="100">
        <v>485.0</v>
      </c>
      <c r="H83" s="101">
        <v>92.0</v>
      </c>
      <c r="I83" s="101">
        <v>77.23</v>
      </c>
      <c r="J83" s="102">
        <f t="shared" si="5"/>
        <v>14.77</v>
      </c>
      <c r="K83" s="103">
        <f t="shared" si="6"/>
        <v>29.59003831</v>
      </c>
      <c r="L83" s="54"/>
      <c r="M83" s="54"/>
      <c r="N83" s="54"/>
    </row>
    <row r="84">
      <c r="A84" s="54"/>
      <c r="B84" s="98">
        <v>45534.0</v>
      </c>
      <c r="C84" s="98"/>
      <c r="D84" s="99"/>
      <c r="E84" s="104">
        <v>1652095.0</v>
      </c>
      <c r="F84" s="99">
        <f t="shared" si="7"/>
        <v>1233</v>
      </c>
      <c r="G84" s="100">
        <v>488.0</v>
      </c>
      <c r="H84" s="101">
        <v>358.0</v>
      </c>
      <c r="I84" s="101">
        <v>350.0</v>
      </c>
      <c r="J84" s="102">
        <f t="shared" si="5"/>
        <v>8</v>
      </c>
      <c r="K84" s="103">
        <f t="shared" si="6"/>
        <v>28.38605028</v>
      </c>
      <c r="L84" s="54"/>
      <c r="M84" s="54"/>
      <c r="N84" s="54"/>
    </row>
    <row r="85">
      <c r="A85" s="54"/>
      <c r="B85" s="98">
        <v>45534.0</v>
      </c>
      <c r="C85" s="98"/>
      <c r="D85" s="99"/>
      <c r="E85" s="104">
        <v>1652412.0</v>
      </c>
      <c r="F85" s="99">
        <f t="shared" si="7"/>
        <v>317</v>
      </c>
      <c r="G85" s="100">
        <v>488.0</v>
      </c>
      <c r="H85" s="101">
        <v>101.0</v>
      </c>
      <c r="I85" s="101">
        <v>84.62</v>
      </c>
      <c r="J85" s="102">
        <f t="shared" si="5"/>
        <v>16.38</v>
      </c>
      <c r="K85" s="103">
        <f t="shared" si="6"/>
        <v>26.69400631</v>
      </c>
      <c r="L85" s="54"/>
      <c r="M85" s="54"/>
      <c r="N85" s="54"/>
    </row>
    <row r="86">
      <c r="A86" s="68"/>
      <c r="B86" s="203" t="str">
        <f>IF(L86=4,"АПРЕЛЬ",IF(L86=5,"МАЙ",IF(L86=1,"ЯНВАРЬ",IF(L86=2,"ФЕВРАЛЬ",IF(L86=3,"МАРТ",IF(L86=6,"ИЮНЬ",IF(L86=7,"ИЮЛЬ",IF(L86=8,"АВГУСТ",IF(L86=9,"СЕНТЯБРЬ",IF(L86=10,"ОКТЯБРЬ",IF(L86=11,"НОЯБРЬ",IF(L86=12,"ДЕКАБРЬ"))))))))))))</f>
        <v>СЕНТЯБРЬ</v>
      </c>
      <c r="J86" s="88"/>
      <c r="K86" s="204"/>
      <c r="L86" s="91">
        <f>MONTH(B87)</f>
        <v>9</v>
      </c>
      <c r="M86" s="66"/>
      <c r="N86" s="66"/>
      <c r="O86" s="66"/>
      <c r="P86" s="66"/>
      <c r="Q86" s="66"/>
    </row>
    <row r="87">
      <c r="A87" s="54"/>
      <c r="B87" s="98">
        <v>45536.0</v>
      </c>
      <c r="C87" s="98"/>
      <c r="D87" s="99"/>
      <c r="E87" s="104">
        <v>1653701.0</v>
      </c>
      <c r="F87" s="99">
        <f>E87-E85</f>
        <v>1289</v>
      </c>
      <c r="G87" s="100">
        <v>483.0</v>
      </c>
      <c r="H87" s="101">
        <v>359.0</v>
      </c>
      <c r="I87" s="101">
        <v>350.0</v>
      </c>
      <c r="J87" s="102">
        <f t="shared" ref="J87:J107" si="8">H87-I87</f>
        <v>9</v>
      </c>
      <c r="K87" s="170">
        <f t="shared" ref="K87:K107" si="9">I87/F87*100</f>
        <v>27.15283165</v>
      </c>
      <c r="L87" s="54"/>
      <c r="M87" s="197" t="str">
        <f>"тотал"&amp;" "&amp;B86</f>
        <v>тотал СЕНТЯБРЬ</v>
      </c>
      <c r="N87" s="75"/>
      <c r="O87" s="76"/>
    </row>
    <row r="88">
      <c r="A88" s="54"/>
      <c r="B88" s="98">
        <v>45536.0</v>
      </c>
      <c r="C88" s="98"/>
      <c r="D88" s="99"/>
      <c r="E88" s="100">
        <v>1653962.0</v>
      </c>
      <c r="F88" s="99">
        <f t="shared" ref="F88:F107" si="10">E88-E87</f>
        <v>261</v>
      </c>
      <c r="G88" s="100">
        <v>494.0</v>
      </c>
      <c r="H88" s="101">
        <v>103.0</v>
      </c>
      <c r="I88" s="101">
        <v>80.35</v>
      </c>
      <c r="J88" s="102">
        <f t="shared" si="8"/>
        <v>22.65</v>
      </c>
      <c r="K88" s="170">
        <f t="shared" si="9"/>
        <v>30.78544061</v>
      </c>
      <c r="L88" s="54"/>
      <c r="M88" s="198" t="s">
        <v>70</v>
      </c>
      <c r="N88" s="198" t="s">
        <v>71</v>
      </c>
      <c r="O88" s="83" t="s">
        <v>27</v>
      </c>
    </row>
    <row r="89">
      <c r="A89" s="54"/>
      <c r="B89" s="98">
        <v>45538.0</v>
      </c>
      <c r="C89" s="98"/>
      <c r="D89" s="99"/>
      <c r="E89" s="100">
        <v>1655197.0</v>
      </c>
      <c r="F89" s="99">
        <f t="shared" si="10"/>
        <v>1235</v>
      </c>
      <c r="G89" s="100">
        <v>478.0</v>
      </c>
      <c r="H89" s="101">
        <v>339.0</v>
      </c>
      <c r="I89" s="101">
        <v>324.51</v>
      </c>
      <c r="J89" s="102">
        <f t="shared" si="8"/>
        <v>14.49</v>
      </c>
      <c r="K89" s="170">
        <f t="shared" si="9"/>
        <v>26.27611336</v>
      </c>
      <c r="L89" s="54"/>
      <c r="M89" s="199">
        <f>SUM(F87:F107)</f>
        <v>17052</v>
      </c>
      <c r="N89" s="199">
        <f>SUM(I87:I107)</f>
        <v>4758.25</v>
      </c>
      <c r="O89" s="85">
        <f>N89/M89*100</f>
        <v>27.9043514</v>
      </c>
    </row>
    <row r="90">
      <c r="A90" s="54"/>
      <c r="B90" s="98">
        <v>45538.0</v>
      </c>
      <c r="C90" s="98"/>
      <c r="D90" s="99"/>
      <c r="E90" s="100">
        <v>1655515.0</v>
      </c>
      <c r="F90" s="99">
        <f t="shared" si="10"/>
        <v>318</v>
      </c>
      <c r="G90" s="100">
        <v>478.0</v>
      </c>
      <c r="H90" s="101">
        <v>107.0</v>
      </c>
      <c r="I90" s="101">
        <v>104.19</v>
      </c>
      <c r="J90" s="102">
        <f t="shared" si="8"/>
        <v>2.81</v>
      </c>
      <c r="K90" s="170">
        <f t="shared" si="9"/>
        <v>32.76415094</v>
      </c>
      <c r="L90" s="54"/>
      <c r="M90" s="54"/>
      <c r="N90" s="54"/>
    </row>
    <row r="91">
      <c r="A91" s="54"/>
      <c r="B91" s="98">
        <v>45543.0</v>
      </c>
      <c r="C91" s="98"/>
      <c r="D91" s="99"/>
      <c r="E91" s="104">
        <v>1656781.0</v>
      </c>
      <c r="F91" s="99">
        <f t="shared" si="10"/>
        <v>1266</v>
      </c>
      <c r="G91" s="100">
        <v>487.0</v>
      </c>
      <c r="H91" s="101">
        <v>384.0</v>
      </c>
      <c r="I91" s="101">
        <v>379.2</v>
      </c>
      <c r="J91" s="102">
        <f t="shared" si="8"/>
        <v>4.8</v>
      </c>
      <c r="K91" s="170">
        <f t="shared" si="9"/>
        <v>29.95260664</v>
      </c>
      <c r="L91" s="54"/>
      <c r="M91" s="54"/>
      <c r="N91" s="54"/>
    </row>
    <row r="92">
      <c r="A92" s="54"/>
      <c r="B92" s="98">
        <v>45544.0</v>
      </c>
      <c r="C92" s="98"/>
      <c r="D92" s="99"/>
      <c r="E92" s="104">
        <v>1657443.0</v>
      </c>
      <c r="F92" s="99">
        <f t="shared" si="10"/>
        <v>662</v>
      </c>
      <c r="G92" s="100">
        <v>370.0</v>
      </c>
      <c r="H92" s="101">
        <v>68.0</v>
      </c>
      <c r="I92" s="101">
        <v>70.0</v>
      </c>
      <c r="J92" s="102">
        <f t="shared" si="8"/>
        <v>-2</v>
      </c>
      <c r="K92" s="170">
        <f t="shared" si="9"/>
        <v>10.57401813</v>
      </c>
      <c r="L92" s="54"/>
      <c r="M92" s="54"/>
      <c r="N92" s="54"/>
    </row>
    <row r="93">
      <c r="A93" s="54"/>
      <c r="B93" s="98">
        <v>45545.0</v>
      </c>
      <c r="C93" s="98"/>
      <c r="D93" s="99"/>
      <c r="E93" s="100">
        <v>1658330.0</v>
      </c>
      <c r="F93" s="99">
        <f t="shared" si="10"/>
        <v>887</v>
      </c>
      <c r="G93" s="100">
        <v>483.0</v>
      </c>
      <c r="H93" s="101">
        <v>354.0</v>
      </c>
      <c r="I93" s="101">
        <v>350.0</v>
      </c>
      <c r="J93" s="102">
        <f t="shared" si="8"/>
        <v>4</v>
      </c>
      <c r="K93" s="170">
        <f t="shared" si="9"/>
        <v>39.45885006</v>
      </c>
      <c r="L93" s="54"/>
      <c r="M93" s="54"/>
      <c r="N93" s="54"/>
    </row>
    <row r="94">
      <c r="A94" s="54"/>
      <c r="B94" s="98">
        <v>45546.0</v>
      </c>
      <c r="C94" s="98"/>
      <c r="D94" s="99"/>
      <c r="E94" s="100">
        <v>1658993.0</v>
      </c>
      <c r="F94" s="99">
        <f t="shared" si="10"/>
        <v>663</v>
      </c>
      <c r="G94" s="100">
        <v>409.0</v>
      </c>
      <c r="H94" s="101">
        <v>99.0</v>
      </c>
      <c r="I94" s="101">
        <v>100.0</v>
      </c>
      <c r="J94" s="102">
        <f t="shared" si="8"/>
        <v>-1</v>
      </c>
      <c r="K94" s="170">
        <f t="shared" si="9"/>
        <v>15.08295626</v>
      </c>
      <c r="L94" s="54"/>
      <c r="M94" s="54"/>
      <c r="N94" s="54"/>
    </row>
    <row r="95">
      <c r="A95" s="54"/>
      <c r="B95" s="98">
        <v>45547.0</v>
      </c>
      <c r="C95" s="98"/>
      <c r="D95" s="99"/>
      <c r="E95" s="104">
        <v>1659883.0</v>
      </c>
      <c r="F95" s="99">
        <f t="shared" si="10"/>
        <v>890</v>
      </c>
      <c r="G95" s="100">
        <v>464.0</v>
      </c>
      <c r="H95" s="101">
        <v>301.0</v>
      </c>
      <c r="I95" s="101">
        <v>300.0</v>
      </c>
      <c r="J95" s="102">
        <f t="shared" si="8"/>
        <v>1</v>
      </c>
      <c r="K95" s="170">
        <f t="shared" si="9"/>
        <v>33.70786517</v>
      </c>
      <c r="L95" s="54"/>
      <c r="M95" s="54"/>
      <c r="N95" s="54"/>
    </row>
    <row r="96">
      <c r="A96" s="54"/>
      <c r="B96" s="98">
        <v>45548.0</v>
      </c>
      <c r="C96" s="98"/>
      <c r="D96" s="99"/>
      <c r="E96" s="104">
        <v>1660546.0</v>
      </c>
      <c r="F96" s="99">
        <f t="shared" si="10"/>
        <v>663</v>
      </c>
      <c r="G96" s="100">
        <v>442.0</v>
      </c>
      <c r="H96" s="101">
        <v>153.0</v>
      </c>
      <c r="I96" s="101">
        <v>150.0</v>
      </c>
      <c r="J96" s="102">
        <f t="shared" si="8"/>
        <v>3</v>
      </c>
      <c r="K96" s="170">
        <f t="shared" si="9"/>
        <v>22.62443439</v>
      </c>
      <c r="L96" s="54"/>
      <c r="M96" s="54"/>
      <c r="N96" s="54"/>
    </row>
    <row r="97">
      <c r="A97" s="54"/>
      <c r="B97" s="98">
        <v>45549.0</v>
      </c>
      <c r="C97" s="98"/>
      <c r="D97" s="99"/>
      <c r="E97" s="100">
        <v>1661693.0</v>
      </c>
      <c r="F97" s="99">
        <f t="shared" si="10"/>
        <v>1147</v>
      </c>
      <c r="G97" s="100">
        <v>421.0</v>
      </c>
      <c r="H97" s="101">
        <v>287.0</v>
      </c>
      <c r="I97" s="101">
        <v>300.0</v>
      </c>
      <c r="J97" s="102">
        <f t="shared" si="8"/>
        <v>-13</v>
      </c>
      <c r="K97" s="170">
        <f t="shared" si="9"/>
        <v>26.15518745</v>
      </c>
      <c r="L97" s="54"/>
      <c r="M97" s="54"/>
      <c r="N97" s="54"/>
    </row>
    <row r="98">
      <c r="A98" s="54"/>
      <c r="B98" s="98">
        <v>45550.0</v>
      </c>
      <c r="C98" s="98"/>
      <c r="D98" s="99"/>
      <c r="E98" s="104">
        <v>1662096.0</v>
      </c>
      <c r="F98" s="99">
        <f t="shared" si="10"/>
        <v>403</v>
      </c>
      <c r="G98" s="100">
        <v>476.0</v>
      </c>
      <c r="H98" s="101">
        <v>160.0</v>
      </c>
      <c r="I98" s="101">
        <v>150.0</v>
      </c>
      <c r="J98" s="102">
        <f t="shared" si="8"/>
        <v>10</v>
      </c>
      <c r="K98" s="170">
        <f t="shared" si="9"/>
        <v>37.22084367</v>
      </c>
      <c r="L98" s="54"/>
      <c r="M98" s="54"/>
      <c r="N98" s="54"/>
    </row>
    <row r="99">
      <c r="A99" s="54"/>
      <c r="B99" s="98">
        <v>45554.0</v>
      </c>
      <c r="C99" s="98"/>
      <c r="D99" s="99"/>
      <c r="E99" s="100">
        <v>1663154.0</v>
      </c>
      <c r="F99" s="99">
        <f t="shared" si="10"/>
        <v>1058</v>
      </c>
      <c r="G99" s="100">
        <v>432.0</v>
      </c>
      <c r="H99" s="101">
        <v>306.0</v>
      </c>
      <c r="I99" s="101">
        <v>300.0</v>
      </c>
      <c r="J99" s="102">
        <f t="shared" si="8"/>
        <v>6</v>
      </c>
      <c r="K99" s="170">
        <f t="shared" si="9"/>
        <v>28.35538752</v>
      </c>
      <c r="L99" s="54"/>
      <c r="M99" s="54"/>
      <c r="N99" s="54"/>
    </row>
    <row r="100">
      <c r="A100" s="54"/>
      <c r="B100" s="98">
        <v>45557.0</v>
      </c>
      <c r="C100" s="98"/>
      <c r="D100" s="99"/>
      <c r="E100" s="100">
        <v>1664156.0</v>
      </c>
      <c r="F100" s="99">
        <f t="shared" si="10"/>
        <v>1002</v>
      </c>
      <c r="G100" s="100">
        <v>445.0</v>
      </c>
      <c r="H100" s="101">
        <v>299.0</v>
      </c>
      <c r="I100" s="101">
        <v>300.0</v>
      </c>
      <c r="J100" s="102">
        <f t="shared" si="8"/>
        <v>-1</v>
      </c>
      <c r="K100" s="170">
        <f t="shared" si="9"/>
        <v>29.94011976</v>
      </c>
      <c r="L100" s="54"/>
      <c r="M100" s="54"/>
      <c r="N100" s="54"/>
    </row>
    <row r="101">
      <c r="A101" s="54"/>
      <c r="B101" s="98">
        <v>45558.0</v>
      </c>
      <c r="C101" s="98"/>
      <c r="D101" s="99"/>
      <c r="E101" s="100">
        <v>1664800.0</v>
      </c>
      <c r="F101" s="99">
        <f t="shared" si="10"/>
        <v>644</v>
      </c>
      <c r="G101" s="100">
        <v>420.0</v>
      </c>
      <c r="H101" s="101">
        <v>149.0</v>
      </c>
      <c r="I101" s="101">
        <v>150.0</v>
      </c>
      <c r="J101" s="102">
        <f t="shared" si="8"/>
        <v>-1</v>
      </c>
      <c r="K101" s="170">
        <f t="shared" si="9"/>
        <v>23.29192547</v>
      </c>
      <c r="L101" s="54"/>
      <c r="M101" s="54"/>
      <c r="N101" s="54"/>
    </row>
    <row r="102">
      <c r="A102" s="54"/>
      <c r="B102" s="98">
        <v>45559.0</v>
      </c>
      <c r="C102" s="98"/>
      <c r="D102" s="99"/>
      <c r="E102" s="100">
        <v>1665692.0</v>
      </c>
      <c r="F102" s="99">
        <f t="shared" si="10"/>
        <v>892</v>
      </c>
      <c r="G102" s="100">
        <v>454.0</v>
      </c>
      <c r="H102" s="101">
        <v>300.0</v>
      </c>
      <c r="I102" s="101">
        <v>300.0</v>
      </c>
      <c r="J102" s="102">
        <f t="shared" si="8"/>
        <v>0</v>
      </c>
      <c r="K102" s="170">
        <f t="shared" si="9"/>
        <v>33.632287</v>
      </c>
      <c r="L102" s="54"/>
      <c r="M102" s="54"/>
      <c r="N102" s="54"/>
    </row>
    <row r="103">
      <c r="A103" s="54"/>
      <c r="B103" s="98">
        <v>45560.0</v>
      </c>
      <c r="C103" s="98"/>
      <c r="D103" s="99"/>
      <c r="E103" s="100">
        <v>1666355.0</v>
      </c>
      <c r="F103" s="99">
        <f t="shared" si="10"/>
        <v>663</v>
      </c>
      <c r="G103" s="100">
        <v>428.0</v>
      </c>
      <c r="H103" s="101">
        <v>145.0</v>
      </c>
      <c r="I103" s="101">
        <v>150.0</v>
      </c>
      <c r="J103" s="102">
        <f t="shared" si="8"/>
        <v>-5</v>
      </c>
      <c r="K103" s="170">
        <f t="shared" si="9"/>
        <v>22.62443439</v>
      </c>
      <c r="L103" s="54"/>
      <c r="M103" s="54"/>
      <c r="N103" s="54"/>
    </row>
    <row r="104">
      <c r="A104" s="54"/>
      <c r="B104" s="98">
        <v>45561.0</v>
      </c>
      <c r="C104" s="98"/>
      <c r="D104" s="99"/>
      <c r="E104" s="100">
        <v>1667435.0</v>
      </c>
      <c r="F104" s="99">
        <f t="shared" si="10"/>
        <v>1080</v>
      </c>
      <c r="G104" s="100">
        <v>470.0</v>
      </c>
      <c r="H104" s="101">
        <v>347.0</v>
      </c>
      <c r="I104" s="101">
        <v>350.0</v>
      </c>
      <c r="J104" s="102">
        <f t="shared" si="8"/>
        <v>-3</v>
      </c>
      <c r="K104" s="170">
        <f t="shared" si="9"/>
        <v>32.40740741</v>
      </c>
      <c r="L104" s="54"/>
      <c r="M104" s="54"/>
      <c r="N104" s="54"/>
    </row>
    <row r="105">
      <c r="A105" s="54"/>
      <c r="B105" s="98">
        <v>45562.0</v>
      </c>
      <c r="C105" s="98"/>
      <c r="D105" s="99"/>
      <c r="E105" s="100">
        <v>1667910.0</v>
      </c>
      <c r="F105" s="99">
        <f t="shared" si="10"/>
        <v>475</v>
      </c>
      <c r="G105" s="100">
        <v>435.0</v>
      </c>
      <c r="H105" s="101">
        <v>102.0</v>
      </c>
      <c r="I105" s="101">
        <v>100.0</v>
      </c>
      <c r="J105" s="102">
        <f t="shared" si="8"/>
        <v>2</v>
      </c>
      <c r="K105" s="170">
        <f t="shared" si="9"/>
        <v>21.05263158</v>
      </c>
      <c r="L105" s="54"/>
      <c r="M105" s="54"/>
      <c r="N105" s="54"/>
    </row>
    <row r="106">
      <c r="A106" s="54"/>
      <c r="B106" s="98">
        <v>45564.0</v>
      </c>
      <c r="C106" s="98"/>
      <c r="D106" s="99"/>
      <c r="E106" s="100">
        <v>1669146.0</v>
      </c>
      <c r="F106" s="99">
        <f t="shared" si="10"/>
        <v>1236</v>
      </c>
      <c r="G106" s="100">
        <v>458.0</v>
      </c>
      <c r="H106" s="101">
        <v>362.0</v>
      </c>
      <c r="I106" s="101">
        <v>350.0</v>
      </c>
      <c r="J106" s="102">
        <f t="shared" si="8"/>
        <v>12</v>
      </c>
      <c r="K106" s="170">
        <f t="shared" si="9"/>
        <v>28.3171521</v>
      </c>
      <c r="L106" s="54"/>
      <c r="M106" s="54"/>
      <c r="N106" s="54"/>
    </row>
    <row r="107">
      <c r="A107" s="54"/>
      <c r="B107" s="98">
        <v>45564.0</v>
      </c>
      <c r="C107" s="98"/>
      <c r="D107" s="99"/>
      <c r="E107" s="100">
        <v>1669464.0</v>
      </c>
      <c r="F107" s="99">
        <f t="shared" si="10"/>
        <v>318</v>
      </c>
      <c r="G107" s="100">
        <v>457.0</v>
      </c>
      <c r="H107" s="101">
        <v>107.0</v>
      </c>
      <c r="I107" s="101">
        <v>100.0</v>
      </c>
      <c r="J107" s="102">
        <f t="shared" si="8"/>
        <v>7</v>
      </c>
      <c r="K107" s="170">
        <f t="shared" si="9"/>
        <v>31.44654088</v>
      </c>
      <c r="L107" s="54"/>
      <c r="M107" s="54"/>
      <c r="N107" s="54"/>
    </row>
    <row r="108">
      <c r="A108" s="68"/>
      <c r="B108" s="203" t="str">
        <f>IF(L108=4,"АПРЕЛЬ",IF(L108=5,"МАЙ",IF(L108=1,"ЯНВАРЬ",IF(L108=2,"ФЕВРАЛЬ",IF(L108=3,"МАРТ",IF(L108=6,"ИЮНЬ",IF(L108=7,"ИЮЛЬ",IF(L108=8,"АВГУСТ",IF(L108=9,"СЕНТЯБРЬ",IF(L108=10,"ОКТЯБРЬ",IF(L108=11,"НОЯБРЬ",IF(L108=12,"ДЕКАБРЬ"))))))))))))</f>
        <v>ОКТЯБРЬ</v>
      </c>
      <c r="J108" s="88"/>
      <c r="K108" s="204"/>
      <c r="L108" s="91">
        <f>MONTH(B109)</f>
        <v>10</v>
      </c>
      <c r="M108" s="66"/>
      <c r="N108" s="66"/>
      <c r="O108" s="66"/>
      <c r="P108" s="66"/>
      <c r="Q108" s="66"/>
    </row>
    <row r="109">
      <c r="A109" s="54"/>
      <c r="B109" s="110">
        <v>45582.0</v>
      </c>
      <c r="C109" s="110"/>
      <c r="D109" s="99"/>
      <c r="E109" s="100">
        <v>1670197.0</v>
      </c>
      <c r="F109" s="99">
        <f>E109-E107</f>
        <v>733</v>
      </c>
      <c r="G109" s="100">
        <v>489.0</v>
      </c>
      <c r="H109" s="101">
        <v>260.0</v>
      </c>
      <c r="I109" s="101">
        <v>250.0</v>
      </c>
      <c r="J109" s="102">
        <f t="shared" ref="J109:J122" si="11">H109-I109</f>
        <v>10</v>
      </c>
      <c r="K109" s="103">
        <f t="shared" ref="K109:K122" si="12">I109/F109*100</f>
        <v>34.10641201</v>
      </c>
      <c r="L109" s="54"/>
      <c r="M109" s="205" t="str">
        <f>"тотал"&amp;" "&amp;B108&amp;" "&amp;RIGHT(YEAR(B109),2)</f>
        <v>тотал ОКТЯБРЬ 24</v>
      </c>
      <c r="N109" s="75"/>
      <c r="O109" s="75"/>
      <c r="P109" s="75"/>
      <c r="Q109" s="76"/>
    </row>
    <row r="110">
      <c r="A110" s="54"/>
      <c r="B110" s="110">
        <v>45584.0</v>
      </c>
      <c r="C110" s="110"/>
      <c r="D110" s="99"/>
      <c r="E110" s="100">
        <v>1671644.0</v>
      </c>
      <c r="F110" s="99">
        <f t="shared" ref="F110:F122" si="13">E110-E109</f>
        <v>1447</v>
      </c>
      <c r="G110" s="100">
        <v>391.0</v>
      </c>
      <c r="H110" s="101">
        <v>309.0</v>
      </c>
      <c r="I110" s="101">
        <v>300.0</v>
      </c>
      <c r="J110" s="102">
        <f t="shared" si="11"/>
        <v>9</v>
      </c>
      <c r="K110" s="103">
        <f t="shared" si="12"/>
        <v>20.7325501</v>
      </c>
      <c r="L110" s="54"/>
      <c r="M110" s="198" t="s">
        <v>70</v>
      </c>
      <c r="N110" s="198" t="s">
        <v>71</v>
      </c>
      <c r="O110" s="83" t="s">
        <v>27</v>
      </c>
      <c r="P110" s="77" t="s">
        <v>28</v>
      </c>
      <c r="Q110" s="12" t="s">
        <v>78</v>
      </c>
    </row>
    <row r="111">
      <c r="A111" s="54"/>
      <c r="B111" s="110">
        <v>45585.0</v>
      </c>
      <c r="C111" s="110"/>
      <c r="D111" s="99"/>
      <c r="E111" s="100">
        <v>1672516.0</v>
      </c>
      <c r="F111" s="99">
        <f t="shared" si="13"/>
        <v>872</v>
      </c>
      <c r="G111" s="100">
        <v>506.0</v>
      </c>
      <c r="H111" s="101">
        <v>375.0</v>
      </c>
      <c r="I111" s="101">
        <v>359.66</v>
      </c>
      <c r="J111" s="102">
        <f t="shared" si="11"/>
        <v>15.34</v>
      </c>
      <c r="K111" s="103">
        <f t="shared" si="12"/>
        <v>41.24541284</v>
      </c>
      <c r="L111" s="54"/>
      <c r="M111" s="199">
        <f>SUM(F109:F122)</f>
        <v>11129</v>
      </c>
      <c r="N111" s="199">
        <f>SUM(I109:I122)</f>
        <v>3203.26</v>
      </c>
      <c r="O111" s="85">
        <f>N111/M111*100</f>
        <v>28.78299937</v>
      </c>
      <c r="P111" s="79">
        <f>(M111/100)*(O111-Q111)</f>
        <v>87.14</v>
      </c>
      <c r="Q111" s="78">
        <v>28.0</v>
      </c>
    </row>
    <row r="112">
      <c r="A112" s="54"/>
      <c r="B112" s="110">
        <v>45586.0</v>
      </c>
      <c r="C112" s="110"/>
      <c r="D112" s="99"/>
      <c r="E112" s="100">
        <v>1673135.0</v>
      </c>
      <c r="F112" s="99">
        <f t="shared" si="13"/>
        <v>619</v>
      </c>
      <c r="G112" s="100">
        <v>388.0</v>
      </c>
      <c r="H112" s="101">
        <v>77.0</v>
      </c>
      <c r="I112" s="101">
        <v>70.0</v>
      </c>
      <c r="J112" s="102">
        <f t="shared" si="11"/>
        <v>7</v>
      </c>
      <c r="K112" s="103">
        <f t="shared" si="12"/>
        <v>11.3085622</v>
      </c>
      <c r="L112" s="54"/>
      <c r="M112" s="54"/>
      <c r="N112" s="54"/>
    </row>
    <row r="113">
      <c r="A113" s="54"/>
      <c r="B113" s="110">
        <v>45587.0</v>
      </c>
      <c r="C113" s="110"/>
      <c r="D113" s="99"/>
      <c r="E113" s="111">
        <v>1674017.0</v>
      </c>
      <c r="F113" s="99">
        <f t="shared" si="13"/>
        <v>882</v>
      </c>
      <c r="G113" s="100">
        <v>382.0</v>
      </c>
      <c r="H113" s="101">
        <v>248.0</v>
      </c>
      <c r="I113" s="101">
        <v>260.0</v>
      </c>
      <c r="J113" s="102">
        <f t="shared" si="11"/>
        <v>-12</v>
      </c>
      <c r="K113" s="103">
        <f t="shared" si="12"/>
        <v>29.47845805</v>
      </c>
      <c r="L113" s="54"/>
      <c r="M113" s="54"/>
      <c r="N113" s="54"/>
    </row>
    <row r="114">
      <c r="A114" s="54"/>
      <c r="B114" s="110">
        <v>45588.0</v>
      </c>
      <c r="C114" s="110"/>
      <c r="D114" s="99"/>
      <c r="E114" s="100">
        <v>1674379.0</v>
      </c>
      <c r="F114" s="99">
        <f t="shared" si="13"/>
        <v>362</v>
      </c>
      <c r="G114" s="100">
        <v>465.0</v>
      </c>
      <c r="H114" s="101">
        <v>193.0</v>
      </c>
      <c r="I114" s="101">
        <v>190.0</v>
      </c>
      <c r="J114" s="102">
        <f t="shared" si="11"/>
        <v>3</v>
      </c>
      <c r="K114" s="103">
        <f t="shared" si="12"/>
        <v>52.48618785</v>
      </c>
      <c r="L114" s="54"/>
      <c r="M114" s="54"/>
      <c r="N114" s="54"/>
    </row>
    <row r="115">
      <c r="A115" s="54"/>
      <c r="B115" s="110">
        <v>45589.0</v>
      </c>
      <c r="C115" s="110"/>
      <c r="D115" s="99"/>
      <c r="E115" s="100">
        <v>1675528.0</v>
      </c>
      <c r="F115" s="99">
        <f t="shared" si="13"/>
        <v>1149</v>
      </c>
      <c r="G115" s="100">
        <v>430.0</v>
      </c>
      <c r="H115" s="101">
        <v>293.0</v>
      </c>
      <c r="I115" s="101">
        <v>300.0</v>
      </c>
      <c r="J115" s="102">
        <f t="shared" si="11"/>
        <v>-7</v>
      </c>
      <c r="K115" s="103">
        <f t="shared" si="12"/>
        <v>26.10966057</v>
      </c>
      <c r="L115" s="54"/>
      <c r="M115" s="54"/>
      <c r="N115" s="54"/>
    </row>
    <row r="116">
      <c r="A116" s="54"/>
      <c r="B116" s="110">
        <v>45590.0</v>
      </c>
      <c r="C116" s="110"/>
      <c r="D116" s="99"/>
      <c r="E116" s="100">
        <v>1675932.0</v>
      </c>
      <c r="F116" s="99">
        <f t="shared" si="13"/>
        <v>404</v>
      </c>
      <c r="G116" s="100">
        <v>491.0</v>
      </c>
      <c r="H116" s="101">
        <v>174.0</v>
      </c>
      <c r="I116" s="101">
        <v>150.0</v>
      </c>
      <c r="J116" s="102">
        <f t="shared" si="11"/>
        <v>24</v>
      </c>
      <c r="K116" s="103">
        <f t="shared" si="12"/>
        <v>37.12871287</v>
      </c>
      <c r="L116" s="54"/>
      <c r="M116" s="54"/>
      <c r="N116" s="54"/>
    </row>
    <row r="117">
      <c r="A117" s="54"/>
      <c r="B117" s="110">
        <v>45591.0</v>
      </c>
      <c r="C117" s="110"/>
      <c r="D117" s="99"/>
      <c r="E117" s="100">
        <v>1677080.0</v>
      </c>
      <c r="F117" s="99">
        <f t="shared" si="13"/>
        <v>1148</v>
      </c>
      <c r="G117" s="100">
        <v>455.0</v>
      </c>
      <c r="H117" s="101">
        <v>295.0</v>
      </c>
      <c r="I117" s="101">
        <v>300.0</v>
      </c>
      <c r="J117" s="102">
        <f t="shared" si="11"/>
        <v>-5</v>
      </c>
      <c r="K117" s="103">
        <f t="shared" si="12"/>
        <v>26.13240418</v>
      </c>
      <c r="L117" s="54"/>
      <c r="M117" s="54"/>
      <c r="N117" s="54"/>
    </row>
    <row r="118">
      <c r="A118" s="54"/>
      <c r="B118" s="110">
        <v>45592.0</v>
      </c>
      <c r="C118" s="110"/>
      <c r="D118" s="99"/>
      <c r="E118" s="100">
        <v>1677484.0</v>
      </c>
      <c r="F118" s="99">
        <f t="shared" si="13"/>
        <v>404</v>
      </c>
      <c r="G118" s="100">
        <v>499.0</v>
      </c>
      <c r="H118" s="101">
        <v>159.0</v>
      </c>
      <c r="I118" s="101">
        <v>136.17</v>
      </c>
      <c r="J118" s="102">
        <f t="shared" si="11"/>
        <v>22.83</v>
      </c>
      <c r="K118" s="103">
        <f t="shared" si="12"/>
        <v>33.70544554</v>
      </c>
      <c r="L118" s="54"/>
      <c r="M118" s="54"/>
      <c r="N118" s="54"/>
    </row>
    <row r="119">
      <c r="A119" s="54"/>
      <c r="B119" s="110">
        <v>45593.0</v>
      </c>
      <c r="C119" s="110"/>
      <c r="D119" s="99"/>
      <c r="E119" s="100">
        <v>1678636.0</v>
      </c>
      <c r="F119" s="99">
        <f t="shared" si="13"/>
        <v>1152</v>
      </c>
      <c r="G119" s="100">
        <v>461.0</v>
      </c>
      <c r="H119" s="101">
        <v>301.0</v>
      </c>
      <c r="I119" s="101">
        <v>300.0</v>
      </c>
      <c r="J119" s="102">
        <f t="shared" si="11"/>
        <v>1</v>
      </c>
      <c r="K119" s="103">
        <f t="shared" si="12"/>
        <v>26.04166667</v>
      </c>
      <c r="L119" s="54"/>
      <c r="M119" s="54"/>
      <c r="N119" s="54"/>
    </row>
    <row r="120">
      <c r="A120" s="54"/>
      <c r="B120" s="110">
        <v>45594.0</v>
      </c>
      <c r="C120" s="110"/>
      <c r="D120" s="99"/>
      <c r="E120" s="100">
        <v>1679041.0</v>
      </c>
      <c r="F120" s="99">
        <f t="shared" si="13"/>
        <v>405</v>
      </c>
      <c r="G120" s="100">
        <v>489.0</v>
      </c>
      <c r="H120" s="101">
        <v>150.0</v>
      </c>
      <c r="I120" s="101">
        <v>147.57</v>
      </c>
      <c r="J120" s="102">
        <f t="shared" si="11"/>
        <v>2.43</v>
      </c>
      <c r="K120" s="103">
        <f t="shared" si="12"/>
        <v>36.43703704</v>
      </c>
      <c r="L120" s="54"/>
      <c r="M120" s="54"/>
      <c r="N120" s="54"/>
    </row>
    <row r="121">
      <c r="A121" s="54"/>
      <c r="B121" s="110">
        <v>45595.0</v>
      </c>
      <c r="C121" s="110"/>
      <c r="D121" s="99"/>
      <c r="E121" s="100">
        <v>1680275.0</v>
      </c>
      <c r="F121" s="99">
        <f t="shared" si="13"/>
        <v>1234</v>
      </c>
      <c r="G121" s="100">
        <v>441.0</v>
      </c>
      <c r="H121" s="101">
        <v>306.0</v>
      </c>
      <c r="I121" s="101">
        <v>300.0</v>
      </c>
      <c r="J121" s="102">
        <f t="shared" si="11"/>
        <v>6</v>
      </c>
      <c r="K121" s="103">
        <f t="shared" si="12"/>
        <v>24.31118314</v>
      </c>
      <c r="L121" s="54"/>
      <c r="M121" s="54"/>
      <c r="N121" s="54"/>
    </row>
    <row r="122">
      <c r="A122" s="54"/>
      <c r="B122" s="110">
        <v>45596.0</v>
      </c>
      <c r="C122" s="110"/>
      <c r="D122" s="99"/>
      <c r="E122" s="100">
        <v>1680593.0</v>
      </c>
      <c r="F122" s="99">
        <f t="shared" si="13"/>
        <v>318</v>
      </c>
      <c r="G122" s="100">
        <v>351.0</v>
      </c>
      <c r="H122" s="101">
        <v>149.0</v>
      </c>
      <c r="I122" s="101">
        <v>139.86</v>
      </c>
      <c r="J122" s="102">
        <f t="shared" si="11"/>
        <v>9.14</v>
      </c>
      <c r="K122" s="103">
        <f t="shared" si="12"/>
        <v>43.98113208</v>
      </c>
      <c r="L122" s="54"/>
      <c r="M122" s="54"/>
      <c r="N122" s="54"/>
    </row>
    <row r="123">
      <c r="A123" s="68"/>
      <c r="B123" s="203" t="str">
        <f>IF(L123=4,"АПРЕЛЬ",IF(L123=5,"МАЙ",IF(L123=1,"ЯНВАРЬ",IF(L123=2,"ФЕВРАЛЬ",IF(L123=3,"МАРТ",IF(L123=6,"ИЮНЬ",IF(L123=7,"ИЮЛЬ",IF(L123=8,"АВГУСТ",IF(L123=9,"СЕНТЯБРЬ",IF(L123=10,"ОКТЯБРЬ",IF(L123=11,"НОЯБРЬ",IF(L123=12,"ДЕКАБРЬ"))))))))))))</f>
        <v>НОЯБРЬ</v>
      </c>
      <c r="J123" s="88"/>
      <c r="K123" s="204"/>
      <c r="L123" s="91">
        <f>MONTH(B124)</f>
        <v>11</v>
      </c>
      <c r="M123" s="66"/>
      <c r="N123" s="66"/>
      <c r="O123" s="66"/>
      <c r="P123" s="66"/>
      <c r="Q123" s="66"/>
    </row>
    <row r="124">
      <c r="A124" s="54"/>
      <c r="B124" s="110">
        <v>45597.0</v>
      </c>
      <c r="C124" s="110"/>
      <c r="D124" s="99"/>
      <c r="E124" s="100">
        <v>1681744.0</v>
      </c>
      <c r="F124" s="99">
        <f>E124-E122</f>
        <v>1151</v>
      </c>
      <c r="G124" s="100">
        <v>466.0</v>
      </c>
      <c r="H124" s="101">
        <v>312.0</v>
      </c>
      <c r="I124" s="101">
        <v>300.0</v>
      </c>
      <c r="J124" s="102">
        <f t="shared" ref="J124:J139" si="14">H124-I124</f>
        <v>12</v>
      </c>
      <c r="K124" s="103">
        <f t="shared" ref="K124:K139" si="15">I124/F124*100</f>
        <v>26.06429192</v>
      </c>
      <c r="L124" s="54"/>
      <c r="M124" s="205" t="str">
        <f>"тотал"&amp;" "&amp;B123&amp;" "&amp;RIGHT(YEAR(B124),2)</f>
        <v>тотал НОЯБРЬ 24</v>
      </c>
      <c r="N124" s="75"/>
      <c r="O124" s="75"/>
      <c r="P124" s="75"/>
      <c r="Q124" s="76"/>
    </row>
    <row r="125">
      <c r="A125" s="54"/>
      <c r="B125" s="110">
        <v>45598.0</v>
      </c>
      <c r="C125" s="110"/>
      <c r="D125" s="99"/>
      <c r="E125" s="206">
        <v>1682148.0</v>
      </c>
      <c r="F125" s="99">
        <f t="shared" ref="F125:F139" si="16">E125-E124</f>
        <v>404</v>
      </c>
      <c r="G125" s="100">
        <v>502.0</v>
      </c>
      <c r="H125" s="101">
        <v>174.0</v>
      </c>
      <c r="I125" s="101">
        <v>150.0</v>
      </c>
      <c r="J125" s="102">
        <f t="shared" si="14"/>
        <v>24</v>
      </c>
      <c r="K125" s="103">
        <f t="shared" si="15"/>
        <v>37.12871287</v>
      </c>
      <c r="L125" s="54"/>
      <c r="M125" s="198" t="s">
        <v>70</v>
      </c>
      <c r="N125" s="198" t="s">
        <v>71</v>
      </c>
      <c r="O125" s="83" t="s">
        <v>27</v>
      </c>
      <c r="P125" s="77" t="s">
        <v>28</v>
      </c>
      <c r="Q125" s="12" t="s">
        <v>78</v>
      </c>
    </row>
    <row r="126">
      <c r="A126" s="54"/>
      <c r="B126" s="110">
        <v>45599.0</v>
      </c>
      <c r="C126" s="110"/>
      <c r="D126" s="99"/>
      <c r="E126" s="100">
        <v>1683387.0</v>
      </c>
      <c r="F126" s="99">
        <f t="shared" si="16"/>
        <v>1239</v>
      </c>
      <c r="G126" s="100">
        <v>475.0</v>
      </c>
      <c r="H126" s="101">
        <v>359.0</v>
      </c>
      <c r="I126" s="101">
        <v>350.0</v>
      </c>
      <c r="J126" s="102">
        <f t="shared" si="14"/>
        <v>9</v>
      </c>
      <c r="K126" s="103">
        <f t="shared" si="15"/>
        <v>28.24858757</v>
      </c>
      <c r="L126" s="54"/>
      <c r="M126" s="199">
        <f>SUM(F124:F139)</f>
        <v>12537</v>
      </c>
      <c r="N126" s="199">
        <f>SUM(I124:I139)</f>
        <v>3600</v>
      </c>
      <c r="O126" s="85">
        <f>N126/M126*100</f>
        <v>28.71500359</v>
      </c>
      <c r="P126" s="79">
        <f>(M126/100)*(O126-Q126)</f>
        <v>89.64</v>
      </c>
      <c r="Q126" s="78">
        <v>28.0</v>
      </c>
    </row>
    <row r="127">
      <c r="A127" s="54"/>
      <c r="B127" s="110">
        <v>45600.0</v>
      </c>
      <c r="C127" s="110"/>
      <c r="D127" s="99"/>
      <c r="E127" s="100">
        <v>1683681.0</v>
      </c>
      <c r="F127" s="99">
        <f t="shared" si="16"/>
        <v>294</v>
      </c>
      <c r="G127" s="100">
        <v>477.0</v>
      </c>
      <c r="H127" s="101">
        <v>91.0</v>
      </c>
      <c r="I127" s="101">
        <v>100.0</v>
      </c>
      <c r="J127" s="102">
        <f t="shared" si="14"/>
        <v>-9</v>
      </c>
      <c r="K127" s="103">
        <f t="shared" si="15"/>
        <v>34.01360544</v>
      </c>
      <c r="L127" s="54"/>
      <c r="M127" s="54"/>
      <c r="N127" s="54"/>
    </row>
    <row r="128">
      <c r="A128" s="54"/>
      <c r="B128" s="110">
        <v>45601.0</v>
      </c>
      <c r="C128" s="110"/>
      <c r="D128" s="99"/>
      <c r="E128" s="100">
        <v>1684856.0</v>
      </c>
      <c r="F128" s="99">
        <f t="shared" si="16"/>
        <v>1175</v>
      </c>
      <c r="G128" s="100">
        <v>507.0</v>
      </c>
      <c r="H128" s="101">
        <v>364.0</v>
      </c>
      <c r="I128" s="101">
        <v>350.0</v>
      </c>
      <c r="J128" s="102">
        <f t="shared" si="14"/>
        <v>14</v>
      </c>
      <c r="K128" s="103">
        <f t="shared" si="15"/>
        <v>29.78723404</v>
      </c>
      <c r="L128" s="54"/>
      <c r="M128" s="54"/>
      <c r="N128" s="54"/>
    </row>
    <row r="129">
      <c r="A129" s="54"/>
      <c r="B129" s="110">
        <v>45602.0</v>
      </c>
      <c r="C129" s="110"/>
      <c r="D129" s="99"/>
      <c r="E129" s="100">
        <v>1685266.0</v>
      </c>
      <c r="F129" s="99">
        <f t="shared" si="16"/>
        <v>410</v>
      </c>
      <c r="G129" s="100">
        <v>475.0</v>
      </c>
      <c r="H129" s="101">
        <v>118.0</v>
      </c>
      <c r="I129" s="101">
        <v>100.0</v>
      </c>
      <c r="J129" s="102">
        <f t="shared" si="14"/>
        <v>18</v>
      </c>
      <c r="K129" s="103">
        <f t="shared" si="15"/>
        <v>24.3902439</v>
      </c>
      <c r="L129" s="54"/>
      <c r="M129" s="54"/>
      <c r="N129" s="54"/>
    </row>
    <row r="130">
      <c r="A130" s="54"/>
      <c r="B130" s="110">
        <v>45603.0</v>
      </c>
      <c r="C130" s="110"/>
      <c r="D130" s="99"/>
      <c r="E130" s="100">
        <v>1686409.0</v>
      </c>
      <c r="F130" s="99">
        <f t="shared" si="16"/>
        <v>1143</v>
      </c>
      <c r="G130" s="100">
        <v>471.0</v>
      </c>
      <c r="H130" s="101">
        <v>347.0</v>
      </c>
      <c r="I130" s="101">
        <v>350.0</v>
      </c>
      <c r="J130" s="102">
        <f t="shared" si="14"/>
        <v>-3</v>
      </c>
      <c r="K130" s="103">
        <f t="shared" si="15"/>
        <v>30.62117235</v>
      </c>
      <c r="L130" s="54"/>
      <c r="M130" s="54"/>
      <c r="N130" s="54"/>
    </row>
    <row r="131">
      <c r="A131" s="54"/>
      <c r="B131" s="110">
        <v>45604.0</v>
      </c>
      <c r="C131" s="110"/>
      <c r="D131" s="99"/>
      <c r="E131" s="100">
        <v>1686813.0</v>
      </c>
      <c r="F131" s="99">
        <f t="shared" si="16"/>
        <v>404</v>
      </c>
      <c r="G131" s="100">
        <v>462.0</v>
      </c>
      <c r="H131" s="101">
        <v>100.0</v>
      </c>
      <c r="I131" s="101">
        <v>100.0</v>
      </c>
      <c r="J131" s="102">
        <f t="shared" si="14"/>
        <v>0</v>
      </c>
      <c r="K131" s="103">
        <f t="shared" si="15"/>
        <v>24.75247525</v>
      </c>
      <c r="L131" s="54"/>
      <c r="M131" s="54"/>
      <c r="N131" s="54"/>
    </row>
    <row r="132">
      <c r="A132" s="54"/>
      <c r="B132" s="110">
        <v>45605.0</v>
      </c>
      <c r="C132" s="110"/>
      <c r="D132" s="99"/>
      <c r="E132" s="100">
        <v>1688055.0</v>
      </c>
      <c r="F132" s="99">
        <f t="shared" si="16"/>
        <v>1242</v>
      </c>
      <c r="G132" s="100">
        <v>461.0</v>
      </c>
      <c r="H132" s="101">
        <v>348.0</v>
      </c>
      <c r="I132" s="101">
        <v>350.0</v>
      </c>
      <c r="J132" s="102">
        <f t="shared" si="14"/>
        <v>-2</v>
      </c>
      <c r="K132" s="103">
        <f t="shared" si="15"/>
        <v>28.18035427</v>
      </c>
      <c r="L132" s="54"/>
      <c r="M132" s="54"/>
      <c r="N132" s="54"/>
    </row>
    <row r="133">
      <c r="A133" s="54"/>
      <c r="B133" s="110">
        <v>45606.0</v>
      </c>
      <c r="C133" s="110"/>
      <c r="D133" s="99"/>
      <c r="E133" s="100">
        <v>1688460.0</v>
      </c>
      <c r="F133" s="99">
        <f t="shared" si="16"/>
        <v>405</v>
      </c>
      <c r="G133" s="100">
        <v>445.0</v>
      </c>
      <c r="H133" s="101">
        <v>104.0</v>
      </c>
      <c r="I133" s="101">
        <v>100.0</v>
      </c>
      <c r="J133" s="102">
        <f t="shared" si="14"/>
        <v>4</v>
      </c>
      <c r="K133" s="103">
        <f t="shared" si="15"/>
        <v>24.69135802</v>
      </c>
      <c r="L133" s="54"/>
      <c r="M133" s="54"/>
      <c r="N133" s="54"/>
    </row>
    <row r="134">
      <c r="A134" s="54"/>
      <c r="B134" s="110">
        <v>45607.0</v>
      </c>
      <c r="C134" s="110"/>
      <c r="D134" s="99"/>
      <c r="E134" s="100">
        <v>1689611.0</v>
      </c>
      <c r="F134" s="99">
        <f t="shared" si="16"/>
        <v>1151</v>
      </c>
      <c r="G134" s="100">
        <v>494.0</v>
      </c>
      <c r="H134" s="101">
        <v>367.0</v>
      </c>
      <c r="I134" s="101">
        <v>350.0</v>
      </c>
      <c r="J134" s="102">
        <f t="shared" si="14"/>
        <v>17</v>
      </c>
      <c r="K134" s="103">
        <f t="shared" si="15"/>
        <v>30.40834057</v>
      </c>
      <c r="L134" s="54"/>
      <c r="M134" s="54"/>
      <c r="N134" s="54"/>
    </row>
    <row r="135">
      <c r="A135" s="54"/>
      <c r="B135" s="110">
        <v>45608.0</v>
      </c>
      <c r="C135" s="110"/>
      <c r="D135" s="99"/>
      <c r="E135" s="100">
        <v>1690016.0</v>
      </c>
      <c r="F135" s="99">
        <f t="shared" si="16"/>
        <v>405</v>
      </c>
      <c r="G135" s="100">
        <v>478.0</v>
      </c>
      <c r="H135" s="101">
        <v>116.0</v>
      </c>
      <c r="I135" s="101">
        <v>100.0</v>
      </c>
      <c r="J135" s="102">
        <f t="shared" si="14"/>
        <v>16</v>
      </c>
      <c r="K135" s="103">
        <f t="shared" si="15"/>
        <v>24.69135802</v>
      </c>
      <c r="L135" s="54"/>
      <c r="M135" s="54"/>
      <c r="N135" s="54"/>
    </row>
    <row r="136">
      <c r="A136" s="54"/>
      <c r="B136" s="110">
        <v>45609.0</v>
      </c>
      <c r="C136" s="110"/>
      <c r="D136" s="99"/>
      <c r="E136" s="100">
        <v>1691167.0</v>
      </c>
      <c r="F136" s="99">
        <f t="shared" si="16"/>
        <v>1151</v>
      </c>
      <c r="G136" s="100">
        <v>479.0</v>
      </c>
      <c r="H136" s="101">
        <v>353.0</v>
      </c>
      <c r="I136" s="101">
        <v>350.0</v>
      </c>
      <c r="J136" s="102">
        <f t="shared" si="14"/>
        <v>3</v>
      </c>
      <c r="K136" s="103">
        <f t="shared" si="15"/>
        <v>30.40834057</v>
      </c>
      <c r="L136" s="54"/>
      <c r="M136" s="54"/>
      <c r="N136" s="54"/>
    </row>
    <row r="137">
      <c r="A137" s="54"/>
      <c r="B137" s="110">
        <v>45610.0</v>
      </c>
      <c r="C137" s="110"/>
      <c r="D137" s="99"/>
      <c r="E137" s="100">
        <v>1691571.0</v>
      </c>
      <c r="F137" s="99">
        <f t="shared" si="16"/>
        <v>404</v>
      </c>
      <c r="G137" s="100">
        <v>451.0</v>
      </c>
      <c r="H137" s="101">
        <v>103.0</v>
      </c>
      <c r="I137" s="101">
        <v>100.0</v>
      </c>
      <c r="J137" s="102">
        <f t="shared" si="14"/>
        <v>3</v>
      </c>
      <c r="K137" s="103">
        <f t="shared" si="15"/>
        <v>24.75247525</v>
      </c>
      <c r="L137" s="54"/>
      <c r="M137" s="54"/>
      <c r="N137" s="54"/>
    </row>
    <row r="138">
      <c r="A138" s="54"/>
      <c r="B138" s="110">
        <v>45611.0</v>
      </c>
      <c r="C138" s="110"/>
      <c r="D138" s="99"/>
      <c r="E138" s="100">
        <v>1692725.0</v>
      </c>
      <c r="F138" s="99">
        <f t="shared" si="16"/>
        <v>1154</v>
      </c>
      <c r="G138" s="100">
        <v>468.0</v>
      </c>
      <c r="H138" s="101">
        <v>348.0</v>
      </c>
      <c r="I138" s="101">
        <v>350.0</v>
      </c>
      <c r="J138" s="102">
        <f t="shared" si="14"/>
        <v>-2</v>
      </c>
      <c r="K138" s="103">
        <f t="shared" si="15"/>
        <v>30.32928943</v>
      </c>
      <c r="L138" s="54"/>
      <c r="M138" s="54"/>
      <c r="N138" s="54"/>
    </row>
    <row r="139" ht="16.5" customHeight="1">
      <c r="A139" s="54"/>
      <c r="B139" s="110">
        <v>45612.0</v>
      </c>
      <c r="C139" s="110"/>
      <c r="D139" s="99"/>
      <c r="E139" s="100">
        <v>1693130.0</v>
      </c>
      <c r="F139" s="99">
        <f t="shared" si="16"/>
        <v>405</v>
      </c>
      <c r="G139" s="100">
        <v>442.0</v>
      </c>
      <c r="H139" s="101">
        <v>102.0</v>
      </c>
      <c r="I139" s="101">
        <v>100.0</v>
      </c>
      <c r="J139" s="102">
        <f t="shared" si="14"/>
        <v>2</v>
      </c>
      <c r="K139" s="103">
        <f t="shared" si="15"/>
        <v>24.69135802</v>
      </c>
      <c r="L139" s="54"/>
      <c r="M139" s="54"/>
      <c r="N139" s="54"/>
    </row>
    <row r="140">
      <c r="A140" s="68"/>
      <c r="B140" s="203" t="str">
        <f>IF(L140=4,"АПРЕЛЬ",IF(L140=5,"МАЙ",IF(L140=1,"ЯНВАРЬ",IF(L140=2,"ФЕВРАЛЬ",IF(L140=3,"МАРТ",IF(L140=6,"ИЮНЬ",IF(L140=7,"ИЮЛЬ",IF(L140=8,"АВГУСТ",IF(L140=9,"СЕНТЯБРЬ",IF(L140=10,"ОКТЯБРЬ",IF(L140=11,"НОЯБРЬ",IF(L140=12,"ДЕКАБРЬ"))))))))))))</f>
        <v>ДЕКАБРЬ</v>
      </c>
      <c r="J140" s="88"/>
      <c r="K140" s="204"/>
      <c r="L140" s="91">
        <f>MONTH(B141)</f>
        <v>12</v>
      </c>
      <c r="M140" s="66"/>
      <c r="N140" s="66"/>
      <c r="O140" s="66"/>
      <c r="P140" s="66"/>
      <c r="Q140" s="66"/>
    </row>
    <row r="141">
      <c r="A141" s="54"/>
      <c r="B141" s="110">
        <v>45630.0</v>
      </c>
      <c r="C141" s="110"/>
      <c r="D141" s="99"/>
      <c r="E141" s="100">
        <v>1694082.0</v>
      </c>
      <c r="F141" s="99">
        <f>E141-E139</f>
        <v>952</v>
      </c>
      <c r="G141" s="100">
        <v>491.0</v>
      </c>
      <c r="H141" s="101">
        <v>396.0</v>
      </c>
      <c r="I141" s="101">
        <v>390.21</v>
      </c>
      <c r="J141" s="102">
        <f>H141-I141</f>
        <v>5.79</v>
      </c>
      <c r="K141" s="103">
        <f>I141/F141*100</f>
        <v>40.98844538</v>
      </c>
      <c r="L141" s="54"/>
      <c r="M141" s="205" t="str">
        <f>"тотал"&amp;" "&amp;B140&amp;" "&amp;RIGHT(YEAR(B141),2)</f>
        <v>тотал ДЕКАБРЬ 24</v>
      </c>
      <c r="N141" s="75"/>
      <c r="O141" s="75"/>
      <c r="P141" s="75"/>
      <c r="Q141" s="76"/>
    </row>
    <row r="142">
      <c r="A142" s="54"/>
      <c r="B142" s="110">
        <v>45634.0</v>
      </c>
      <c r="C142" s="110"/>
      <c r="D142" s="102"/>
      <c r="E142" s="124" t="s">
        <v>87</v>
      </c>
      <c r="F142" s="75"/>
      <c r="G142" s="76"/>
      <c r="H142" s="97">
        <v>100.0</v>
      </c>
      <c r="I142" s="97"/>
      <c r="J142" s="102"/>
      <c r="K142" s="103"/>
      <c r="L142" s="54"/>
      <c r="M142" s="198" t="s">
        <v>70</v>
      </c>
      <c r="N142" s="198" t="s">
        <v>71</v>
      </c>
      <c r="O142" s="83" t="s">
        <v>27</v>
      </c>
      <c r="P142" s="77" t="s">
        <v>28</v>
      </c>
      <c r="Q142" s="12" t="s">
        <v>78</v>
      </c>
    </row>
    <row r="143">
      <c r="A143" s="54"/>
      <c r="B143" s="110">
        <v>45634.0</v>
      </c>
      <c r="C143" s="110"/>
      <c r="D143" s="102"/>
      <c r="E143" s="100">
        <v>1694878.0</v>
      </c>
      <c r="F143" s="99">
        <f>E143-E141</f>
        <v>796</v>
      </c>
      <c r="G143" s="100">
        <v>453.0</v>
      </c>
      <c r="H143" s="101">
        <v>316.0</v>
      </c>
      <c r="I143" s="101">
        <v>329.84</v>
      </c>
      <c r="J143" s="102">
        <f t="shared" ref="J143:J151" si="17">H143-I143</f>
        <v>-13.84</v>
      </c>
      <c r="K143" s="103">
        <f t="shared" ref="K143:K151" si="18">I143/F143*100</f>
        <v>41.43718593</v>
      </c>
      <c r="L143" s="54"/>
      <c r="M143" s="199">
        <f>SUM(F141:F151)</f>
        <v>8534</v>
      </c>
      <c r="N143" s="199">
        <f>SUM(I141:I151)</f>
        <v>3230.82</v>
      </c>
      <c r="O143" s="85">
        <f>N143/M143*100</f>
        <v>37.8582142</v>
      </c>
      <c r="P143" s="79">
        <f>(M143/100)*(O143-Q143)</f>
        <v>585.28</v>
      </c>
      <c r="Q143" s="78">
        <v>31.0</v>
      </c>
    </row>
    <row r="144">
      <c r="A144" s="54"/>
      <c r="B144" s="110">
        <v>45637.0</v>
      </c>
      <c r="C144" s="110"/>
      <c r="D144" s="99"/>
      <c r="E144" s="100">
        <v>1696100.0</v>
      </c>
      <c r="F144" s="99">
        <f t="shared" ref="F144:F151" si="19">E144-E143</f>
        <v>1222</v>
      </c>
      <c r="G144" s="100">
        <v>485.0</v>
      </c>
      <c r="H144" s="178">
        <v>399.0</v>
      </c>
      <c r="I144" s="101">
        <v>401.91</v>
      </c>
      <c r="J144" s="102">
        <f t="shared" si="17"/>
        <v>-2.91</v>
      </c>
      <c r="K144" s="103">
        <f t="shared" si="18"/>
        <v>32.88952537</v>
      </c>
      <c r="L144" s="54"/>
      <c r="M144" s="54"/>
      <c r="N144" s="54"/>
    </row>
    <row r="145">
      <c r="A145" s="54"/>
      <c r="B145" s="110">
        <v>45637.0</v>
      </c>
      <c r="C145" s="110"/>
      <c r="D145" s="99"/>
      <c r="E145" s="100">
        <v>1696430.0</v>
      </c>
      <c r="F145" s="99">
        <f t="shared" si="19"/>
        <v>330</v>
      </c>
      <c r="G145" s="100">
        <v>404.0</v>
      </c>
      <c r="H145" s="178">
        <v>43.0</v>
      </c>
      <c r="I145" s="101">
        <v>45.0</v>
      </c>
      <c r="J145" s="102">
        <f t="shared" si="17"/>
        <v>-2</v>
      </c>
      <c r="K145" s="103">
        <f t="shared" si="18"/>
        <v>13.63636364</v>
      </c>
      <c r="L145" s="54"/>
      <c r="M145" s="54"/>
      <c r="N145" s="54"/>
    </row>
    <row r="146">
      <c r="A146" s="54"/>
      <c r="B146" s="110">
        <v>45640.0</v>
      </c>
      <c r="C146" s="110"/>
      <c r="D146" s="99"/>
      <c r="E146" s="100">
        <v>1697407.0</v>
      </c>
      <c r="F146" s="99">
        <f t="shared" si="19"/>
        <v>977</v>
      </c>
      <c r="G146" s="100">
        <v>499.0</v>
      </c>
      <c r="H146" s="101">
        <v>440.0</v>
      </c>
      <c r="I146" s="101">
        <v>433.79</v>
      </c>
      <c r="J146" s="102">
        <f t="shared" si="17"/>
        <v>6.21</v>
      </c>
      <c r="K146" s="103">
        <f t="shared" si="18"/>
        <v>44.40020471</v>
      </c>
      <c r="L146" s="54"/>
      <c r="M146" s="54"/>
      <c r="N146" s="54"/>
    </row>
    <row r="147">
      <c r="A147" s="54"/>
      <c r="B147" s="110">
        <v>45643.0</v>
      </c>
      <c r="C147" s="110"/>
      <c r="D147" s="99"/>
      <c r="E147" s="100">
        <v>1698224.0</v>
      </c>
      <c r="F147" s="99">
        <f t="shared" si="19"/>
        <v>817</v>
      </c>
      <c r="G147" s="100">
        <v>438.0</v>
      </c>
      <c r="H147" s="101">
        <v>288.0</v>
      </c>
      <c r="I147" s="101">
        <v>300.0</v>
      </c>
      <c r="J147" s="102">
        <f t="shared" si="17"/>
        <v>-12</v>
      </c>
      <c r="K147" s="103">
        <f t="shared" si="18"/>
        <v>36.71970624</v>
      </c>
      <c r="L147" s="54"/>
      <c r="M147" s="54"/>
      <c r="N147" s="54"/>
    </row>
    <row r="148">
      <c r="A148" s="54"/>
      <c r="B148" s="110">
        <v>45650.0</v>
      </c>
      <c r="C148" s="110"/>
      <c r="D148" s="99"/>
      <c r="E148" s="100">
        <v>1699264.0</v>
      </c>
      <c r="F148" s="99">
        <f t="shared" si="19"/>
        <v>1040</v>
      </c>
      <c r="G148" s="100">
        <v>498.0</v>
      </c>
      <c r="H148" s="101">
        <v>334.0</v>
      </c>
      <c r="I148" s="101">
        <v>337.22</v>
      </c>
      <c r="J148" s="102">
        <f t="shared" si="17"/>
        <v>-3.22</v>
      </c>
      <c r="K148" s="103">
        <f t="shared" si="18"/>
        <v>32.425</v>
      </c>
      <c r="L148" s="54"/>
      <c r="M148" s="54"/>
      <c r="N148" s="54"/>
    </row>
    <row r="149">
      <c r="A149" s="54"/>
      <c r="B149" s="110">
        <v>45652.0</v>
      </c>
      <c r="C149" s="110"/>
      <c r="D149" s="99"/>
      <c r="E149" s="100">
        <v>1700391.0</v>
      </c>
      <c r="F149" s="99">
        <f t="shared" si="19"/>
        <v>1127</v>
      </c>
      <c r="G149" s="100">
        <v>497.0</v>
      </c>
      <c r="H149" s="101">
        <v>428.0</v>
      </c>
      <c r="I149" s="101">
        <v>558.88</v>
      </c>
      <c r="J149" s="102">
        <f t="shared" si="17"/>
        <v>-130.88</v>
      </c>
      <c r="K149" s="103">
        <f t="shared" si="18"/>
        <v>49.59006211</v>
      </c>
      <c r="L149" s="54"/>
      <c r="M149" s="54"/>
      <c r="N149" s="54"/>
    </row>
    <row r="150">
      <c r="A150" s="54"/>
      <c r="B150" s="110">
        <v>45653.0</v>
      </c>
      <c r="C150" s="110"/>
      <c r="D150" s="99"/>
      <c r="E150" s="100">
        <v>1700654.0</v>
      </c>
      <c r="F150" s="99">
        <f t="shared" si="19"/>
        <v>263</v>
      </c>
      <c r="G150" s="100">
        <v>440.0</v>
      </c>
      <c r="H150" s="101">
        <v>47.0</v>
      </c>
      <c r="I150" s="101">
        <v>40.0</v>
      </c>
      <c r="J150" s="102">
        <f t="shared" si="17"/>
        <v>7</v>
      </c>
      <c r="K150" s="103">
        <f t="shared" si="18"/>
        <v>15.20912548</v>
      </c>
      <c r="L150" s="54"/>
      <c r="M150" s="54"/>
      <c r="N150" s="54"/>
    </row>
    <row r="151">
      <c r="A151" s="54"/>
      <c r="B151" s="110">
        <v>45655.0</v>
      </c>
      <c r="C151" s="110"/>
      <c r="D151" s="99"/>
      <c r="E151" s="100">
        <v>1701664.0</v>
      </c>
      <c r="F151" s="99">
        <f t="shared" si="19"/>
        <v>1010</v>
      </c>
      <c r="G151" s="100">
        <v>479.0</v>
      </c>
      <c r="H151" s="101">
        <v>387.0</v>
      </c>
      <c r="I151" s="101">
        <v>393.97</v>
      </c>
      <c r="J151" s="102">
        <f t="shared" si="17"/>
        <v>-6.97</v>
      </c>
      <c r="K151" s="103">
        <f t="shared" si="18"/>
        <v>39.00693069</v>
      </c>
      <c r="L151" s="54"/>
      <c r="M151" s="54"/>
      <c r="N151" s="54"/>
    </row>
    <row r="152">
      <c r="A152" s="68"/>
      <c r="B152" s="134">
        <v>2025.0</v>
      </c>
      <c r="J152" s="88"/>
      <c r="K152" s="204"/>
      <c r="L152" s="91"/>
      <c r="M152" s="66"/>
      <c r="N152" s="66"/>
      <c r="O152" s="66"/>
      <c r="P152" s="66"/>
      <c r="Q152" s="66"/>
    </row>
    <row r="153">
      <c r="A153" s="68"/>
      <c r="B153" s="203" t="str">
        <f>IF(L153=4,"АПРЕЛЬ",IF(L153=5,"МАЙ",IF(L153=1,"ЯНВАРЬ",IF(L153=2,"ФЕВРАЛЬ",IF(L153=3,"МАРТ",IF(L153=6,"ИЮНЬ",IF(L153=7,"ИЮЛЬ",IF(L153=8,"АВГУСТ",IF(L153=9,"СЕНТЯБРЬ",IF(L153=10,"ОКТЯБРЬ",IF(L153=11,"НОЯБРЬ",IF(L153=12,"ДЕКАБРЬ"))))))))))))</f>
        <v>ЯНВАРЬ</v>
      </c>
      <c r="J153" s="88"/>
      <c r="K153" s="204"/>
      <c r="L153" s="91">
        <f>MONTH(B154)</f>
        <v>1</v>
      </c>
      <c r="M153" s="66"/>
      <c r="N153" s="66"/>
      <c r="O153" s="66"/>
      <c r="P153" s="66"/>
      <c r="Q153" s="66"/>
    </row>
    <row r="154">
      <c r="A154" s="54"/>
      <c r="B154" s="110">
        <v>45658.0</v>
      </c>
      <c r="C154" s="110"/>
      <c r="D154" s="99"/>
      <c r="E154" s="100">
        <v>1702866.0</v>
      </c>
      <c r="F154" s="99">
        <f>E154-E151</f>
        <v>1202</v>
      </c>
      <c r="G154" s="100">
        <v>462.0</v>
      </c>
      <c r="H154" s="101">
        <v>340.0</v>
      </c>
      <c r="I154" s="101">
        <v>350.0</v>
      </c>
      <c r="J154" s="102">
        <f t="shared" ref="J154:J167" si="20">H154-I154</f>
        <v>-10</v>
      </c>
      <c r="K154" s="103">
        <f t="shared" ref="K154:K167" si="21">I154/F154*100</f>
        <v>29.11813644</v>
      </c>
      <c r="L154" s="54"/>
      <c r="M154" s="205" t="str">
        <f>"тотал"&amp;" "&amp;B153&amp;" "&amp;RIGHT(YEAR(B154),2)</f>
        <v>тотал ЯНВАРЬ 25</v>
      </c>
      <c r="N154" s="75"/>
      <c r="O154" s="75"/>
      <c r="P154" s="75"/>
      <c r="Q154" s="76"/>
    </row>
    <row r="155">
      <c r="A155" s="54"/>
      <c r="B155" s="110">
        <v>45658.0</v>
      </c>
      <c r="C155" s="110"/>
      <c r="D155" s="99"/>
      <c r="E155" s="100">
        <v>1702994.0</v>
      </c>
      <c r="F155" s="99">
        <f t="shared" ref="F155:F167" si="22">E155-E154</f>
        <v>128</v>
      </c>
      <c r="G155" s="100">
        <v>472.0</v>
      </c>
      <c r="H155" s="101">
        <v>48.0</v>
      </c>
      <c r="I155" s="101">
        <v>46.03</v>
      </c>
      <c r="J155" s="102">
        <f t="shared" si="20"/>
        <v>1.97</v>
      </c>
      <c r="K155" s="103">
        <f t="shared" si="21"/>
        <v>35.9609375</v>
      </c>
      <c r="L155" s="54"/>
      <c r="M155" s="198" t="s">
        <v>70</v>
      </c>
      <c r="N155" s="198" t="s">
        <v>71</v>
      </c>
      <c r="O155" s="83" t="s">
        <v>27</v>
      </c>
      <c r="P155" s="77" t="s">
        <v>28</v>
      </c>
      <c r="Q155" s="12" t="s">
        <v>78</v>
      </c>
    </row>
    <row r="156">
      <c r="A156" s="54"/>
      <c r="B156" s="110">
        <v>45659.0</v>
      </c>
      <c r="C156" s="110"/>
      <c r="D156" s="99"/>
      <c r="E156" s="100">
        <v>1703996.0</v>
      </c>
      <c r="F156" s="99">
        <f t="shared" si="22"/>
        <v>1002</v>
      </c>
      <c r="G156" s="100">
        <v>462.0</v>
      </c>
      <c r="H156" s="101">
        <v>289.0</v>
      </c>
      <c r="I156" s="101">
        <v>300.0</v>
      </c>
      <c r="J156" s="102">
        <f t="shared" si="20"/>
        <v>-11</v>
      </c>
      <c r="K156" s="103">
        <f t="shared" si="21"/>
        <v>29.94011976</v>
      </c>
      <c r="L156" s="54"/>
      <c r="M156" s="199">
        <f>SUM(F154:F167)</f>
        <v>11328</v>
      </c>
      <c r="N156" s="199">
        <f>SUM(I154:I167)</f>
        <v>3364.21</v>
      </c>
      <c r="O156" s="85">
        <f>N156/M156*100</f>
        <v>29.6981815</v>
      </c>
      <c r="P156" s="79">
        <f>(M156/100)*(O156-Q156)</f>
        <v>143.6596</v>
      </c>
      <c r="Q156" s="78">
        <v>28.43</v>
      </c>
    </row>
    <row r="157">
      <c r="A157" s="54"/>
      <c r="B157" s="110">
        <v>45660.0</v>
      </c>
      <c r="C157" s="110"/>
      <c r="D157" s="99"/>
      <c r="E157" s="100">
        <v>1704529.0</v>
      </c>
      <c r="F157" s="99">
        <f t="shared" si="22"/>
        <v>533</v>
      </c>
      <c r="G157" s="100">
        <v>467.0</v>
      </c>
      <c r="H157" s="101">
        <v>164.0</v>
      </c>
      <c r="I157" s="101">
        <v>149.82</v>
      </c>
      <c r="J157" s="102">
        <f t="shared" si="20"/>
        <v>14.18</v>
      </c>
      <c r="K157" s="103">
        <f t="shared" si="21"/>
        <v>28.10881801</v>
      </c>
      <c r="L157" s="54"/>
      <c r="M157" s="54"/>
      <c r="N157" s="54"/>
    </row>
    <row r="158">
      <c r="A158" s="54"/>
      <c r="B158" s="110">
        <v>45662.0</v>
      </c>
      <c r="C158" s="110"/>
      <c r="D158" s="99"/>
      <c r="E158" s="100">
        <v>1705725.0</v>
      </c>
      <c r="F158" s="99">
        <f t="shared" si="22"/>
        <v>1196</v>
      </c>
      <c r="G158" s="100">
        <v>478.0</v>
      </c>
      <c r="H158" s="101">
        <v>351.0</v>
      </c>
      <c r="I158" s="101">
        <v>350.0</v>
      </c>
      <c r="J158" s="102">
        <f t="shared" si="20"/>
        <v>1</v>
      </c>
      <c r="K158" s="103">
        <f t="shared" si="21"/>
        <v>29.26421405</v>
      </c>
      <c r="L158" s="54"/>
      <c r="M158" s="54"/>
      <c r="N158" s="54"/>
    </row>
    <row r="159">
      <c r="A159" s="54"/>
      <c r="B159" s="110">
        <v>45662.0</v>
      </c>
      <c r="C159" s="110"/>
      <c r="D159" s="99"/>
      <c r="E159" s="100">
        <v>1705963.0</v>
      </c>
      <c r="F159" s="99">
        <f t="shared" si="22"/>
        <v>238</v>
      </c>
      <c r="G159" s="100">
        <v>470.0</v>
      </c>
      <c r="H159" s="101">
        <v>82.0</v>
      </c>
      <c r="I159" s="101">
        <v>79.46</v>
      </c>
      <c r="J159" s="102">
        <f t="shared" si="20"/>
        <v>2.54</v>
      </c>
      <c r="K159" s="103">
        <f t="shared" si="21"/>
        <v>33.38655462</v>
      </c>
      <c r="L159" s="54"/>
      <c r="M159" s="54"/>
      <c r="N159" s="54"/>
    </row>
    <row r="160">
      <c r="A160" s="54"/>
      <c r="B160" s="110">
        <v>45664.0</v>
      </c>
      <c r="C160" s="110"/>
      <c r="D160" s="99"/>
      <c r="E160" s="100">
        <v>1707346.0</v>
      </c>
      <c r="F160" s="99">
        <f t="shared" si="22"/>
        <v>1383</v>
      </c>
      <c r="G160" s="100">
        <v>429.0</v>
      </c>
      <c r="H160" s="101">
        <v>338.0</v>
      </c>
      <c r="I160" s="101">
        <v>350.0</v>
      </c>
      <c r="J160" s="102">
        <f t="shared" si="20"/>
        <v>-12</v>
      </c>
      <c r="K160" s="103">
        <f t="shared" si="21"/>
        <v>25.30730296</v>
      </c>
      <c r="L160" s="54"/>
      <c r="M160" s="54"/>
      <c r="N160" s="54"/>
    </row>
    <row r="161">
      <c r="A161" s="54"/>
      <c r="B161" s="110">
        <v>45664.0</v>
      </c>
      <c r="C161" s="110"/>
      <c r="D161" s="99"/>
      <c r="E161" s="100">
        <v>1707583.0</v>
      </c>
      <c r="F161" s="99">
        <f t="shared" si="22"/>
        <v>237</v>
      </c>
      <c r="G161" s="100">
        <v>465.0</v>
      </c>
      <c r="H161" s="101">
        <v>105.0</v>
      </c>
      <c r="I161" s="101">
        <v>100.0</v>
      </c>
      <c r="J161" s="102">
        <f t="shared" si="20"/>
        <v>5</v>
      </c>
      <c r="K161" s="103">
        <f t="shared" si="21"/>
        <v>42.19409283</v>
      </c>
      <c r="L161" s="54"/>
      <c r="M161" s="60"/>
      <c r="N161" s="60"/>
    </row>
    <row r="162">
      <c r="A162" s="54"/>
      <c r="B162" s="110">
        <v>45665.0</v>
      </c>
      <c r="C162" s="110"/>
      <c r="D162" s="99"/>
      <c r="E162" s="100">
        <v>1708817.0</v>
      </c>
      <c r="F162" s="99">
        <f t="shared" si="22"/>
        <v>1234</v>
      </c>
      <c r="G162" s="100">
        <v>414.0</v>
      </c>
      <c r="H162" s="101">
        <v>292.0</v>
      </c>
      <c r="I162" s="101">
        <v>300.0</v>
      </c>
      <c r="J162" s="102">
        <f t="shared" si="20"/>
        <v>-8</v>
      </c>
      <c r="K162" s="103">
        <f t="shared" si="21"/>
        <v>24.31118314</v>
      </c>
      <c r="L162" s="54"/>
      <c r="M162" s="60"/>
      <c r="N162" s="60"/>
    </row>
    <row r="163">
      <c r="A163" s="54"/>
      <c r="B163" s="110">
        <v>45666.0</v>
      </c>
      <c r="C163" s="110"/>
      <c r="D163" s="99"/>
      <c r="E163" s="100">
        <v>1709198.0</v>
      </c>
      <c r="F163" s="99">
        <f t="shared" si="22"/>
        <v>381</v>
      </c>
      <c r="G163" s="100">
        <v>454.0</v>
      </c>
      <c r="H163" s="101">
        <v>152.0</v>
      </c>
      <c r="I163" s="101">
        <v>150.0</v>
      </c>
      <c r="J163" s="102">
        <f t="shared" si="20"/>
        <v>2</v>
      </c>
      <c r="K163" s="103">
        <f t="shared" si="21"/>
        <v>39.37007874</v>
      </c>
      <c r="L163" s="54"/>
      <c r="M163" s="54"/>
      <c r="N163" s="60"/>
    </row>
    <row r="164">
      <c r="A164" s="54"/>
      <c r="B164" s="110">
        <v>45668.0</v>
      </c>
      <c r="C164" s="110"/>
      <c r="D164" s="99"/>
      <c r="E164" s="100">
        <v>1710574.0</v>
      </c>
      <c r="F164" s="99">
        <f t="shared" si="22"/>
        <v>1376</v>
      </c>
      <c r="G164" s="100">
        <v>427.0</v>
      </c>
      <c r="H164" s="101">
        <v>339.0</v>
      </c>
      <c r="I164" s="101">
        <v>350.0</v>
      </c>
      <c r="J164" s="102">
        <f t="shared" si="20"/>
        <v>-11</v>
      </c>
      <c r="K164" s="103">
        <f t="shared" si="21"/>
        <v>25.43604651</v>
      </c>
      <c r="L164" s="54"/>
      <c r="M164" s="60"/>
      <c r="N164" s="54"/>
      <c r="O164" s="54"/>
      <c r="R164" s="35"/>
    </row>
    <row r="165">
      <c r="A165" s="54"/>
      <c r="B165" s="110">
        <v>45668.0</v>
      </c>
      <c r="C165" s="110"/>
      <c r="D165" s="99"/>
      <c r="E165" s="100">
        <v>1710836.0</v>
      </c>
      <c r="F165" s="99">
        <f t="shared" si="22"/>
        <v>262</v>
      </c>
      <c r="G165" s="100">
        <v>459.0</v>
      </c>
      <c r="H165" s="101">
        <v>104.0</v>
      </c>
      <c r="I165" s="101">
        <v>100.0</v>
      </c>
      <c r="J165" s="102">
        <f t="shared" si="20"/>
        <v>4</v>
      </c>
      <c r="K165" s="103">
        <f t="shared" si="21"/>
        <v>38.16793893</v>
      </c>
      <c r="L165" s="54"/>
      <c r="M165" s="60"/>
      <c r="N165" s="54"/>
      <c r="O165" s="54"/>
    </row>
    <row r="166">
      <c r="A166" s="54"/>
      <c r="B166" s="207">
        <v>45679.0</v>
      </c>
      <c r="C166" s="207"/>
      <c r="D166" s="208"/>
      <c r="E166" s="209">
        <v>1711868.0</v>
      </c>
      <c r="F166" s="99">
        <f t="shared" si="22"/>
        <v>1032</v>
      </c>
      <c r="G166" s="209">
        <v>481.0</v>
      </c>
      <c r="H166" s="210">
        <v>356.0</v>
      </c>
      <c r="I166" s="211">
        <v>350.0</v>
      </c>
      <c r="J166" s="102">
        <f t="shared" si="20"/>
        <v>6</v>
      </c>
      <c r="K166" s="103">
        <f t="shared" si="21"/>
        <v>33.91472868</v>
      </c>
      <c r="L166" s="54"/>
      <c r="M166" s="54"/>
      <c r="N166" s="54"/>
      <c r="O166" s="54"/>
    </row>
    <row r="167">
      <c r="A167" s="54"/>
      <c r="B167" s="212">
        <v>45688.0</v>
      </c>
      <c r="C167" s="212"/>
      <c r="D167" s="99"/>
      <c r="E167" s="100">
        <v>1712992.0</v>
      </c>
      <c r="F167" s="99">
        <f t="shared" si="22"/>
        <v>1124</v>
      </c>
      <c r="G167" s="100">
        <v>491.0</v>
      </c>
      <c r="H167" s="101">
        <v>391.0</v>
      </c>
      <c r="I167" s="101">
        <v>388.9</v>
      </c>
      <c r="J167" s="102">
        <f t="shared" si="20"/>
        <v>2.1</v>
      </c>
      <c r="K167" s="103">
        <f t="shared" si="21"/>
        <v>34.59964413</v>
      </c>
      <c r="L167" s="54"/>
      <c r="M167" s="54"/>
      <c r="N167" s="54"/>
      <c r="O167" s="54"/>
    </row>
    <row r="168">
      <c r="A168" s="68"/>
      <c r="B168" s="203" t="str">
        <f>IF(L168=4,"АПРЕЛЬ",IF(L168=5,"МАЙ",IF(L168=1,"ЯНВАРЬ",IF(L168=2,"ФЕВРАЛЬ",IF(L168=3,"МАРТ",IF(L168=6,"ИЮНЬ",IF(L168=7,"ИЮЛЬ",IF(L168=8,"АВГУСТ",IF(L168=9,"СЕНТЯБРЬ",IF(L168=10,"ОКТЯБРЬ",IF(L168=11,"НОЯБРЬ",IF(L168=12,"ДЕКАБРЬ"))))))))))))</f>
        <v>ФЕВРАЛЬ</v>
      </c>
      <c r="J168" s="88"/>
      <c r="K168" s="204"/>
      <c r="L168" s="91">
        <f>MONTH(B169)</f>
        <v>2</v>
      </c>
      <c r="M168" s="66"/>
      <c r="N168" s="66"/>
      <c r="O168" s="66"/>
      <c r="P168" s="66"/>
      <c r="Q168" s="66"/>
    </row>
    <row r="169">
      <c r="A169" s="54"/>
      <c r="B169" s="98">
        <v>45694.0</v>
      </c>
      <c r="C169" s="98"/>
      <c r="D169" s="99"/>
      <c r="E169" s="100">
        <v>1714086.0</v>
      </c>
      <c r="F169" s="99">
        <f>E169-E167</f>
        <v>1094</v>
      </c>
      <c r="G169" s="100">
        <v>467.0</v>
      </c>
      <c r="H169" s="101">
        <v>394.0</v>
      </c>
      <c r="I169" s="101">
        <v>400.0</v>
      </c>
      <c r="J169" s="102">
        <f t="shared" ref="J169:J184" si="23">H169-I169</f>
        <v>-6</v>
      </c>
      <c r="K169" s="103">
        <f t="shared" ref="K169:K184" si="24">I169/F169*100</f>
        <v>36.5630713</v>
      </c>
      <c r="L169" s="54"/>
      <c r="M169" s="205" t="str">
        <f>"тотал"&amp;" "&amp;B168&amp;" "&amp;RIGHT(YEAR(B169),2)</f>
        <v>тотал ФЕВРАЛЬ 25</v>
      </c>
      <c r="N169" s="75"/>
      <c r="O169" s="75"/>
      <c r="P169" s="75"/>
      <c r="Q169" s="76"/>
    </row>
    <row r="170">
      <c r="A170" s="54"/>
      <c r="B170" s="98">
        <v>45698.0</v>
      </c>
      <c r="C170" s="98"/>
      <c r="D170" s="99"/>
      <c r="E170" s="100">
        <v>1715194.0</v>
      </c>
      <c r="F170" s="99">
        <f t="shared" ref="F170:F184" si="25">E170-E169</f>
        <v>1108</v>
      </c>
      <c r="G170" s="100">
        <v>454.0</v>
      </c>
      <c r="H170" s="101">
        <v>345.0</v>
      </c>
      <c r="I170" s="101">
        <v>350.0</v>
      </c>
      <c r="J170" s="102">
        <f t="shared" si="23"/>
        <v>-5</v>
      </c>
      <c r="K170" s="103">
        <f t="shared" si="24"/>
        <v>31.58844765</v>
      </c>
      <c r="L170" s="54"/>
      <c r="M170" s="198" t="s">
        <v>70</v>
      </c>
      <c r="N170" s="198" t="s">
        <v>71</v>
      </c>
      <c r="O170" s="83" t="s">
        <v>27</v>
      </c>
      <c r="P170" s="77" t="s">
        <v>28</v>
      </c>
      <c r="Q170" s="12" t="s">
        <v>78</v>
      </c>
    </row>
    <row r="171">
      <c r="A171" s="54"/>
      <c r="B171" s="98">
        <v>45699.0</v>
      </c>
      <c r="C171" s="98"/>
      <c r="D171" s="99"/>
      <c r="E171" s="100">
        <v>1715727.0</v>
      </c>
      <c r="F171" s="99">
        <f t="shared" si="25"/>
        <v>533</v>
      </c>
      <c r="G171" s="100">
        <v>342.0</v>
      </c>
      <c r="H171" s="101">
        <v>98.0</v>
      </c>
      <c r="I171" s="101">
        <v>100.0</v>
      </c>
      <c r="J171" s="102">
        <f t="shared" si="23"/>
        <v>-2</v>
      </c>
      <c r="K171" s="103">
        <f t="shared" si="24"/>
        <v>18.76172608</v>
      </c>
      <c r="L171" s="54"/>
      <c r="M171" s="199">
        <f>SUM(F169:F184)</f>
        <v>12179</v>
      </c>
      <c r="N171" s="199">
        <f>SUM(I169:I184)</f>
        <v>3858.36</v>
      </c>
      <c r="O171" s="85">
        <f>N171/M171*100</f>
        <v>31.68043353</v>
      </c>
      <c r="P171" s="79">
        <f>(M171/100)*(O171-Q171)</f>
        <v>380.0376</v>
      </c>
      <c r="Q171" s="78">
        <v>28.56</v>
      </c>
    </row>
    <row r="172">
      <c r="A172" s="54"/>
      <c r="B172" s="98">
        <v>45700.0</v>
      </c>
      <c r="C172" s="98"/>
      <c r="D172" s="99"/>
      <c r="E172" s="100">
        <v>1716689.0</v>
      </c>
      <c r="F172" s="99">
        <f t="shared" si="25"/>
        <v>962</v>
      </c>
      <c r="G172" s="100">
        <v>432.0</v>
      </c>
      <c r="H172" s="101">
        <v>339.0</v>
      </c>
      <c r="I172" s="101">
        <v>350.0</v>
      </c>
      <c r="J172" s="102">
        <f t="shared" si="23"/>
        <v>-11</v>
      </c>
      <c r="K172" s="103">
        <f t="shared" si="24"/>
        <v>36.38253638</v>
      </c>
      <c r="L172" s="54"/>
      <c r="M172" s="54"/>
      <c r="N172" s="54"/>
    </row>
    <row r="173">
      <c r="A173" s="54"/>
      <c r="B173" s="98">
        <v>45701.0</v>
      </c>
      <c r="C173" s="98"/>
      <c r="D173" s="99"/>
      <c r="E173" s="100">
        <v>1717141.0</v>
      </c>
      <c r="F173" s="99">
        <f t="shared" si="25"/>
        <v>452</v>
      </c>
      <c r="G173" s="100">
        <v>394.0</v>
      </c>
      <c r="H173" s="101">
        <v>99.0</v>
      </c>
      <c r="I173" s="101">
        <v>100.0</v>
      </c>
      <c r="J173" s="102">
        <f t="shared" si="23"/>
        <v>-1</v>
      </c>
      <c r="K173" s="103">
        <f t="shared" si="24"/>
        <v>22.12389381</v>
      </c>
      <c r="L173" s="54"/>
      <c r="M173" s="60"/>
      <c r="N173" s="54"/>
    </row>
    <row r="174">
      <c r="A174" s="54"/>
      <c r="B174" s="98">
        <v>45702.0</v>
      </c>
      <c r="C174" s="98"/>
      <c r="D174" s="99"/>
      <c r="E174" s="100">
        <v>1718058.0</v>
      </c>
      <c r="F174" s="99">
        <f t="shared" si="25"/>
        <v>917</v>
      </c>
      <c r="G174" s="100">
        <v>406.0</v>
      </c>
      <c r="H174" s="101">
        <v>286.0</v>
      </c>
      <c r="I174" s="101">
        <v>300.0</v>
      </c>
      <c r="J174" s="102">
        <f t="shared" si="23"/>
        <v>-14</v>
      </c>
      <c r="K174" s="103">
        <f t="shared" si="24"/>
        <v>32.71537623</v>
      </c>
      <c r="L174" s="54"/>
      <c r="M174" s="54"/>
      <c r="N174" s="54"/>
    </row>
    <row r="175">
      <c r="A175" s="54"/>
      <c r="B175" s="98">
        <v>45703.0</v>
      </c>
      <c r="C175" s="98"/>
      <c r="D175" s="99"/>
      <c r="E175" s="100">
        <v>1718725.0</v>
      </c>
      <c r="F175" s="99">
        <f t="shared" si="25"/>
        <v>667</v>
      </c>
      <c r="G175" s="100">
        <v>362.0</v>
      </c>
      <c r="H175" s="101">
        <v>148.0</v>
      </c>
      <c r="I175" s="101">
        <v>150.0</v>
      </c>
      <c r="J175" s="102">
        <f t="shared" si="23"/>
        <v>-2</v>
      </c>
      <c r="K175" s="103">
        <f t="shared" si="24"/>
        <v>22.48875562</v>
      </c>
      <c r="L175" s="54"/>
      <c r="M175" s="54"/>
      <c r="N175" s="54"/>
    </row>
    <row r="176">
      <c r="A176" s="54"/>
      <c r="B176" s="98">
        <v>45704.0</v>
      </c>
      <c r="C176" s="98"/>
      <c r="D176" s="99"/>
      <c r="E176" s="100">
        <v>1719618.0</v>
      </c>
      <c r="F176" s="99">
        <f t="shared" si="25"/>
        <v>893</v>
      </c>
      <c r="G176" s="100">
        <v>426.0</v>
      </c>
      <c r="H176" s="101">
        <v>340.0</v>
      </c>
      <c r="I176" s="101">
        <v>350.0</v>
      </c>
      <c r="J176" s="102">
        <f t="shared" si="23"/>
        <v>-10</v>
      </c>
      <c r="K176" s="103">
        <f t="shared" si="24"/>
        <v>39.193729</v>
      </c>
      <c r="L176" s="54"/>
      <c r="M176" s="60"/>
      <c r="N176" s="60"/>
    </row>
    <row r="177">
      <c r="A177" s="54"/>
      <c r="B177" s="98">
        <v>45705.0</v>
      </c>
      <c r="C177" s="98"/>
      <c r="D177" s="99"/>
      <c r="E177" s="100">
        <v>1720285.0</v>
      </c>
      <c r="F177" s="99">
        <f t="shared" si="25"/>
        <v>667</v>
      </c>
      <c r="G177" s="100">
        <v>313.0</v>
      </c>
      <c r="H177" s="101">
        <v>95.0</v>
      </c>
      <c r="I177" s="101">
        <v>100.0</v>
      </c>
      <c r="J177" s="102">
        <f t="shared" si="23"/>
        <v>-5</v>
      </c>
      <c r="K177" s="103">
        <f t="shared" si="24"/>
        <v>14.99250375</v>
      </c>
      <c r="L177" s="54"/>
      <c r="M177" s="60"/>
      <c r="N177" s="60"/>
    </row>
    <row r="178">
      <c r="A178" s="54"/>
      <c r="B178" s="98">
        <v>45706.0</v>
      </c>
      <c r="C178" s="98"/>
      <c r="D178" s="99"/>
      <c r="E178" s="100">
        <v>1721051.0</v>
      </c>
      <c r="F178" s="99">
        <f t="shared" si="25"/>
        <v>766</v>
      </c>
      <c r="G178" s="100">
        <v>329.0</v>
      </c>
      <c r="H178" s="101">
        <v>418.0</v>
      </c>
      <c r="I178" s="101">
        <v>350.0</v>
      </c>
      <c r="J178" s="102">
        <f t="shared" si="23"/>
        <v>68</v>
      </c>
      <c r="K178" s="103">
        <f t="shared" si="24"/>
        <v>45.69190601</v>
      </c>
      <c r="L178" s="54"/>
      <c r="M178" s="54"/>
      <c r="N178" s="54"/>
    </row>
    <row r="179">
      <c r="A179" s="54"/>
      <c r="B179" s="98">
        <v>45707.0</v>
      </c>
      <c r="C179" s="98"/>
      <c r="D179" s="99"/>
      <c r="E179" s="100">
        <v>1721851.0</v>
      </c>
      <c r="F179" s="99">
        <f t="shared" si="25"/>
        <v>800</v>
      </c>
      <c r="G179" s="100">
        <v>282.0</v>
      </c>
      <c r="H179" s="101">
        <v>92.0</v>
      </c>
      <c r="I179" s="101">
        <v>100.0</v>
      </c>
      <c r="J179" s="102">
        <f t="shared" si="23"/>
        <v>-8</v>
      </c>
      <c r="K179" s="103">
        <f t="shared" si="24"/>
        <v>12.5</v>
      </c>
      <c r="L179" s="54"/>
      <c r="M179" s="54"/>
      <c r="N179" s="60"/>
    </row>
    <row r="180">
      <c r="A180" s="54"/>
      <c r="B180" s="98">
        <v>45708.0</v>
      </c>
      <c r="C180" s="98"/>
      <c r="D180" s="99"/>
      <c r="E180" s="100">
        <v>1722327.0</v>
      </c>
      <c r="F180" s="99">
        <f t="shared" si="25"/>
        <v>476</v>
      </c>
      <c r="G180" s="100">
        <v>444.0</v>
      </c>
      <c r="H180" s="101">
        <v>261.0</v>
      </c>
      <c r="I180" s="101">
        <v>280.0</v>
      </c>
      <c r="J180" s="102">
        <f t="shared" si="23"/>
        <v>-19</v>
      </c>
      <c r="K180" s="103">
        <f t="shared" si="24"/>
        <v>58.82352941</v>
      </c>
      <c r="L180" s="54"/>
      <c r="M180" s="54"/>
      <c r="N180" s="54"/>
    </row>
    <row r="181">
      <c r="A181" s="54"/>
      <c r="B181" s="98">
        <v>45708.0</v>
      </c>
      <c r="C181" s="98"/>
      <c r="D181" s="99"/>
      <c r="E181" s="100">
        <v>1722619.0</v>
      </c>
      <c r="F181" s="99">
        <f t="shared" si="25"/>
        <v>292</v>
      </c>
      <c r="G181" s="100">
        <v>455.0</v>
      </c>
      <c r="H181" s="101">
        <v>127.0</v>
      </c>
      <c r="I181" s="101">
        <v>120.0</v>
      </c>
      <c r="J181" s="102">
        <f t="shared" si="23"/>
        <v>7</v>
      </c>
      <c r="K181" s="103">
        <f t="shared" si="24"/>
        <v>41.09589041</v>
      </c>
      <c r="L181" s="54"/>
      <c r="M181" s="54"/>
      <c r="N181" s="54"/>
      <c r="O181" s="54"/>
    </row>
    <row r="182">
      <c r="A182" s="54"/>
      <c r="B182" s="98">
        <v>45709.0</v>
      </c>
      <c r="C182" s="98"/>
      <c r="D182" s="99"/>
      <c r="E182" s="100">
        <v>1723856.0</v>
      </c>
      <c r="F182" s="99">
        <f t="shared" si="25"/>
        <v>1237</v>
      </c>
      <c r="G182" s="100">
        <v>479.0</v>
      </c>
      <c r="H182" s="101">
        <v>397.0</v>
      </c>
      <c r="I182" s="101">
        <v>409.14</v>
      </c>
      <c r="J182" s="102">
        <f t="shared" si="23"/>
        <v>-12.14</v>
      </c>
      <c r="K182" s="103">
        <f t="shared" si="24"/>
        <v>33.07518189</v>
      </c>
      <c r="L182" s="54"/>
      <c r="M182" s="54"/>
      <c r="N182" s="54"/>
    </row>
    <row r="183">
      <c r="A183" s="54"/>
      <c r="B183" s="98">
        <v>45711.0</v>
      </c>
      <c r="C183" s="98"/>
      <c r="D183" s="99"/>
      <c r="E183" s="100">
        <v>1724975.0</v>
      </c>
      <c r="F183" s="99">
        <f t="shared" si="25"/>
        <v>1119</v>
      </c>
      <c r="G183" s="100">
        <v>490.0</v>
      </c>
      <c r="H183" s="101">
        <v>354.0</v>
      </c>
      <c r="I183" s="101">
        <v>340.22</v>
      </c>
      <c r="J183" s="102">
        <f t="shared" si="23"/>
        <v>13.78</v>
      </c>
      <c r="K183" s="103">
        <f t="shared" si="24"/>
        <v>30.40393208</v>
      </c>
      <c r="L183" s="54"/>
      <c r="M183" s="54"/>
      <c r="N183" s="54"/>
    </row>
    <row r="184">
      <c r="A184" s="54"/>
      <c r="B184" s="98">
        <v>45711.0</v>
      </c>
      <c r="C184" s="98"/>
      <c r="D184" s="99"/>
      <c r="E184" s="100">
        <v>1725171.0</v>
      </c>
      <c r="F184" s="99">
        <f t="shared" si="25"/>
        <v>196</v>
      </c>
      <c r="G184" s="100">
        <v>477.0</v>
      </c>
      <c r="H184" s="101">
        <v>71.0</v>
      </c>
      <c r="I184" s="101">
        <v>59.0</v>
      </c>
      <c r="J184" s="102">
        <f t="shared" si="23"/>
        <v>12</v>
      </c>
      <c r="K184" s="103">
        <f t="shared" si="24"/>
        <v>30.10204082</v>
      </c>
      <c r="L184" s="54"/>
      <c r="M184" s="54"/>
      <c r="N184" s="54"/>
    </row>
    <row r="185">
      <c r="A185" s="68"/>
      <c r="B185" s="203" t="str">
        <f>IF(L185=4,"АПРЕЛЬ",IF(L185=5,"МАЙ",IF(L185=1,"ЯНВАРЬ",IF(L185=2,"ФЕВРАЛЬ",IF(L185=3,"МАРТ",IF(L185=6,"ИЮНЬ",IF(L185=7,"ИЮЛЬ",IF(L185=8,"АВГУСТ",IF(L185=9,"СЕНТЯБРЬ",IF(L185=10,"ОКТЯБРЬ",IF(L185=11,"НОЯБРЬ",IF(L185=12,"ДЕКАБРЬ"))))))))))))</f>
        <v>МАРТ</v>
      </c>
      <c r="J185" s="88"/>
      <c r="K185" s="204"/>
      <c r="L185" s="91">
        <f>MONTH(B186)</f>
        <v>3</v>
      </c>
      <c r="M185" s="66"/>
      <c r="N185" s="66"/>
      <c r="O185" s="66"/>
      <c r="P185" s="66"/>
      <c r="Q185" s="66"/>
    </row>
    <row r="186">
      <c r="A186" s="54"/>
      <c r="B186" s="98">
        <v>45717.0</v>
      </c>
      <c r="C186" s="98"/>
      <c r="D186" s="99"/>
      <c r="E186" s="100">
        <v>1726099.0</v>
      </c>
      <c r="F186" s="99">
        <f>E186-E184</f>
        <v>928</v>
      </c>
      <c r="G186" s="100">
        <v>486.0</v>
      </c>
      <c r="H186" s="101">
        <v>364.0</v>
      </c>
      <c r="I186" s="101">
        <v>350.0</v>
      </c>
      <c r="J186" s="102">
        <f t="shared" ref="J186:J188" si="26">H186-I186</f>
        <v>14</v>
      </c>
      <c r="K186" s="103">
        <f t="shared" ref="K186:K188" si="27">I186/F186*100</f>
        <v>37.71551724</v>
      </c>
      <c r="L186" s="54"/>
      <c r="M186" s="205" t="str">
        <f>"тотал"&amp;" "&amp;B185&amp;" "&amp;RIGHT(YEAR(B186),2)</f>
        <v>тотал МАРТ 25</v>
      </c>
      <c r="N186" s="75"/>
      <c r="O186" s="75"/>
      <c r="P186" s="75"/>
      <c r="Q186" s="76"/>
    </row>
    <row r="187">
      <c r="A187" s="54"/>
      <c r="B187" s="98">
        <v>45721.0</v>
      </c>
      <c r="C187" s="98"/>
      <c r="D187" s="99"/>
      <c r="E187" s="100">
        <v>1726828.0</v>
      </c>
      <c r="F187" s="99">
        <f t="shared" ref="F187:F188" si="28">E187-E186</f>
        <v>729</v>
      </c>
      <c r="G187" s="100">
        <v>451.0</v>
      </c>
      <c r="H187" s="101">
        <v>290.0</v>
      </c>
      <c r="I187" s="101">
        <v>300.0</v>
      </c>
      <c r="J187" s="102">
        <f t="shared" si="26"/>
        <v>-10</v>
      </c>
      <c r="K187" s="103">
        <f t="shared" si="27"/>
        <v>41.15226337</v>
      </c>
      <c r="L187" s="54"/>
      <c r="M187" s="198" t="s">
        <v>70</v>
      </c>
      <c r="N187" s="198" t="s">
        <v>71</v>
      </c>
      <c r="O187" s="83" t="s">
        <v>27</v>
      </c>
      <c r="P187" s="77" t="s">
        <v>28</v>
      </c>
      <c r="Q187" s="12" t="s">
        <v>78</v>
      </c>
    </row>
    <row r="188">
      <c r="A188" s="54"/>
      <c r="B188" s="98">
        <v>45726.0</v>
      </c>
      <c r="C188" s="98"/>
      <c r="D188" s="99"/>
      <c r="E188" s="100">
        <v>1727648.0</v>
      </c>
      <c r="F188" s="99">
        <f t="shared" si="28"/>
        <v>820</v>
      </c>
      <c r="G188" s="100">
        <v>454.0</v>
      </c>
      <c r="H188" s="101">
        <v>349.0</v>
      </c>
      <c r="I188" s="101">
        <v>359.25</v>
      </c>
      <c r="J188" s="102">
        <f t="shared" si="26"/>
        <v>-10.25</v>
      </c>
      <c r="K188" s="103">
        <f t="shared" si="27"/>
        <v>43.81097561</v>
      </c>
      <c r="L188" s="54"/>
      <c r="M188" s="199">
        <f>SUM(F186:F188)</f>
        <v>2477</v>
      </c>
      <c r="N188" s="199">
        <f>SUM(I186:I188)</f>
        <v>1009.25</v>
      </c>
      <c r="O188" s="85">
        <f>N188/M188*100</f>
        <v>40.74485264</v>
      </c>
      <c r="P188" s="79">
        <f>(M188/100)*(O188-Q188)</f>
        <v>241.38</v>
      </c>
      <c r="Q188" s="78">
        <v>31.0</v>
      </c>
    </row>
    <row r="189">
      <c r="A189" s="68"/>
      <c r="B189" s="203" t="str">
        <f>IF(L189=4,"АПРЕЛЬ",IF(L189=5,"МАЙ",IF(L189=1,"ЯНВАРЬ",IF(L189=2,"ФЕВРАЛЬ",IF(L189=3,"МАРТ",IF(L189=6,"ИЮНЬ",IF(L189=7,"ИЮЛЬ",IF(L189=8,"АВГУСТ",IF(L189=9,"СЕНТЯБРЬ",IF(L189=10,"ОКТЯБРЬ",IF(L189=11,"НОЯБРЬ",IF(L189=12,"ДЕКАБРЬ"))))))))))))</f>
        <v>АПРЕЛЬ</v>
      </c>
      <c r="J189" s="88"/>
      <c r="K189" s="204"/>
      <c r="L189" s="91">
        <f>MONTH(B190)</f>
        <v>4</v>
      </c>
      <c r="M189" s="66"/>
      <c r="N189" s="66"/>
      <c r="O189" s="66"/>
      <c r="P189" s="66"/>
      <c r="Q189" s="66"/>
    </row>
    <row r="190">
      <c r="A190" s="54"/>
      <c r="B190" s="98">
        <v>45757.0</v>
      </c>
      <c r="C190" s="98"/>
      <c r="D190" s="99"/>
      <c r="E190" s="100">
        <v>1728272.0</v>
      </c>
      <c r="F190" s="99">
        <f>E190-E188</f>
        <v>624</v>
      </c>
      <c r="G190" s="100">
        <v>492.0</v>
      </c>
      <c r="H190" s="101">
        <v>314.0</v>
      </c>
      <c r="I190" s="101">
        <v>300.0</v>
      </c>
      <c r="J190" s="102">
        <f t="shared" ref="J190:J195" si="29">H190-I190</f>
        <v>14</v>
      </c>
      <c r="K190" s="103">
        <f t="shared" ref="K190:K195" si="30">I190/F190*100</f>
        <v>48.07692308</v>
      </c>
      <c r="L190" s="54"/>
      <c r="M190" s="205" t="str">
        <f>"тотал"&amp;" "&amp;B189&amp;" "&amp;RIGHT(YEAR(B190),2)</f>
        <v>тотал АПРЕЛЬ 25</v>
      </c>
      <c r="N190" s="75"/>
      <c r="O190" s="75"/>
      <c r="P190" s="75"/>
      <c r="Q190" s="76"/>
    </row>
    <row r="191">
      <c r="A191" s="54"/>
      <c r="B191" s="98">
        <v>45762.0</v>
      </c>
      <c r="C191" s="98"/>
      <c r="D191" s="99"/>
      <c r="E191" s="100">
        <v>1729058.0</v>
      </c>
      <c r="F191" s="99">
        <f t="shared" ref="F191:F195" si="31">E191-E190</f>
        <v>786</v>
      </c>
      <c r="G191" s="100">
        <v>478.0</v>
      </c>
      <c r="H191" s="101">
        <v>311.0</v>
      </c>
      <c r="I191" s="101">
        <v>300.0</v>
      </c>
      <c r="J191" s="102">
        <f t="shared" si="29"/>
        <v>11</v>
      </c>
      <c r="K191" s="103">
        <f t="shared" si="30"/>
        <v>38.16793893</v>
      </c>
      <c r="L191" s="54"/>
      <c r="M191" s="198" t="s">
        <v>70</v>
      </c>
      <c r="N191" s="198" t="s">
        <v>71</v>
      </c>
      <c r="O191" s="83" t="s">
        <v>27</v>
      </c>
      <c r="P191" s="77" t="s">
        <v>28</v>
      </c>
      <c r="Q191" s="12" t="s">
        <v>78</v>
      </c>
    </row>
    <row r="192">
      <c r="A192" s="54"/>
      <c r="B192" s="98">
        <v>45766.0</v>
      </c>
      <c r="C192" s="98"/>
      <c r="D192" s="99"/>
      <c r="E192" s="100">
        <v>1729931.0</v>
      </c>
      <c r="F192" s="99">
        <f t="shared" si="31"/>
        <v>873</v>
      </c>
      <c r="G192" s="100">
        <v>483.0</v>
      </c>
      <c r="H192" s="101">
        <v>326.0</v>
      </c>
      <c r="I192" s="101">
        <v>319.61</v>
      </c>
      <c r="J192" s="102">
        <f t="shared" si="29"/>
        <v>6.39</v>
      </c>
      <c r="K192" s="103">
        <f t="shared" si="30"/>
        <v>36.61053837</v>
      </c>
      <c r="L192" s="54"/>
      <c r="M192" s="199">
        <f>SUM(F190:F195)</f>
        <v>4489</v>
      </c>
      <c r="N192" s="199">
        <f>SUM(I190:I195)</f>
        <v>1768.84</v>
      </c>
      <c r="O192" s="85">
        <f>N192/M192*100</f>
        <v>39.40387614</v>
      </c>
      <c r="P192" s="79">
        <f>(M192/100)*(O192-Q192)</f>
        <v>377.25</v>
      </c>
      <c r="Q192" s="78">
        <v>31.0</v>
      </c>
    </row>
    <row r="193">
      <c r="A193" s="54"/>
      <c r="B193" s="98">
        <v>45773.0</v>
      </c>
      <c r="C193" s="98"/>
      <c r="D193" s="99"/>
      <c r="E193" s="100">
        <v>1731065.0</v>
      </c>
      <c r="F193" s="99">
        <f t="shared" si="31"/>
        <v>1134</v>
      </c>
      <c r="G193" s="100">
        <v>480.0</v>
      </c>
      <c r="H193" s="101">
        <v>419.0</v>
      </c>
      <c r="I193" s="101">
        <v>400.0</v>
      </c>
      <c r="J193" s="102">
        <f t="shared" si="29"/>
        <v>19</v>
      </c>
      <c r="K193" s="103">
        <f t="shared" si="30"/>
        <v>35.27336861</v>
      </c>
      <c r="L193" s="54"/>
      <c r="M193" s="54"/>
      <c r="N193" s="54"/>
    </row>
    <row r="194">
      <c r="A194" s="54"/>
      <c r="B194" s="98">
        <v>45776.0</v>
      </c>
      <c r="C194" s="98"/>
      <c r="D194" s="99"/>
      <c r="E194" s="100">
        <v>1731818.0</v>
      </c>
      <c r="F194" s="99">
        <f t="shared" si="31"/>
        <v>753</v>
      </c>
      <c r="G194" s="100">
        <v>424.0</v>
      </c>
      <c r="H194" s="101">
        <v>238.0</v>
      </c>
      <c r="I194" s="101">
        <v>250.0</v>
      </c>
      <c r="J194" s="102">
        <f t="shared" si="29"/>
        <v>-12</v>
      </c>
      <c r="K194" s="103">
        <f t="shared" si="30"/>
        <v>33.20053121</v>
      </c>
      <c r="L194" s="54"/>
      <c r="M194" s="54"/>
      <c r="N194" s="54"/>
    </row>
    <row r="195">
      <c r="A195" s="54"/>
      <c r="B195" s="98">
        <v>45776.0</v>
      </c>
      <c r="C195" s="98"/>
      <c r="D195" s="99"/>
      <c r="E195" s="100">
        <v>1732137.0</v>
      </c>
      <c r="F195" s="99">
        <f t="shared" si="31"/>
        <v>319</v>
      </c>
      <c r="G195" s="100">
        <v>502.0</v>
      </c>
      <c r="H195" s="101">
        <v>182.0</v>
      </c>
      <c r="I195" s="101">
        <v>199.23</v>
      </c>
      <c r="J195" s="102">
        <f t="shared" si="29"/>
        <v>-17.23</v>
      </c>
      <c r="K195" s="103">
        <f t="shared" si="30"/>
        <v>62.45454545</v>
      </c>
      <c r="L195" s="54"/>
      <c r="M195" s="54"/>
      <c r="N195" s="54"/>
    </row>
    <row r="196">
      <c r="A196" s="68"/>
      <c r="B196" s="203" t="str">
        <f>IF(L196=4,"АПРЕЛЬ",IF(L196=5,"МАЙ",IF(L196=1,"ЯНВАРЬ",IF(L196=2,"ФЕВРАЛЬ",IF(L196=3,"МАРТ",IF(L196=6,"ИЮНЬ",IF(L196=7,"ИЮЛЬ",IF(L196=8,"АВГУСТ",IF(L196=9,"СЕНТЯБРЬ",IF(L196=10,"ОКТЯБРЬ",IF(L196=11,"НОЯБРЬ",IF(L196=12,"ДЕКАБРЬ"))))))))))))</f>
        <v>МАЙ</v>
      </c>
      <c r="J196" s="88"/>
      <c r="K196" s="204"/>
      <c r="L196" s="91">
        <f>MONTH(B197)</f>
        <v>5</v>
      </c>
      <c r="M196" s="66"/>
      <c r="N196" s="66"/>
      <c r="O196" s="66"/>
      <c r="P196" s="66"/>
      <c r="Q196" s="66"/>
    </row>
    <row r="197">
      <c r="A197" s="54"/>
      <c r="B197" s="98">
        <v>45780.0</v>
      </c>
      <c r="C197" s="98"/>
      <c r="D197" s="99"/>
      <c r="E197" s="100">
        <v>1733563.0</v>
      </c>
      <c r="F197" s="99">
        <f>E197-E195</f>
        <v>1426</v>
      </c>
      <c r="G197" s="100">
        <v>473.0</v>
      </c>
      <c r="H197" s="101">
        <v>404.0</v>
      </c>
      <c r="I197" s="101">
        <v>399.55</v>
      </c>
      <c r="J197" s="102">
        <f t="shared" ref="J197:J202" si="32">H197-I197</f>
        <v>4.45</v>
      </c>
      <c r="K197" s="103">
        <f t="shared" ref="K197:K202" si="33">I197/F197*100</f>
        <v>28.01893408</v>
      </c>
      <c r="L197" s="54"/>
      <c r="M197" s="205" t="str">
        <f>"тотал"&amp;" "&amp;B196&amp;" "&amp;RIGHT(YEAR(B197),2)</f>
        <v>тотал МАЙ 25</v>
      </c>
      <c r="N197" s="75"/>
      <c r="O197" s="75"/>
      <c r="P197" s="75"/>
      <c r="Q197" s="76"/>
    </row>
    <row r="198">
      <c r="A198" s="54"/>
      <c r="B198" s="98">
        <v>45780.0</v>
      </c>
      <c r="C198" s="98"/>
      <c r="D198" s="99"/>
      <c r="E198" s="100">
        <v>1733883.0</v>
      </c>
      <c r="F198" s="99">
        <f t="shared" ref="F198:F202" si="34">E198-E197</f>
        <v>320</v>
      </c>
      <c r="G198" s="100">
        <v>434.0</v>
      </c>
      <c r="H198" s="101">
        <v>60.0</v>
      </c>
      <c r="I198" s="101">
        <v>50.0</v>
      </c>
      <c r="J198" s="102">
        <f t="shared" si="32"/>
        <v>10</v>
      </c>
      <c r="K198" s="103">
        <f t="shared" si="33"/>
        <v>15.625</v>
      </c>
      <c r="L198" s="54"/>
      <c r="M198" s="198" t="s">
        <v>70</v>
      </c>
      <c r="N198" s="198" t="s">
        <v>71</v>
      </c>
      <c r="O198" s="83" t="s">
        <v>27</v>
      </c>
      <c r="P198" s="77" t="s">
        <v>28</v>
      </c>
      <c r="Q198" s="12" t="s">
        <v>78</v>
      </c>
    </row>
    <row r="199">
      <c r="A199" s="54"/>
      <c r="B199" s="98">
        <v>45783.0</v>
      </c>
      <c r="C199" s="98"/>
      <c r="D199" s="99"/>
      <c r="E199" s="100">
        <v>1734810.0</v>
      </c>
      <c r="F199" s="99">
        <f t="shared" si="34"/>
        <v>927</v>
      </c>
      <c r="G199" s="100">
        <v>463.0</v>
      </c>
      <c r="H199" s="101">
        <v>352.0</v>
      </c>
      <c r="I199" s="101">
        <v>350.0</v>
      </c>
      <c r="J199" s="102">
        <f t="shared" si="32"/>
        <v>2</v>
      </c>
      <c r="K199" s="103">
        <f t="shared" si="33"/>
        <v>37.7562028</v>
      </c>
      <c r="L199" s="54"/>
      <c r="M199" s="199">
        <f>SUM(F197:F202)</f>
        <v>5987</v>
      </c>
      <c r="N199" s="199">
        <f>SUM(I197:I202)</f>
        <v>1836.71</v>
      </c>
      <c r="O199" s="85">
        <f>N199/M199*100</f>
        <v>30.67830299</v>
      </c>
      <c r="P199" s="79">
        <f>(M199/100)*(O199-Q199)</f>
        <v>-19.26</v>
      </c>
      <c r="Q199" s="78">
        <v>31.0</v>
      </c>
    </row>
    <row r="200">
      <c r="A200" s="54"/>
      <c r="B200" s="98">
        <v>45786.0</v>
      </c>
      <c r="C200" s="98"/>
      <c r="D200" s="99"/>
      <c r="E200" s="100">
        <v>1736038.0</v>
      </c>
      <c r="F200" s="99">
        <f t="shared" si="34"/>
        <v>1228</v>
      </c>
      <c r="G200" s="100">
        <v>494.0</v>
      </c>
      <c r="H200" s="101">
        <v>456.0</v>
      </c>
      <c r="I200" s="101">
        <v>450.0</v>
      </c>
      <c r="J200" s="102">
        <f t="shared" si="32"/>
        <v>6</v>
      </c>
      <c r="K200" s="103">
        <f t="shared" si="33"/>
        <v>36.64495114</v>
      </c>
      <c r="L200" s="54"/>
      <c r="M200" s="54"/>
      <c r="N200" s="54"/>
    </row>
    <row r="201">
      <c r="A201" s="54"/>
      <c r="B201" s="98">
        <v>45790.0</v>
      </c>
      <c r="C201" s="100" t="s">
        <v>142</v>
      </c>
      <c r="D201" s="100" t="s">
        <v>131</v>
      </c>
      <c r="E201" s="100">
        <v>1737291.0</v>
      </c>
      <c r="F201" s="99">
        <f t="shared" si="34"/>
        <v>1253</v>
      </c>
      <c r="G201" s="100">
        <v>409.0</v>
      </c>
      <c r="H201" s="101">
        <v>306.0</v>
      </c>
      <c r="I201" s="101">
        <v>300.0</v>
      </c>
      <c r="J201" s="102">
        <f t="shared" si="32"/>
        <v>6</v>
      </c>
      <c r="K201" s="103">
        <f t="shared" si="33"/>
        <v>23.94253791</v>
      </c>
      <c r="L201" s="54"/>
      <c r="M201" s="54"/>
      <c r="N201" s="54"/>
    </row>
    <row r="202">
      <c r="A202" s="54"/>
      <c r="B202" s="98">
        <v>45797.0</v>
      </c>
      <c r="C202" s="100" t="s">
        <v>143</v>
      </c>
      <c r="D202" s="100" t="s">
        <v>144</v>
      </c>
      <c r="E202" s="100">
        <v>1738124.0</v>
      </c>
      <c r="F202" s="99">
        <f t="shared" si="34"/>
        <v>833</v>
      </c>
      <c r="G202" s="100">
        <v>416.0</v>
      </c>
      <c r="H202" s="101">
        <v>291.0</v>
      </c>
      <c r="I202" s="102">
        <f>143.58+143.58</f>
        <v>287.16</v>
      </c>
      <c r="J202" s="102">
        <f t="shared" si="32"/>
        <v>3.84</v>
      </c>
      <c r="K202" s="103">
        <f t="shared" si="33"/>
        <v>34.4729892</v>
      </c>
      <c r="L202" s="54"/>
      <c r="M202" s="54"/>
      <c r="N202" s="54"/>
    </row>
    <row r="203">
      <c r="A203" s="68"/>
      <c r="B203" s="203" t="str">
        <f>IF(L203=4,"АПРЕЛЬ",IF(L203=5,"МАЙ",IF(L203=1,"ЯНВАРЬ",IF(L203=2,"ФЕВРАЛЬ",IF(L203=3,"МАРТ",IF(L203=6,"ИЮНЬ",IF(L203=7,"ИЮЛЬ",IF(L203=8,"АВГУСТ",IF(L203=9,"СЕНТЯБРЬ",IF(L203=10,"ОКТЯБРЬ",IF(L203=11,"НОЯБРЬ",IF(L203=12,"ДЕКАБРЬ"))))))))))))</f>
        <v>ИЮНЬ</v>
      </c>
      <c r="J203" s="88"/>
      <c r="K203" s="204"/>
      <c r="L203" s="91">
        <f>MONTH(B204)</f>
        <v>6</v>
      </c>
      <c r="M203" s="66"/>
      <c r="N203" s="66"/>
      <c r="O203" s="66"/>
      <c r="P203" s="66"/>
      <c r="Q203" s="66"/>
    </row>
    <row r="204">
      <c r="A204" s="54"/>
      <c r="B204" s="98">
        <v>45813.0</v>
      </c>
      <c r="C204" s="100" t="s">
        <v>99</v>
      </c>
      <c r="D204" s="100" t="s">
        <v>131</v>
      </c>
      <c r="E204" s="100">
        <v>1738993.0</v>
      </c>
      <c r="F204" s="99">
        <f>E204-E202</f>
        <v>869</v>
      </c>
      <c r="G204" s="100">
        <v>506.0</v>
      </c>
      <c r="H204" s="101">
        <v>398.0</v>
      </c>
      <c r="I204" s="101">
        <v>381.44</v>
      </c>
      <c r="J204" s="102">
        <f t="shared" ref="J204:J207" si="35">H204-I204</f>
        <v>16.56</v>
      </c>
      <c r="K204" s="103">
        <f t="shared" ref="K204:K207" si="36">I204/F204*100</f>
        <v>43.89413119</v>
      </c>
      <c r="L204" s="54"/>
      <c r="M204" s="205" t="str">
        <f>"тотал"&amp;" "&amp;B203&amp;" "&amp;RIGHT(YEAR(B204),2)</f>
        <v>тотал ИЮНЬ 25</v>
      </c>
      <c r="N204" s="75"/>
      <c r="O204" s="75"/>
      <c r="P204" s="75"/>
      <c r="Q204" s="76"/>
    </row>
    <row r="205">
      <c r="A205" s="54"/>
      <c r="B205" s="98">
        <v>45819.0</v>
      </c>
      <c r="C205" s="100" t="s">
        <v>99</v>
      </c>
      <c r="D205" s="100" t="s">
        <v>131</v>
      </c>
      <c r="E205" s="100">
        <v>1740133.0</v>
      </c>
      <c r="F205" s="99">
        <f t="shared" ref="F205:F207" si="37">E205-E204</f>
        <v>1140</v>
      </c>
      <c r="G205" s="100">
        <v>452.0</v>
      </c>
      <c r="H205" s="101">
        <v>347.0</v>
      </c>
      <c r="I205" s="101">
        <v>350.0</v>
      </c>
      <c r="J205" s="102">
        <f t="shared" si="35"/>
        <v>-3</v>
      </c>
      <c r="K205" s="103">
        <f t="shared" si="36"/>
        <v>30.70175439</v>
      </c>
      <c r="L205" s="54"/>
      <c r="M205" s="198" t="s">
        <v>70</v>
      </c>
      <c r="N205" s="198" t="s">
        <v>71</v>
      </c>
      <c r="O205" s="83" t="s">
        <v>27</v>
      </c>
      <c r="P205" s="77" t="s">
        <v>28</v>
      </c>
      <c r="Q205" s="12" t="s">
        <v>78</v>
      </c>
    </row>
    <row r="206">
      <c r="A206" s="54"/>
      <c r="B206" s="98">
        <v>45826.0</v>
      </c>
      <c r="C206" s="100" t="s">
        <v>99</v>
      </c>
      <c r="D206" s="100" t="s">
        <v>131</v>
      </c>
      <c r="E206" s="100">
        <v>1741147.0</v>
      </c>
      <c r="F206" s="99">
        <f t="shared" si="37"/>
        <v>1014</v>
      </c>
      <c r="G206" s="100">
        <v>450.0</v>
      </c>
      <c r="H206" s="101">
        <v>337.0</v>
      </c>
      <c r="I206" s="101">
        <v>336.07</v>
      </c>
      <c r="J206" s="102">
        <f t="shared" si="35"/>
        <v>0.93</v>
      </c>
      <c r="K206" s="103">
        <f t="shared" si="36"/>
        <v>33.14299803</v>
      </c>
      <c r="L206" s="54"/>
      <c r="M206" s="199">
        <f>SUM(F204:F207)</f>
        <v>4057</v>
      </c>
      <c r="N206" s="199">
        <f>SUM(I204:I207)</f>
        <v>1417.51</v>
      </c>
      <c r="O206" s="85">
        <f>N206/M206*100</f>
        <v>34.93985704</v>
      </c>
      <c r="P206" s="79">
        <f>(M206/100)*(O206-Q206)</f>
        <v>159.84</v>
      </c>
      <c r="Q206" s="78">
        <v>31.0</v>
      </c>
    </row>
    <row r="207">
      <c r="A207" s="54"/>
      <c r="B207" s="98">
        <v>45832.0</v>
      </c>
      <c r="C207" s="100" t="s">
        <v>99</v>
      </c>
      <c r="D207" s="100" t="s">
        <v>131</v>
      </c>
      <c r="E207" s="100">
        <v>1742181.0</v>
      </c>
      <c r="F207" s="99">
        <f t="shared" si="37"/>
        <v>1034</v>
      </c>
      <c r="G207" s="100">
        <v>456.0</v>
      </c>
      <c r="H207" s="101">
        <v>347.0</v>
      </c>
      <c r="I207" s="101">
        <v>350.0</v>
      </c>
      <c r="J207" s="102">
        <f t="shared" si="35"/>
        <v>-3</v>
      </c>
      <c r="K207" s="103">
        <f t="shared" si="36"/>
        <v>33.84912959</v>
      </c>
      <c r="L207" s="54"/>
      <c r="M207" s="54"/>
      <c r="N207" s="54"/>
    </row>
    <row r="208">
      <c r="A208" s="68"/>
      <c r="B208" s="203" t="str">
        <f>IF(L208=4,"АПРЕЛЬ",IF(L208=5,"МАЙ",IF(L208=1,"ЯНВАРЬ",IF(L208=2,"ФЕВРАЛЬ",IF(L208=3,"МАРТ",IF(L208=6,"ИЮНЬ",IF(L208=7,"ИЮЛЬ",IF(L208=8,"АВГУСТ",IF(L208=9,"СЕНТЯБРЬ",IF(L208=10,"ОКТЯБРЬ",IF(L208=11,"НОЯБРЬ",IF(L208=12,"ДЕКАБРЬ"))))))))))))</f>
        <v>ИЮЛЬ</v>
      </c>
      <c r="J208" s="88"/>
      <c r="K208" s="204"/>
      <c r="L208" s="91">
        <f>MONTH(B209)</f>
        <v>7</v>
      </c>
      <c r="M208" s="66"/>
      <c r="N208" s="66"/>
      <c r="O208" s="66"/>
      <c r="P208" s="66"/>
      <c r="Q208" s="66"/>
    </row>
    <row r="209">
      <c r="A209" s="54"/>
      <c r="B209" s="98">
        <v>45843.0</v>
      </c>
      <c r="C209" s="100" t="s">
        <v>99</v>
      </c>
      <c r="D209" s="100" t="s">
        <v>131</v>
      </c>
      <c r="E209" s="100">
        <v>1743092.0</v>
      </c>
      <c r="F209" s="99">
        <f>E209-E207</f>
        <v>911</v>
      </c>
      <c r="G209" s="100">
        <v>400.0</v>
      </c>
      <c r="H209" s="101">
        <v>307.0</v>
      </c>
      <c r="I209" s="101">
        <v>300.0</v>
      </c>
      <c r="J209" s="102">
        <f t="shared" ref="J209:J213" si="38">H209-I209</f>
        <v>7</v>
      </c>
      <c r="K209" s="103">
        <f t="shared" ref="K209:K213" si="39">I209/F209*100</f>
        <v>32.93084523</v>
      </c>
      <c r="L209" s="54"/>
      <c r="M209" s="205" t="str">
        <f>"тотал"&amp;" "&amp;B208&amp;" "&amp;RIGHT(YEAR(B209),2)</f>
        <v>тотал ИЮЛЬ 25</v>
      </c>
      <c r="N209" s="75"/>
      <c r="O209" s="75"/>
      <c r="P209" s="75"/>
      <c r="Q209" s="76"/>
    </row>
    <row r="210">
      <c r="A210" s="54"/>
      <c r="B210" s="98">
        <v>45855.0</v>
      </c>
      <c r="C210" s="100" t="s">
        <v>99</v>
      </c>
      <c r="D210" s="100" t="s">
        <v>100</v>
      </c>
      <c r="E210" s="100">
        <v>1743629.0</v>
      </c>
      <c r="F210" s="99">
        <f t="shared" ref="F210:F213" si="40">E210-E209</f>
        <v>537</v>
      </c>
      <c r="G210" s="100">
        <v>506.0</v>
      </c>
      <c r="H210" s="101">
        <v>259.0</v>
      </c>
      <c r="I210" s="101">
        <v>243.0</v>
      </c>
      <c r="J210" s="102">
        <f t="shared" si="38"/>
        <v>16</v>
      </c>
      <c r="K210" s="103">
        <f t="shared" si="39"/>
        <v>45.25139665</v>
      </c>
      <c r="L210" s="54"/>
      <c r="M210" s="198" t="s">
        <v>70</v>
      </c>
      <c r="N210" s="198" t="s">
        <v>71</v>
      </c>
      <c r="O210" s="83" t="s">
        <v>27</v>
      </c>
      <c r="P210" s="77" t="s">
        <v>28</v>
      </c>
      <c r="Q210" s="12" t="s">
        <v>78</v>
      </c>
    </row>
    <row r="211">
      <c r="A211" s="54"/>
      <c r="B211" s="98">
        <v>45861.0</v>
      </c>
      <c r="C211" s="100" t="s">
        <v>142</v>
      </c>
      <c r="D211" s="100" t="s">
        <v>131</v>
      </c>
      <c r="E211" s="100">
        <v>1744616.0</v>
      </c>
      <c r="F211" s="99">
        <f t="shared" si="40"/>
        <v>987</v>
      </c>
      <c r="G211" s="100">
        <v>421.0</v>
      </c>
      <c r="H211" s="101">
        <v>262.0</v>
      </c>
      <c r="I211" s="101">
        <f>140+110</f>
        <v>250</v>
      </c>
      <c r="J211" s="102">
        <f t="shared" si="38"/>
        <v>12</v>
      </c>
      <c r="K211" s="103">
        <f t="shared" si="39"/>
        <v>25.32928065</v>
      </c>
      <c r="L211" s="54"/>
      <c r="M211" s="199">
        <f>SUM(F209:F218)</f>
        <v>6832</v>
      </c>
      <c r="N211" s="199">
        <f>SUM(I209:I218)</f>
        <v>2211.15</v>
      </c>
      <c r="O211" s="85">
        <f>N211/M211*100</f>
        <v>32.36460773</v>
      </c>
      <c r="P211" s="79">
        <f>(M211/100)*(O211-Q211)</f>
        <v>253.0988</v>
      </c>
      <c r="Q211" s="78">
        <v>28.66</v>
      </c>
    </row>
    <row r="212">
      <c r="A212" s="54"/>
      <c r="B212" s="98">
        <v>45862.0</v>
      </c>
      <c r="C212" s="100" t="s">
        <v>142</v>
      </c>
      <c r="D212" s="100" t="s">
        <v>131</v>
      </c>
      <c r="E212" s="100">
        <v>1745047.0</v>
      </c>
      <c r="F212" s="99">
        <f t="shared" si="40"/>
        <v>431</v>
      </c>
      <c r="G212" s="100">
        <v>464.0</v>
      </c>
      <c r="H212" s="101">
        <v>202.0</v>
      </c>
      <c r="I212" s="101">
        <v>200.0</v>
      </c>
      <c r="J212" s="102">
        <f t="shared" si="38"/>
        <v>2</v>
      </c>
      <c r="K212" s="103">
        <f t="shared" si="39"/>
        <v>46.4037123</v>
      </c>
      <c r="L212" s="54"/>
      <c r="M212" s="54"/>
      <c r="N212" s="54"/>
    </row>
    <row r="213">
      <c r="A213" s="54"/>
      <c r="B213" s="98">
        <v>45864.0</v>
      </c>
      <c r="C213" s="100" t="s">
        <v>142</v>
      </c>
      <c r="D213" s="100" t="s">
        <v>131</v>
      </c>
      <c r="E213" s="100">
        <v>1746467.0</v>
      </c>
      <c r="F213" s="99">
        <f t="shared" si="40"/>
        <v>1420</v>
      </c>
      <c r="G213" s="100">
        <v>453.0</v>
      </c>
      <c r="H213" s="101">
        <v>401.0</v>
      </c>
      <c r="I213" s="101">
        <v>400.14</v>
      </c>
      <c r="J213" s="102">
        <f t="shared" si="38"/>
        <v>0.86</v>
      </c>
      <c r="K213" s="103">
        <f t="shared" si="39"/>
        <v>28.17887324</v>
      </c>
      <c r="L213" s="54"/>
      <c r="M213" s="60"/>
      <c r="N213" s="54"/>
    </row>
    <row r="214">
      <c r="A214" s="54"/>
      <c r="B214" s="98">
        <v>45865.0</v>
      </c>
      <c r="C214" s="100"/>
      <c r="D214" s="100"/>
      <c r="E214" s="213" t="s">
        <v>145</v>
      </c>
      <c r="F214" s="99"/>
      <c r="G214" s="99"/>
      <c r="H214" s="102"/>
      <c r="I214" s="101"/>
      <c r="J214" s="102"/>
      <c r="K214" s="103"/>
      <c r="L214" s="54"/>
      <c r="M214" s="60"/>
      <c r="N214" s="60"/>
    </row>
    <row r="215">
      <c r="A215" s="54"/>
      <c r="B215" s="98">
        <v>45866.0</v>
      </c>
      <c r="C215" s="100" t="s">
        <v>142</v>
      </c>
      <c r="D215" s="100" t="s">
        <v>131</v>
      </c>
      <c r="E215" s="100">
        <v>1747394.0</v>
      </c>
      <c r="F215" s="99">
        <f>E215-E213</f>
        <v>927</v>
      </c>
      <c r="G215" s="100">
        <v>408.0</v>
      </c>
      <c r="H215" s="101">
        <v>242.0</v>
      </c>
      <c r="I215" s="101">
        <v>250.0</v>
      </c>
      <c r="J215" s="102">
        <f t="shared" ref="J215:J218" si="41">H215-I215</f>
        <v>-8</v>
      </c>
      <c r="K215" s="103">
        <f t="shared" ref="K215:K218" si="42">I215/F215*100</f>
        <v>26.96871629</v>
      </c>
      <c r="L215" s="54"/>
      <c r="M215" s="60"/>
      <c r="N215" s="60"/>
    </row>
    <row r="216">
      <c r="A216" s="54"/>
      <c r="B216" s="98">
        <v>45867.0</v>
      </c>
      <c r="C216" s="100" t="s">
        <v>142</v>
      </c>
      <c r="D216" s="100" t="s">
        <v>131</v>
      </c>
      <c r="E216" s="100">
        <v>1747968.0</v>
      </c>
      <c r="F216" s="99">
        <f t="shared" ref="F216:F218" si="43">E216-E215</f>
        <v>574</v>
      </c>
      <c r="G216" s="100">
        <v>425.0</v>
      </c>
      <c r="H216" s="101">
        <v>211.0</v>
      </c>
      <c r="I216" s="101">
        <v>200.0</v>
      </c>
      <c r="J216" s="102">
        <f t="shared" si="41"/>
        <v>11</v>
      </c>
      <c r="K216" s="103">
        <f t="shared" si="42"/>
        <v>34.84320557</v>
      </c>
      <c r="L216" s="54"/>
      <c r="M216" s="54"/>
      <c r="N216" s="54"/>
    </row>
    <row r="217">
      <c r="A217" s="54"/>
      <c r="B217" s="98">
        <v>45869.0</v>
      </c>
      <c r="C217" s="100" t="s">
        <v>142</v>
      </c>
      <c r="D217" s="100" t="s">
        <v>131</v>
      </c>
      <c r="E217" s="100">
        <v>1748589.0</v>
      </c>
      <c r="F217" s="99">
        <f t="shared" si="43"/>
        <v>621</v>
      </c>
      <c r="G217" s="100">
        <v>436.0</v>
      </c>
      <c r="H217" s="101">
        <v>225.0</v>
      </c>
      <c r="I217" s="101">
        <v>208.19</v>
      </c>
      <c r="J217" s="102">
        <f t="shared" si="41"/>
        <v>16.81</v>
      </c>
      <c r="K217" s="103">
        <f t="shared" si="42"/>
        <v>33.52495974</v>
      </c>
      <c r="L217" s="54"/>
      <c r="M217" s="54"/>
      <c r="N217" s="54"/>
    </row>
    <row r="218">
      <c r="A218" s="54"/>
      <c r="B218" s="98">
        <v>45869.0</v>
      </c>
      <c r="C218" s="100" t="s">
        <v>142</v>
      </c>
      <c r="D218" s="100" t="s">
        <v>131</v>
      </c>
      <c r="E218" s="100">
        <v>1749013.0</v>
      </c>
      <c r="F218" s="99">
        <f t="shared" si="43"/>
        <v>424</v>
      </c>
      <c r="G218" s="100">
        <v>465.0</v>
      </c>
      <c r="H218" s="101">
        <v>164.0</v>
      </c>
      <c r="I218" s="101">
        <v>159.82</v>
      </c>
      <c r="J218" s="102">
        <f t="shared" si="41"/>
        <v>4.18</v>
      </c>
      <c r="K218" s="103">
        <f t="shared" si="42"/>
        <v>37.69339623</v>
      </c>
      <c r="L218" s="54"/>
      <c r="M218" s="54"/>
      <c r="N218" s="54"/>
    </row>
    <row r="219">
      <c r="A219" s="89"/>
      <c r="B219" s="203" t="str">
        <f>IF(L219=4,"АПРЕЛЬ",IF(L219=5,"МАЙ",IF(L219=1,"ЯНВАРЬ",IF(L219=2,"ФЕВРАЛЬ",IF(L219=3,"МАРТ",IF(L219=6,"ИЮНЬ",IF(L219=7,"ИЮЛЬ",IF(L219=8,"АВГУСТ",IF(L219=9,"СЕНТЯБРЬ",IF(L219=10,"ОКТЯБРЬ",IF(L219=11,"НОЯБРЬ",IF(L219=12,"ДЕКАБРЬ"))))))))))))</f>
        <v>АВГУСТ</v>
      </c>
      <c r="J219" s="89"/>
      <c r="K219" s="90"/>
      <c r="L219" s="91">
        <f>MONTH(B220)</f>
        <v>8</v>
      </c>
      <c r="M219" s="89"/>
      <c r="N219" s="89"/>
      <c r="O219" s="89"/>
      <c r="P219" s="89"/>
      <c r="Q219" s="89"/>
      <c r="R219" s="56"/>
      <c r="S219" s="56"/>
      <c r="T219" s="56"/>
      <c r="U219" s="56"/>
      <c r="V219" s="56"/>
      <c r="W219" s="56"/>
      <c r="X219" s="56"/>
      <c r="Y219" s="56"/>
      <c r="Z219" s="56"/>
      <c r="AA219" s="56"/>
    </row>
    <row r="220">
      <c r="A220" s="54"/>
      <c r="B220" s="98">
        <v>45871.0</v>
      </c>
      <c r="C220" s="100" t="s">
        <v>142</v>
      </c>
      <c r="D220" s="100" t="s">
        <v>131</v>
      </c>
      <c r="E220" s="100">
        <v>1750387.0</v>
      </c>
      <c r="F220" s="99">
        <f>E220-E218</f>
        <v>1374</v>
      </c>
      <c r="G220" s="100">
        <v>407.0</v>
      </c>
      <c r="H220" s="101">
        <v>324.0</v>
      </c>
      <c r="I220" s="101">
        <v>328.68</v>
      </c>
      <c r="J220" s="102">
        <f t="shared" ref="J220:J227" si="44">H220-I220</f>
        <v>-4.68</v>
      </c>
      <c r="K220" s="103">
        <f t="shared" ref="K220:K227" si="45">I220/F220*100</f>
        <v>23.92139738</v>
      </c>
      <c r="L220" s="54"/>
      <c r="M220" s="205" t="str">
        <f>"тотал"&amp;" "&amp;B219&amp;" "&amp;RIGHT(YEAR(B220),2)</f>
        <v>тотал АВГУСТ 25</v>
      </c>
      <c r="N220" s="75"/>
      <c r="O220" s="75"/>
      <c r="P220" s="75"/>
      <c r="Q220" s="76"/>
    </row>
    <row r="221">
      <c r="A221" s="54"/>
      <c r="B221" s="98">
        <v>45871.0</v>
      </c>
      <c r="C221" s="100" t="s">
        <v>142</v>
      </c>
      <c r="D221" s="100" t="s">
        <v>131</v>
      </c>
      <c r="E221" s="100">
        <v>1750695.0</v>
      </c>
      <c r="F221" s="99">
        <f t="shared" ref="F221:F227" si="46">E221-E220</f>
        <v>308</v>
      </c>
      <c r="G221" s="100">
        <v>443.0</v>
      </c>
      <c r="H221" s="101">
        <v>122.0</v>
      </c>
      <c r="I221" s="101">
        <v>120.0</v>
      </c>
      <c r="J221" s="102">
        <f t="shared" si="44"/>
        <v>2</v>
      </c>
      <c r="K221" s="103">
        <f t="shared" si="45"/>
        <v>38.96103896</v>
      </c>
      <c r="L221" s="54"/>
      <c r="M221" s="198" t="s">
        <v>70</v>
      </c>
      <c r="N221" s="198" t="s">
        <v>71</v>
      </c>
      <c r="O221" s="83" t="s">
        <v>27</v>
      </c>
      <c r="P221" s="77" t="s">
        <v>28</v>
      </c>
      <c r="Q221" s="12" t="s">
        <v>78</v>
      </c>
    </row>
    <row r="222">
      <c r="A222" s="54"/>
      <c r="B222" s="98">
        <v>45875.0</v>
      </c>
      <c r="C222" s="100" t="s">
        <v>142</v>
      </c>
      <c r="D222" s="100" t="s">
        <v>131</v>
      </c>
      <c r="E222" s="100">
        <v>1751905.0</v>
      </c>
      <c r="F222" s="99">
        <f t="shared" si="46"/>
        <v>1210</v>
      </c>
      <c r="G222" s="100">
        <v>436.0</v>
      </c>
      <c r="H222" s="101">
        <v>337.0</v>
      </c>
      <c r="I222" s="101">
        <v>339.21</v>
      </c>
      <c r="J222" s="102">
        <f t="shared" si="44"/>
        <v>-2.21</v>
      </c>
      <c r="K222" s="103">
        <f t="shared" si="45"/>
        <v>28.0338843</v>
      </c>
      <c r="L222" s="54"/>
      <c r="M222" s="199">
        <f>SUM(F220:F227)</f>
        <v>6591</v>
      </c>
      <c r="N222" s="199">
        <f>SUM(I220:I227)</f>
        <v>1936.05</v>
      </c>
      <c r="O222" s="85">
        <f>N222/M222*100</f>
        <v>29.37414656</v>
      </c>
      <c r="P222" s="214">
        <f>(M222/100)*(O222-Q222)</f>
        <v>-8.295</v>
      </c>
      <c r="Q222" s="78">
        <v>29.5</v>
      </c>
    </row>
    <row r="223">
      <c r="A223" s="54"/>
      <c r="B223" s="98">
        <v>45876.0</v>
      </c>
      <c r="C223" s="100" t="s">
        <v>142</v>
      </c>
      <c r="D223" s="100" t="s">
        <v>131</v>
      </c>
      <c r="E223" s="100">
        <v>1752296.0</v>
      </c>
      <c r="F223" s="99">
        <f t="shared" si="46"/>
        <v>391</v>
      </c>
      <c r="G223" s="100">
        <v>419.0</v>
      </c>
      <c r="H223" s="101">
        <v>110.0</v>
      </c>
      <c r="I223" s="101">
        <v>110.0</v>
      </c>
      <c r="J223" s="102">
        <f t="shared" si="44"/>
        <v>0</v>
      </c>
      <c r="K223" s="103">
        <f t="shared" si="45"/>
        <v>28.13299233</v>
      </c>
      <c r="L223" s="54"/>
      <c r="M223" s="54"/>
      <c r="N223" s="54"/>
    </row>
    <row r="224">
      <c r="A224" s="54"/>
      <c r="B224" s="98">
        <v>45881.0</v>
      </c>
      <c r="C224" s="100" t="s">
        <v>99</v>
      </c>
      <c r="D224" s="100" t="s">
        <v>131</v>
      </c>
      <c r="E224" s="100">
        <v>1753372.0</v>
      </c>
      <c r="F224" s="99">
        <f t="shared" si="46"/>
        <v>1076</v>
      </c>
      <c r="G224" s="100">
        <v>393.0</v>
      </c>
      <c r="H224" s="101">
        <v>298.0</v>
      </c>
      <c r="I224" s="101">
        <v>300.0</v>
      </c>
      <c r="J224" s="102">
        <f t="shared" si="44"/>
        <v>-2</v>
      </c>
      <c r="K224" s="103">
        <f t="shared" si="45"/>
        <v>27.88104089</v>
      </c>
      <c r="L224" s="54"/>
      <c r="M224" s="54"/>
      <c r="N224" s="54"/>
    </row>
    <row r="225">
      <c r="A225" s="54"/>
      <c r="B225" s="98">
        <v>45882.0</v>
      </c>
      <c r="C225" s="100" t="s">
        <v>99</v>
      </c>
      <c r="D225" s="100" t="s">
        <v>131</v>
      </c>
      <c r="E225" s="100">
        <v>1754086.0</v>
      </c>
      <c r="F225" s="99">
        <f t="shared" si="46"/>
        <v>714</v>
      </c>
      <c r="G225" s="100">
        <v>439.0</v>
      </c>
      <c r="H225" s="101">
        <v>243.0</v>
      </c>
      <c r="I225" s="101">
        <v>249.99</v>
      </c>
      <c r="J225" s="102">
        <f t="shared" si="44"/>
        <v>-6.99</v>
      </c>
      <c r="K225" s="103">
        <f t="shared" si="45"/>
        <v>35.01260504</v>
      </c>
      <c r="L225" s="54"/>
      <c r="M225" s="54"/>
      <c r="N225" s="54"/>
    </row>
    <row r="226">
      <c r="A226" s="54"/>
      <c r="B226" s="98">
        <v>45883.0</v>
      </c>
      <c r="C226" s="100" t="s">
        <v>99</v>
      </c>
      <c r="D226" s="100" t="s">
        <v>131</v>
      </c>
      <c r="E226" s="100">
        <v>1754582.0</v>
      </c>
      <c r="F226" s="99">
        <f t="shared" si="46"/>
        <v>496</v>
      </c>
      <c r="G226" s="100">
        <v>445.0</v>
      </c>
      <c r="H226" s="101">
        <v>151.0</v>
      </c>
      <c r="I226" s="101">
        <v>150.0</v>
      </c>
      <c r="J226" s="102">
        <f t="shared" si="44"/>
        <v>1</v>
      </c>
      <c r="K226" s="103">
        <f t="shared" si="45"/>
        <v>30.24193548</v>
      </c>
      <c r="L226" s="54"/>
      <c r="M226" s="54"/>
      <c r="N226" s="54"/>
    </row>
    <row r="227">
      <c r="A227" s="54"/>
      <c r="B227" s="98">
        <v>45891.0</v>
      </c>
      <c r="C227" s="100" t="s">
        <v>99</v>
      </c>
      <c r="D227" s="100" t="s">
        <v>131</v>
      </c>
      <c r="E227" s="100">
        <v>1755604.0</v>
      </c>
      <c r="F227" s="99">
        <f t="shared" si="46"/>
        <v>1022</v>
      </c>
      <c r="G227" s="100">
        <v>439.0</v>
      </c>
      <c r="H227" s="101">
        <v>337.0</v>
      </c>
      <c r="I227" s="101">
        <v>338.17</v>
      </c>
      <c r="J227" s="102">
        <f t="shared" si="44"/>
        <v>-1.17</v>
      </c>
      <c r="K227" s="103">
        <f t="shared" si="45"/>
        <v>33.0890411</v>
      </c>
      <c r="L227" s="54"/>
      <c r="M227" s="54"/>
      <c r="N227" s="54"/>
    </row>
    <row r="228">
      <c r="A228" s="89"/>
      <c r="B228" s="203" t="str">
        <f>IF(L228=4,"АПРЕЛЬ",IF(L228=5,"МАЙ",IF(L228=1,"ЯНВАРЬ",IF(L228=2,"ФЕВРАЛЬ",IF(L228=3,"МАРТ",IF(L228=6,"ИЮНЬ",IF(L228=7,"ИЮЛЬ",IF(L228=8,"АВГУСТ",IF(L228=9,"СЕНТЯБРЬ",IF(L228=10,"ОКТЯБРЬ",IF(L228=11,"НОЯБРЬ",IF(L228=12,"ДЕКАБРЬ"))))))))))))</f>
        <v>СЕНТЯБРЬ</v>
      </c>
      <c r="J228" s="89"/>
      <c r="K228" s="90"/>
      <c r="L228" s="91">
        <f>MONTH(B229)</f>
        <v>9</v>
      </c>
      <c r="M228" s="89"/>
      <c r="N228" s="89"/>
      <c r="O228" s="89"/>
      <c r="P228" s="89"/>
      <c r="Q228" s="89"/>
      <c r="R228" s="56"/>
      <c r="S228" s="56"/>
      <c r="T228" s="56"/>
      <c r="U228" s="56"/>
      <c r="V228" s="56"/>
      <c r="W228" s="56"/>
      <c r="X228" s="56"/>
      <c r="Y228" s="56"/>
      <c r="Z228" s="56"/>
      <c r="AA228" s="56"/>
    </row>
    <row r="229">
      <c r="A229" s="215"/>
      <c r="B229" s="98">
        <v>45910.0</v>
      </c>
      <c r="C229" s="100" t="s">
        <v>142</v>
      </c>
      <c r="D229" s="100" t="s">
        <v>131</v>
      </c>
      <c r="E229" s="100">
        <v>1756626.0</v>
      </c>
      <c r="F229" s="99">
        <f>E229-E227</f>
        <v>1022</v>
      </c>
      <c r="G229" s="100">
        <v>401.0</v>
      </c>
      <c r="H229" s="101">
        <v>293.0</v>
      </c>
      <c r="I229" s="101">
        <v>300.0</v>
      </c>
      <c r="J229" s="102">
        <f t="shared" ref="J229:J242" si="47">H229-I229</f>
        <v>-7</v>
      </c>
      <c r="K229" s="103">
        <f t="shared" ref="K229:K242" si="48">I229/F229*100</f>
        <v>29.35420744</v>
      </c>
      <c r="L229" s="54"/>
      <c r="M229" s="205" t="str">
        <f>"тотал"&amp;" "&amp;B228&amp;" "&amp;RIGHT(YEAR(B229),2)</f>
        <v>тотал СЕНТЯБРЬ 25</v>
      </c>
      <c r="N229" s="75"/>
      <c r="O229" s="75"/>
      <c r="P229" s="75"/>
      <c r="Q229" s="76"/>
    </row>
    <row r="230">
      <c r="A230" s="54"/>
      <c r="B230" s="98">
        <v>45910.0</v>
      </c>
      <c r="C230" s="100" t="s">
        <v>142</v>
      </c>
      <c r="D230" s="100" t="s">
        <v>131</v>
      </c>
      <c r="E230" s="100">
        <v>1756934.0</v>
      </c>
      <c r="F230" s="99">
        <f t="shared" ref="F230:F242" si="49">E230-E229</f>
        <v>308</v>
      </c>
      <c r="G230" s="100">
        <v>453.0</v>
      </c>
      <c r="H230" s="101">
        <v>151.0</v>
      </c>
      <c r="I230" s="101">
        <v>150.0</v>
      </c>
      <c r="J230" s="102">
        <f t="shared" si="47"/>
        <v>1</v>
      </c>
      <c r="K230" s="103">
        <f t="shared" si="48"/>
        <v>48.7012987</v>
      </c>
      <c r="L230" s="54"/>
      <c r="M230" s="198" t="s">
        <v>70</v>
      </c>
      <c r="N230" s="198" t="s">
        <v>71</v>
      </c>
      <c r="O230" s="83" t="s">
        <v>27</v>
      </c>
      <c r="P230" s="77" t="s">
        <v>28</v>
      </c>
      <c r="Q230" s="12" t="s">
        <v>78</v>
      </c>
    </row>
    <row r="231">
      <c r="A231" s="54"/>
      <c r="B231" s="98">
        <v>45914.0</v>
      </c>
      <c r="C231" s="100" t="s">
        <v>142</v>
      </c>
      <c r="D231" s="100" t="s">
        <v>131</v>
      </c>
      <c r="E231" s="100">
        <v>1757833.0</v>
      </c>
      <c r="F231" s="99">
        <f t="shared" si="49"/>
        <v>899</v>
      </c>
      <c r="G231" s="100">
        <v>430.0</v>
      </c>
      <c r="H231" s="101">
        <v>297.0</v>
      </c>
      <c r="I231" s="101">
        <v>300.0</v>
      </c>
      <c r="J231" s="102">
        <f t="shared" si="47"/>
        <v>-3</v>
      </c>
      <c r="K231" s="103">
        <f t="shared" si="48"/>
        <v>33.37041157</v>
      </c>
      <c r="L231" s="54"/>
      <c r="M231" s="199">
        <f>SUM(F229:F242)</f>
        <v>10072</v>
      </c>
      <c r="N231" s="199">
        <f>SUM(I229:I242)</f>
        <v>3149.39</v>
      </c>
      <c r="O231" s="85">
        <f>N231/M231*100</f>
        <v>31.26876489</v>
      </c>
      <c r="P231" s="79">
        <f>(M231/100)*(O231-Q231)</f>
        <v>27.07</v>
      </c>
      <c r="Q231" s="78">
        <v>31.0</v>
      </c>
    </row>
    <row r="232">
      <c r="A232" s="54"/>
      <c r="B232" s="98">
        <v>45914.0</v>
      </c>
      <c r="C232" s="100" t="s">
        <v>142</v>
      </c>
      <c r="D232" s="100" t="s">
        <v>131</v>
      </c>
      <c r="E232" s="100">
        <v>1758404.0</v>
      </c>
      <c r="F232" s="99">
        <f t="shared" si="49"/>
        <v>571</v>
      </c>
      <c r="G232" s="100">
        <v>390.0</v>
      </c>
      <c r="H232" s="101">
        <v>147.0</v>
      </c>
      <c r="I232" s="101">
        <v>150.0</v>
      </c>
      <c r="J232" s="102">
        <f t="shared" si="47"/>
        <v>-3</v>
      </c>
      <c r="K232" s="103">
        <f t="shared" si="48"/>
        <v>26.26970228</v>
      </c>
      <c r="L232" s="54"/>
      <c r="M232" s="54"/>
      <c r="N232" s="54"/>
    </row>
    <row r="233">
      <c r="A233" s="54"/>
      <c r="B233" s="98">
        <v>45917.0</v>
      </c>
      <c r="C233" s="100" t="s">
        <v>142</v>
      </c>
      <c r="D233" s="100" t="s">
        <v>131</v>
      </c>
      <c r="E233" s="100">
        <v>1759360.0</v>
      </c>
      <c r="F233" s="99">
        <f t="shared" si="49"/>
        <v>956</v>
      </c>
      <c r="G233" s="100">
        <v>473.0</v>
      </c>
      <c r="H233" s="101">
        <v>367.0</v>
      </c>
      <c r="I233" s="101">
        <v>349.39</v>
      </c>
      <c r="J233" s="102">
        <f t="shared" si="47"/>
        <v>17.61</v>
      </c>
      <c r="K233" s="103">
        <f t="shared" si="48"/>
        <v>36.54707113</v>
      </c>
      <c r="L233" s="54"/>
      <c r="M233" s="54"/>
      <c r="N233" s="54"/>
    </row>
    <row r="234">
      <c r="A234" s="54"/>
      <c r="B234" s="98">
        <v>45917.0</v>
      </c>
      <c r="C234" s="100" t="s">
        <v>142</v>
      </c>
      <c r="D234" s="100" t="s">
        <v>131</v>
      </c>
      <c r="E234" s="100">
        <v>1759795.0</v>
      </c>
      <c r="F234" s="99">
        <f t="shared" si="49"/>
        <v>435</v>
      </c>
      <c r="G234" s="100">
        <v>406.0</v>
      </c>
      <c r="H234" s="101">
        <v>98.0</v>
      </c>
      <c r="I234" s="101">
        <v>100.0</v>
      </c>
      <c r="J234" s="102">
        <f t="shared" si="47"/>
        <v>-2</v>
      </c>
      <c r="K234" s="103">
        <f t="shared" si="48"/>
        <v>22.98850575</v>
      </c>
      <c r="L234" s="54"/>
      <c r="M234" s="54"/>
      <c r="N234" s="54"/>
    </row>
    <row r="235">
      <c r="A235" s="54"/>
      <c r="B235" s="98">
        <v>45919.0</v>
      </c>
      <c r="C235" s="100" t="s">
        <v>142</v>
      </c>
      <c r="D235" s="100" t="s">
        <v>131</v>
      </c>
      <c r="E235" s="100">
        <v>1760761.0</v>
      </c>
      <c r="F235" s="99">
        <f t="shared" si="49"/>
        <v>966</v>
      </c>
      <c r="G235" s="100">
        <v>426.0</v>
      </c>
      <c r="H235" s="101">
        <v>300.0</v>
      </c>
      <c r="I235" s="101">
        <v>300.0</v>
      </c>
      <c r="J235" s="102">
        <f t="shared" si="47"/>
        <v>0</v>
      </c>
      <c r="K235" s="103">
        <f t="shared" si="48"/>
        <v>31.05590062</v>
      </c>
      <c r="L235" s="54"/>
      <c r="M235" s="54"/>
      <c r="N235" s="54"/>
    </row>
    <row r="236">
      <c r="A236" s="54"/>
      <c r="B236" s="98">
        <v>45920.0</v>
      </c>
      <c r="C236" s="100" t="s">
        <v>142</v>
      </c>
      <c r="D236" s="100" t="s">
        <v>131</v>
      </c>
      <c r="E236" s="100">
        <v>1761554.0</v>
      </c>
      <c r="F236" s="99">
        <f t="shared" si="49"/>
        <v>793</v>
      </c>
      <c r="G236" s="100">
        <v>356.0</v>
      </c>
      <c r="H236" s="101">
        <v>147.0</v>
      </c>
      <c r="I236" s="101">
        <v>150.0</v>
      </c>
      <c r="J236" s="102">
        <f t="shared" si="47"/>
        <v>-3</v>
      </c>
      <c r="K236" s="103">
        <f t="shared" si="48"/>
        <v>18.91551072</v>
      </c>
      <c r="L236" s="54"/>
      <c r="M236" s="54"/>
      <c r="N236" s="54"/>
    </row>
    <row r="237">
      <c r="A237" s="54"/>
      <c r="B237" s="98">
        <v>45921.0</v>
      </c>
      <c r="C237" s="100" t="s">
        <v>142</v>
      </c>
      <c r="D237" s="100" t="s">
        <v>131</v>
      </c>
      <c r="E237" s="100">
        <v>1762142.0</v>
      </c>
      <c r="F237" s="99">
        <f t="shared" si="49"/>
        <v>588</v>
      </c>
      <c r="G237" s="100">
        <v>398.0</v>
      </c>
      <c r="H237" s="101">
        <v>214.0</v>
      </c>
      <c r="I237" s="101">
        <v>200.0</v>
      </c>
      <c r="J237" s="102">
        <f t="shared" si="47"/>
        <v>14</v>
      </c>
      <c r="K237" s="103">
        <f t="shared" si="48"/>
        <v>34.01360544</v>
      </c>
      <c r="L237" s="54"/>
      <c r="M237" s="54"/>
      <c r="N237" s="54"/>
    </row>
    <row r="238">
      <c r="A238" s="54"/>
      <c r="B238" s="98">
        <v>45922.0</v>
      </c>
      <c r="C238" s="100" t="s">
        <v>142</v>
      </c>
      <c r="D238" s="100" t="s">
        <v>131</v>
      </c>
      <c r="E238" s="100">
        <v>1762807.0</v>
      </c>
      <c r="F238" s="99">
        <f t="shared" si="49"/>
        <v>665</v>
      </c>
      <c r="G238" s="100">
        <v>415.0</v>
      </c>
      <c r="H238" s="101">
        <v>246.0</v>
      </c>
      <c r="I238" s="101">
        <v>250.0</v>
      </c>
      <c r="J238" s="102">
        <f t="shared" si="47"/>
        <v>-4</v>
      </c>
      <c r="K238" s="103">
        <f t="shared" si="48"/>
        <v>37.59398496</v>
      </c>
      <c r="L238" s="54"/>
      <c r="M238" s="54"/>
      <c r="N238" s="54"/>
    </row>
    <row r="239">
      <c r="A239" s="54"/>
      <c r="B239" s="98">
        <v>45924.0</v>
      </c>
      <c r="C239" s="100" t="s">
        <v>142</v>
      </c>
      <c r="D239" s="100" t="s">
        <v>131</v>
      </c>
      <c r="E239" s="100">
        <v>1763798.0</v>
      </c>
      <c r="F239" s="99">
        <f t="shared" si="49"/>
        <v>991</v>
      </c>
      <c r="G239" s="100">
        <v>423.0</v>
      </c>
      <c r="H239" s="101">
        <v>317.0</v>
      </c>
      <c r="I239" s="101">
        <v>300.0</v>
      </c>
      <c r="J239" s="102">
        <f t="shared" si="47"/>
        <v>17</v>
      </c>
      <c r="K239" s="103">
        <f t="shared" si="48"/>
        <v>30.27245207</v>
      </c>
      <c r="L239" s="54"/>
      <c r="M239" s="54"/>
      <c r="N239" s="54"/>
    </row>
    <row r="240">
      <c r="A240" s="54"/>
      <c r="B240" s="98">
        <v>45924.0</v>
      </c>
      <c r="C240" s="100" t="s">
        <v>142</v>
      </c>
      <c r="D240" s="100" t="s">
        <v>131</v>
      </c>
      <c r="E240" s="100">
        <v>1764193.0</v>
      </c>
      <c r="F240" s="99">
        <f t="shared" si="49"/>
        <v>395</v>
      </c>
      <c r="G240" s="100">
        <v>449.0</v>
      </c>
      <c r="H240" s="101">
        <v>153.0</v>
      </c>
      <c r="I240" s="101">
        <v>150.0</v>
      </c>
      <c r="J240" s="102">
        <f t="shared" si="47"/>
        <v>3</v>
      </c>
      <c r="K240" s="103">
        <f t="shared" si="48"/>
        <v>37.97468354</v>
      </c>
      <c r="L240" s="54"/>
      <c r="M240" s="54"/>
      <c r="N240" s="54"/>
    </row>
    <row r="241">
      <c r="A241" s="54"/>
      <c r="B241" s="98">
        <v>45928.0</v>
      </c>
      <c r="C241" s="100" t="s">
        <v>142</v>
      </c>
      <c r="D241" s="100" t="s">
        <v>131</v>
      </c>
      <c r="E241" s="100">
        <v>1765385.0</v>
      </c>
      <c r="F241" s="99">
        <f t="shared" si="49"/>
        <v>1192</v>
      </c>
      <c r="G241" s="100">
        <v>423.0</v>
      </c>
      <c r="H241" s="101">
        <v>340.0</v>
      </c>
      <c r="I241" s="101">
        <v>350.0</v>
      </c>
      <c r="J241" s="102">
        <f t="shared" si="47"/>
        <v>-10</v>
      </c>
      <c r="K241" s="103">
        <f t="shared" si="48"/>
        <v>29.36241611</v>
      </c>
      <c r="L241" s="54"/>
      <c r="M241" s="54"/>
      <c r="N241" s="54"/>
    </row>
    <row r="242">
      <c r="A242" s="54"/>
      <c r="B242" s="98">
        <v>45928.0</v>
      </c>
      <c r="C242" s="100" t="s">
        <v>142</v>
      </c>
      <c r="D242" s="100" t="s">
        <v>131</v>
      </c>
      <c r="E242" s="100">
        <v>1765676.0</v>
      </c>
      <c r="F242" s="99">
        <f t="shared" si="49"/>
        <v>291</v>
      </c>
      <c r="G242" s="100">
        <v>428.0</v>
      </c>
      <c r="H242" s="101">
        <v>100.0</v>
      </c>
      <c r="I242" s="101">
        <v>100.0</v>
      </c>
      <c r="J242" s="102">
        <f t="shared" si="47"/>
        <v>0</v>
      </c>
      <c r="K242" s="103">
        <f t="shared" si="48"/>
        <v>34.36426117</v>
      </c>
      <c r="L242" s="54"/>
      <c r="M242" s="54"/>
      <c r="N242" s="54"/>
    </row>
    <row r="243">
      <c r="A243" s="89"/>
      <c r="B243" s="203" t="str">
        <f>IF(L243=4,"АПРЕЛЬ",IF(L243=5,"МАЙ",IF(L243=1,"ЯНВАРЬ",IF(L243=2,"ФЕВРАЛЬ",IF(L243=3,"МАРТ",IF(L243=6,"ИЮНЬ",IF(L243=7,"ИЮЛЬ",IF(L243=8,"АВГУСТ",IF(L243=9,"СЕНТЯБРЬ",IF(L243=10,"ОКТЯБРЬ",IF(L243=11,"НОЯБРЬ",IF(L243=12,"ДЕКАБРЬ"))))))))))))</f>
        <v>ОКТЯБРЬ</v>
      </c>
      <c r="J243" s="89"/>
      <c r="K243" s="90"/>
      <c r="L243" s="91">
        <f>MONTH(B244)</f>
        <v>10</v>
      </c>
      <c r="M243" s="89"/>
      <c r="N243" s="89"/>
      <c r="O243" s="89"/>
      <c r="P243" s="89"/>
      <c r="Q243" s="89"/>
      <c r="R243" s="56"/>
      <c r="S243" s="56"/>
      <c r="T243" s="56"/>
      <c r="U243" s="56"/>
      <c r="V243" s="56"/>
      <c r="W243" s="56"/>
      <c r="X243" s="56"/>
      <c r="Y243" s="56"/>
      <c r="Z243" s="56"/>
      <c r="AA243" s="56"/>
    </row>
    <row r="244">
      <c r="A244" s="54"/>
      <c r="B244" s="98">
        <v>45932.0</v>
      </c>
      <c r="C244" s="100" t="s">
        <v>142</v>
      </c>
      <c r="D244" s="100" t="s">
        <v>131</v>
      </c>
      <c r="E244" s="100">
        <v>1766681.0</v>
      </c>
      <c r="F244" s="99">
        <f>E244-E242</f>
        <v>1005</v>
      </c>
      <c r="G244" s="100">
        <v>447.0</v>
      </c>
      <c r="H244" s="101">
        <v>348.0</v>
      </c>
      <c r="I244" s="101">
        <v>350.0</v>
      </c>
      <c r="J244" s="102">
        <f t="shared" ref="J244:J249" si="50">H244-I244</f>
        <v>-2</v>
      </c>
      <c r="K244" s="103">
        <f t="shared" ref="K244:K249" si="51">I244/F244*100</f>
        <v>34.82587065</v>
      </c>
      <c r="L244" s="54"/>
      <c r="M244" s="205" t="str">
        <f>"тотал"&amp;" "&amp;B243&amp;" "&amp;RIGHT(YEAR(B244),2)</f>
        <v>тотал ОКТЯБРЬ 25</v>
      </c>
      <c r="N244" s="75"/>
      <c r="O244" s="75"/>
      <c r="P244" s="75"/>
      <c r="Q244" s="76"/>
    </row>
    <row r="245">
      <c r="A245" s="54"/>
      <c r="B245" s="98">
        <v>45932.0</v>
      </c>
      <c r="C245" s="100" t="s">
        <v>142</v>
      </c>
      <c r="D245" s="100" t="s">
        <v>131</v>
      </c>
      <c r="E245" s="100">
        <v>1767134.0</v>
      </c>
      <c r="F245" s="99">
        <f t="shared" ref="F245:F249" si="52">E245-E244</f>
        <v>453</v>
      </c>
      <c r="G245" s="100">
        <v>417.0</v>
      </c>
      <c r="H245" s="101">
        <v>97.0</v>
      </c>
      <c r="I245" s="101">
        <v>99.15</v>
      </c>
      <c r="J245" s="102">
        <f t="shared" si="50"/>
        <v>-2.15</v>
      </c>
      <c r="K245" s="103">
        <f t="shared" si="51"/>
        <v>21.88741722</v>
      </c>
      <c r="L245" s="54"/>
      <c r="M245" s="198" t="s">
        <v>70</v>
      </c>
      <c r="N245" s="198" t="s">
        <v>71</v>
      </c>
      <c r="O245" s="83" t="s">
        <v>27</v>
      </c>
      <c r="P245" s="77" t="s">
        <v>28</v>
      </c>
      <c r="Q245" s="12" t="s">
        <v>78</v>
      </c>
    </row>
    <row r="246">
      <c r="A246" s="54"/>
      <c r="B246" s="98">
        <v>45937.0</v>
      </c>
      <c r="C246" s="100" t="s">
        <v>142</v>
      </c>
      <c r="D246" s="100" t="s">
        <v>131</v>
      </c>
      <c r="E246" s="100">
        <v>1768243.0</v>
      </c>
      <c r="F246" s="99">
        <f t="shared" si="52"/>
        <v>1109</v>
      </c>
      <c r="G246" s="100">
        <v>408.0</v>
      </c>
      <c r="H246" s="101">
        <v>345.0</v>
      </c>
      <c r="I246" s="101">
        <v>350.0</v>
      </c>
      <c r="J246" s="102">
        <f t="shared" si="50"/>
        <v>-5</v>
      </c>
      <c r="K246" s="103">
        <f t="shared" si="51"/>
        <v>31.55996393</v>
      </c>
      <c r="L246" s="54"/>
      <c r="M246" s="199">
        <f>SUM(F244:F257)</f>
        <v>5004</v>
      </c>
      <c r="N246" s="199">
        <f>SUM(I244:I257)</f>
        <v>1549.15</v>
      </c>
      <c r="O246" s="85">
        <f>N246/M246*100</f>
        <v>30.95823341</v>
      </c>
      <c r="P246" s="79">
        <f>(M246/100)*(O246-Q246)</f>
        <v>-2.09</v>
      </c>
      <c r="Q246" s="78">
        <v>31.0</v>
      </c>
    </row>
    <row r="247">
      <c r="A247" s="54"/>
      <c r="B247" s="98">
        <v>45938.0</v>
      </c>
      <c r="C247" s="100" t="s">
        <v>142</v>
      </c>
      <c r="D247" s="100" t="s">
        <v>131</v>
      </c>
      <c r="E247" s="100">
        <v>1768722.0</v>
      </c>
      <c r="F247" s="99">
        <f t="shared" si="52"/>
        <v>479</v>
      </c>
      <c r="G247" s="100">
        <v>370.0</v>
      </c>
      <c r="H247" s="101">
        <v>94.0</v>
      </c>
      <c r="I247" s="101">
        <v>100.0</v>
      </c>
      <c r="J247" s="102">
        <f t="shared" si="50"/>
        <v>-6</v>
      </c>
      <c r="K247" s="103">
        <f t="shared" si="51"/>
        <v>20.87682672</v>
      </c>
      <c r="L247" s="54"/>
      <c r="M247" s="54"/>
      <c r="N247" s="54"/>
    </row>
    <row r="248">
      <c r="A248" s="54"/>
      <c r="B248" s="98">
        <v>45939.0</v>
      </c>
      <c r="C248" s="100" t="s">
        <v>142</v>
      </c>
      <c r="D248" s="100" t="s">
        <v>131</v>
      </c>
      <c r="E248" s="100">
        <v>1769588.0</v>
      </c>
      <c r="F248" s="99">
        <f t="shared" si="52"/>
        <v>866</v>
      </c>
      <c r="G248" s="100">
        <v>409.0</v>
      </c>
      <c r="H248" s="101">
        <v>296.0</v>
      </c>
      <c r="I248" s="101">
        <v>300.0</v>
      </c>
      <c r="J248" s="102">
        <f t="shared" si="50"/>
        <v>-4</v>
      </c>
      <c r="K248" s="103">
        <f t="shared" si="51"/>
        <v>34.64203233</v>
      </c>
      <c r="L248" s="54"/>
      <c r="M248" s="54"/>
      <c r="N248" s="54"/>
    </row>
    <row r="249">
      <c r="A249" s="54"/>
      <c r="B249" s="98">
        <v>45942.0</v>
      </c>
      <c r="C249" s="100" t="s">
        <v>142</v>
      </c>
      <c r="D249" s="100" t="s">
        <v>131</v>
      </c>
      <c r="E249" s="100">
        <v>1770680.0</v>
      </c>
      <c r="F249" s="99">
        <f t="shared" si="52"/>
        <v>1092</v>
      </c>
      <c r="G249" s="100">
        <v>435.0</v>
      </c>
      <c r="H249" s="101">
        <v>340.0</v>
      </c>
      <c r="I249" s="101">
        <v>350.0</v>
      </c>
      <c r="J249" s="102">
        <f t="shared" si="50"/>
        <v>-10</v>
      </c>
      <c r="K249" s="103">
        <f t="shared" si="51"/>
        <v>32.05128205</v>
      </c>
      <c r="L249" s="54"/>
      <c r="M249" s="54"/>
      <c r="N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  <c r="N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  <c r="N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  <c r="N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  <c r="N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  <c r="N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  <c r="N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  <c r="N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  <c r="N257" s="54"/>
    </row>
    <row r="258">
      <c r="A258" s="54"/>
      <c r="B258" s="99"/>
      <c r="C258" s="99"/>
      <c r="D258" s="99"/>
      <c r="E258" s="99"/>
      <c r="F258" s="99"/>
      <c r="G258" s="99"/>
      <c r="H258" s="102"/>
      <c r="I258" s="102"/>
      <c r="J258" s="102"/>
      <c r="K258" s="102"/>
      <c r="L258" s="54"/>
      <c r="M258" s="54"/>
      <c r="N258" s="54"/>
    </row>
    <row r="259">
      <c r="A259" s="54"/>
      <c r="B259" s="99"/>
      <c r="C259" s="99"/>
      <c r="D259" s="99"/>
      <c r="E259" s="99"/>
      <c r="F259" s="99"/>
      <c r="G259" s="99"/>
      <c r="H259" s="102"/>
      <c r="I259" s="102"/>
      <c r="J259" s="102"/>
      <c r="K259" s="102"/>
      <c r="L259" s="54"/>
      <c r="M259" s="54"/>
      <c r="N259" s="54"/>
    </row>
    <row r="260">
      <c r="A260" s="54"/>
      <c r="B260" s="99"/>
      <c r="C260" s="99"/>
      <c r="D260" s="99"/>
      <c r="E260" s="99"/>
      <c r="F260" s="99"/>
      <c r="G260" s="99"/>
      <c r="H260" s="102"/>
      <c r="I260" s="102"/>
      <c r="J260" s="102"/>
      <c r="K260" s="102"/>
      <c r="L260" s="54"/>
      <c r="M260" s="54"/>
      <c r="N260" s="54"/>
    </row>
    <row r="261">
      <c r="A261" s="54"/>
      <c r="B261" s="99"/>
      <c r="C261" s="99"/>
      <c r="D261" s="99"/>
      <c r="E261" s="99"/>
      <c r="F261" s="99"/>
      <c r="G261" s="99"/>
      <c r="H261" s="102"/>
      <c r="I261" s="102"/>
      <c r="J261" s="102"/>
      <c r="K261" s="102"/>
      <c r="L261" s="54"/>
      <c r="M261" s="54"/>
      <c r="N261" s="54"/>
    </row>
    <row r="262">
      <c r="A262" s="54"/>
      <c r="B262" s="99"/>
      <c r="C262" s="99"/>
      <c r="D262" s="99"/>
      <c r="E262" s="99"/>
      <c r="F262" s="99"/>
      <c r="G262" s="99"/>
      <c r="H262" s="102"/>
      <c r="I262" s="102"/>
      <c r="J262" s="102"/>
      <c r="K262" s="102"/>
      <c r="L262" s="54"/>
      <c r="M262" s="54"/>
      <c r="N262" s="54"/>
    </row>
    <row r="263">
      <c r="A263" s="54"/>
      <c r="B263" s="99"/>
      <c r="C263" s="99"/>
      <c r="D263" s="99"/>
      <c r="E263" s="99"/>
      <c r="F263" s="99"/>
      <c r="G263" s="99"/>
      <c r="H263" s="102"/>
      <c r="I263" s="102"/>
      <c r="J263" s="102"/>
      <c r="K263" s="102"/>
      <c r="L263" s="54"/>
      <c r="M263" s="54"/>
      <c r="N263" s="54"/>
    </row>
    <row r="264">
      <c r="A264" s="54"/>
      <c r="B264" s="99"/>
      <c r="C264" s="99"/>
      <c r="D264" s="99"/>
      <c r="E264" s="99"/>
      <c r="F264" s="99"/>
      <c r="G264" s="99"/>
      <c r="H264" s="102"/>
      <c r="I264" s="102"/>
      <c r="J264" s="102"/>
      <c r="K264" s="102"/>
      <c r="L264" s="54"/>
      <c r="M264" s="54"/>
      <c r="N264" s="54"/>
    </row>
    <row r="265">
      <c r="A265" s="54"/>
      <c r="B265" s="99"/>
      <c r="C265" s="99"/>
      <c r="D265" s="99"/>
      <c r="E265" s="99"/>
      <c r="F265" s="99"/>
      <c r="G265" s="99"/>
      <c r="H265" s="102"/>
      <c r="I265" s="102"/>
      <c r="J265" s="102"/>
      <c r="K265" s="102"/>
      <c r="L265" s="54"/>
      <c r="M265" s="54"/>
      <c r="N265" s="54"/>
    </row>
    <row r="266">
      <c r="A266" s="54"/>
      <c r="B266" s="99"/>
      <c r="C266" s="99"/>
      <c r="D266" s="99"/>
      <c r="E266" s="99"/>
      <c r="F266" s="99"/>
      <c r="G266" s="99"/>
      <c r="H266" s="102"/>
      <c r="I266" s="102"/>
      <c r="J266" s="102"/>
      <c r="K266" s="102"/>
      <c r="L266" s="54"/>
      <c r="M266" s="54"/>
      <c r="N266" s="54"/>
    </row>
    <row r="267">
      <c r="A267" s="54"/>
      <c r="B267" s="99"/>
      <c r="C267" s="99"/>
      <c r="D267" s="99"/>
      <c r="E267" s="99"/>
      <c r="F267" s="99"/>
      <c r="G267" s="99"/>
      <c r="H267" s="102"/>
      <c r="I267" s="102"/>
      <c r="J267" s="102"/>
      <c r="K267" s="102"/>
      <c r="L267" s="54"/>
      <c r="M267" s="54"/>
      <c r="N267" s="54"/>
    </row>
    <row r="268">
      <c r="A268" s="54"/>
      <c r="B268" s="99"/>
      <c r="C268" s="99"/>
      <c r="D268" s="99"/>
      <c r="E268" s="99"/>
      <c r="F268" s="99"/>
      <c r="G268" s="99"/>
      <c r="H268" s="102"/>
      <c r="I268" s="102"/>
      <c r="J268" s="102"/>
      <c r="K268" s="102"/>
      <c r="L268" s="54"/>
      <c r="M268" s="54"/>
      <c r="N268" s="54"/>
    </row>
    <row r="269">
      <c r="A269" s="54"/>
      <c r="B269" s="99"/>
      <c r="C269" s="99"/>
      <c r="D269" s="99"/>
      <c r="E269" s="99"/>
      <c r="F269" s="99"/>
      <c r="G269" s="99"/>
      <c r="H269" s="102"/>
      <c r="I269" s="102"/>
      <c r="J269" s="102"/>
      <c r="K269" s="102"/>
      <c r="L269" s="54"/>
      <c r="M269" s="54"/>
      <c r="N269" s="54"/>
    </row>
    <row r="270">
      <c r="A270" s="54"/>
      <c r="B270" s="99"/>
      <c r="C270" s="99"/>
      <c r="D270" s="99"/>
      <c r="E270" s="99"/>
      <c r="F270" s="99"/>
      <c r="G270" s="99"/>
      <c r="H270" s="102"/>
      <c r="I270" s="102"/>
      <c r="J270" s="102"/>
      <c r="K270" s="102"/>
      <c r="L270" s="54"/>
      <c r="M270" s="54"/>
      <c r="N270" s="54"/>
    </row>
    <row r="271">
      <c r="A271" s="54"/>
      <c r="B271" s="99"/>
      <c r="C271" s="99"/>
      <c r="D271" s="99"/>
      <c r="E271" s="99"/>
      <c r="F271" s="99"/>
      <c r="G271" s="99"/>
      <c r="H271" s="102"/>
      <c r="I271" s="102"/>
      <c r="J271" s="102"/>
      <c r="K271" s="102"/>
      <c r="L271" s="54"/>
      <c r="M271" s="54"/>
      <c r="N271" s="54"/>
    </row>
    <row r="272">
      <c r="A272" s="54"/>
      <c r="B272" s="99"/>
      <c r="C272" s="99"/>
      <c r="D272" s="99"/>
      <c r="E272" s="99"/>
      <c r="F272" s="99"/>
      <c r="G272" s="99"/>
      <c r="H272" s="102"/>
      <c r="I272" s="102"/>
      <c r="J272" s="102"/>
      <c r="K272" s="102"/>
      <c r="L272" s="54"/>
      <c r="M272" s="54"/>
      <c r="N272" s="54"/>
    </row>
    <row r="273">
      <c r="A273" s="54"/>
      <c r="B273" s="99"/>
      <c r="C273" s="99"/>
      <c r="D273" s="99"/>
      <c r="E273" s="99"/>
      <c r="F273" s="99"/>
      <c r="G273" s="99"/>
      <c r="H273" s="102"/>
      <c r="I273" s="102"/>
      <c r="J273" s="102"/>
      <c r="K273" s="102"/>
      <c r="L273" s="54"/>
      <c r="M273" s="54"/>
      <c r="N273" s="54"/>
    </row>
    <row r="274">
      <c r="A274" s="54"/>
      <c r="B274" s="99"/>
      <c r="C274" s="99"/>
      <c r="D274" s="99"/>
      <c r="E274" s="99"/>
      <c r="F274" s="99"/>
      <c r="G274" s="99"/>
      <c r="H274" s="102"/>
      <c r="I274" s="102"/>
      <c r="J274" s="102"/>
      <c r="K274" s="102"/>
      <c r="L274" s="54"/>
      <c r="M274" s="54"/>
      <c r="N274" s="54"/>
    </row>
    <row r="275">
      <c r="A275" s="54"/>
      <c r="B275" s="99"/>
      <c r="C275" s="99"/>
      <c r="D275" s="99"/>
      <c r="E275" s="99"/>
      <c r="F275" s="99"/>
      <c r="G275" s="99"/>
      <c r="H275" s="102"/>
      <c r="I275" s="102"/>
      <c r="J275" s="102"/>
      <c r="K275" s="102"/>
      <c r="L275" s="54"/>
      <c r="M275" s="54"/>
      <c r="N275" s="54"/>
    </row>
    <row r="276">
      <c r="A276" s="54"/>
      <c r="B276" s="99"/>
      <c r="C276" s="99"/>
      <c r="D276" s="99"/>
      <c r="E276" s="99"/>
      <c r="F276" s="99"/>
      <c r="G276" s="99"/>
      <c r="H276" s="102"/>
      <c r="I276" s="102"/>
      <c r="J276" s="102"/>
      <c r="K276" s="102"/>
      <c r="L276" s="54"/>
      <c r="M276" s="54"/>
      <c r="N276" s="54"/>
    </row>
    <row r="277">
      <c r="A277" s="54"/>
      <c r="B277" s="99"/>
      <c r="C277" s="99"/>
      <c r="D277" s="99"/>
      <c r="E277" s="99"/>
      <c r="F277" s="99"/>
      <c r="G277" s="99"/>
      <c r="H277" s="102"/>
      <c r="I277" s="102"/>
      <c r="J277" s="102"/>
      <c r="K277" s="102"/>
      <c r="L277" s="54"/>
      <c r="M277" s="54"/>
      <c r="N277" s="54"/>
    </row>
    <row r="278">
      <c r="A278" s="54"/>
      <c r="B278" s="99"/>
      <c r="C278" s="99"/>
      <c r="D278" s="99"/>
      <c r="E278" s="99"/>
      <c r="F278" s="99"/>
      <c r="G278" s="99"/>
      <c r="H278" s="102"/>
      <c r="I278" s="102"/>
      <c r="J278" s="102"/>
      <c r="K278" s="102"/>
      <c r="L278" s="54"/>
      <c r="M278" s="54"/>
      <c r="N278" s="54"/>
    </row>
    <row r="279">
      <c r="A279" s="54"/>
      <c r="B279" s="99"/>
      <c r="C279" s="99"/>
      <c r="D279" s="99"/>
      <c r="E279" s="99"/>
      <c r="F279" s="99"/>
      <c r="G279" s="99"/>
      <c r="H279" s="102"/>
      <c r="I279" s="102"/>
      <c r="J279" s="102"/>
      <c r="K279" s="102"/>
      <c r="L279" s="54"/>
      <c r="M279" s="54"/>
      <c r="N279" s="54"/>
    </row>
    <row r="280">
      <c r="A280" s="54"/>
      <c r="B280" s="99"/>
      <c r="C280" s="99"/>
      <c r="D280" s="99"/>
      <c r="E280" s="99"/>
      <c r="F280" s="99"/>
      <c r="G280" s="99"/>
      <c r="H280" s="102"/>
      <c r="I280" s="102"/>
      <c r="J280" s="102"/>
      <c r="K280" s="102"/>
      <c r="L280" s="54"/>
      <c r="M280" s="54"/>
      <c r="N280" s="54"/>
    </row>
    <row r="281">
      <c r="A281" s="54"/>
      <c r="B281" s="99"/>
      <c r="C281" s="99"/>
      <c r="D281" s="99"/>
      <c r="E281" s="99"/>
      <c r="F281" s="99"/>
      <c r="G281" s="99"/>
      <c r="H281" s="102"/>
      <c r="I281" s="102"/>
      <c r="J281" s="102"/>
      <c r="K281" s="102"/>
      <c r="L281" s="54"/>
      <c r="M281" s="54"/>
      <c r="N281" s="54"/>
    </row>
    <row r="282">
      <c r="A282" s="54"/>
      <c r="B282" s="99"/>
      <c r="C282" s="99"/>
      <c r="D282" s="99"/>
      <c r="E282" s="99"/>
      <c r="F282" s="99"/>
      <c r="G282" s="99"/>
      <c r="H282" s="102"/>
      <c r="I282" s="102"/>
      <c r="J282" s="102"/>
      <c r="K282" s="102"/>
      <c r="L282" s="54"/>
      <c r="M282" s="54"/>
      <c r="N282" s="54"/>
    </row>
    <row r="283">
      <c r="A283" s="54"/>
      <c r="B283" s="99"/>
      <c r="C283" s="99"/>
      <c r="D283" s="99"/>
      <c r="E283" s="99"/>
      <c r="F283" s="99"/>
      <c r="G283" s="99"/>
      <c r="H283" s="102"/>
      <c r="I283" s="102"/>
      <c r="J283" s="102"/>
      <c r="K283" s="102"/>
      <c r="L283" s="54"/>
      <c r="M283" s="54"/>
      <c r="N283" s="54"/>
    </row>
    <row r="284">
      <c r="A284" s="54"/>
      <c r="B284" s="99"/>
      <c r="C284" s="99"/>
      <c r="D284" s="99"/>
      <c r="E284" s="99"/>
      <c r="F284" s="99"/>
      <c r="G284" s="99"/>
      <c r="H284" s="102"/>
      <c r="I284" s="102"/>
      <c r="J284" s="102"/>
      <c r="K284" s="102"/>
      <c r="L284" s="54"/>
      <c r="M284" s="54"/>
      <c r="N284" s="54"/>
    </row>
    <row r="285">
      <c r="A285" s="54"/>
      <c r="B285" s="99"/>
      <c r="C285" s="99"/>
      <c r="D285" s="99"/>
      <c r="E285" s="99"/>
      <c r="F285" s="99"/>
      <c r="G285" s="99"/>
      <c r="H285" s="102"/>
      <c r="I285" s="102"/>
      <c r="J285" s="102"/>
      <c r="K285" s="102"/>
      <c r="L285" s="54"/>
      <c r="M285" s="54"/>
      <c r="N285" s="54"/>
    </row>
    <row r="286">
      <c r="A286" s="54"/>
      <c r="B286" s="99"/>
      <c r="C286" s="99"/>
      <c r="D286" s="99"/>
      <c r="E286" s="99"/>
      <c r="F286" s="99"/>
      <c r="G286" s="99"/>
      <c r="H286" s="102"/>
      <c r="I286" s="102"/>
      <c r="J286" s="102"/>
      <c r="K286" s="102"/>
      <c r="L286" s="54"/>
      <c r="M286" s="54"/>
      <c r="N286" s="54"/>
    </row>
    <row r="287">
      <c r="A287" s="54"/>
      <c r="B287" s="114"/>
      <c r="C287" s="114"/>
      <c r="D287" s="114"/>
      <c r="E287" s="114"/>
      <c r="F287" s="114"/>
      <c r="G287" s="114"/>
      <c r="H287" s="54"/>
      <c r="I287" s="54"/>
      <c r="J287" s="54"/>
      <c r="K287" s="54"/>
      <c r="L287" s="54"/>
      <c r="M287" s="54"/>
      <c r="N287" s="54"/>
    </row>
    <row r="288">
      <c r="A288" s="54"/>
      <c r="B288" s="114"/>
      <c r="C288" s="114"/>
      <c r="D288" s="114"/>
      <c r="E288" s="114"/>
      <c r="F288" s="114"/>
      <c r="G288" s="114"/>
      <c r="H288" s="54"/>
      <c r="I288" s="54"/>
      <c r="J288" s="54"/>
      <c r="K288" s="54"/>
      <c r="L288" s="54"/>
      <c r="M288" s="54"/>
      <c r="N288" s="54"/>
    </row>
    <row r="289">
      <c r="A289" s="54"/>
      <c r="B289" s="114"/>
      <c r="C289" s="114"/>
      <c r="D289" s="114"/>
      <c r="E289" s="114"/>
      <c r="F289" s="114"/>
      <c r="G289" s="114"/>
      <c r="H289" s="54"/>
      <c r="I289" s="54"/>
      <c r="J289" s="54"/>
      <c r="K289" s="54"/>
      <c r="L289" s="54"/>
      <c r="M289" s="54"/>
      <c r="N289" s="54"/>
    </row>
    <row r="290">
      <c r="A290" s="54"/>
      <c r="B290" s="114"/>
      <c r="C290" s="114"/>
      <c r="D290" s="114"/>
      <c r="E290" s="114"/>
      <c r="F290" s="114"/>
      <c r="G290" s="114"/>
      <c r="H290" s="54"/>
      <c r="I290" s="54"/>
      <c r="J290" s="54"/>
      <c r="K290" s="54"/>
      <c r="L290" s="54"/>
      <c r="M290" s="54"/>
      <c r="N290" s="54"/>
    </row>
    <row r="291">
      <c r="A291" s="54"/>
      <c r="B291" s="114"/>
      <c r="C291" s="114"/>
      <c r="D291" s="114"/>
      <c r="E291" s="114"/>
      <c r="F291" s="114"/>
      <c r="G291" s="114"/>
      <c r="H291" s="54"/>
      <c r="I291" s="54"/>
      <c r="J291" s="54"/>
      <c r="K291" s="54"/>
      <c r="L291" s="54"/>
      <c r="M291" s="54"/>
      <c r="N291" s="54"/>
    </row>
    <row r="292">
      <c r="A292" s="54"/>
      <c r="B292" s="114"/>
      <c r="C292" s="114"/>
      <c r="D292" s="114"/>
      <c r="E292" s="114"/>
      <c r="F292" s="114"/>
      <c r="G292" s="114"/>
      <c r="H292" s="54"/>
      <c r="I292" s="54"/>
      <c r="J292" s="54"/>
      <c r="K292" s="54"/>
      <c r="L292" s="54"/>
      <c r="M292" s="54"/>
      <c r="N292" s="54"/>
    </row>
    <row r="293">
      <c r="A293" s="54"/>
      <c r="B293" s="114"/>
      <c r="C293" s="114"/>
      <c r="D293" s="114"/>
      <c r="E293" s="114"/>
      <c r="F293" s="114"/>
      <c r="G293" s="114"/>
      <c r="H293" s="54"/>
      <c r="I293" s="54"/>
      <c r="J293" s="54"/>
      <c r="K293" s="54"/>
      <c r="L293" s="54"/>
      <c r="M293" s="54"/>
      <c r="N293" s="54"/>
    </row>
    <row r="294">
      <c r="A294" s="54"/>
      <c r="B294" s="114"/>
      <c r="C294" s="114"/>
      <c r="D294" s="114"/>
      <c r="E294" s="114"/>
      <c r="F294" s="114"/>
      <c r="G294" s="114"/>
      <c r="H294" s="54"/>
      <c r="I294" s="54"/>
      <c r="J294" s="54"/>
      <c r="K294" s="54"/>
      <c r="L294" s="54"/>
      <c r="M294" s="54"/>
      <c r="N294" s="54"/>
    </row>
    <row r="295">
      <c r="A295" s="54"/>
      <c r="B295" s="114"/>
      <c r="C295" s="114"/>
      <c r="D295" s="114"/>
      <c r="E295" s="114"/>
      <c r="F295" s="114"/>
      <c r="G295" s="114"/>
      <c r="H295" s="54"/>
      <c r="I295" s="54"/>
      <c r="J295" s="54"/>
      <c r="K295" s="54"/>
      <c r="L295" s="54"/>
      <c r="M295" s="54"/>
      <c r="N295" s="54"/>
    </row>
    <row r="296">
      <c r="A296" s="54"/>
      <c r="B296" s="114"/>
      <c r="C296" s="114"/>
      <c r="D296" s="114"/>
      <c r="E296" s="114"/>
      <c r="F296" s="114"/>
      <c r="G296" s="114"/>
      <c r="H296" s="54"/>
      <c r="I296" s="54"/>
      <c r="J296" s="54"/>
      <c r="K296" s="54"/>
      <c r="L296" s="54"/>
      <c r="M296" s="54"/>
      <c r="N296" s="54"/>
    </row>
    <row r="297">
      <c r="A297" s="54"/>
      <c r="B297" s="114"/>
      <c r="C297" s="114"/>
      <c r="D297" s="114"/>
      <c r="E297" s="114"/>
      <c r="F297" s="114"/>
      <c r="G297" s="114"/>
      <c r="H297" s="54"/>
      <c r="I297" s="54"/>
      <c r="J297" s="54"/>
      <c r="K297" s="54"/>
      <c r="L297" s="54"/>
      <c r="M297" s="54"/>
      <c r="N297" s="54"/>
    </row>
    <row r="298">
      <c r="A298" s="54"/>
      <c r="B298" s="114"/>
      <c r="C298" s="114"/>
      <c r="D298" s="114"/>
      <c r="E298" s="114"/>
      <c r="F298" s="114"/>
      <c r="G298" s="114"/>
      <c r="H298" s="54"/>
      <c r="I298" s="54"/>
      <c r="J298" s="54"/>
      <c r="K298" s="54"/>
      <c r="L298" s="54"/>
      <c r="M298" s="54"/>
      <c r="N298" s="54"/>
    </row>
    <row r="299">
      <c r="A299" s="54"/>
      <c r="B299" s="114"/>
      <c r="C299" s="114"/>
      <c r="D299" s="114"/>
      <c r="E299" s="114"/>
      <c r="F299" s="114"/>
      <c r="G299" s="114"/>
      <c r="H299" s="54"/>
      <c r="I299" s="54"/>
      <c r="J299" s="54"/>
      <c r="K299" s="54"/>
      <c r="L299" s="54"/>
      <c r="M299" s="54"/>
      <c r="N299" s="54"/>
    </row>
    <row r="300">
      <c r="A300" s="54"/>
      <c r="B300" s="114"/>
      <c r="C300" s="114"/>
      <c r="D300" s="114"/>
      <c r="E300" s="114"/>
      <c r="F300" s="114"/>
      <c r="G300" s="114"/>
      <c r="H300" s="54"/>
      <c r="I300" s="54"/>
      <c r="J300" s="54"/>
      <c r="K300" s="54"/>
      <c r="L300" s="54"/>
      <c r="M300" s="54"/>
      <c r="N300" s="54"/>
    </row>
    <row r="301">
      <c r="A301" s="54"/>
      <c r="B301" s="114"/>
      <c r="C301" s="114"/>
      <c r="D301" s="114"/>
      <c r="E301" s="114"/>
      <c r="F301" s="114"/>
      <c r="G301" s="114"/>
      <c r="H301" s="54"/>
      <c r="I301" s="54"/>
      <c r="J301" s="54"/>
      <c r="K301" s="54"/>
      <c r="L301" s="54"/>
      <c r="M301" s="54"/>
      <c r="N301" s="54"/>
    </row>
    <row r="302">
      <c r="A302" s="54"/>
      <c r="B302" s="114"/>
      <c r="C302" s="114"/>
      <c r="D302" s="114"/>
      <c r="E302" s="114"/>
      <c r="F302" s="114"/>
      <c r="G302" s="114"/>
      <c r="H302" s="54"/>
      <c r="I302" s="54"/>
      <c r="J302" s="54"/>
      <c r="K302" s="54"/>
      <c r="L302" s="54"/>
      <c r="M302" s="54"/>
      <c r="N302" s="54"/>
    </row>
    <row r="303">
      <c r="A303" s="54"/>
      <c r="B303" s="114"/>
      <c r="C303" s="114"/>
      <c r="D303" s="114"/>
      <c r="E303" s="114"/>
      <c r="F303" s="114"/>
      <c r="G303" s="114"/>
      <c r="H303" s="54"/>
      <c r="I303" s="54"/>
      <c r="J303" s="54"/>
      <c r="K303" s="54"/>
      <c r="L303" s="54"/>
      <c r="M303" s="54"/>
      <c r="N303" s="54"/>
    </row>
    <row r="304">
      <c r="A304" s="54"/>
      <c r="B304" s="114"/>
      <c r="C304" s="114"/>
      <c r="D304" s="114"/>
      <c r="E304" s="114"/>
      <c r="F304" s="114"/>
      <c r="G304" s="114"/>
      <c r="H304" s="54"/>
      <c r="I304" s="54"/>
      <c r="J304" s="54"/>
      <c r="K304" s="54"/>
      <c r="L304" s="54"/>
      <c r="M304" s="54"/>
      <c r="N304" s="54"/>
    </row>
    <row r="305">
      <c r="A305" s="54"/>
      <c r="B305" s="114"/>
      <c r="C305" s="114"/>
      <c r="D305" s="114"/>
      <c r="E305" s="114"/>
      <c r="F305" s="114"/>
      <c r="G305" s="114"/>
      <c r="H305" s="54"/>
      <c r="I305" s="54"/>
      <c r="J305" s="54"/>
      <c r="K305" s="54"/>
      <c r="L305" s="54"/>
      <c r="M305" s="54"/>
      <c r="N305" s="54"/>
    </row>
    <row r="306">
      <c r="A306" s="54"/>
      <c r="B306" s="114"/>
      <c r="C306" s="114"/>
      <c r="D306" s="114"/>
      <c r="E306" s="114"/>
      <c r="F306" s="114"/>
      <c r="G306" s="114"/>
      <c r="H306" s="54"/>
      <c r="I306" s="54"/>
      <c r="J306" s="54"/>
      <c r="K306" s="54"/>
      <c r="L306" s="54"/>
      <c r="M306" s="54"/>
      <c r="N306" s="54"/>
    </row>
    <row r="307">
      <c r="A307" s="54"/>
      <c r="B307" s="114"/>
      <c r="C307" s="114"/>
      <c r="D307" s="114"/>
      <c r="E307" s="114"/>
      <c r="F307" s="114"/>
      <c r="G307" s="114"/>
      <c r="H307" s="54"/>
      <c r="I307" s="54"/>
      <c r="J307" s="54"/>
      <c r="K307" s="54"/>
      <c r="L307" s="54"/>
      <c r="M307" s="54"/>
      <c r="N307" s="54"/>
    </row>
    <row r="308">
      <c r="A308" s="54"/>
      <c r="B308" s="114"/>
      <c r="C308" s="114"/>
      <c r="D308" s="114"/>
      <c r="E308" s="114"/>
      <c r="F308" s="114"/>
      <c r="G308" s="114"/>
      <c r="H308" s="54"/>
      <c r="I308" s="54"/>
      <c r="J308" s="54"/>
      <c r="K308" s="54"/>
      <c r="L308" s="54"/>
      <c r="M308" s="54"/>
      <c r="N308" s="54"/>
    </row>
    <row r="309">
      <c r="A309" s="54"/>
      <c r="B309" s="114"/>
      <c r="C309" s="114"/>
      <c r="D309" s="114"/>
      <c r="E309" s="114"/>
      <c r="F309" s="114"/>
      <c r="G309" s="114"/>
      <c r="H309" s="54"/>
      <c r="I309" s="54"/>
      <c r="J309" s="54"/>
      <c r="K309" s="54"/>
      <c r="L309" s="54"/>
      <c r="M309" s="54"/>
      <c r="N309" s="54"/>
    </row>
    <row r="310">
      <c r="A310" s="54"/>
      <c r="B310" s="114"/>
      <c r="C310" s="114"/>
      <c r="D310" s="114"/>
      <c r="E310" s="114"/>
      <c r="F310" s="114"/>
      <c r="G310" s="114"/>
      <c r="H310" s="54"/>
      <c r="I310" s="54"/>
      <c r="J310" s="54"/>
      <c r="K310" s="54"/>
      <c r="L310" s="54"/>
      <c r="M310" s="54"/>
      <c r="N310" s="54"/>
    </row>
    <row r="311">
      <c r="A311" s="54"/>
      <c r="B311" s="114"/>
      <c r="C311" s="114"/>
      <c r="D311" s="114"/>
      <c r="E311" s="114"/>
      <c r="F311" s="114"/>
      <c r="G311" s="114"/>
      <c r="H311" s="54"/>
      <c r="I311" s="54"/>
      <c r="J311" s="54"/>
      <c r="K311" s="54"/>
      <c r="L311" s="54"/>
      <c r="M311" s="54"/>
      <c r="N311" s="54"/>
    </row>
    <row r="312">
      <c r="A312" s="54"/>
      <c r="B312" s="114"/>
      <c r="C312" s="114"/>
      <c r="D312" s="114"/>
      <c r="E312" s="114"/>
      <c r="F312" s="114"/>
      <c r="G312" s="114"/>
      <c r="H312" s="54"/>
      <c r="I312" s="54"/>
      <c r="J312" s="54"/>
      <c r="K312" s="54"/>
      <c r="L312" s="54"/>
      <c r="M312" s="54"/>
      <c r="N312" s="54"/>
    </row>
    <row r="313">
      <c r="A313" s="54"/>
      <c r="B313" s="114"/>
      <c r="C313" s="114"/>
      <c r="D313" s="114"/>
      <c r="E313" s="114"/>
      <c r="F313" s="114"/>
      <c r="G313" s="114"/>
      <c r="H313" s="54"/>
      <c r="I313" s="54"/>
      <c r="J313" s="54"/>
      <c r="K313" s="54"/>
      <c r="L313" s="54"/>
      <c r="M313" s="54"/>
      <c r="N313" s="54"/>
    </row>
    <row r="314">
      <c r="A314" s="54"/>
      <c r="B314" s="114"/>
      <c r="C314" s="114"/>
      <c r="D314" s="114"/>
      <c r="E314" s="114"/>
      <c r="F314" s="114"/>
      <c r="G314" s="114"/>
      <c r="H314" s="54"/>
      <c r="I314" s="54"/>
      <c r="J314" s="54"/>
      <c r="K314" s="54"/>
      <c r="L314" s="54"/>
      <c r="M314" s="54"/>
      <c r="N314" s="54"/>
    </row>
    <row r="315">
      <c r="A315" s="54"/>
      <c r="B315" s="114"/>
      <c r="C315" s="114"/>
      <c r="D315" s="114"/>
      <c r="E315" s="114"/>
      <c r="F315" s="114"/>
      <c r="G315" s="114"/>
      <c r="H315" s="54"/>
      <c r="I315" s="54"/>
      <c r="J315" s="54"/>
      <c r="K315" s="54"/>
      <c r="L315" s="54"/>
      <c r="M315" s="54"/>
      <c r="N315" s="54"/>
    </row>
    <row r="316">
      <c r="A316" s="54"/>
      <c r="B316" s="114"/>
      <c r="C316" s="114"/>
      <c r="D316" s="114"/>
      <c r="E316" s="114"/>
      <c r="F316" s="114"/>
      <c r="G316" s="114"/>
      <c r="H316" s="54"/>
      <c r="I316" s="54"/>
      <c r="J316" s="54"/>
      <c r="K316" s="54"/>
      <c r="L316" s="54"/>
      <c r="M316" s="54"/>
      <c r="N316" s="54"/>
    </row>
    <row r="317">
      <c r="A317" s="54"/>
      <c r="B317" s="114"/>
      <c r="C317" s="114"/>
      <c r="D317" s="114"/>
      <c r="E317" s="114"/>
      <c r="F317" s="114"/>
      <c r="G317" s="114"/>
      <c r="H317" s="54"/>
      <c r="I317" s="54"/>
      <c r="J317" s="54"/>
      <c r="K317" s="54"/>
      <c r="L317" s="54"/>
      <c r="M317" s="54"/>
      <c r="N317" s="54"/>
    </row>
    <row r="318">
      <c r="A318" s="54"/>
      <c r="B318" s="114"/>
      <c r="C318" s="114"/>
      <c r="D318" s="114"/>
      <c r="E318" s="114"/>
      <c r="F318" s="114"/>
      <c r="G318" s="114"/>
      <c r="H318" s="54"/>
      <c r="I318" s="54"/>
      <c r="J318" s="54"/>
      <c r="K318" s="54"/>
      <c r="L318" s="54"/>
      <c r="M318" s="54"/>
      <c r="N318" s="54"/>
    </row>
    <row r="319">
      <c r="A319" s="54"/>
      <c r="B319" s="114"/>
      <c r="C319" s="114"/>
      <c r="D319" s="114"/>
      <c r="E319" s="114"/>
      <c r="F319" s="114"/>
      <c r="G319" s="114"/>
      <c r="H319" s="54"/>
      <c r="I319" s="54"/>
      <c r="J319" s="54"/>
      <c r="K319" s="54"/>
      <c r="L319" s="54"/>
      <c r="M319" s="54"/>
      <c r="N319" s="54"/>
    </row>
    <row r="320">
      <c r="A320" s="54"/>
      <c r="B320" s="114"/>
      <c r="C320" s="114"/>
      <c r="D320" s="114"/>
      <c r="E320" s="114"/>
      <c r="F320" s="114"/>
      <c r="G320" s="114"/>
      <c r="H320" s="54"/>
      <c r="I320" s="54"/>
      <c r="J320" s="54"/>
      <c r="K320" s="54"/>
      <c r="L320" s="54"/>
      <c r="M320" s="54"/>
      <c r="N320" s="54"/>
    </row>
    <row r="321">
      <c r="A321" s="54"/>
      <c r="B321" s="114"/>
      <c r="C321" s="114"/>
      <c r="D321" s="114"/>
      <c r="E321" s="114"/>
      <c r="F321" s="114"/>
      <c r="G321" s="114"/>
      <c r="H321" s="54"/>
      <c r="I321" s="54"/>
      <c r="J321" s="54"/>
      <c r="K321" s="54"/>
      <c r="L321" s="54"/>
      <c r="M321" s="54"/>
      <c r="N321" s="54"/>
    </row>
    <row r="322">
      <c r="A322" s="54"/>
      <c r="B322" s="114"/>
      <c r="C322" s="114"/>
      <c r="D322" s="114"/>
      <c r="E322" s="114"/>
      <c r="F322" s="114"/>
      <c r="G322" s="114"/>
      <c r="H322" s="54"/>
      <c r="I322" s="54"/>
      <c r="J322" s="54"/>
      <c r="K322" s="54"/>
      <c r="L322" s="54"/>
      <c r="M322" s="54"/>
      <c r="N322" s="54"/>
    </row>
    <row r="323">
      <c r="A323" s="54"/>
      <c r="B323" s="114"/>
      <c r="C323" s="114"/>
      <c r="D323" s="114"/>
      <c r="E323" s="114"/>
      <c r="F323" s="114"/>
      <c r="G323" s="114"/>
      <c r="H323" s="54"/>
      <c r="I323" s="54"/>
      <c r="J323" s="54"/>
      <c r="K323" s="54"/>
      <c r="L323" s="54"/>
      <c r="M323" s="54"/>
      <c r="N323" s="54"/>
    </row>
    <row r="324">
      <c r="A324" s="54"/>
      <c r="B324" s="114"/>
      <c r="C324" s="114"/>
      <c r="D324" s="114"/>
      <c r="E324" s="114"/>
      <c r="F324" s="114"/>
      <c r="G324" s="114"/>
      <c r="H324" s="54"/>
      <c r="I324" s="54"/>
      <c r="J324" s="54"/>
      <c r="K324" s="54"/>
      <c r="L324" s="54"/>
      <c r="M324" s="54"/>
      <c r="N324" s="54"/>
    </row>
    <row r="325">
      <c r="A325" s="54"/>
      <c r="B325" s="114"/>
      <c r="C325" s="114"/>
      <c r="D325" s="114"/>
      <c r="E325" s="114"/>
      <c r="F325" s="114"/>
      <c r="G325" s="114"/>
      <c r="H325" s="54"/>
      <c r="I325" s="54"/>
      <c r="J325" s="54"/>
      <c r="K325" s="54"/>
      <c r="L325" s="54"/>
      <c r="M325" s="54"/>
      <c r="N325" s="54"/>
    </row>
    <row r="326">
      <c r="A326" s="54"/>
      <c r="B326" s="114"/>
      <c r="C326" s="114"/>
      <c r="D326" s="114"/>
      <c r="E326" s="114"/>
      <c r="F326" s="114"/>
      <c r="G326" s="114"/>
      <c r="H326" s="54"/>
      <c r="I326" s="54"/>
      <c r="J326" s="54"/>
      <c r="K326" s="54"/>
      <c r="L326" s="54"/>
      <c r="M326" s="54"/>
      <c r="N326" s="54"/>
    </row>
    <row r="327">
      <c r="A327" s="54"/>
      <c r="B327" s="114"/>
      <c r="C327" s="114"/>
      <c r="D327" s="114"/>
      <c r="E327" s="114"/>
      <c r="F327" s="114"/>
      <c r="G327" s="114"/>
      <c r="H327" s="54"/>
      <c r="I327" s="54"/>
      <c r="J327" s="54"/>
      <c r="K327" s="54"/>
      <c r="L327" s="54"/>
      <c r="M327" s="54"/>
      <c r="N327" s="54"/>
    </row>
    <row r="328">
      <c r="A328" s="54"/>
      <c r="B328" s="114"/>
      <c r="C328" s="114"/>
      <c r="D328" s="114"/>
      <c r="E328" s="114"/>
      <c r="F328" s="114"/>
      <c r="G328" s="114"/>
      <c r="H328" s="54"/>
      <c r="I328" s="54"/>
      <c r="J328" s="54"/>
      <c r="K328" s="54"/>
      <c r="L328" s="54"/>
      <c r="M328" s="54"/>
      <c r="N328" s="54"/>
    </row>
    <row r="329">
      <c r="A329" s="54"/>
      <c r="B329" s="114"/>
      <c r="C329" s="114"/>
      <c r="D329" s="114"/>
      <c r="E329" s="114"/>
      <c r="F329" s="114"/>
      <c r="G329" s="114"/>
      <c r="H329" s="54"/>
      <c r="I329" s="54"/>
      <c r="J329" s="54"/>
      <c r="K329" s="54"/>
      <c r="L329" s="54"/>
      <c r="M329" s="54"/>
      <c r="N329" s="54"/>
    </row>
    <row r="330">
      <c r="A330" s="54"/>
      <c r="B330" s="114"/>
      <c r="C330" s="114"/>
      <c r="D330" s="114"/>
      <c r="E330" s="114"/>
      <c r="F330" s="114"/>
      <c r="G330" s="114"/>
      <c r="H330" s="54"/>
      <c r="I330" s="54"/>
      <c r="J330" s="54"/>
      <c r="K330" s="54"/>
      <c r="L330" s="54"/>
      <c r="M330" s="54"/>
      <c r="N330" s="54"/>
    </row>
    <row r="331">
      <c r="A331" s="54"/>
      <c r="B331" s="114"/>
      <c r="C331" s="114"/>
      <c r="D331" s="114"/>
      <c r="E331" s="114"/>
      <c r="F331" s="114"/>
      <c r="G331" s="114"/>
      <c r="H331" s="54"/>
      <c r="I331" s="54"/>
      <c r="J331" s="54"/>
      <c r="K331" s="54"/>
      <c r="L331" s="54"/>
      <c r="M331" s="54"/>
      <c r="N331" s="54"/>
    </row>
    <row r="332">
      <c r="A332" s="54"/>
      <c r="B332" s="114"/>
      <c r="C332" s="114"/>
      <c r="D332" s="114"/>
      <c r="E332" s="114"/>
      <c r="F332" s="114"/>
      <c r="G332" s="114"/>
      <c r="H332" s="54"/>
      <c r="I332" s="54"/>
      <c r="J332" s="54"/>
      <c r="K332" s="54"/>
      <c r="L332" s="54"/>
      <c r="M332" s="54"/>
      <c r="N332" s="54"/>
    </row>
    <row r="333">
      <c r="A333" s="54"/>
      <c r="B333" s="114"/>
      <c r="C333" s="114"/>
      <c r="D333" s="114"/>
      <c r="E333" s="114"/>
      <c r="F333" s="114"/>
      <c r="G333" s="114"/>
      <c r="H333" s="54"/>
      <c r="I333" s="54"/>
      <c r="J333" s="54"/>
      <c r="K333" s="54"/>
      <c r="L333" s="54"/>
      <c r="M333" s="54"/>
      <c r="N333" s="54"/>
    </row>
    <row r="334">
      <c r="A334" s="54"/>
      <c r="B334" s="114"/>
      <c r="C334" s="114"/>
      <c r="D334" s="114"/>
      <c r="E334" s="114"/>
      <c r="F334" s="114"/>
      <c r="G334" s="114"/>
      <c r="H334" s="54"/>
      <c r="I334" s="54"/>
      <c r="J334" s="54"/>
      <c r="K334" s="54"/>
      <c r="L334" s="54"/>
      <c r="M334" s="54"/>
      <c r="N334" s="54"/>
    </row>
    <row r="335">
      <c r="A335" s="54"/>
      <c r="B335" s="114"/>
      <c r="C335" s="114"/>
      <c r="D335" s="114"/>
      <c r="E335" s="114"/>
      <c r="F335" s="114"/>
      <c r="G335" s="114"/>
      <c r="H335" s="54"/>
      <c r="I335" s="54"/>
      <c r="J335" s="54"/>
      <c r="K335" s="54"/>
      <c r="L335" s="54"/>
      <c r="M335" s="54"/>
      <c r="N335" s="54"/>
    </row>
    <row r="336">
      <c r="A336" s="54"/>
      <c r="B336" s="114"/>
      <c r="C336" s="114"/>
      <c r="D336" s="114"/>
      <c r="E336" s="114"/>
      <c r="F336" s="114"/>
      <c r="G336" s="114"/>
      <c r="H336" s="54"/>
      <c r="I336" s="54"/>
      <c r="J336" s="54"/>
      <c r="K336" s="54"/>
      <c r="L336" s="54"/>
      <c r="M336" s="54"/>
      <c r="N336" s="54"/>
    </row>
    <row r="337">
      <c r="A337" s="54"/>
      <c r="B337" s="114"/>
      <c r="C337" s="114"/>
      <c r="D337" s="114"/>
      <c r="E337" s="114"/>
      <c r="F337" s="114"/>
      <c r="G337" s="114"/>
      <c r="H337" s="54"/>
      <c r="I337" s="54"/>
      <c r="J337" s="54"/>
      <c r="K337" s="54"/>
      <c r="L337" s="54"/>
      <c r="M337" s="54"/>
      <c r="N337" s="54"/>
    </row>
    <row r="338">
      <c r="A338" s="54"/>
      <c r="B338" s="114"/>
      <c r="C338" s="114"/>
      <c r="D338" s="114"/>
      <c r="E338" s="114"/>
      <c r="F338" s="114"/>
      <c r="G338" s="114"/>
      <c r="H338" s="54"/>
      <c r="I338" s="54"/>
      <c r="J338" s="54"/>
      <c r="K338" s="54"/>
      <c r="L338" s="54"/>
      <c r="M338" s="54"/>
      <c r="N338" s="54"/>
    </row>
    <row r="339">
      <c r="A339" s="54"/>
      <c r="B339" s="114"/>
      <c r="C339" s="114"/>
      <c r="D339" s="114"/>
      <c r="E339" s="114"/>
      <c r="F339" s="114"/>
      <c r="G339" s="114"/>
      <c r="H339" s="54"/>
      <c r="I339" s="54"/>
      <c r="J339" s="54"/>
      <c r="K339" s="54"/>
      <c r="L339" s="54"/>
      <c r="M339" s="54"/>
      <c r="N339" s="54"/>
    </row>
    <row r="340">
      <c r="A340" s="54"/>
      <c r="B340" s="114"/>
      <c r="C340" s="114"/>
      <c r="D340" s="114"/>
      <c r="E340" s="114"/>
      <c r="F340" s="114"/>
      <c r="G340" s="114"/>
      <c r="H340" s="54"/>
      <c r="I340" s="54"/>
      <c r="J340" s="54"/>
      <c r="K340" s="54"/>
      <c r="L340" s="54"/>
      <c r="M340" s="54"/>
      <c r="N340" s="54"/>
    </row>
    <row r="341">
      <c r="A341" s="54"/>
      <c r="B341" s="114"/>
      <c r="C341" s="114"/>
      <c r="D341" s="114"/>
      <c r="E341" s="114"/>
      <c r="F341" s="114"/>
      <c r="G341" s="114"/>
      <c r="H341" s="54"/>
      <c r="I341" s="54"/>
      <c r="J341" s="54"/>
      <c r="K341" s="54"/>
      <c r="L341" s="54"/>
      <c r="M341" s="54"/>
      <c r="N341" s="54"/>
    </row>
    <row r="342">
      <c r="A342" s="54"/>
      <c r="B342" s="114"/>
      <c r="C342" s="114"/>
      <c r="D342" s="114"/>
      <c r="E342" s="114"/>
      <c r="F342" s="114"/>
      <c r="G342" s="114"/>
      <c r="H342" s="54"/>
      <c r="I342" s="54"/>
      <c r="J342" s="54"/>
      <c r="K342" s="54"/>
      <c r="L342" s="54"/>
      <c r="M342" s="54"/>
      <c r="N342" s="54"/>
    </row>
    <row r="343">
      <c r="A343" s="54"/>
      <c r="B343" s="114"/>
      <c r="C343" s="114"/>
      <c r="D343" s="114"/>
      <c r="E343" s="114"/>
      <c r="F343" s="114"/>
      <c r="G343" s="114"/>
      <c r="H343" s="54"/>
      <c r="I343" s="54"/>
      <c r="J343" s="54"/>
      <c r="K343" s="54"/>
      <c r="L343" s="54"/>
      <c r="M343" s="54"/>
      <c r="N343" s="54"/>
    </row>
    <row r="344">
      <c r="A344" s="54"/>
      <c r="B344" s="114"/>
      <c r="C344" s="114"/>
      <c r="D344" s="114"/>
      <c r="E344" s="114"/>
      <c r="F344" s="114"/>
      <c r="G344" s="114"/>
      <c r="H344" s="54"/>
      <c r="I344" s="54"/>
      <c r="J344" s="54"/>
      <c r="K344" s="54"/>
      <c r="L344" s="54"/>
      <c r="M344" s="54"/>
      <c r="N344" s="54"/>
    </row>
    <row r="345">
      <c r="A345" s="54"/>
      <c r="B345" s="114"/>
      <c r="C345" s="114"/>
      <c r="D345" s="114"/>
      <c r="E345" s="114"/>
      <c r="F345" s="114"/>
      <c r="G345" s="114"/>
      <c r="H345" s="54"/>
      <c r="I345" s="54"/>
      <c r="J345" s="54"/>
      <c r="K345" s="54"/>
      <c r="L345" s="54"/>
      <c r="M345" s="54"/>
      <c r="N345" s="54"/>
    </row>
    <row r="346">
      <c r="A346" s="54"/>
      <c r="B346" s="114"/>
      <c r="C346" s="114"/>
      <c r="D346" s="114"/>
      <c r="E346" s="114"/>
      <c r="F346" s="114"/>
      <c r="G346" s="114"/>
      <c r="H346" s="54"/>
      <c r="I346" s="54"/>
      <c r="J346" s="54"/>
      <c r="K346" s="54"/>
      <c r="L346" s="54"/>
      <c r="M346" s="54"/>
      <c r="N346" s="54"/>
    </row>
    <row r="347">
      <c r="A347" s="54"/>
      <c r="B347" s="114"/>
      <c r="C347" s="114"/>
      <c r="D347" s="114"/>
      <c r="E347" s="114"/>
      <c r="F347" s="114"/>
      <c r="G347" s="114"/>
      <c r="H347" s="54"/>
      <c r="I347" s="54"/>
      <c r="J347" s="54"/>
      <c r="K347" s="54"/>
      <c r="L347" s="54"/>
      <c r="M347" s="54"/>
      <c r="N347" s="54"/>
    </row>
    <row r="348">
      <c r="A348" s="54"/>
      <c r="B348" s="114"/>
      <c r="C348" s="114"/>
      <c r="D348" s="114"/>
      <c r="E348" s="114"/>
      <c r="F348" s="114"/>
      <c r="G348" s="114"/>
      <c r="H348" s="54"/>
      <c r="I348" s="54"/>
      <c r="J348" s="54"/>
      <c r="K348" s="54"/>
      <c r="L348" s="54"/>
      <c r="M348" s="54"/>
      <c r="N348" s="54"/>
    </row>
    <row r="349">
      <c r="A349" s="54"/>
      <c r="B349" s="114"/>
      <c r="C349" s="114"/>
      <c r="D349" s="114"/>
      <c r="E349" s="114"/>
      <c r="F349" s="114"/>
      <c r="G349" s="114"/>
      <c r="H349" s="54"/>
      <c r="I349" s="54"/>
      <c r="J349" s="54"/>
      <c r="K349" s="54"/>
      <c r="L349" s="54"/>
      <c r="M349" s="54"/>
      <c r="N349" s="54"/>
    </row>
    <row r="350">
      <c r="A350" s="54"/>
      <c r="B350" s="114"/>
      <c r="C350" s="114"/>
      <c r="D350" s="114"/>
      <c r="E350" s="114"/>
      <c r="F350" s="114"/>
      <c r="G350" s="114"/>
      <c r="H350" s="54"/>
      <c r="I350" s="54"/>
      <c r="J350" s="54"/>
      <c r="K350" s="54"/>
      <c r="L350" s="54"/>
      <c r="M350" s="54"/>
      <c r="N350" s="54"/>
    </row>
    <row r="351">
      <c r="A351" s="54"/>
      <c r="B351" s="114"/>
      <c r="C351" s="114"/>
      <c r="D351" s="114"/>
      <c r="E351" s="114"/>
      <c r="F351" s="114"/>
      <c r="G351" s="114"/>
      <c r="H351" s="54"/>
      <c r="I351" s="54"/>
      <c r="J351" s="54"/>
      <c r="K351" s="54"/>
      <c r="L351" s="54"/>
      <c r="M351" s="54"/>
      <c r="N351" s="54"/>
    </row>
    <row r="352">
      <c r="A352" s="54"/>
      <c r="B352" s="114"/>
      <c r="C352" s="114"/>
      <c r="D352" s="114"/>
      <c r="E352" s="114"/>
      <c r="F352" s="114"/>
      <c r="G352" s="114"/>
      <c r="H352" s="54"/>
      <c r="I352" s="54"/>
      <c r="J352" s="54"/>
      <c r="K352" s="54"/>
      <c r="L352" s="54"/>
      <c r="M352" s="54"/>
      <c r="N352" s="54"/>
    </row>
    <row r="353">
      <c r="A353" s="54"/>
      <c r="B353" s="114"/>
      <c r="C353" s="114"/>
      <c r="D353" s="114"/>
      <c r="E353" s="114"/>
      <c r="F353" s="114"/>
      <c r="G353" s="114"/>
      <c r="H353" s="54"/>
      <c r="I353" s="54"/>
      <c r="J353" s="54"/>
      <c r="K353" s="54"/>
      <c r="L353" s="54"/>
      <c r="M353" s="54"/>
      <c r="N353" s="54"/>
    </row>
    <row r="354">
      <c r="A354" s="54"/>
      <c r="B354" s="114"/>
      <c r="C354" s="114"/>
      <c r="D354" s="114"/>
      <c r="E354" s="114"/>
      <c r="F354" s="114"/>
      <c r="G354" s="114"/>
      <c r="H354" s="54"/>
      <c r="I354" s="54"/>
      <c r="J354" s="54"/>
      <c r="K354" s="54"/>
      <c r="L354" s="54"/>
      <c r="M354" s="54"/>
      <c r="N354" s="54"/>
    </row>
    <row r="355">
      <c r="A355" s="54"/>
      <c r="B355" s="114"/>
      <c r="C355" s="114"/>
      <c r="D355" s="114"/>
      <c r="E355" s="114"/>
      <c r="F355" s="114"/>
      <c r="G355" s="114"/>
      <c r="H355" s="54"/>
      <c r="I355" s="54"/>
      <c r="J355" s="54"/>
      <c r="K355" s="54"/>
      <c r="L355" s="54"/>
      <c r="M355" s="54"/>
      <c r="N355" s="54"/>
    </row>
    <row r="356">
      <c r="A356" s="54"/>
      <c r="B356" s="114"/>
      <c r="C356" s="114"/>
      <c r="D356" s="114"/>
      <c r="E356" s="114"/>
      <c r="F356" s="114"/>
      <c r="G356" s="114"/>
      <c r="H356" s="54"/>
      <c r="I356" s="54"/>
      <c r="J356" s="54"/>
      <c r="K356" s="54"/>
      <c r="L356" s="54"/>
      <c r="M356" s="54"/>
      <c r="N356" s="54"/>
    </row>
    <row r="357">
      <c r="A357" s="54"/>
      <c r="B357" s="114"/>
      <c r="C357" s="114"/>
      <c r="D357" s="114"/>
      <c r="E357" s="114"/>
      <c r="F357" s="114"/>
      <c r="G357" s="114"/>
      <c r="H357" s="54"/>
      <c r="I357" s="54"/>
      <c r="J357" s="54"/>
      <c r="K357" s="54"/>
      <c r="L357" s="54"/>
      <c r="M357" s="54"/>
      <c r="N357" s="54"/>
    </row>
    <row r="358">
      <c r="A358" s="54"/>
      <c r="B358" s="114"/>
      <c r="C358" s="114"/>
      <c r="D358" s="114"/>
      <c r="E358" s="114"/>
      <c r="F358" s="114"/>
      <c r="G358" s="114"/>
      <c r="H358" s="54"/>
      <c r="I358" s="54"/>
      <c r="J358" s="54"/>
      <c r="K358" s="54"/>
      <c r="L358" s="54"/>
      <c r="M358" s="54"/>
      <c r="N358" s="54"/>
    </row>
    <row r="359">
      <c r="A359" s="54"/>
      <c r="B359" s="114"/>
      <c r="C359" s="114"/>
      <c r="D359" s="114"/>
      <c r="E359" s="114"/>
      <c r="F359" s="114"/>
      <c r="G359" s="114"/>
      <c r="H359" s="54"/>
      <c r="I359" s="54"/>
      <c r="J359" s="54"/>
      <c r="K359" s="54"/>
      <c r="L359" s="54"/>
      <c r="M359" s="54"/>
      <c r="N359" s="54"/>
    </row>
    <row r="360">
      <c r="A360" s="54"/>
      <c r="B360" s="114"/>
      <c r="C360" s="114"/>
      <c r="D360" s="114"/>
      <c r="E360" s="114"/>
      <c r="F360" s="114"/>
      <c r="G360" s="114"/>
      <c r="H360" s="54"/>
      <c r="I360" s="54"/>
      <c r="J360" s="54"/>
      <c r="K360" s="54"/>
      <c r="L360" s="54"/>
      <c r="M360" s="54"/>
      <c r="N360" s="54"/>
    </row>
    <row r="361">
      <c r="A361" s="54"/>
      <c r="B361" s="114"/>
      <c r="C361" s="114"/>
      <c r="D361" s="114"/>
      <c r="E361" s="114"/>
      <c r="F361" s="114"/>
      <c r="G361" s="114"/>
      <c r="H361" s="54"/>
      <c r="I361" s="54"/>
      <c r="J361" s="54"/>
      <c r="K361" s="54"/>
      <c r="L361" s="54"/>
      <c r="M361" s="54"/>
      <c r="N361" s="54"/>
    </row>
    <row r="362">
      <c r="A362" s="54"/>
      <c r="B362" s="114"/>
      <c r="C362" s="114"/>
      <c r="D362" s="114"/>
      <c r="E362" s="114"/>
      <c r="F362" s="114"/>
      <c r="G362" s="114"/>
      <c r="H362" s="54"/>
      <c r="I362" s="54"/>
      <c r="J362" s="54"/>
      <c r="K362" s="54"/>
      <c r="L362" s="54"/>
      <c r="M362" s="54"/>
      <c r="N362" s="54"/>
    </row>
    <row r="363">
      <c r="A363" s="54"/>
      <c r="B363" s="114"/>
      <c r="C363" s="114"/>
      <c r="D363" s="114"/>
      <c r="E363" s="114"/>
      <c r="F363" s="114"/>
      <c r="G363" s="114"/>
      <c r="H363" s="54"/>
      <c r="I363" s="54"/>
      <c r="J363" s="54"/>
      <c r="K363" s="54"/>
      <c r="L363" s="54"/>
      <c r="M363" s="54"/>
      <c r="N363" s="54"/>
    </row>
    <row r="364">
      <c r="A364" s="54"/>
      <c r="B364" s="114"/>
      <c r="C364" s="114"/>
      <c r="D364" s="114"/>
      <c r="E364" s="114"/>
      <c r="F364" s="114"/>
      <c r="G364" s="114"/>
      <c r="H364" s="54"/>
      <c r="I364" s="54"/>
      <c r="J364" s="54"/>
      <c r="K364" s="54"/>
      <c r="L364" s="54"/>
      <c r="M364" s="54"/>
      <c r="N364" s="54"/>
    </row>
    <row r="365">
      <c r="A365" s="54"/>
      <c r="B365" s="114"/>
      <c r="C365" s="114"/>
      <c r="D365" s="114"/>
      <c r="E365" s="114"/>
      <c r="F365" s="114"/>
      <c r="G365" s="114"/>
      <c r="H365" s="54"/>
      <c r="I365" s="54"/>
      <c r="J365" s="54"/>
      <c r="K365" s="54"/>
      <c r="L365" s="54"/>
      <c r="M365" s="54"/>
      <c r="N365" s="54"/>
    </row>
    <row r="366">
      <c r="A366" s="54"/>
      <c r="B366" s="114"/>
      <c r="C366" s="114"/>
      <c r="D366" s="114"/>
      <c r="E366" s="114"/>
      <c r="F366" s="114"/>
      <c r="G366" s="114"/>
      <c r="H366" s="54"/>
      <c r="I366" s="54"/>
      <c r="J366" s="54"/>
      <c r="K366" s="54"/>
      <c r="L366" s="54"/>
      <c r="M366" s="54"/>
      <c r="N366" s="54"/>
    </row>
    <row r="367">
      <c r="A367" s="54"/>
      <c r="B367" s="114"/>
      <c r="C367" s="114"/>
      <c r="D367" s="114"/>
      <c r="E367" s="114"/>
      <c r="F367" s="114"/>
      <c r="G367" s="114"/>
      <c r="H367" s="54"/>
      <c r="I367" s="54"/>
      <c r="J367" s="54"/>
      <c r="K367" s="54"/>
      <c r="L367" s="54"/>
      <c r="M367" s="54"/>
      <c r="N367" s="54"/>
    </row>
    <row r="368">
      <c r="A368" s="54"/>
      <c r="B368" s="114"/>
      <c r="C368" s="114"/>
      <c r="D368" s="114"/>
      <c r="E368" s="114"/>
      <c r="F368" s="114"/>
      <c r="G368" s="114"/>
      <c r="H368" s="54"/>
      <c r="I368" s="54"/>
      <c r="J368" s="54"/>
      <c r="K368" s="54"/>
      <c r="L368" s="54"/>
      <c r="M368" s="54"/>
      <c r="N368" s="54"/>
    </row>
    <row r="369">
      <c r="A369" s="54"/>
      <c r="B369" s="114"/>
      <c r="C369" s="114"/>
      <c r="D369" s="114"/>
      <c r="E369" s="114"/>
      <c r="F369" s="114"/>
      <c r="G369" s="114"/>
      <c r="H369" s="54"/>
      <c r="I369" s="54"/>
      <c r="J369" s="54"/>
      <c r="K369" s="54"/>
      <c r="L369" s="54"/>
      <c r="M369" s="54"/>
      <c r="N369" s="54"/>
    </row>
    <row r="370">
      <c r="A370" s="54"/>
      <c r="B370" s="114"/>
      <c r="C370" s="114"/>
      <c r="D370" s="114"/>
      <c r="E370" s="114"/>
      <c r="F370" s="114"/>
      <c r="G370" s="114"/>
      <c r="H370" s="54"/>
      <c r="I370" s="54"/>
      <c r="J370" s="54"/>
      <c r="K370" s="54"/>
      <c r="L370" s="54"/>
      <c r="M370" s="54"/>
      <c r="N370" s="54"/>
    </row>
    <row r="371">
      <c r="A371" s="54"/>
      <c r="B371" s="114"/>
      <c r="C371" s="114"/>
      <c r="D371" s="114"/>
      <c r="E371" s="114"/>
      <c r="F371" s="114"/>
      <c r="G371" s="114"/>
      <c r="H371" s="54"/>
      <c r="I371" s="54"/>
      <c r="J371" s="54"/>
      <c r="K371" s="54"/>
      <c r="L371" s="54"/>
      <c r="M371" s="54"/>
      <c r="N371" s="54"/>
    </row>
    <row r="372">
      <c r="A372" s="54"/>
      <c r="B372" s="114"/>
      <c r="C372" s="114"/>
      <c r="D372" s="114"/>
      <c r="E372" s="114"/>
      <c r="F372" s="114"/>
      <c r="G372" s="114"/>
      <c r="H372" s="54"/>
      <c r="I372" s="54"/>
      <c r="J372" s="54"/>
      <c r="K372" s="54"/>
      <c r="L372" s="54"/>
      <c r="M372" s="54"/>
      <c r="N372" s="54"/>
    </row>
    <row r="373">
      <c r="A373" s="54"/>
      <c r="B373" s="114"/>
      <c r="C373" s="114"/>
      <c r="D373" s="114"/>
      <c r="E373" s="114"/>
      <c r="F373" s="114"/>
      <c r="G373" s="114"/>
      <c r="H373" s="54"/>
      <c r="I373" s="54"/>
      <c r="J373" s="54"/>
      <c r="K373" s="54"/>
      <c r="L373" s="54"/>
      <c r="M373" s="54"/>
      <c r="N373" s="54"/>
    </row>
    <row r="374">
      <c r="A374" s="54"/>
      <c r="B374" s="114"/>
      <c r="C374" s="114"/>
      <c r="D374" s="114"/>
      <c r="E374" s="114"/>
      <c r="F374" s="114"/>
      <c r="G374" s="114"/>
      <c r="H374" s="54"/>
      <c r="I374" s="54"/>
      <c r="J374" s="54"/>
      <c r="K374" s="54"/>
      <c r="L374" s="54"/>
      <c r="M374" s="54"/>
      <c r="N374" s="54"/>
    </row>
    <row r="375">
      <c r="A375" s="54"/>
      <c r="B375" s="114"/>
      <c r="C375" s="114"/>
      <c r="D375" s="114"/>
      <c r="E375" s="114"/>
      <c r="F375" s="114"/>
      <c r="G375" s="114"/>
      <c r="H375" s="54"/>
      <c r="I375" s="54"/>
      <c r="J375" s="54"/>
      <c r="K375" s="54"/>
      <c r="L375" s="54"/>
      <c r="M375" s="54"/>
      <c r="N375" s="54"/>
    </row>
    <row r="376">
      <c r="A376" s="54"/>
      <c r="B376" s="114"/>
      <c r="C376" s="114"/>
      <c r="D376" s="114"/>
      <c r="E376" s="114"/>
      <c r="F376" s="114"/>
      <c r="G376" s="114"/>
      <c r="H376" s="54"/>
      <c r="I376" s="54"/>
      <c r="J376" s="54"/>
      <c r="K376" s="54"/>
      <c r="L376" s="54"/>
      <c r="M376" s="54"/>
      <c r="N376" s="54"/>
    </row>
    <row r="377">
      <c r="A377" s="54"/>
      <c r="B377" s="114"/>
      <c r="C377" s="114"/>
      <c r="D377" s="114"/>
      <c r="E377" s="114"/>
      <c r="F377" s="114"/>
      <c r="G377" s="114"/>
      <c r="H377" s="54"/>
      <c r="I377" s="54"/>
      <c r="J377" s="54"/>
      <c r="K377" s="54"/>
      <c r="L377" s="54"/>
      <c r="M377" s="54"/>
      <c r="N377" s="54"/>
    </row>
    <row r="378">
      <c r="A378" s="54"/>
      <c r="B378" s="114"/>
      <c r="C378" s="114"/>
      <c r="D378" s="114"/>
      <c r="E378" s="114"/>
      <c r="F378" s="114"/>
      <c r="G378" s="114"/>
      <c r="H378" s="54"/>
      <c r="I378" s="54"/>
      <c r="J378" s="54"/>
      <c r="K378" s="54"/>
      <c r="L378" s="54"/>
      <c r="M378" s="54"/>
      <c r="N378" s="54"/>
    </row>
    <row r="379">
      <c r="A379" s="54"/>
      <c r="B379" s="114"/>
      <c r="C379" s="114"/>
      <c r="D379" s="114"/>
      <c r="E379" s="114"/>
      <c r="F379" s="114"/>
      <c r="G379" s="114"/>
      <c r="H379" s="54"/>
      <c r="I379" s="54"/>
      <c r="J379" s="54"/>
      <c r="K379" s="54"/>
      <c r="L379" s="54"/>
      <c r="M379" s="54"/>
      <c r="N379" s="54"/>
    </row>
    <row r="380">
      <c r="A380" s="54"/>
      <c r="B380" s="114"/>
      <c r="C380" s="114"/>
      <c r="D380" s="114"/>
      <c r="E380" s="114"/>
      <c r="F380" s="114"/>
      <c r="G380" s="114"/>
      <c r="H380" s="54"/>
      <c r="I380" s="54"/>
      <c r="J380" s="54"/>
      <c r="K380" s="54"/>
      <c r="L380" s="54"/>
      <c r="M380" s="54"/>
      <c r="N380" s="54"/>
    </row>
    <row r="381">
      <c r="A381" s="54"/>
      <c r="B381" s="114"/>
      <c r="C381" s="114"/>
      <c r="D381" s="114"/>
      <c r="E381" s="114"/>
      <c r="F381" s="114"/>
      <c r="G381" s="114"/>
      <c r="H381" s="54"/>
      <c r="I381" s="54"/>
      <c r="J381" s="54"/>
      <c r="K381" s="54"/>
      <c r="L381" s="54"/>
      <c r="M381" s="54"/>
      <c r="N381" s="54"/>
    </row>
    <row r="382">
      <c r="A382" s="54"/>
      <c r="B382" s="114"/>
      <c r="C382" s="114"/>
      <c r="D382" s="114"/>
      <c r="E382" s="114"/>
      <c r="F382" s="114"/>
      <c r="G382" s="114"/>
      <c r="H382" s="54"/>
      <c r="I382" s="54"/>
      <c r="J382" s="54"/>
      <c r="K382" s="54"/>
      <c r="L382" s="54"/>
      <c r="M382" s="54"/>
      <c r="N382" s="54"/>
    </row>
    <row r="383">
      <c r="A383" s="54"/>
      <c r="B383" s="114"/>
      <c r="C383" s="114"/>
      <c r="D383" s="114"/>
      <c r="E383" s="114"/>
      <c r="F383" s="114"/>
      <c r="G383" s="114"/>
      <c r="H383" s="54"/>
      <c r="I383" s="54"/>
      <c r="J383" s="54"/>
      <c r="K383" s="54"/>
      <c r="L383" s="54"/>
      <c r="M383" s="54"/>
      <c r="N383" s="54"/>
    </row>
    <row r="384">
      <c r="A384" s="54"/>
      <c r="B384" s="114"/>
      <c r="C384" s="114"/>
      <c r="D384" s="114"/>
      <c r="E384" s="114"/>
      <c r="F384" s="114"/>
      <c r="G384" s="114"/>
      <c r="H384" s="54"/>
      <c r="I384" s="54"/>
      <c r="J384" s="54"/>
      <c r="K384" s="54"/>
      <c r="L384" s="54"/>
      <c r="M384" s="54"/>
      <c r="N384" s="54"/>
    </row>
    <row r="385">
      <c r="A385" s="54"/>
      <c r="B385" s="114"/>
      <c r="C385" s="114"/>
      <c r="D385" s="114"/>
      <c r="E385" s="114"/>
      <c r="F385" s="114"/>
      <c r="G385" s="114"/>
      <c r="H385" s="54"/>
      <c r="I385" s="54"/>
      <c r="J385" s="54"/>
      <c r="K385" s="54"/>
      <c r="L385" s="54"/>
      <c r="M385" s="54"/>
      <c r="N385" s="54"/>
    </row>
    <row r="386">
      <c r="A386" s="54"/>
      <c r="B386" s="114"/>
      <c r="C386" s="114"/>
      <c r="D386" s="114"/>
      <c r="E386" s="114"/>
      <c r="F386" s="114"/>
      <c r="G386" s="114"/>
      <c r="H386" s="54"/>
      <c r="I386" s="54"/>
      <c r="J386" s="54"/>
      <c r="K386" s="54"/>
      <c r="L386" s="54"/>
      <c r="M386" s="54"/>
      <c r="N386" s="54"/>
    </row>
    <row r="387">
      <c r="A387" s="54"/>
      <c r="B387" s="114"/>
      <c r="C387" s="114"/>
      <c r="D387" s="114"/>
      <c r="E387" s="114"/>
      <c r="F387" s="114"/>
      <c r="G387" s="114"/>
      <c r="H387" s="54"/>
      <c r="I387" s="54"/>
      <c r="J387" s="54"/>
      <c r="K387" s="54"/>
      <c r="L387" s="54"/>
      <c r="M387" s="54"/>
      <c r="N387" s="54"/>
    </row>
    <row r="388">
      <c r="A388" s="54"/>
      <c r="B388" s="114"/>
      <c r="C388" s="114"/>
      <c r="D388" s="114"/>
      <c r="E388" s="114"/>
      <c r="F388" s="114"/>
      <c r="G388" s="114"/>
      <c r="H388" s="54"/>
      <c r="I388" s="54"/>
      <c r="J388" s="54"/>
      <c r="K388" s="54"/>
      <c r="L388" s="54"/>
      <c r="M388" s="54"/>
      <c r="N388" s="54"/>
    </row>
    <row r="389">
      <c r="A389" s="54"/>
      <c r="B389" s="114"/>
      <c r="C389" s="114"/>
      <c r="D389" s="114"/>
      <c r="E389" s="114"/>
      <c r="F389" s="114"/>
      <c r="G389" s="114"/>
      <c r="H389" s="54"/>
      <c r="I389" s="54"/>
      <c r="J389" s="54"/>
      <c r="K389" s="54"/>
      <c r="L389" s="54"/>
      <c r="M389" s="54"/>
      <c r="N389" s="54"/>
    </row>
    <row r="390">
      <c r="A390" s="54"/>
      <c r="B390" s="114"/>
      <c r="C390" s="114"/>
      <c r="D390" s="114"/>
      <c r="E390" s="114"/>
      <c r="F390" s="114"/>
      <c r="G390" s="114"/>
      <c r="H390" s="54"/>
      <c r="I390" s="54"/>
      <c r="J390" s="54"/>
      <c r="K390" s="54"/>
      <c r="L390" s="54"/>
      <c r="M390" s="54"/>
      <c r="N390" s="54"/>
    </row>
    <row r="391">
      <c r="A391" s="54"/>
      <c r="B391" s="114"/>
      <c r="C391" s="114"/>
      <c r="D391" s="114"/>
      <c r="E391" s="114"/>
      <c r="F391" s="114"/>
      <c r="G391" s="114"/>
      <c r="H391" s="54"/>
      <c r="I391" s="54"/>
      <c r="J391" s="54"/>
      <c r="K391" s="54"/>
      <c r="L391" s="54"/>
      <c r="M391" s="54"/>
      <c r="N391" s="54"/>
    </row>
    <row r="392">
      <c r="A392" s="54"/>
      <c r="B392" s="114"/>
      <c r="C392" s="114"/>
      <c r="D392" s="114"/>
      <c r="E392" s="114"/>
      <c r="F392" s="114"/>
      <c r="G392" s="114"/>
      <c r="H392" s="54"/>
      <c r="I392" s="54"/>
      <c r="J392" s="54"/>
      <c r="K392" s="54"/>
      <c r="L392" s="54"/>
      <c r="M392" s="54"/>
      <c r="N392" s="54"/>
    </row>
    <row r="393">
      <c r="A393" s="54"/>
      <c r="B393" s="114"/>
      <c r="C393" s="114"/>
      <c r="D393" s="114"/>
      <c r="E393" s="114"/>
      <c r="F393" s="114"/>
      <c r="G393" s="114"/>
      <c r="H393" s="54"/>
      <c r="I393" s="54"/>
      <c r="J393" s="54"/>
      <c r="K393" s="54"/>
      <c r="L393" s="54"/>
      <c r="M393" s="54"/>
      <c r="N393" s="54"/>
    </row>
    <row r="394">
      <c r="A394" s="54"/>
      <c r="B394" s="114"/>
      <c r="C394" s="114"/>
      <c r="D394" s="114"/>
      <c r="E394" s="114"/>
      <c r="F394" s="114"/>
      <c r="G394" s="114"/>
      <c r="H394" s="54"/>
      <c r="I394" s="54"/>
      <c r="J394" s="54"/>
      <c r="K394" s="54"/>
      <c r="L394" s="54"/>
      <c r="M394" s="54"/>
      <c r="N394" s="54"/>
    </row>
    <row r="395">
      <c r="A395" s="54"/>
      <c r="B395" s="114"/>
      <c r="C395" s="114"/>
      <c r="D395" s="114"/>
      <c r="E395" s="114"/>
      <c r="F395" s="114"/>
      <c r="G395" s="114"/>
      <c r="H395" s="54"/>
      <c r="I395" s="54"/>
      <c r="J395" s="54"/>
      <c r="K395" s="54"/>
      <c r="L395" s="54"/>
      <c r="M395" s="54"/>
      <c r="N395" s="54"/>
    </row>
    <row r="396">
      <c r="A396" s="54"/>
      <c r="B396" s="114"/>
      <c r="C396" s="114"/>
      <c r="D396" s="114"/>
      <c r="E396" s="114"/>
      <c r="F396" s="114"/>
      <c r="G396" s="114"/>
      <c r="H396" s="54"/>
      <c r="I396" s="54"/>
      <c r="J396" s="54"/>
      <c r="K396" s="54"/>
      <c r="L396" s="54"/>
      <c r="M396" s="54"/>
      <c r="N396" s="54"/>
    </row>
    <row r="397">
      <c r="A397" s="54"/>
      <c r="B397" s="114"/>
      <c r="C397" s="114"/>
      <c r="D397" s="114"/>
      <c r="E397" s="114"/>
      <c r="F397" s="114"/>
      <c r="G397" s="114"/>
      <c r="H397" s="54"/>
      <c r="I397" s="54"/>
      <c r="J397" s="54"/>
      <c r="K397" s="54"/>
      <c r="L397" s="54"/>
      <c r="M397" s="54"/>
      <c r="N397" s="54"/>
    </row>
    <row r="398">
      <c r="A398" s="54"/>
      <c r="B398" s="114"/>
      <c r="C398" s="114"/>
      <c r="D398" s="114"/>
      <c r="E398" s="114"/>
      <c r="F398" s="114"/>
      <c r="G398" s="114"/>
      <c r="H398" s="54"/>
      <c r="I398" s="54"/>
      <c r="J398" s="54"/>
      <c r="K398" s="54"/>
      <c r="L398" s="54"/>
      <c r="M398" s="54"/>
      <c r="N398" s="54"/>
    </row>
    <row r="399">
      <c r="A399" s="54"/>
      <c r="B399" s="114"/>
      <c r="C399" s="114"/>
      <c r="D399" s="114"/>
      <c r="E399" s="114"/>
      <c r="F399" s="114"/>
      <c r="G399" s="114"/>
      <c r="H399" s="54"/>
      <c r="I399" s="54"/>
      <c r="J399" s="54"/>
      <c r="K399" s="54"/>
      <c r="L399" s="54"/>
      <c r="M399" s="54"/>
      <c r="N399" s="54"/>
    </row>
    <row r="400">
      <c r="A400" s="54"/>
      <c r="B400" s="114"/>
      <c r="C400" s="114"/>
      <c r="D400" s="114"/>
      <c r="E400" s="114"/>
      <c r="F400" s="114"/>
      <c r="G400" s="114"/>
      <c r="H400" s="54"/>
      <c r="I400" s="54"/>
      <c r="J400" s="54"/>
      <c r="K400" s="54"/>
      <c r="L400" s="54"/>
      <c r="M400" s="54"/>
      <c r="N400" s="54"/>
    </row>
    <row r="401">
      <c r="A401" s="54"/>
      <c r="B401" s="114"/>
      <c r="C401" s="114"/>
      <c r="D401" s="114"/>
      <c r="E401" s="114"/>
      <c r="F401" s="114"/>
      <c r="G401" s="114"/>
      <c r="H401" s="54"/>
      <c r="I401" s="54"/>
      <c r="J401" s="54"/>
      <c r="K401" s="54"/>
      <c r="L401" s="54"/>
      <c r="M401" s="54"/>
      <c r="N401" s="54"/>
    </row>
    <row r="402">
      <c r="A402" s="54"/>
      <c r="B402" s="114"/>
      <c r="C402" s="114"/>
      <c r="D402" s="114"/>
      <c r="E402" s="114"/>
      <c r="F402" s="114"/>
      <c r="G402" s="114"/>
      <c r="H402" s="54"/>
      <c r="I402" s="54"/>
      <c r="J402" s="54"/>
      <c r="K402" s="54"/>
      <c r="L402" s="54"/>
      <c r="M402" s="54"/>
      <c r="N402" s="54"/>
    </row>
    <row r="403">
      <c r="A403" s="54"/>
      <c r="B403" s="114"/>
      <c r="C403" s="114"/>
      <c r="D403" s="114"/>
      <c r="E403" s="114"/>
      <c r="F403" s="114"/>
      <c r="G403" s="114"/>
      <c r="H403" s="54"/>
      <c r="I403" s="54"/>
      <c r="J403" s="54"/>
      <c r="K403" s="54"/>
      <c r="L403" s="54"/>
      <c r="M403" s="54"/>
      <c r="N403" s="54"/>
    </row>
    <row r="404">
      <c r="A404" s="54"/>
      <c r="B404" s="114"/>
      <c r="C404" s="114"/>
      <c r="D404" s="114"/>
      <c r="E404" s="114"/>
      <c r="F404" s="114"/>
      <c r="G404" s="114"/>
      <c r="H404" s="54"/>
      <c r="I404" s="54"/>
      <c r="J404" s="54"/>
      <c r="K404" s="54"/>
      <c r="L404" s="54"/>
      <c r="M404" s="54"/>
      <c r="N404" s="54"/>
    </row>
    <row r="405">
      <c r="A405" s="54"/>
      <c r="B405" s="114"/>
      <c r="C405" s="114"/>
      <c r="D405" s="114"/>
      <c r="E405" s="114"/>
      <c r="F405" s="114"/>
      <c r="G405" s="114"/>
      <c r="H405" s="54"/>
      <c r="I405" s="54"/>
      <c r="J405" s="54"/>
      <c r="K405" s="54"/>
      <c r="L405" s="54"/>
      <c r="M405" s="54"/>
      <c r="N405" s="54"/>
    </row>
    <row r="406">
      <c r="A406" s="54"/>
      <c r="B406" s="114"/>
      <c r="C406" s="114"/>
      <c r="D406" s="114"/>
      <c r="E406" s="114"/>
      <c r="F406" s="114"/>
      <c r="G406" s="114"/>
      <c r="H406" s="54"/>
      <c r="I406" s="54"/>
      <c r="J406" s="54"/>
      <c r="K406" s="54"/>
      <c r="L406" s="54"/>
      <c r="M406" s="54"/>
      <c r="N406" s="54"/>
    </row>
    <row r="407">
      <c r="A407" s="54"/>
      <c r="B407" s="114"/>
      <c r="C407" s="114"/>
      <c r="D407" s="114"/>
      <c r="E407" s="114"/>
      <c r="F407" s="114"/>
      <c r="G407" s="114"/>
      <c r="H407" s="54"/>
      <c r="I407" s="54"/>
      <c r="J407" s="54"/>
      <c r="K407" s="54"/>
      <c r="L407" s="54"/>
      <c r="M407" s="54"/>
      <c r="N407" s="54"/>
    </row>
    <row r="408">
      <c r="A408" s="54"/>
      <c r="B408" s="114"/>
      <c r="C408" s="114"/>
      <c r="D408" s="114"/>
      <c r="E408" s="114"/>
      <c r="F408" s="114"/>
      <c r="G408" s="114"/>
      <c r="H408" s="54"/>
      <c r="I408" s="54"/>
      <c r="J408" s="54"/>
      <c r="K408" s="54"/>
      <c r="L408" s="54"/>
      <c r="M408" s="54"/>
      <c r="N408" s="54"/>
    </row>
    <row r="409">
      <c r="A409" s="54"/>
      <c r="B409" s="114"/>
      <c r="C409" s="114"/>
      <c r="D409" s="114"/>
      <c r="E409" s="114"/>
      <c r="F409" s="114"/>
      <c r="G409" s="114"/>
      <c r="H409" s="54"/>
      <c r="I409" s="54"/>
      <c r="J409" s="54"/>
      <c r="K409" s="54"/>
      <c r="L409" s="54"/>
      <c r="M409" s="54"/>
      <c r="N409" s="54"/>
    </row>
    <row r="410">
      <c r="A410" s="54"/>
      <c r="B410" s="114"/>
      <c r="C410" s="114"/>
      <c r="D410" s="114"/>
      <c r="E410" s="114"/>
      <c r="F410" s="114"/>
      <c r="G410" s="114"/>
      <c r="H410" s="54"/>
      <c r="I410" s="54"/>
      <c r="J410" s="54"/>
      <c r="K410" s="54"/>
      <c r="L410" s="54"/>
      <c r="M410" s="54"/>
      <c r="N410" s="54"/>
    </row>
    <row r="411">
      <c r="A411" s="54"/>
      <c r="B411" s="114"/>
      <c r="C411" s="114"/>
      <c r="D411" s="114"/>
      <c r="E411" s="114"/>
      <c r="F411" s="114"/>
      <c r="G411" s="114"/>
      <c r="H411" s="54"/>
      <c r="I411" s="54"/>
      <c r="J411" s="54"/>
      <c r="K411" s="54"/>
      <c r="L411" s="54"/>
      <c r="M411" s="54"/>
      <c r="N411" s="54"/>
    </row>
    <row r="412">
      <c r="A412" s="54"/>
      <c r="B412" s="114"/>
      <c r="C412" s="114"/>
      <c r="D412" s="114"/>
      <c r="E412" s="114"/>
      <c r="F412" s="114"/>
      <c r="G412" s="114"/>
      <c r="H412" s="54"/>
      <c r="I412" s="54"/>
      <c r="J412" s="54"/>
      <c r="K412" s="54"/>
      <c r="L412" s="54"/>
      <c r="M412" s="54"/>
      <c r="N412" s="54"/>
    </row>
    <row r="413">
      <c r="A413" s="54"/>
      <c r="B413" s="114"/>
      <c r="C413" s="114"/>
      <c r="D413" s="114"/>
      <c r="E413" s="114"/>
      <c r="F413" s="114"/>
      <c r="G413" s="114"/>
      <c r="H413" s="54"/>
      <c r="I413" s="54"/>
      <c r="J413" s="54"/>
      <c r="K413" s="54"/>
      <c r="L413" s="54"/>
      <c r="M413" s="54"/>
      <c r="N413" s="54"/>
    </row>
    <row r="414">
      <c r="A414" s="54"/>
      <c r="B414" s="114"/>
      <c r="C414" s="114"/>
      <c r="D414" s="114"/>
      <c r="E414" s="114"/>
      <c r="F414" s="114"/>
      <c r="G414" s="114"/>
      <c r="H414" s="54"/>
      <c r="I414" s="54"/>
      <c r="J414" s="54"/>
      <c r="K414" s="54"/>
      <c r="L414" s="54"/>
      <c r="M414" s="54"/>
      <c r="N414" s="54"/>
    </row>
    <row r="415">
      <c r="A415" s="54"/>
      <c r="B415" s="114"/>
      <c r="C415" s="114"/>
      <c r="D415" s="114"/>
      <c r="E415" s="114"/>
      <c r="F415" s="114"/>
      <c r="G415" s="114"/>
      <c r="H415" s="54"/>
      <c r="I415" s="54"/>
      <c r="J415" s="54"/>
      <c r="K415" s="54"/>
      <c r="L415" s="54"/>
      <c r="M415" s="54"/>
      <c r="N415" s="54"/>
    </row>
    <row r="416">
      <c r="A416" s="54"/>
      <c r="B416" s="114"/>
      <c r="C416" s="114"/>
      <c r="D416" s="114"/>
      <c r="E416" s="114"/>
      <c r="F416" s="114"/>
      <c r="G416" s="114"/>
      <c r="H416" s="54"/>
      <c r="I416" s="54"/>
      <c r="J416" s="54"/>
      <c r="K416" s="54"/>
      <c r="L416" s="54"/>
      <c r="M416" s="54"/>
      <c r="N416" s="54"/>
    </row>
    <row r="417">
      <c r="A417" s="54"/>
      <c r="B417" s="114"/>
      <c r="C417" s="114"/>
      <c r="D417" s="114"/>
      <c r="E417" s="114"/>
      <c r="F417" s="114"/>
      <c r="G417" s="114"/>
      <c r="H417" s="54"/>
      <c r="I417" s="54"/>
      <c r="J417" s="54"/>
      <c r="K417" s="54"/>
      <c r="L417" s="54"/>
      <c r="M417" s="54"/>
      <c r="N417" s="54"/>
    </row>
    <row r="418">
      <c r="A418" s="54"/>
      <c r="B418" s="114"/>
      <c r="C418" s="114"/>
      <c r="D418" s="114"/>
      <c r="E418" s="114"/>
      <c r="F418" s="114"/>
      <c r="G418" s="114"/>
      <c r="H418" s="54"/>
      <c r="I418" s="54"/>
      <c r="J418" s="54"/>
      <c r="K418" s="54"/>
      <c r="L418" s="54"/>
      <c r="M418" s="54"/>
      <c r="N418" s="54"/>
    </row>
    <row r="419">
      <c r="A419" s="54"/>
      <c r="B419" s="114"/>
      <c r="C419" s="114"/>
      <c r="D419" s="114"/>
      <c r="E419" s="114"/>
      <c r="F419" s="114"/>
      <c r="G419" s="114"/>
      <c r="H419" s="54"/>
      <c r="I419" s="54"/>
      <c r="J419" s="54"/>
      <c r="K419" s="54"/>
      <c r="L419" s="54"/>
      <c r="M419" s="54"/>
      <c r="N419" s="54"/>
    </row>
    <row r="420">
      <c r="A420" s="54"/>
      <c r="B420" s="114"/>
      <c r="C420" s="114"/>
      <c r="D420" s="114"/>
      <c r="E420" s="114"/>
      <c r="F420" s="114"/>
      <c r="G420" s="114"/>
      <c r="H420" s="54"/>
      <c r="I420" s="54"/>
      <c r="J420" s="54"/>
      <c r="K420" s="54"/>
      <c r="L420" s="54"/>
      <c r="M420" s="54"/>
      <c r="N420" s="54"/>
    </row>
    <row r="421">
      <c r="A421" s="54"/>
      <c r="B421" s="114"/>
      <c r="C421" s="114"/>
      <c r="D421" s="114"/>
      <c r="E421" s="114"/>
      <c r="F421" s="114"/>
      <c r="G421" s="114"/>
      <c r="H421" s="54"/>
      <c r="I421" s="54"/>
      <c r="J421" s="54"/>
      <c r="K421" s="54"/>
      <c r="L421" s="54"/>
      <c r="M421" s="54"/>
      <c r="N421" s="54"/>
    </row>
    <row r="422">
      <c r="A422" s="54"/>
      <c r="B422" s="114"/>
      <c r="C422" s="114"/>
      <c r="D422" s="114"/>
      <c r="E422" s="114"/>
      <c r="F422" s="114"/>
      <c r="G422" s="114"/>
      <c r="H422" s="54"/>
      <c r="I422" s="54"/>
      <c r="J422" s="54"/>
      <c r="K422" s="54"/>
      <c r="L422" s="54"/>
      <c r="M422" s="54"/>
      <c r="N422" s="54"/>
    </row>
    <row r="423">
      <c r="A423" s="54"/>
      <c r="B423" s="114"/>
      <c r="C423" s="114"/>
      <c r="D423" s="114"/>
      <c r="E423" s="114"/>
      <c r="F423" s="114"/>
      <c r="G423" s="114"/>
      <c r="H423" s="54"/>
      <c r="I423" s="54"/>
      <c r="J423" s="54"/>
      <c r="K423" s="54"/>
      <c r="L423" s="54"/>
      <c r="M423" s="54"/>
      <c r="N423" s="54"/>
    </row>
    <row r="424">
      <c r="A424" s="54"/>
      <c r="B424" s="114"/>
      <c r="C424" s="114"/>
      <c r="D424" s="114"/>
      <c r="E424" s="114"/>
      <c r="F424" s="114"/>
      <c r="G424" s="114"/>
      <c r="H424" s="54"/>
      <c r="I424" s="54"/>
      <c r="J424" s="54"/>
      <c r="K424" s="54"/>
      <c r="L424" s="54"/>
      <c r="M424" s="54"/>
      <c r="N424" s="54"/>
    </row>
    <row r="425">
      <c r="A425" s="54"/>
      <c r="B425" s="114"/>
      <c r="C425" s="114"/>
      <c r="D425" s="114"/>
      <c r="E425" s="114"/>
      <c r="F425" s="114"/>
      <c r="G425" s="114"/>
      <c r="H425" s="54"/>
      <c r="I425" s="54"/>
      <c r="J425" s="54"/>
      <c r="K425" s="54"/>
      <c r="L425" s="54"/>
      <c r="M425" s="54"/>
      <c r="N425" s="54"/>
    </row>
    <row r="426">
      <c r="A426" s="54"/>
      <c r="B426" s="114"/>
      <c r="C426" s="114"/>
      <c r="D426" s="114"/>
      <c r="E426" s="114"/>
      <c r="F426" s="114"/>
      <c r="G426" s="114"/>
      <c r="H426" s="54"/>
      <c r="I426" s="54"/>
      <c r="J426" s="54"/>
      <c r="K426" s="54"/>
      <c r="L426" s="54"/>
      <c r="M426" s="54"/>
      <c r="N426" s="54"/>
    </row>
    <row r="427">
      <c r="A427" s="54"/>
      <c r="B427" s="114"/>
      <c r="C427" s="114"/>
      <c r="D427" s="114"/>
      <c r="E427" s="114"/>
      <c r="F427" s="114"/>
      <c r="G427" s="114"/>
      <c r="H427" s="54"/>
      <c r="I427" s="54"/>
      <c r="J427" s="54"/>
      <c r="K427" s="54"/>
      <c r="L427" s="54"/>
      <c r="M427" s="54"/>
      <c r="N427" s="54"/>
    </row>
    <row r="428">
      <c r="A428" s="54"/>
      <c r="B428" s="114"/>
      <c r="C428" s="114"/>
      <c r="D428" s="114"/>
      <c r="E428" s="114"/>
      <c r="F428" s="114"/>
      <c r="G428" s="114"/>
      <c r="H428" s="54"/>
      <c r="I428" s="54"/>
      <c r="J428" s="54"/>
      <c r="K428" s="54"/>
      <c r="L428" s="54"/>
      <c r="M428" s="54"/>
      <c r="N428" s="54"/>
    </row>
    <row r="429">
      <c r="A429" s="54"/>
      <c r="B429" s="114"/>
      <c r="C429" s="114"/>
      <c r="D429" s="114"/>
      <c r="E429" s="114"/>
      <c r="F429" s="114"/>
      <c r="G429" s="114"/>
      <c r="H429" s="54"/>
      <c r="I429" s="54"/>
      <c r="J429" s="54"/>
      <c r="K429" s="54"/>
      <c r="L429" s="54"/>
      <c r="M429" s="54"/>
      <c r="N429" s="54"/>
    </row>
    <row r="430">
      <c r="A430" s="54"/>
      <c r="B430" s="114"/>
      <c r="C430" s="114"/>
      <c r="D430" s="114"/>
      <c r="E430" s="114"/>
      <c r="F430" s="114"/>
      <c r="G430" s="114"/>
      <c r="H430" s="54"/>
      <c r="I430" s="54"/>
      <c r="J430" s="54"/>
      <c r="K430" s="54"/>
      <c r="L430" s="54"/>
      <c r="M430" s="54"/>
      <c r="N430" s="54"/>
    </row>
    <row r="431">
      <c r="A431" s="54"/>
      <c r="B431" s="114"/>
      <c r="C431" s="114"/>
      <c r="D431" s="114"/>
      <c r="E431" s="114"/>
      <c r="F431" s="114"/>
      <c r="G431" s="114"/>
      <c r="H431" s="54"/>
      <c r="I431" s="54"/>
      <c r="J431" s="54"/>
      <c r="K431" s="54"/>
      <c r="L431" s="54"/>
      <c r="M431" s="54"/>
      <c r="N431" s="54"/>
    </row>
    <row r="432">
      <c r="A432" s="54"/>
      <c r="B432" s="114"/>
      <c r="C432" s="114"/>
      <c r="D432" s="114"/>
      <c r="E432" s="114"/>
      <c r="F432" s="114"/>
      <c r="G432" s="114"/>
      <c r="H432" s="54"/>
      <c r="I432" s="54"/>
      <c r="J432" s="54"/>
      <c r="K432" s="54"/>
      <c r="L432" s="54"/>
      <c r="M432" s="54"/>
      <c r="N432" s="54"/>
    </row>
    <row r="433">
      <c r="A433" s="54"/>
      <c r="B433" s="114"/>
      <c r="C433" s="114"/>
      <c r="D433" s="114"/>
      <c r="E433" s="114"/>
      <c r="F433" s="114"/>
      <c r="G433" s="114"/>
      <c r="H433" s="54"/>
      <c r="I433" s="54"/>
      <c r="J433" s="54"/>
      <c r="K433" s="54"/>
      <c r="L433" s="54"/>
      <c r="M433" s="54"/>
      <c r="N433" s="54"/>
    </row>
    <row r="434">
      <c r="A434" s="54"/>
      <c r="B434" s="114"/>
      <c r="C434" s="114"/>
      <c r="D434" s="114"/>
      <c r="E434" s="114"/>
      <c r="F434" s="114"/>
      <c r="G434" s="114"/>
      <c r="H434" s="54"/>
      <c r="I434" s="54"/>
      <c r="J434" s="54"/>
      <c r="K434" s="54"/>
      <c r="L434" s="54"/>
      <c r="M434" s="54"/>
      <c r="N434" s="54"/>
    </row>
    <row r="435">
      <c r="A435" s="54"/>
      <c r="B435" s="114"/>
      <c r="C435" s="114"/>
      <c r="D435" s="114"/>
      <c r="E435" s="114"/>
      <c r="F435" s="114"/>
      <c r="G435" s="114"/>
      <c r="H435" s="54"/>
      <c r="I435" s="54"/>
      <c r="J435" s="54"/>
      <c r="K435" s="54"/>
      <c r="L435" s="54"/>
      <c r="M435" s="54"/>
      <c r="N435" s="54"/>
    </row>
    <row r="436">
      <c r="A436" s="54"/>
      <c r="B436" s="114"/>
      <c r="C436" s="114"/>
      <c r="D436" s="114"/>
      <c r="E436" s="114"/>
      <c r="F436" s="114"/>
      <c r="G436" s="114"/>
      <c r="H436" s="54"/>
      <c r="I436" s="54"/>
      <c r="J436" s="54"/>
      <c r="K436" s="54"/>
      <c r="L436" s="54"/>
      <c r="M436" s="54"/>
      <c r="N436" s="54"/>
    </row>
    <row r="437">
      <c r="A437" s="54"/>
      <c r="B437" s="114"/>
      <c r="C437" s="114"/>
      <c r="D437" s="114"/>
      <c r="E437" s="114"/>
      <c r="F437" s="114"/>
      <c r="G437" s="114"/>
      <c r="H437" s="54"/>
      <c r="I437" s="54"/>
      <c r="J437" s="54"/>
      <c r="K437" s="54"/>
      <c r="L437" s="54"/>
      <c r="M437" s="54"/>
      <c r="N437" s="54"/>
    </row>
    <row r="438">
      <c r="A438" s="54"/>
      <c r="B438" s="114"/>
      <c r="C438" s="114"/>
      <c r="D438" s="114"/>
      <c r="E438" s="114"/>
      <c r="F438" s="114"/>
      <c r="G438" s="114"/>
      <c r="H438" s="54"/>
      <c r="I438" s="54"/>
      <c r="J438" s="54"/>
      <c r="K438" s="54"/>
      <c r="L438" s="54"/>
      <c r="M438" s="54"/>
      <c r="N438" s="54"/>
    </row>
    <row r="439">
      <c r="A439" s="54"/>
      <c r="B439" s="114"/>
      <c r="C439" s="114"/>
      <c r="D439" s="114"/>
      <c r="E439" s="114"/>
      <c r="F439" s="114"/>
      <c r="G439" s="114"/>
      <c r="H439" s="54"/>
      <c r="I439" s="54"/>
      <c r="J439" s="54"/>
      <c r="K439" s="54"/>
      <c r="L439" s="54"/>
      <c r="M439" s="54"/>
      <c r="N439" s="54"/>
    </row>
    <row r="440">
      <c r="A440" s="54"/>
      <c r="B440" s="114"/>
      <c r="C440" s="114"/>
      <c r="D440" s="114"/>
      <c r="E440" s="114"/>
      <c r="F440" s="114"/>
      <c r="G440" s="114"/>
      <c r="H440" s="54"/>
      <c r="I440" s="54"/>
      <c r="J440" s="54"/>
      <c r="K440" s="54"/>
      <c r="L440" s="54"/>
      <c r="M440" s="54"/>
      <c r="N440" s="54"/>
    </row>
    <row r="441">
      <c r="A441" s="54"/>
      <c r="B441" s="114"/>
      <c r="C441" s="114"/>
      <c r="D441" s="114"/>
      <c r="E441" s="114"/>
      <c r="F441" s="114"/>
      <c r="G441" s="114"/>
      <c r="H441" s="54"/>
      <c r="I441" s="54"/>
      <c r="J441" s="54"/>
      <c r="K441" s="54"/>
      <c r="L441" s="54"/>
      <c r="M441" s="54"/>
      <c r="N441" s="54"/>
    </row>
    <row r="442">
      <c r="A442" s="54"/>
      <c r="B442" s="114"/>
      <c r="C442" s="114"/>
      <c r="D442" s="114"/>
      <c r="E442" s="114"/>
      <c r="F442" s="114"/>
      <c r="G442" s="114"/>
      <c r="H442" s="54"/>
      <c r="I442" s="54"/>
      <c r="J442" s="54"/>
      <c r="K442" s="54"/>
      <c r="L442" s="54"/>
      <c r="M442" s="54"/>
      <c r="N442" s="54"/>
    </row>
    <row r="443">
      <c r="A443" s="54"/>
      <c r="B443" s="114"/>
      <c r="C443" s="114"/>
      <c r="D443" s="114"/>
      <c r="E443" s="114"/>
      <c r="F443" s="114"/>
      <c r="G443" s="114"/>
      <c r="H443" s="54"/>
      <c r="I443" s="54"/>
      <c r="J443" s="54"/>
      <c r="K443" s="54"/>
      <c r="L443" s="54"/>
      <c r="M443" s="54"/>
      <c r="N443" s="54"/>
    </row>
    <row r="444">
      <c r="A444" s="54"/>
      <c r="B444" s="114"/>
      <c r="C444" s="114"/>
      <c r="D444" s="114"/>
      <c r="E444" s="114"/>
      <c r="F444" s="114"/>
      <c r="G444" s="114"/>
      <c r="H444" s="54"/>
      <c r="I444" s="54"/>
      <c r="J444" s="54"/>
      <c r="K444" s="54"/>
      <c r="L444" s="54"/>
      <c r="M444" s="54"/>
      <c r="N444" s="54"/>
    </row>
    <row r="445">
      <c r="A445" s="54"/>
      <c r="B445" s="114"/>
      <c r="C445" s="114"/>
      <c r="D445" s="114"/>
      <c r="E445" s="114"/>
      <c r="F445" s="114"/>
      <c r="G445" s="114"/>
      <c r="H445" s="54"/>
      <c r="I445" s="54"/>
      <c r="J445" s="54"/>
      <c r="K445" s="54"/>
      <c r="L445" s="54"/>
      <c r="M445" s="54"/>
      <c r="N445" s="54"/>
    </row>
    <row r="446">
      <c r="A446" s="54"/>
      <c r="B446" s="114"/>
      <c r="C446" s="114"/>
      <c r="D446" s="114"/>
      <c r="E446" s="114"/>
      <c r="F446" s="114"/>
      <c r="G446" s="114"/>
      <c r="H446" s="54"/>
      <c r="I446" s="54"/>
      <c r="J446" s="54"/>
      <c r="K446" s="54"/>
      <c r="L446" s="54"/>
      <c r="M446" s="54"/>
      <c r="N446" s="54"/>
    </row>
    <row r="447">
      <c r="A447" s="54"/>
      <c r="B447" s="114"/>
      <c r="C447" s="114"/>
      <c r="D447" s="114"/>
      <c r="E447" s="114"/>
      <c r="F447" s="114"/>
      <c r="G447" s="114"/>
      <c r="H447" s="54"/>
      <c r="I447" s="54"/>
      <c r="J447" s="54"/>
      <c r="K447" s="54"/>
      <c r="L447" s="54"/>
      <c r="M447" s="54"/>
      <c r="N447" s="54"/>
    </row>
    <row r="448">
      <c r="A448" s="54"/>
      <c r="B448" s="114"/>
      <c r="C448" s="114"/>
      <c r="D448" s="114"/>
      <c r="E448" s="114"/>
      <c r="F448" s="114"/>
      <c r="G448" s="114"/>
      <c r="H448" s="54"/>
      <c r="I448" s="54"/>
      <c r="J448" s="54"/>
      <c r="K448" s="54"/>
      <c r="L448" s="54"/>
      <c r="M448" s="54"/>
      <c r="N448" s="54"/>
    </row>
    <row r="449">
      <c r="A449" s="54"/>
      <c r="B449" s="114"/>
      <c r="C449" s="114"/>
      <c r="D449" s="114"/>
      <c r="E449" s="114"/>
      <c r="F449" s="114"/>
      <c r="G449" s="114"/>
      <c r="H449" s="54"/>
      <c r="I449" s="54"/>
      <c r="J449" s="54"/>
      <c r="K449" s="54"/>
      <c r="L449" s="54"/>
      <c r="M449" s="54"/>
      <c r="N449" s="54"/>
    </row>
    <row r="450">
      <c r="A450" s="54"/>
      <c r="B450" s="114"/>
      <c r="C450" s="114"/>
      <c r="D450" s="114"/>
      <c r="E450" s="114"/>
      <c r="F450" s="114"/>
      <c r="G450" s="114"/>
      <c r="H450" s="54"/>
      <c r="I450" s="54"/>
      <c r="J450" s="54"/>
      <c r="K450" s="54"/>
      <c r="L450" s="54"/>
      <c r="M450" s="54"/>
      <c r="N450" s="54"/>
    </row>
    <row r="451">
      <c r="A451" s="54"/>
      <c r="B451" s="114"/>
      <c r="C451" s="114"/>
      <c r="D451" s="114"/>
      <c r="E451" s="114"/>
      <c r="F451" s="114"/>
      <c r="G451" s="114"/>
      <c r="H451" s="54"/>
      <c r="I451" s="54"/>
      <c r="J451" s="54"/>
      <c r="K451" s="54"/>
      <c r="L451" s="54"/>
      <c r="M451" s="54"/>
      <c r="N451" s="54"/>
    </row>
    <row r="452">
      <c r="A452" s="54"/>
      <c r="B452" s="114"/>
      <c r="C452" s="114"/>
      <c r="D452" s="114"/>
      <c r="E452" s="114"/>
      <c r="F452" s="114"/>
      <c r="G452" s="114"/>
      <c r="H452" s="54"/>
      <c r="I452" s="54"/>
      <c r="J452" s="54"/>
      <c r="K452" s="54"/>
      <c r="L452" s="54"/>
      <c r="M452" s="54"/>
      <c r="N452" s="54"/>
    </row>
    <row r="453">
      <c r="A453" s="54"/>
      <c r="B453" s="114"/>
      <c r="C453" s="114"/>
      <c r="D453" s="114"/>
      <c r="E453" s="114"/>
      <c r="F453" s="114"/>
      <c r="G453" s="114"/>
      <c r="H453" s="54"/>
      <c r="I453" s="54"/>
      <c r="J453" s="54"/>
      <c r="K453" s="54"/>
      <c r="L453" s="54"/>
      <c r="M453" s="54"/>
      <c r="N453" s="54"/>
    </row>
    <row r="454">
      <c r="A454" s="54"/>
      <c r="B454" s="114"/>
      <c r="C454" s="114"/>
      <c r="D454" s="114"/>
      <c r="E454" s="114"/>
      <c r="F454" s="114"/>
      <c r="G454" s="114"/>
      <c r="H454" s="54"/>
      <c r="I454" s="54"/>
      <c r="J454" s="54"/>
      <c r="K454" s="54"/>
      <c r="L454" s="54"/>
      <c r="M454" s="54"/>
      <c r="N454" s="54"/>
    </row>
    <row r="455">
      <c r="A455" s="54"/>
      <c r="B455" s="114"/>
      <c r="C455" s="114"/>
      <c r="D455" s="114"/>
      <c r="E455" s="114"/>
      <c r="F455" s="114"/>
      <c r="G455" s="114"/>
      <c r="H455" s="54"/>
      <c r="I455" s="54"/>
      <c r="J455" s="54"/>
      <c r="K455" s="54"/>
      <c r="L455" s="54"/>
      <c r="M455" s="54"/>
      <c r="N455" s="54"/>
    </row>
    <row r="456">
      <c r="A456" s="54"/>
      <c r="B456" s="114"/>
      <c r="C456" s="114"/>
      <c r="D456" s="114"/>
      <c r="E456" s="114"/>
      <c r="F456" s="114"/>
      <c r="G456" s="114"/>
      <c r="H456" s="54"/>
      <c r="I456" s="54"/>
      <c r="J456" s="54"/>
      <c r="K456" s="54"/>
      <c r="L456" s="54"/>
      <c r="M456" s="54"/>
      <c r="N456" s="54"/>
    </row>
    <row r="457">
      <c r="A457" s="54"/>
      <c r="B457" s="114"/>
      <c r="C457" s="114"/>
      <c r="D457" s="114"/>
      <c r="E457" s="114"/>
      <c r="F457" s="114"/>
      <c r="G457" s="114"/>
      <c r="H457" s="54"/>
      <c r="I457" s="54"/>
      <c r="J457" s="54"/>
      <c r="K457" s="54"/>
      <c r="L457" s="54"/>
      <c r="M457" s="54"/>
      <c r="N457" s="54"/>
    </row>
    <row r="458">
      <c r="A458" s="54"/>
      <c r="B458" s="114"/>
      <c r="C458" s="114"/>
      <c r="D458" s="114"/>
      <c r="E458" s="114"/>
      <c r="F458" s="114"/>
      <c r="G458" s="114"/>
      <c r="H458" s="54"/>
      <c r="I458" s="54"/>
      <c r="J458" s="54"/>
      <c r="K458" s="54"/>
      <c r="L458" s="54"/>
      <c r="M458" s="54"/>
      <c r="N458" s="54"/>
    </row>
    <row r="459">
      <c r="A459" s="54"/>
      <c r="B459" s="114"/>
      <c r="C459" s="114"/>
      <c r="D459" s="114"/>
      <c r="E459" s="114"/>
      <c r="F459" s="114"/>
      <c r="G459" s="114"/>
      <c r="H459" s="54"/>
      <c r="I459" s="54"/>
      <c r="J459" s="54"/>
      <c r="K459" s="54"/>
      <c r="L459" s="54"/>
      <c r="M459" s="54"/>
      <c r="N459" s="54"/>
    </row>
    <row r="460">
      <c r="A460" s="54"/>
      <c r="B460" s="114"/>
      <c r="C460" s="114"/>
      <c r="D460" s="114"/>
      <c r="E460" s="114"/>
      <c r="F460" s="114"/>
      <c r="G460" s="114"/>
      <c r="H460" s="54"/>
      <c r="I460" s="54"/>
      <c r="J460" s="54"/>
      <c r="K460" s="54"/>
      <c r="L460" s="54"/>
      <c r="M460" s="54"/>
      <c r="N460" s="54"/>
    </row>
    <row r="461">
      <c r="A461" s="54"/>
      <c r="B461" s="114"/>
      <c r="C461" s="114"/>
      <c r="D461" s="114"/>
      <c r="E461" s="114"/>
      <c r="F461" s="114"/>
      <c r="G461" s="114"/>
      <c r="H461" s="54"/>
      <c r="I461" s="54"/>
      <c r="J461" s="54"/>
      <c r="K461" s="54"/>
      <c r="L461" s="54"/>
      <c r="M461" s="54"/>
      <c r="N461" s="54"/>
    </row>
    <row r="462">
      <c r="A462" s="54"/>
      <c r="B462" s="114"/>
      <c r="C462" s="114"/>
      <c r="D462" s="114"/>
      <c r="E462" s="114"/>
      <c r="F462" s="114"/>
      <c r="G462" s="114"/>
      <c r="H462" s="54"/>
      <c r="I462" s="54"/>
      <c r="J462" s="54"/>
      <c r="K462" s="54"/>
      <c r="L462" s="54"/>
      <c r="M462" s="54"/>
      <c r="N462" s="54"/>
    </row>
    <row r="463">
      <c r="A463" s="54"/>
      <c r="B463" s="114"/>
      <c r="C463" s="114"/>
      <c r="D463" s="114"/>
      <c r="E463" s="114"/>
      <c r="F463" s="114"/>
      <c r="G463" s="114"/>
      <c r="H463" s="54"/>
      <c r="I463" s="54"/>
      <c r="J463" s="54"/>
      <c r="K463" s="54"/>
      <c r="L463" s="54"/>
      <c r="M463" s="54"/>
      <c r="N463" s="54"/>
    </row>
    <row r="464">
      <c r="A464" s="54"/>
      <c r="B464" s="114"/>
      <c r="C464" s="114"/>
      <c r="D464" s="114"/>
      <c r="E464" s="114"/>
      <c r="F464" s="114"/>
      <c r="G464" s="114"/>
      <c r="H464" s="54"/>
      <c r="I464" s="54"/>
      <c r="J464" s="54"/>
      <c r="K464" s="54"/>
      <c r="L464" s="54"/>
      <c r="M464" s="54"/>
      <c r="N464" s="54"/>
    </row>
    <row r="465">
      <c r="A465" s="54"/>
      <c r="B465" s="114"/>
      <c r="C465" s="114"/>
      <c r="D465" s="114"/>
      <c r="E465" s="114"/>
      <c r="F465" s="114"/>
      <c r="G465" s="114"/>
      <c r="H465" s="54"/>
      <c r="I465" s="54"/>
      <c r="J465" s="54"/>
      <c r="K465" s="54"/>
      <c r="L465" s="54"/>
      <c r="M465" s="54"/>
      <c r="N465" s="54"/>
    </row>
    <row r="466">
      <c r="A466" s="54"/>
      <c r="B466" s="114"/>
      <c r="C466" s="114"/>
      <c r="D466" s="114"/>
      <c r="E466" s="114"/>
      <c r="F466" s="114"/>
      <c r="G466" s="114"/>
      <c r="H466" s="54"/>
      <c r="I466" s="54"/>
      <c r="J466" s="54"/>
      <c r="K466" s="54"/>
      <c r="L466" s="54"/>
      <c r="M466" s="54"/>
      <c r="N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</row>
    <row r="100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</row>
    <row r="1002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</row>
    <row r="100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</row>
    <row r="1004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</row>
  </sheetData>
  <mergeCells count="45">
    <mergeCell ref="M19:O19"/>
    <mergeCell ref="M25:O25"/>
    <mergeCell ref="B3:I3"/>
    <mergeCell ref="B9:I9"/>
    <mergeCell ref="M10:O10"/>
    <mergeCell ref="B13:I13"/>
    <mergeCell ref="M15:O15"/>
    <mergeCell ref="B18:I18"/>
    <mergeCell ref="B24:I24"/>
    <mergeCell ref="B36:I36"/>
    <mergeCell ref="M36:O36"/>
    <mergeCell ref="B39:I39"/>
    <mergeCell ref="M40:O40"/>
    <mergeCell ref="B69:I69"/>
    <mergeCell ref="M70:O70"/>
    <mergeCell ref="M87:O87"/>
    <mergeCell ref="B86:I86"/>
    <mergeCell ref="B108:I108"/>
    <mergeCell ref="M109:Q109"/>
    <mergeCell ref="B123:I123"/>
    <mergeCell ref="M124:Q124"/>
    <mergeCell ref="B140:I140"/>
    <mergeCell ref="M141:Q141"/>
    <mergeCell ref="E142:G142"/>
    <mergeCell ref="B152:I152"/>
    <mergeCell ref="B153:I153"/>
    <mergeCell ref="M154:Q154"/>
    <mergeCell ref="B168:I168"/>
    <mergeCell ref="M169:Q169"/>
    <mergeCell ref="M186:Q186"/>
    <mergeCell ref="B208:I208"/>
    <mergeCell ref="M209:Q209"/>
    <mergeCell ref="B219:I219"/>
    <mergeCell ref="M220:Q220"/>
    <mergeCell ref="B228:I228"/>
    <mergeCell ref="M229:Q229"/>
    <mergeCell ref="B243:I243"/>
    <mergeCell ref="M244:Q244"/>
    <mergeCell ref="B185:I185"/>
    <mergeCell ref="B189:I189"/>
    <mergeCell ref="M190:Q190"/>
    <mergeCell ref="B196:I196"/>
    <mergeCell ref="M197:Q197"/>
    <mergeCell ref="B203:I203"/>
    <mergeCell ref="M204:Q204"/>
  </mergeCells>
  <conditionalFormatting sqref="J2">
    <cfRule type="expression" dxfId="0" priority="1">
      <formula>ABS(J2:J1005)&gt;5</formula>
    </cfRule>
  </conditionalFormatting>
  <conditionalFormatting sqref="J2">
    <cfRule type="expression" dxfId="0" priority="2">
      <formula>ABS(J:J)&gt;10.3</formula>
    </cfRule>
  </conditionalFormatting>
  <conditionalFormatting sqref="K1:K1004">
    <cfRule type="cellIs" dxfId="3" priority="3" operator="greaterThan">
      <formula>29</formula>
    </cfRule>
  </conditionalFormatting>
  <conditionalFormatting sqref="K1:K1004">
    <cfRule type="cellIs" dxfId="4" priority="4" operator="greaterThanOrEqual">
      <formula>28</formula>
    </cfRule>
  </conditionalFormatting>
  <conditionalFormatting sqref="J1:J1004">
    <cfRule type="expression" dxfId="0" priority="5">
      <formula>ABS(J:J)&gt;5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44"/>
      <c r="P1" s="44"/>
    </row>
    <row r="2">
      <c r="A2" s="216" t="s">
        <v>146</v>
      </c>
      <c r="B2" s="54"/>
      <c r="C2" s="54"/>
      <c r="D2" s="54" t="str">
        <f>D4</f>
        <v>Орлов</v>
      </c>
      <c r="E2" s="217"/>
      <c r="F2" s="54">
        <f>SUM(F4:F1000)</f>
        <v>46145</v>
      </c>
      <c r="G2" s="54">
        <f>MAX(G3:G1000)</f>
        <v>392</v>
      </c>
      <c r="H2" s="54">
        <f t="shared" ref="H2:I2" si="1">SUM(H4:H1000)</f>
        <v>3919</v>
      </c>
      <c r="I2" s="54">
        <f t="shared" si="1"/>
        <v>9415.43</v>
      </c>
      <c r="J2" s="54">
        <f>H2-I2</f>
        <v>-5496.43</v>
      </c>
      <c r="K2" s="63">
        <f>I2/F2*100</f>
        <v>20.4040091</v>
      </c>
      <c r="L2" s="64" t="s">
        <v>65</v>
      </c>
      <c r="M2" s="65"/>
      <c r="P2" s="44"/>
    </row>
    <row r="3">
      <c r="A3" s="87" t="s">
        <v>77</v>
      </c>
      <c r="B3" s="88" t="str">
        <f>IF(L3=4,"АПРЕЛЬ",IF(L3=5,"МАЙ",IF(L3=1,"ЯНВАРЬ",IF(L3=2,"ФЕВРАЛЬ",IF(L3=3,"МАРТ",IF(L3=6,"ИЮНЬ",IF(L3=7,"ИЮЛЬ",IF(L3=8,"АВГУСТ",IF(L3=9,"СЕНТЯБРЬ",IF(L3=10,"ОКТЯБРЬ",IF(L3=11,"НОЯБРЬ",IF(L3=12,"ДЕКАБРЬ"))))))))))))</f>
        <v>ИЮЛЬ</v>
      </c>
      <c r="J3" s="89"/>
      <c r="K3" s="90"/>
      <c r="L3" s="91">
        <f>MONTH(B4)</f>
        <v>7</v>
      </c>
      <c r="M3" s="92"/>
      <c r="N3" s="92"/>
      <c r="O3" s="89"/>
      <c r="P3" s="93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</row>
    <row r="4">
      <c r="B4" s="218">
        <v>45859.0</v>
      </c>
      <c r="C4" s="12" t="s">
        <v>147</v>
      </c>
      <c r="D4" s="12" t="s">
        <v>148</v>
      </c>
      <c r="E4" s="12">
        <v>850544.0</v>
      </c>
      <c r="F4" s="13">
        <f>E4-850334</f>
        <v>210</v>
      </c>
      <c r="G4" s="13"/>
      <c r="H4" s="13"/>
      <c r="I4" s="12">
        <v>139.37</v>
      </c>
      <c r="J4" s="13"/>
      <c r="K4" s="18">
        <f t="shared" ref="K4:K12" si="2">I4/F4*100</f>
        <v>66.36666667</v>
      </c>
      <c r="M4" s="82" t="str">
        <f>"тотал"&amp;" "&amp;B3&amp;" "&amp;RIGHT(YEAR(B4),2)</f>
        <v>тотал ИЮЛЬ 25</v>
      </c>
      <c r="N4" s="75"/>
      <c r="O4" s="75"/>
      <c r="P4" s="75"/>
      <c r="Q4" s="76"/>
    </row>
    <row r="5">
      <c r="B5" s="218">
        <v>45860.0</v>
      </c>
      <c r="C5" s="12" t="s">
        <v>149</v>
      </c>
      <c r="D5" s="12" t="s">
        <v>148</v>
      </c>
      <c r="E5" s="12">
        <v>851335.0</v>
      </c>
      <c r="F5" s="13">
        <f t="shared" ref="F5:F12" si="3">E5-E4</f>
        <v>791</v>
      </c>
      <c r="G5" s="13"/>
      <c r="H5" s="13"/>
      <c r="I5" s="12">
        <v>156.09</v>
      </c>
      <c r="J5" s="13"/>
      <c r="K5" s="18">
        <f t="shared" si="2"/>
        <v>19.73324905</v>
      </c>
      <c r="M5" s="83" t="s">
        <v>70</v>
      </c>
      <c r="N5" s="83" t="s">
        <v>71</v>
      </c>
      <c r="O5" s="83" t="s">
        <v>27</v>
      </c>
      <c r="P5" s="77" t="s">
        <v>28</v>
      </c>
      <c r="Q5" s="12" t="s">
        <v>78</v>
      </c>
    </row>
    <row r="6">
      <c r="B6" s="218">
        <v>45862.0</v>
      </c>
      <c r="C6" s="12" t="s">
        <v>150</v>
      </c>
      <c r="D6" s="12" t="s">
        <v>148</v>
      </c>
      <c r="E6" s="12">
        <v>852288.0</v>
      </c>
      <c r="F6" s="13">
        <f t="shared" si="3"/>
        <v>953</v>
      </c>
      <c r="G6" s="13"/>
      <c r="H6" s="13"/>
      <c r="I6" s="12">
        <v>146.25</v>
      </c>
      <c r="J6" s="13"/>
      <c r="K6" s="18">
        <f t="shared" si="2"/>
        <v>15.34627492</v>
      </c>
      <c r="M6" s="84">
        <f>SUM(F5:F12)</f>
        <v>6244</v>
      </c>
      <c r="N6" s="84">
        <f>SUM(I5:I12)</f>
        <v>1188.6</v>
      </c>
      <c r="O6" s="85">
        <f>N6/M6*100</f>
        <v>19.03587444</v>
      </c>
      <c r="P6" s="79">
        <f>(M6/100)*(O6-Q6)</f>
        <v>-122.64</v>
      </c>
      <c r="Q6" s="78">
        <v>21.0</v>
      </c>
    </row>
    <row r="7">
      <c r="B7" s="218">
        <v>45863.0</v>
      </c>
      <c r="C7" s="12" t="s">
        <v>150</v>
      </c>
      <c r="D7" s="12" t="s">
        <v>148</v>
      </c>
      <c r="E7" s="12">
        <v>852942.0</v>
      </c>
      <c r="F7" s="13">
        <f t="shared" si="3"/>
        <v>654</v>
      </c>
      <c r="G7" s="13"/>
      <c r="H7" s="13"/>
      <c r="I7" s="12">
        <v>140.28</v>
      </c>
      <c r="J7" s="13"/>
      <c r="K7" s="18">
        <f t="shared" si="2"/>
        <v>21.44954128</v>
      </c>
    </row>
    <row r="8">
      <c r="B8" s="218">
        <v>45863.0</v>
      </c>
      <c r="C8" s="12" t="s">
        <v>150</v>
      </c>
      <c r="D8" s="12" t="s">
        <v>148</v>
      </c>
      <c r="E8" s="12">
        <v>853741.0</v>
      </c>
      <c r="F8" s="13">
        <f t="shared" si="3"/>
        <v>799</v>
      </c>
      <c r="G8" s="13"/>
      <c r="H8" s="13"/>
      <c r="I8" s="12">
        <v>150.0</v>
      </c>
      <c r="J8" s="13"/>
      <c r="K8" s="18">
        <f t="shared" si="2"/>
        <v>18.77346683</v>
      </c>
    </row>
    <row r="9">
      <c r="B9" s="218">
        <v>45866.0</v>
      </c>
      <c r="C9" s="12" t="s">
        <v>150</v>
      </c>
      <c r="D9" s="12" t="s">
        <v>148</v>
      </c>
      <c r="E9" s="12">
        <v>854588.0</v>
      </c>
      <c r="F9" s="13">
        <f t="shared" si="3"/>
        <v>847</v>
      </c>
      <c r="G9" s="13"/>
      <c r="H9" s="13"/>
      <c r="I9" s="12">
        <v>158.04</v>
      </c>
      <c r="J9" s="13"/>
      <c r="K9" s="18">
        <f t="shared" si="2"/>
        <v>18.65879575</v>
      </c>
    </row>
    <row r="10">
      <c r="B10" s="218">
        <v>45866.0</v>
      </c>
      <c r="C10" s="12" t="s">
        <v>150</v>
      </c>
      <c r="D10" s="12" t="s">
        <v>148</v>
      </c>
      <c r="E10" s="12">
        <v>855388.0</v>
      </c>
      <c r="F10" s="13">
        <f t="shared" si="3"/>
        <v>800</v>
      </c>
      <c r="G10" s="13"/>
      <c r="H10" s="13"/>
      <c r="I10" s="12">
        <v>158.0</v>
      </c>
      <c r="J10" s="13"/>
      <c r="K10" s="18">
        <f t="shared" si="2"/>
        <v>19.75</v>
      </c>
    </row>
    <row r="11">
      <c r="B11" s="218">
        <v>45868.0</v>
      </c>
      <c r="C11" s="12" t="s">
        <v>150</v>
      </c>
      <c r="D11" s="12" t="s">
        <v>148</v>
      </c>
      <c r="E11" s="12">
        <v>856025.0</v>
      </c>
      <c r="F11" s="13">
        <f t="shared" si="3"/>
        <v>637</v>
      </c>
      <c r="G11" s="13"/>
      <c r="H11" s="13"/>
      <c r="I11" s="13">
        <f>140-9.98</f>
        <v>130.02</v>
      </c>
      <c r="J11" s="13"/>
      <c r="K11" s="18">
        <f t="shared" si="2"/>
        <v>20.41130298</v>
      </c>
    </row>
    <row r="12">
      <c r="B12" s="218">
        <v>45869.0</v>
      </c>
      <c r="C12" s="12" t="s">
        <v>150</v>
      </c>
      <c r="D12" s="12" t="s">
        <v>148</v>
      </c>
      <c r="E12" s="12">
        <v>856788.0</v>
      </c>
      <c r="F12" s="13">
        <f t="shared" si="3"/>
        <v>763</v>
      </c>
      <c r="G12" s="13"/>
      <c r="H12" s="13"/>
      <c r="I12" s="12">
        <v>149.92</v>
      </c>
      <c r="J12" s="13"/>
      <c r="K12" s="18">
        <f t="shared" si="2"/>
        <v>19.64875491</v>
      </c>
    </row>
    <row r="13">
      <c r="A13" s="87" t="s">
        <v>77</v>
      </c>
      <c r="B13" s="88" t="str">
        <f>IF(L13=4,"АПРЕЛЬ",IF(L13=5,"МАЙ",IF(L13=1,"ЯНВАРЬ",IF(L13=2,"ФЕВРАЛЬ",IF(L13=3,"МАРТ",IF(L13=6,"ИЮНЬ",IF(L13=7,"ИЮЛЬ",IF(L13=8,"АВГУСТ",IF(L13=9,"СЕНТЯБРЬ",IF(L13=10,"ОКТЯБРЬ",IF(L13=11,"НОЯБРЬ",IF(L13=12,"ДЕКАБРЬ"))))))))))))</f>
        <v>АВГУСТ</v>
      </c>
      <c r="J13" s="89"/>
      <c r="K13" s="90"/>
      <c r="L13" s="91">
        <f>MONTH(B14)</f>
        <v>8</v>
      </c>
      <c r="M13" s="92"/>
      <c r="N13" s="92"/>
      <c r="O13" s="89"/>
      <c r="P13" s="93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</row>
    <row r="14">
      <c r="B14" s="218">
        <v>45870.0</v>
      </c>
      <c r="C14" s="12" t="s">
        <v>150</v>
      </c>
      <c r="D14" s="12" t="s">
        <v>148</v>
      </c>
      <c r="E14" s="12">
        <v>857605.0</v>
      </c>
      <c r="F14" s="13">
        <f>E14-E12</f>
        <v>817</v>
      </c>
      <c r="G14" s="13"/>
      <c r="H14" s="13"/>
      <c r="I14" s="12">
        <v>158.85</v>
      </c>
      <c r="J14" s="13"/>
      <c r="K14" s="18">
        <f t="shared" ref="K14:K40" si="4">I14/F14*100</f>
        <v>19.44308446</v>
      </c>
      <c r="M14" s="82" t="str">
        <f>"тотал"&amp;" "&amp;B13&amp;" "&amp;RIGHT(YEAR(B14),2)</f>
        <v>тотал АВГУСТ 25</v>
      </c>
      <c r="N14" s="75"/>
      <c r="O14" s="75"/>
      <c r="P14" s="75"/>
      <c r="Q14" s="76"/>
    </row>
    <row r="15">
      <c r="B15" s="218">
        <v>45871.0</v>
      </c>
      <c r="C15" s="12" t="s">
        <v>150</v>
      </c>
      <c r="D15" s="12" t="s">
        <v>148</v>
      </c>
      <c r="E15" s="12">
        <v>858437.0</v>
      </c>
      <c r="F15" s="13">
        <f t="shared" ref="F15:F40" si="5">E15-E14</f>
        <v>832</v>
      </c>
      <c r="G15" s="13"/>
      <c r="H15" s="13"/>
      <c r="I15" s="12">
        <v>141.01</v>
      </c>
      <c r="J15" s="13"/>
      <c r="K15" s="18">
        <f t="shared" si="4"/>
        <v>16.94831731</v>
      </c>
      <c r="M15" s="83" t="s">
        <v>70</v>
      </c>
      <c r="N15" s="83" t="s">
        <v>71</v>
      </c>
      <c r="O15" s="83" t="s">
        <v>27</v>
      </c>
      <c r="P15" s="77" t="s">
        <v>28</v>
      </c>
      <c r="Q15" s="12" t="s">
        <v>78</v>
      </c>
    </row>
    <row r="16">
      <c r="B16" s="219">
        <v>45873.0</v>
      </c>
      <c r="C16" s="12" t="s">
        <v>150</v>
      </c>
      <c r="D16" s="12" t="s">
        <v>148</v>
      </c>
      <c r="E16" s="12">
        <v>859254.0</v>
      </c>
      <c r="F16" s="13">
        <f t="shared" si="5"/>
        <v>817</v>
      </c>
      <c r="G16" s="13"/>
      <c r="H16" s="13"/>
      <c r="I16" s="12">
        <v>188.53</v>
      </c>
      <c r="J16" s="13"/>
      <c r="K16" s="18">
        <f t="shared" si="4"/>
        <v>23.07588739</v>
      </c>
      <c r="M16" s="84">
        <f>SUM(F14:F40)</f>
        <v>19821</v>
      </c>
      <c r="N16" s="84">
        <f>SUM(I14:I40)</f>
        <v>3939.12</v>
      </c>
      <c r="O16" s="85">
        <f>N16/M16*100</f>
        <v>19.87346753</v>
      </c>
      <c r="P16" s="79">
        <f>(M16/100)*(O16-Q16)</f>
        <v>-223.29</v>
      </c>
      <c r="Q16" s="78">
        <v>21.0</v>
      </c>
    </row>
    <row r="17">
      <c r="B17" s="219">
        <v>45874.0</v>
      </c>
      <c r="C17" s="12" t="s">
        <v>150</v>
      </c>
      <c r="D17" s="12" t="s">
        <v>148</v>
      </c>
      <c r="E17" s="12">
        <v>860087.0</v>
      </c>
      <c r="F17" s="13">
        <f t="shared" si="5"/>
        <v>833</v>
      </c>
      <c r="G17" s="13"/>
      <c r="H17" s="13"/>
      <c r="I17" s="12">
        <v>159.75</v>
      </c>
      <c r="J17" s="13"/>
      <c r="K17" s="18">
        <f t="shared" si="4"/>
        <v>19.17767107</v>
      </c>
    </row>
    <row r="18">
      <c r="B18" s="219">
        <v>45875.0</v>
      </c>
      <c r="C18" s="12" t="s">
        <v>150</v>
      </c>
      <c r="D18" s="12" t="s">
        <v>148</v>
      </c>
      <c r="E18" s="12">
        <v>860903.0</v>
      </c>
      <c r="F18" s="13">
        <f t="shared" si="5"/>
        <v>816</v>
      </c>
      <c r="G18" s="13"/>
      <c r="H18" s="13"/>
      <c r="I18" s="12">
        <v>159.95</v>
      </c>
      <c r="J18" s="13"/>
      <c r="K18" s="18">
        <f t="shared" si="4"/>
        <v>19.60171569</v>
      </c>
    </row>
    <row r="19">
      <c r="B19" s="219">
        <v>45876.0</v>
      </c>
      <c r="C19" s="12" t="s">
        <v>150</v>
      </c>
      <c r="D19" s="12" t="s">
        <v>148</v>
      </c>
      <c r="E19" s="12">
        <v>861724.0</v>
      </c>
      <c r="F19" s="13">
        <f t="shared" si="5"/>
        <v>821</v>
      </c>
      <c r="G19" s="13"/>
      <c r="H19" s="13"/>
      <c r="I19" s="12">
        <v>156.53</v>
      </c>
      <c r="J19" s="13"/>
      <c r="K19" s="18">
        <f t="shared" si="4"/>
        <v>19.06577345</v>
      </c>
    </row>
    <row r="20">
      <c r="B20" s="219">
        <v>45877.0</v>
      </c>
      <c r="C20" s="12" t="s">
        <v>150</v>
      </c>
      <c r="D20" s="12" t="s">
        <v>148</v>
      </c>
      <c r="E20" s="12">
        <v>862548.0</v>
      </c>
      <c r="F20" s="13">
        <f t="shared" si="5"/>
        <v>824</v>
      </c>
      <c r="G20" s="13"/>
      <c r="H20" s="13"/>
      <c r="I20" s="12">
        <v>173.62</v>
      </c>
      <c r="J20" s="13"/>
      <c r="K20" s="18">
        <f t="shared" si="4"/>
        <v>21.07038835</v>
      </c>
    </row>
    <row r="21">
      <c r="B21" s="219">
        <v>45909.0</v>
      </c>
      <c r="C21" s="12" t="s">
        <v>150</v>
      </c>
      <c r="D21" s="12" t="s">
        <v>148</v>
      </c>
      <c r="E21" s="12">
        <v>863369.0</v>
      </c>
      <c r="F21" s="13">
        <f t="shared" si="5"/>
        <v>821</v>
      </c>
      <c r="G21" s="13"/>
      <c r="H21" s="13"/>
      <c r="I21" s="12">
        <v>140.09</v>
      </c>
      <c r="J21" s="13"/>
      <c r="K21" s="18">
        <f t="shared" si="4"/>
        <v>17.06333739</v>
      </c>
    </row>
    <row r="22">
      <c r="B22" s="219">
        <v>45879.0</v>
      </c>
      <c r="C22" s="12" t="s">
        <v>150</v>
      </c>
      <c r="D22" s="12" t="s">
        <v>148</v>
      </c>
      <c r="E22" s="12">
        <v>863571.0</v>
      </c>
      <c r="F22" s="13">
        <f t="shared" si="5"/>
        <v>202</v>
      </c>
      <c r="G22" s="13"/>
      <c r="H22" s="13"/>
      <c r="I22" s="12">
        <v>65.0</v>
      </c>
      <c r="J22" s="13"/>
      <c r="K22" s="18">
        <f t="shared" si="4"/>
        <v>32.17821782</v>
      </c>
    </row>
    <row r="23">
      <c r="B23" s="219">
        <v>45880.0</v>
      </c>
      <c r="C23" s="12" t="s">
        <v>150</v>
      </c>
      <c r="D23" s="12" t="s">
        <v>148</v>
      </c>
      <c r="E23" s="12">
        <v>864397.0</v>
      </c>
      <c r="F23" s="13">
        <f t="shared" si="5"/>
        <v>826</v>
      </c>
      <c r="G23" s="13"/>
      <c r="H23" s="13"/>
      <c r="I23" s="12">
        <v>163.07</v>
      </c>
      <c r="J23" s="13"/>
      <c r="K23" s="18">
        <f t="shared" si="4"/>
        <v>19.74213075</v>
      </c>
    </row>
    <row r="24">
      <c r="B24" s="219">
        <v>45881.0</v>
      </c>
      <c r="C24" s="12" t="s">
        <v>150</v>
      </c>
      <c r="D24" s="12" t="s">
        <v>148</v>
      </c>
      <c r="E24" s="12">
        <v>865218.0</v>
      </c>
      <c r="F24" s="13">
        <f t="shared" si="5"/>
        <v>821</v>
      </c>
      <c r="G24" s="13"/>
      <c r="H24" s="13"/>
      <c r="I24" s="12">
        <v>136.56</v>
      </c>
      <c r="J24" s="13"/>
      <c r="K24" s="18">
        <f t="shared" si="4"/>
        <v>16.63337393</v>
      </c>
    </row>
    <row r="25">
      <c r="B25" s="219">
        <v>45881.0</v>
      </c>
      <c r="C25" s="12" t="s">
        <v>150</v>
      </c>
      <c r="D25" s="12" t="s">
        <v>148</v>
      </c>
      <c r="E25" s="12">
        <v>865350.0</v>
      </c>
      <c r="F25" s="13">
        <f t="shared" si="5"/>
        <v>132</v>
      </c>
      <c r="G25" s="13"/>
      <c r="H25" s="13"/>
      <c r="I25" s="12">
        <v>64.44</v>
      </c>
      <c r="J25" s="13"/>
      <c r="K25" s="18">
        <f t="shared" si="4"/>
        <v>48.81818182</v>
      </c>
    </row>
    <row r="26">
      <c r="B26" s="219">
        <v>45882.0</v>
      </c>
      <c r="C26" s="12" t="s">
        <v>150</v>
      </c>
      <c r="D26" s="12" t="s">
        <v>148</v>
      </c>
      <c r="E26" s="12">
        <v>866166.0</v>
      </c>
      <c r="F26" s="13">
        <f t="shared" si="5"/>
        <v>816</v>
      </c>
      <c r="G26" s="13"/>
      <c r="H26" s="13"/>
      <c r="I26" s="12">
        <v>149.57</v>
      </c>
      <c r="J26" s="13"/>
      <c r="K26" s="18">
        <f t="shared" si="4"/>
        <v>18.32965686</v>
      </c>
    </row>
    <row r="27">
      <c r="B27" s="219">
        <v>45883.0</v>
      </c>
      <c r="C27" s="12" t="s">
        <v>150</v>
      </c>
      <c r="D27" s="12" t="s">
        <v>148</v>
      </c>
      <c r="E27" s="9">
        <v>866986.0</v>
      </c>
      <c r="F27" s="13">
        <f t="shared" si="5"/>
        <v>820</v>
      </c>
      <c r="G27" s="13"/>
      <c r="H27" s="13"/>
      <c r="I27" s="13">
        <f>141.48--28.2</f>
        <v>169.68</v>
      </c>
      <c r="J27" s="13"/>
      <c r="K27" s="18">
        <f t="shared" si="4"/>
        <v>20.69268293</v>
      </c>
    </row>
    <row r="28">
      <c r="B28" s="219">
        <v>45884.0</v>
      </c>
      <c r="C28" s="12" t="s">
        <v>150</v>
      </c>
      <c r="D28" s="12" t="s">
        <v>148</v>
      </c>
      <c r="E28" s="12">
        <v>867643.0</v>
      </c>
      <c r="F28" s="13">
        <f t="shared" si="5"/>
        <v>657</v>
      </c>
      <c r="G28" s="13"/>
      <c r="H28" s="13"/>
      <c r="I28" s="12">
        <v>130.0</v>
      </c>
      <c r="J28" s="13"/>
      <c r="K28" s="18">
        <f t="shared" si="4"/>
        <v>19.7869102</v>
      </c>
    </row>
    <row r="29">
      <c r="B29" s="219">
        <v>45885.0</v>
      </c>
      <c r="C29" s="12" t="s">
        <v>150</v>
      </c>
      <c r="D29" s="12" t="s">
        <v>148</v>
      </c>
      <c r="E29" s="12">
        <v>868247.0</v>
      </c>
      <c r="F29" s="13">
        <f t="shared" si="5"/>
        <v>604</v>
      </c>
      <c r="G29" s="13"/>
      <c r="H29" s="13"/>
      <c r="I29" s="12">
        <v>122.2</v>
      </c>
      <c r="J29" s="13"/>
      <c r="K29" s="18">
        <f t="shared" si="4"/>
        <v>20.23178808</v>
      </c>
    </row>
    <row r="30">
      <c r="B30" s="219">
        <v>45888.0</v>
      </c>
      <c r="C30" s="12" t="s">
        <v>150</v>
      </c>
      <c r="D30" s="12" t="s">
        <v>148</v>
      </c>
      <c r="E30" s="12">
        <v>869072.0</v>
      </c>
      <c r="F30" s="13">
        <f t="shared" si="5"/>
        <v>825</v>
      </c>
      <c r="G30" s="13"/>
      <c r="H30" s="13"/>
      <c r="I30" s="12">
        <v>152.74</v>
      </c>
      <c r="J30" s="13"/>
      <c r="K30" s="18">
        <f t="shared" si="4"/>
        <v>18.51393939</v>
      </c>
    </row>
    <row r="31">
      <c r="B31" s="219">
        <v>45889.0</v>
      </c>
      <c r="C31" s="12" t="s">
        <v>150</v>
      </c>
      <c r="D31" s="12" t="s">
        <v>148</v>
      </c>
      <c r="E31" s="12">
        <v>869892.0</v>
      </c>
      <c r="F31" s="13">
        <f t="shared" si="5"/>
        <v>820</v>
      </c>
      <c r="G31" s="13"/>
      <c r="H31" s="13"/>
      <c r="I31" s="13">
        <f>141.48--23.84</f>
        <v>165.32</v>
      </c>
      <c r="J31" s="13"/>
      <c r="K31" s="18">
        <f t="shared" si="4"/>
        <v>20.16097561</v>
      </c>
    </row>
    <row r="32">
      <c r="B32" s="219">
        <v>45890.0</v>
      </c>
      <c r="C32" s="12" t="s">
        <v>150</v>
      </c>
      <c r="D32" s="12" t="s">
        <v>148</v>
      </c>
      <c r="E32" s="12">
        <v>870725.0</v>
      </c>
      <c r="F32" s="13">
        <f t="shared" si="5"/>
        <v>833</v>
      </c>
      <c r="G32" s="13"/>
      <c r="H32" s="13"/>
      <c r="I32" s="12">
        <v>168.24</v>
      </c>
      <c r="J32" s="13"/>
      <c r="K32" s="18">
        <f t="shared" si="4"/>
        <v>20.19687875</v>
      </c>
    </row>
    <row r="33">
      <c r="B33" s="219">
        <v>45891.0</v>
      </c>
      <c r="C33" s="12" t="s">
        <v>150</v>
      </c>
      <c r="D33" s="12" t="s">
        <v>148</v>
      </c>
      <c r="E33" s="12">
        <v>871545.0</v>
      </c>
      <c r="F33" s="13">
        <f t="shared" si="5"/>
        <v>820</v>
      </c>
      <c r="G33" s="13"/>
      <c r="H33" s="13"/>
      <c r="I33" s="13">
        <f>127.49--33.04</f>
        <v>160.53</v>
      </c>
      <c r="J33" s="13"/>
      <c r="K33" s="18">
        <f t="shared" si="4"/>
        <v>19.57682927</v>
      </c>
    </row>
    <row r="34">
      <c r="B34" s="219">
        <v>45892.0</v>
      </c>
      <c r="C34" s="12" t="s">
        <v>150</v>
      </c>
      <c r="D34" s="12" t="s">
        <v>148</v>
      </c>
      <c r="E34" s="12">
        <v>872369.0</v>
      </c>
      <c r="F34" s="13">
        <f t="shared" si="5"/>
        <v>824</v>
      </c>
      <c r="G34" s="13"/>
      <c r="H34" s="13"/>
      <c r="I34" s="12">
        <v>167.74</v>
      </c>
      <c r="J34" s="13"/>
      <c r="K34" s="18">
        <f t="shared" si="4"/>
        <v>20.35679612</v>
      </c>
    </row>
    <row r="35">
      <c r="B35" s="219">
        <v>45893.0</v>
      </c>
      <c r="C35" s="12" t="s">
        <v>150</v>
      </c>
      <c r="D35" s="12" t="s">
        <v>148</v>
      </c>
      <c r="E35" s="12">
        <v>873189.0</v>
      </c>
      <c r="F35" s="13">
        <f t="shared" si="5"/>
        <v>820</v>
      </c>
      <c r="G35" s="13"/>
      <c r="H35" s="13"/>
      <c r="I35" s="13">
        <f>141.68--27.07</f>
        <v>168.75</v>
      </c>
      <c r="J35" s="13"/>
      <c r="K35" s="18">
        <f t="shared" si="4"/>
        <v>20.57926829</v>
      </c>
    </row>
    <row r="36">
      <c r="B36" s="219">
        <v>45895.0</v>
      </c>
      <c r="C36" s="12" t="s">
        <v>150</v>
      </c>
      <c r="D36" s="12" t="s">
        <v>148</v>
      </c>
      <c r="E36" s="12">
        <v>873828.0</v>
      </c>
      <c r="F36" s="13">
        <f t="shared" si="5"/>
        <v>639</v>
      </c>
      <c r="G36" s="13"/>
      <c r="H36" s="13"/>
      <c r="I36" s="12">
        <v>100.0</v>
      </c>
      <c r="J36" s="13"/>
      <c r="K36" s="18">
        <f t="shared" si="4"/>
        <v>15.64945227</v>
      </c>
    </row>
    <row r="37">
      <c r="B37" s="219">
        <v>45896.0</v>
      </c>
      <c r="C37" s="12" t="s">
        <v>150</v>
      </c>
      <c r="D37" s="12" t="s">
        <v>148</v>
      </c>
      <c r="E37" s="12">
        <v>874074.0</v>
      </c>
      <c r="F37" s="13">
        <f t="shared" si="5"/>
        <v>246</v>
      </c>
      <c r="G37" s="13"/>
      <c r="H37" s="13"/>
      <c r="I37" s="12">
        <v>84.32</v>
      </c>
      <c r="J37" s="13"/>
      <c r="K37" s="18">
        <f t="shared" si="4"/>
        <v>34.27642276</v>
      </c>
    </row>
    <row r="38">
      <c r="B38" s="219">
        <v>45897.0</v>
      </c>
      <c r="C38" s="12" t="s">
        <v>150</v>
      </c>
      <c r="D38" s="12" t="s">
        <v>148</v>
      </c>
      <c r="E38" s="12">
        <v>874900.0</v>
      </c>
      <c r="F38" s="13">
        <f t="shared" si="5"/>
        <v>826</v>
      </c>
      <c r="G38" s="13"/>
      <c r="H38" s="13"/>
      <c r="I38" s="12">
        <v>162.91</v>
      </c>
      <c r="J38" s="13"/>
      <c r="K38" s="18">
        <f t="shared" si="4"/>
        <v>19.72276029</v>
      </c>
    </row>
    <row r="39">
      <c r="B39" s="219">
        <v>45898.0</v>
      </c>
      <c r="C39" s="12" t="s">
        <v>150</v>
      </c>
      <c r="D39" s="12" t="s">
        <v>148</v>
      </c>
      <c r="E39" s="12">
        <v>875720.0</v>
      </c>
      <c r="F39" s="13">
        <f t="shared" si="5"/>
        <v>820</v>
      </c>
      <c r="G39" s="13"/>
      <c r="H39" s="13"/>
      <c r="I39" s="13">
        <f>141.48--24.99</f>
        <v>166.47</v>
      </c>
      <c r="J39" s="13"/>
      <c r="K39" s="18">
        <f t="shared" si="4"/>
        <v>20.30121951</v>
      </c>
    </row>
    <row r="40">
      <c r="B40" s="219">
        <v>45900.0</v>
      </c>
      <c r="C40" s="12" t="s">
        <v>150</v>
      </c>
      <c r="D40" s="12" t="s">
        <v>148</v>
      </c>
      <c r="E40" s="12">
        <v>876609.0</v>
      </c>
      <c r="F40" s="13">
        <f t="shared" si="5"/>
        <v>889</v>
      </c>
      <c r="G40" s="13"/>
      <c r="H40" s="13"/>
      <c r="I40" s="12">
        <f>130.45--32.8</f>
        <v>163.25</v>
      </c>
      <c r="J40" s="13"/>
      <c r="K40" s="18">
        <f t="shared" si="4"/>
        <v>18.36332958</v>
      </c>
    </row>
    <row r="41">
      <c r="A41" s="87" t="s">
        <v>77</v>
      </c>
      <c r="B41" s="88" t="str">
        <f>IF(L41=4,"АПРЕЛЬ",IF(L41=5,"МАЙ",IF(L41=1,"ЯНВАРЬ",IF(L41=2,"ФЕВРАЛЬ",IF(L41=3,"МАРТ",IF(L41=6,"ИЮНЬ",IF(L41=7,"ИЮЛЬ",IF(L41=8,"АВГУСТ",IF(L41=9,"СЕНТЯБРЬ",IF(L41=10,"ОКТЯБРЬ",IF(L41=11,"НОЯБРЬ",IF(L41=12,"ДЕКАБРЬ"))))))))))))</f>
        <v>СЕНТЯБРЬ</v>
      </c>
      <c r="J41" s="89"/>
      <c r="K41" s="90"/>
      <c r="L41" s="91">
        <f>MONTH(B42)</f>
        <v>9</v>
      </c>
      <c r="M41" s="92"/>
      <c r="N41" s="92"/>
      <c r="O41" s="89"/>
      <c r="P41" s="9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</row>
    <row r="42">
      <c r="B42" s="219">
        <v>45901.0</v>
      </c>
      <c r="C42" s="12" t="s">
        <v>150</v>
      </c>
      <c r="D42" s="12" t="s">
        <v>148</v>
      </c>
      <c r="E42" s="12">
        <v>877428.0</v>
      </c>
      <c r="F42" s="13">
        <f>E42-E40</f>
        <v>819</v>
      </c>
      <c r="G42" s="13"/>
      <c r="H42" s="13"/>
      <c r="I42" s="12">
        <v>161.75</v>
      </c>
      <c r="J42" s="13"/>
      <c r="K42" s="18">
        <f t="shared" ref="K42:K51" si="6">I42/F42*100</f>
        <v>19.74969475</v>
      </c>
      <c r="M42" s="82" t="str">
        <f>"тотал"&amp;" "&amp;B41&amp;" "&amp;RIGHT(YEAR(B42),2)</f>
        <v>тотал СЕНТЯБРЬ 25</v>
      </c>
      <c r="N42" s="75"/>
      <c r="O42" s="75"/>
      <c r="P42" s="75"/>
      <c r="Q42" s="76"/>
    </row>
    <row r="43">
      <c r="B43" s="219">
        <v>45913.0</v>
      </c>
      <c r="C43" s="220"/>
      <c r="D43" s="221" t="s">
        <v>151</v>
      </c>
      <c r="E43" s="12">
        <v>878369.0</v>
      </c>
      <c r="F43" s="13">
        <f t="shared" ref="F43:F51" si="7">E43-E42</f>
        <v>941</v>
      </c>
      <c r="G43" s="12">
        <v>389.0</v>
      </c>
      <c r="H43" s="12">
        <v>321.0</v>
      </c>
      <c r="I43" s="12">
        <v>324.72</v>
      </c>
      <c r="J43" s="13">
        <f t="shared" ref="J43:J51" si="8">H43-I43</f>
        <v>-3.72</v>
      </c>
      <c r="K43" s="18">
        <f t="shared" si="6"/>
        <v>34.50797024</v>
      </c>
      <c r="M43" s="83" t="s">
        <v>70</v>
      </c>
      <c r="N43" s="83" t="s">
        <v>71</v>
      </c>
      <c r="O43" s="83" t="s">
        <v>27</v>
      </c>
      <c r="P43" s="77" t="s">
        <v>28</v>
      </c>
      <c r="Q43" s="12" t="s">
        <v>78</v>
      </c>
    </row>
    <row r="44">
      <c r="B44" s="219">
        <v>45916.0</v>
      </c>
      <c r="C44" s="12" t="s">
        <v>152</v>
      </c>
      <c r="D44" s="12" t="s">
        <v>148</v>
      </c>
      <c r="E44" s="12">
        <v>879582.0</v>
      </c>
      <c r="F44" s="13">
        <f t="shared" si="7"/>
        <v>1213</v>
      </c>
      <c r="G44" s="12">
        <v>260.0</v>
      </c>
      <c r="H44" s="12">
        <v>97.0</v>
      </c>
      <c r="I44" s="12">
        <v>99.99</v>
      </c>
      <c r="J44" s="13">
        <f t="shared" si="8"/>
        <v>-2.99</v>
      </c>
      <c r="K44" s="18">
        <f t="shared" si="6"/>
        <v>8.243198681</v>
      </c>
      <c r="M44" s="84">
        <f>SUM(F42:F51)</f>
        <v>11046</v>
      </c>
      <c r="N44" s="84">
        <f>SUM(I42:I51)</f>
        <v>2149.72</v>
      </c>
      <c r="O44" s="85">
        <f>N44/M44*100</f>
        <v>19.46152453</v>
      </c>
      <c r="P44" s="79">
        <f>(M44/100)*(O44-Q44)</f>
        <v>-169.94</v>
      </c>
      <c r="Q44" s="78">
        <v>21.0</v>
      </c>
    </row>
    <row r="45">
      <c r="B45" s="219">
        <v>45917.0</v>
      </c>
      <c r="C45" s="12" t="s">
        <v>152</v>
      </c>
      <c r="D45" s="12" t="s">
        <v>148</v>
      </c>
      <c r="E45" s="12">
        <v>880244.0</v>
      </c>
      <c r="F45" s="13">
        <f t="shared" si="7"/>
        <v>662</v>
      </c>
      <c r="G45" s="12">
        <v>388.0</v>
      </c>
      <c r="H45" s="12">
        <v>242.0</v>
      </c>
      <c r="I45" s="12">
        <v>247.53</v>
      </c>
      <c r="J45" s="13">
        <f t="shared" si="8"/>
        <v>-5.53</v>
      </c>
      <c r="K45" s="18">
        <f t="shared" si="6"/>
        <v>37.39123867</v>
      </c>
    </row>
    <row r="46">
      <c r="B46" s="219">
        <v>45918.0</v>
      </c>
      <c r="C46" s="12" t="s">
        <v>152</v>
      </c>
      <c r="D46" s="12" t="s">
        <v>148</v>
      </c>
      <c r="E46" s="12">
        <v>881308.0</v>
      </c>
      <c r="F46" s="13">
        <f t="shared" si="7"/>
        <v>1064</v>
      </c>
      <c r="G46" s="12">
        <v>283.0</v>
      </c>
      <c r="H46" s="12">
        <v>96.0</v>
      </c>
      <c r="I46" s="12">
        <v>99.91</v>
      </c>
      <c r="J46" s="13">
        <f t="shared" si="8"/>
        <v>-3.91</v>
      </c>
      <c r="K46" s="18">
        <f t="shared" si="6"/>
        <v>9.390037594</v>
      </c>
    </row>
    <row r="47">
      <c r="B47" s="219">
        <v>45923.0</v>
      </c>
      <c r="C47" s="12" t="s">
        <v>152</v>
      </c>
      <c r="D47" s="12" t="s">
        <v>148</v>
      </c>
      <c r="E47" s="12">
        <v>882262.0</v>
      </c>
      <c r="F47" s="13">
        <f t="shared" si="7"/>
        <v>954</v>
      </c>
      <c r="G47" s="12">
        <v>387.0</v>
      </c>
      <c r="H47" s="12">
        <v>280.0</v>
      </c>
      <c r="I47" s="13">
        <f>144.22--142.68</f>
        <v>286.9</v>
      </c>
      <c r="J47" s="13">
        <f t="shared" si="8"/>
        <v>-6.9</v>
      </c>
      <c r="K47" s="18">
        <f t="shared" si="6"/>
        <v>30.07337526</v>
      </c>
    </row>
    <row r="48">
      <c r="B48" s="219">
        <v>45925.0</v>
      </c>
      <c r="C48" s="12" t="s">
        <v>152</v>
      </c>
      <c r="D48" s="12" t="s">
        <v>148</v>
      </c>
      <c r="E48" s="12">
        <v>883453.0</v>
      </c>
      <c r="F48" s="13">
        <f t="shared" si="7"/>
        <v>1191</v>
      </c>
      <c r="G48" s="12">
        <v>391.0</v>
      </c>
      <c r="H48" s="12">
        <v>238.0</v>
      </c>
      <c r="I48" s="12">
        <v>241.64</v>
      </c>
      <c r="J48" s="13">
        <f t="shared" si="8"/>
        <v>-3.64</v>
      </c>
      <c r="K48" s="18">
        <f t="shared" si="6"/>
        <v>20.28883291</v>
      </c>
    </row>
    <row r="49">
      <c r="B49" s="219">
        <v>45926.0</v>
      </c>
      <c r="C49" s="12" t="s">
        <v>152</v>
      </c>
      <c r="D49" s="12" t="s">
        <v>148</v>
      </c>
      <c r="E49" s="12">
        <v>884783.0</v>
      </c>
      <c r="F49" s="13">
        <f t="shared" si="7"/>
        <v>1330</v>
      </c>
      <c r="G49" s="12">
        <v>389.0</v>
      </c>
      <c r="H49" s="12">
        <v>266.0</v>
      </c>
      <c r="I49" s="12">
        <v>272.95</v>
      </c>
      <c r="J49" s="13">
        <f t="shared" si="8"/>
        <v>-6.95</v>
      </c>
      <c r="K49" s="18">
        <f t="shared" si="6"/>
        <v>20.52255639</v>
      </c>
    </row>
    <row r="50">
      <c r="B50" s="219">
        <v>45928.0</v>
      </c>
      <c r="C50" s="12" t="s">
        <v>152</v>
      </c>
      <c r="D50" s="12" t="s">
        <v>148</v>
      </c>
      <c r="E50" s="12">
        <v>886388.0</v>
      </c>
      <c r="F50" s="13">
        <f t="shared" si="7"/>
        <v>1605</v>
      </c>
      <c r="G50" s="12">
        <v>392.0</v>
      </c>
      <c r="H50" s="12">
        <v>311.0</v>
      </c>
      <c r="I50" s="12">
        <v>314.39</v>
      </c>
      <c r="J50" s="13">
        <f t="shared" si="8"/>
        <v>-3.39</v>
      </c>
      <c r="K50" s="18">
        <f t="shared" si="6"/>
        <v>19.58816199</v>
      </c>
    </row>
    <row r="51">
      <c r="B51" s="219">
        <v>45930.0</v>
      </c>
      <c r="C51" s="12" t="s">
        <v>152</v>
      </c>
      <c r="D51" s="12" t="s">
        <v>148</v>
      </c>
      <c r="E51" s="12">
        <v>887655.0</v>
      </c>
      <c r="F51" s="13">
        <f t="shared" si="7"/>
        <v>1267</v>
      </c>
      <c r="G51" s="12">
        <v>221.0</v>
      </c>
      <c r="H51" s="12">
        <v>99.0</v>
      </c>
      <c r="I51" s="12">
        <v>99.94</v>
      </c>
      <c r="J51" s="13">
        <f t="shared" si="8"/>
        <v>-0.94</v>
      </c>
      <c r="K51" s="18">
        <f t="shared" si="6"/>
        <v>7.88792423</v>
      </c>
    </row>
    <row r="52">
      <c r="A52" s="87" t="s">
        <v>77</v>
      </c>
      <c r="B52" s="88" t="str">
        <f>IF(L52=4,"АПРЕЛЬ",IF(L52=5,"МАЙ",IF(L52=1,"ЯНВАРЬ",IF(L52=2,"ФЕВРАЛЬ",IF(L52=3,"МАРТ",IF(L52=6,"ИЮНЬ",IF(L52=7,"ИЮЛЬ",IF(L52=8,"АВГУСТ",IF(L52=9,"СЕНТЯБРЬ",IF(L52=10,"ОКТЯБРЬ",IF(L52=11,"НОЯБРЬ",IF(L52=12,"ДЕКАБРЬ"))))))))))))</f>
        <v>ОКТЯБРЬ</v>
      </c>
      <c r="J52" s="89"/>
      <c r="K52" s="90"/>
      <c r="L52" s="91">
        <f>MONTH(B53)</f>
        <v>10</v>
      </c>
      <c r="M52" s="92"/>
      <c r="N52" s="92"/>
      <c r="O52" s="89"/>
      <c r="P52" s="9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</row>
    <row r="53">
      <c r="B53" s="219">
        <v>45931.0</v>
      </c>
      <c r="C53" s="12" t="s">
        <v>152</v>
      </c>
      <c r="D53" s="12" t="s">
        <v>148</v>
      </c>
      <c r="E53" s="12">
        <v>888383.0</v>
      </c>
      <c r="F53" s="13">
        <f>E53-E51</f>
        <v>728</v>
      </c>
      <c r="G53" s="12">
        <v>310.0</v>
      </c>
      <c r="H53" s="12">
        <v>236.0</v>
      </c>
      <c r="I53" s="12">
        <v>240.65</v>
      </c>
      <c r="J53" s="13">
        <f t="shared" ref="J53:J61" si="9">H53-I53</f>
        <v>-4.65</v>
      </c>
      <c r="K53" s="18">
        <f t="shared" ref="K53:K61" si="10">I53/F53*100</f>
        <v>33.05631868</v>
      </c>
      <c r="M53" s="82" t="str">
        <f>"тотал"&amp;" "&amp;B52&amp;" "&amp;RIGHT(YEAR(B53),2)</f>
        <v>тотал ОКТЯБРЬ 25</v>
      </c>
      <c r="N53" s="75"/>
      <c r="O53" s="75"/>
      <c r="P53" s="75"/>
      <c r="Q53" s="76"/>
    </row>
    <row r="54">
      <c r="B54" s="219">
        <v>45932.0</v>
      </c>
      <c r="C54" s="12" t="s">
        <v>152</v>
      </c>
      <c r="D54" s="12" t="s">
        <v>148</v>
      </c>
      <c r="E54" s="12">
        <v>889301.0</v>
      </c>
      <c r="F54" s="13">
        <f t="shared" ref="F54:F61" si="11">E54-E53</f>
        <v>918</v>
      </c>
      <c r="G54" s="12">
        <v>223.0</v>
      </c>
      <c r="H54" s="12">
        <v>99.0</v>
      </c>
      <c r="I54" s="12">
        <v>99.85</v>
      </c>
      <c r="J54" s="13">
        <f t="shared" si="9"/>
        <v>-0.85</v>
      </c>
      <c r="K54" s="18">
        <f t="shared" si="10"/>
        <v>10.87690632</v>
      </c>
      <c r="M54" s="83" t="s">
        <v>70</v>
      </c>
      <c r="N54" s="83" t="s">
        <v>71</v>
      </c>
      <c r="O54" s="83" t="s">
        <v>27</v>
      </c>
      <c r="P54" s="77" t="s">
        <v>28</v>
      </c>
      <c r="Q54" s="12" t="s">
        <v>78</v>
      </c>
    </row>
    <row r="55">
      <c r="B55" s="219">
        <v>45933.0</v>
      </c>
      <c r="C55" s="12" t="s">
        <v>152</v>
      </c>
      <c r="D55" s="12" t="s">
        <v>148</v>
      </c>
      <c r="E55" s="12">
        <v>890030.0</v>
      </c>
      <c r="F55" s="13">
        <f t="shared" si="11"/>
        <v>729</v>
      </c>
      <c r="G55" s="12">
        <v>351.0</v>
      </c>
      <c r="H55" s="12">
        <v>275.0</v>
      </c>
      <c r="I55" s="12">
        <v>280.0</v>
      </c>
      <c r="J55" s="13">
        <f t="shared" si="9"/>
        <v>-5</v>
      </c>
      <c r="K55" s="18">
        <f t="shared" si="10"/>
        <v>38.40877915</v>
      </c>
      <c r="M55" s="84">
        <f>SUM(F53:F62)</f>
        <v>8824</v>
      </c>
      <c r="N55" s="84">
        <f>SUM(I53:I62)</f>
        <v>1998.62</v>
      </c>
      <c r="O55" s="85">
        <f>N55/M55*100</f>
        <v>22.64981868</v>
      </c>
      <c r="P55" s="79">
        <f>(M55/100)*(O55-Q55)</f>
        <v>145.58</v>
      </c>
      <c r="Q55" s="78">
        <v>21.0</v>
      </c>
    </row>
    <row r="56">
      <c r="B56" s="219">
        <v>45935.0</v>
      </c>
      <c r="C56" s="12" t="s">
        <v>152</v>
      </c>
      <c r="D56" s="12" t="s">
        <v>148</v>
      </c>
      <c r="E56" s="12">
        <v>891361.0</v>
      </c>
      <c r="F56" s="13">
        <f t="shared" si="11"/>
        <v>1331</v>
      </c>
      <c r="G56" s="12">
        <v>374.0</v>
      </c>
      <c r="H56" s="12">
        <v>294.0</v>
      </c>
      <c r="I56" s="12">
        <v>300.0</v>
      </c>
      <c r="J56" s="13">
        <f t="shared" si="9"/>
        <v>-6</v>
      </c>
      <c r="K56" s="18">
        <f t="shared" si="10"/>
        <v>22.53944403</v>
      </c>
    </row>
    <row r="57">
      <c r="B57" s="219">
        <v>45936.0</v>
      </c>
      <c r="C57" s="12" t="s">
        <v>152</v>
      </c>
      <c r="D57" s="12" t="s">
        <v>148</v>
      </c>
      <c r="E57" s="12">
        <v>892427.0</v>
      </c>
      <c r="F57" s="13">
        <f t="shared" si="11"/>
        <v>1066</v>
      </c>
      <c r="G57" s="12">
        <v>242.0</v>
      </c>
      <c r="H57" s="12">
        <v>98.0</v>
      </c>
      <c r="I57" s="12">
        <v>100.0</v>
      </c>
      <c r="J57" s="13">
        <f t="shared" si="9"/>
        <v>-2</v>
      </c>
      <c r="K57" s="18">
        <f t="shared" si="10"/>
        <v>9.380863039</v>
      </c>
    </row>
    <row r="58">
      <c r="B58" s="219">
        <v>45938.0</v>
      </c>
      <c r="C58" s="12" t="s">
        <v>152</v>
      </c>
      <c r="D58" s="12" t="s">
        <v>148</v>
      </c>
      <c r="E58" s="12">
        <v>893272.0</v>
      </c>
      <c r="F58" s="13">
        <f t="shared" si="11"/>
        <v>845</v>
      </c>
      <c r="G58" s="12">
        <v>390.0</v>
      </c>
      <c r="H58" s="12">
        <v>316.0</v>
      </c>
      <c r="I58" s="12">
        <v>317.64</v>
      </c>
      <c r="J58" s="13">
        <f t="shared" si="9"/>
        <v>-1.64</v>
      </c>
      <c r="K58" s="18">
        <f t="shared" si="10"/>
        <v>37.59053254</v>
      </c>
    </row>
    <row r="59">
      <c r="B59" s="219">
        <v>45940.0</v>
      </c>
      <c r="C59" s="12" t="s">
        <v>152</v>
      </c>
      <c r="D59" s="12" t="s">
        <v>148</v>
      </c>
      <c r="E59" s="12">
        <v>894752.0</v>
      </c>
      <c r="F59" s="13">
        <f t="shared" si="11"/>
        <v>1480</v>
      </c>
      <c r="G59" s="12">
        <v>392.0</v>
      </c>
      <c r="H59" s="12">
        <v>305.0</v>
      </c>
      <c r="I59" s="12">
        <v>309.01</v>
      </c>
      <c r="J59" s="13">
        <f t="shared" si="9"/>
        <v>-4.01</v>
      </c>
      <c r="K59" s="18">
        <f t="shared" si="10"/>
        <v>20.87905405</v>
      </c>
    </row>
    <row r="60">
      <c r="B60" s="219">
        <v>45942.0</v>
      </c>
      <c r="C60" s="12" t="s">
        <v>152</v>
      </c>
      <c r="D60" s="12" t="s">
        <v>148</v>
      </c>
      <c r="E60" s="12">
        <v>896067.0</v>
      </c>
      <c r="F60" s="13">
        <f t="shared" si="11"/>
        <v>1315</v>
      </c>
      <c r="G60" s="12">
        <v>228.0</v>
      </c>
      <c r="H60" s="12">
        <v>99.0</v>
      </c>
      <c r="I60" s="12">
        <v>100.0</v>
      </c>
      <c r="J60" s="13">
        <f t="shared" si="9"/>
        <v>-1</v>
      </c>
      <c r="K60" s="18">
        <f t="shared" si="10"/>
        <v>7.604562738</v>
      </c>
    </row>
    <row r="61">
      <c r="B61" s="219">
        <v>45942.0</v>
      </c>
      <c r="C61" s="12" t="s">
        <v>152</v>
      </c>
      <c r="D61" s="12" t="s">
        <v>148</v>
      </c>
      <c r="E61" s="12">
        <v>896479.0</v>
      </c>
      <c r="F61" s="13">
        <f t="shared" si="11"/>
        <v>412</v>
      </c>
      <c r="G61" s="12">
        <v>392.0</v>
      </c>
      <c r="H61" s="12">
        <v>247.0</v>
      </c>
      <c r="I61" s="12">
        <v>251.47</v>
      </c>
      <c r="J61" s="13">
        <f t="shared" si="9"/>
        <v>-4.47</v>
      </c>
      <c r="K61" s="18">
        <f t="shared" si="10"/>
        <v>61.03640777</v>
      </c>
    </row>
    <row r="62">
      <c r="B62" s="13"/>
      <c r="C62" s="13"/>
      <c r="D62" s="13"/>
      <c r="E62" s="13"/>
      <c r="F62" s="13"/>
      <c r="G62" s="13"/>
      <c r="H62" s="13"/>
      <c r="I62" s="13"/>
      <c r="J62" s="13"/>
      <c r="K62" s="13"/>
    </row>
    <row r="63">
      <c r="B63" s="13"/>
      <c r="C63" s="13"/>
      <c r="D63" s="13"/>
      <c r="E63" s="13"/>
      <c r="F63" s="13"/>
      <c r="G63" s="13"/>
      <c r="H63" s="13"/>
      <c r="I63" s="13"/>
      <c r="J63" s="13"/>
      <c r="K63" s="13"/>
    </row>
    <row r="64">
      <c r="B64" s="13"/>
      <c r="C64" s="13"/>
      <c r="D64" s="13"/>
      <c r="E64" s="13"/>
      <c r="F64" s="13"/>
      <c r="G64" s="13"/>
      <c r="H64" s="13"/>
      <c r="I64" s="13"/>
      <c r="J64" s="13"/>
      <c r="K64" s="13"/>
    </row>
    <row r="65">
      <c r="B65" s="13"/>
      <c r="C65" s="13"/>
      <c r="D65" s="13"/>
      <c r="E65" s="13"/>
      <c r="F65" s="13"/>
      <c r="G65" s="13"/>
      <c r="H65" s="13"/>
      <c r="I65" s="13"/>
      <c r="J65" s="13"/>
      <c r="K65" s="13"/>
    </row>
    <row r="66">
      <c r="B66" s="13"/>
      <c r="C66" s="13"/>
      <c r="D66" s="13"/>
      <c r="E66" s="13"/>
      <c r="F66" s="13"/>
      <c r="G66" s="13"/>
      <c r="H66" s="13"/>
      <c r="I66" s="13"/>
      <c r="J66" s="13"/>
      <c r="K66" s="13"/>
    </row>
    <row r="67">
      <c r="B67" s="13"/>
      <c r="C67" s="13"/>
      <c r="D67" s="13"/>
      <c r="E67" s="13"/>
      <c r="F67" s="13"/>
      <c r="G67" s="13"/>
      <c r="H67" s="13"/>
      <c r="I67" s="13"/>
      <c r="J67" s="13"/>
      <c r="K67" s="13"/>
    </row>
    <row r="68">
      <c r="B68" s="13"/>
      <c r="C68" s="13"/>
      <c r="D68" s="13"/>
      <c r="E68" s="13"/>
      <c r="F68" s="13"/>
      <c r="G68" s="13"/>
      <c r="H68" s="13"/>
      <c r="I68" s="13"/>
      <c r="J68" s="13"/>
      <c r="K68" s="13"/>
    </row>
    <row r="69">
      <c r="B69" s="13"/>
      <c r="C69" s="13"/>
      <c r="D69" s="13"/>
      <c r="E69" s="13"/>
      <c r="F69" s="13"/>
      <c r="G69" s="13"/>
      <c r="H69" s="13"/>
      <c r="I69" s="13"/>
      <c r="J69" s="13"/>
      <c r="K69" s="13"/>
    </row>
    <row r="70">
      <c r="B70" s="13"/>
      <c r="C70" s="13"/>
      <c r="D70" s="13"/>
      <c r="E70" s="13"/>
      <c r="F70" s="13"/>
      <c r="G70" s="13"/>
      <c r="H70" s="13"/>
      <c r="I70" s="13"/>
      <c r="J70" s="13"/>
      <c r="K70" s="13"/>
    </row>
    <row r="71">
      <c r="B71" s="13"/>
      <c r="C71" s="13"/>
      <c r="D71" s="13"/>
      <c r="E71" s="13"/>
      <c r="F71" s="13"/>
      <c r="G71" s="13"/>
      <c r="H71" s="13"/>
      <c r="I71" s="13"/>
      <c r="J71" s="13"/>
      <c r="K71" s="13"/>
    </row>
    <row r="72">
      <c r="B72" s="13"/>
      <c r="C72" s="13"/>
      <c r="D72" s="13"/>
      <c r="E72" s="13"/>
      <c r="F72" s="13"/>
      <c r="G72" s="13"/>
      <c r="H72" s="13"/>
      <c r="I72" s="13"/>
      <c r="J72" s="13"/>
      <c r="K72" s="13"/>
    </row>
    <row r="73">
      <c r="B73" s="13"/>
      <c r="C73" s="13"/>
      <c r="D73" s="13"/>
      <c r="E73" s="13"/>
      <c r="F73" s="13"/>
      <c r="G73" s="13"/>
      <c r="H73" s="13"/>
      <c r="I73" s="13"/>
      <c r="J73" s="13"/>
      <c r="K73" s="13"/>
    </row>
    <row r="74">
      <c r="B74" s="13"/>
      <c r="C74" s="13"/>
      <c r="D74" s="13"/>
      <c r="E74" s="13"/>
      <c r="F74" s="13"/>
      <c r="G74" s="13"/>
      <c r="H74" s="13"/>
      <c r="I74" s="13"/>
      <c r="J74" s="13"/>
      <c r="K74" s="13"/>
    </row>
    <row r="75">
      <c r="B75" s="13"/>
      <c r="C75" s="13"/>
      <c r="D75" s="13"/>
      <c r="E75" s="13"/>
      <c r="F75" s="13"/>
      <c r="G75" s="13"/>
      <c r="H75" s="13"/>
      <c r="I75" s="13"/>
      <c r="J75" s="13"/>
      <c r="K75" s="13"/>
    </row>
    <row r="76">
      <c r="B76" s="13"/>
      <c r="C76" s="13"/>
      <c r="D76" s="13"/>
      <c r="E76" s="13"/>
      <c r="F76" s="13"/>
      <c r="G76" s="13"/>
      <c r="H76" s="13"/>
      <c r="I76" s="13"/>
      <c r="J76" s="13"/>
      <c r="K76" s="13"/>
    </row>
    <row r="77">
      <c r="B77" s="13"/>
      <c r="C77" s="13"/>
      <c r="D77" s="13"/>
      <c r="E77" s="13"/>
      <c r="F77" s="13"/>
      <c r="G77" s="13"/>
      <c r="H77" s="13"/>
      <c r="I77" s="13"/>
      <c r="J77" s="13"/>
      <c r="K77" s="13"/>
    </row>
    <row r="78">
      <c r="B78" s="13"/>
      <c r="C78" s="13"/>
      <c r="D78" s="13"/>
      <c r="E78" s="13"/>
      <c r="F78" s="13"/>
      <c r="G78" s="13"/>
      <c r="H78" s="13"/>
      <c r="I78" s="13"/>
      <c r="J78" s="13"/>
      <c r="K78" s="13"/>
    </row>
    <row r="79">
      <c r="B79" s="13"/>
      <c r="C79" s="13"/>
      <c r="D79" s="13"/>
      <c r="E79" s="13"/>
      <c r="F79" s="13"/>
      <c r="G79" s="13"/>
      <c r="H79" s="13"/>
      <c r="I79" s="13"/>
      <c r="J79" s="13"/>
      <c r="K79" s="13"/>
    </row>
    <row r="80">
      <c r="B80" s="13"/>
      <c r="C80" s="13"/>
      <c r="D80" s="13"/>
      <c r="E80" s="13"/>
      <c r="F80" s="13"/>
      <c r="G80" s="13"/>
      <c r="H80" s="13"/>
      <c r="I80" s="13"/>
      <c r="J80" s="13"/>
      <c r="K80" s="13"/>
    </row>
    <row r="81">
      <c r="B81" s="13"/>
      <c r="C81" s="13"/>
      <c r="D81" s="13"/>
      <c r="E81" s="13"/>
      <c r="F81" s="13"/>
      <c r="G81" s="13"/>
      <c r="H81" s="13"/>
      <c r="I81" s="13"/>
      <c r="J81" s="13"/>
      <c r="K81" s="13"/>
    </row>
    <row r="82">
      <c r="B82" s="13"/>
      <c r="C82" s="13"/>
      <c r="D82" s="13"/>
      <c r="E82" s="13"/>
      <c r="F82" s="13"/>
      <c r="G82" s="13"/>
      <c r="H82" s="13"/>
      <c r="I82" s="13"/>
      <c r="J82" s="13"/>
      <c r="K82" s="13"/>
    </row>
    <row r="83">
      <c r="B83" s="13"/>
      <c r="C83" s="13"/>
      <c r="D83" s="13"/>
      <c r="E83" s="13"/>
      <c r="F83" s="13"/>
      <c r="G83" s="13"/>
      <c r="H83" s="13"/>
      <c r="I83" s="13"/>
      <c r="J83" s="13"/>
      <c r="K83" s="13"/>
    </row>
    <row r="84">
      <c r="B84" s="13"/>
      <c r="C84" s="13"/>
      <c r="D84" s="13"/>
      <c r="E84" s="13"/>
      <c r="F84" s="13"/>
      <c r="G84" s="13"/>
      <c r="H84" s="13"/>
      <c r="I84" s="13"/>
      <c r="J84" s="13"/>
      <c r="K84" s="13"/>
    </row>
    <row r="85">
      <c r="B85" s="13"/>
      <c r="C85" s="13"/>
      <c r="D85" s="13"/>
      <c r="E85" s="13"/>
      <c r="F85" s="13"/>
      <c r="G85" s="13"/>
      <c r="H85" s="13"/>
      <c r="I85" s="13"/>
      <c r="J85" s="13"/>
      <c r="K85" s="13"/>
    </row>
    <row r="86">
      <c r="B86" s="13"/>
      <c r="C86" s="13"/>
      <c r="D86" s="13"/>
      <c r="E86" s="13"/>
      <c r="F86" s="13"/>
      <c r="G86" s="13"/>
      <c r="H86" s="13"/>
      <c r="I86" s="13"/>
      <c r="J86" s="13"/>
      <c r="K86" s="13"/>
    </row>
    <row r="87">
      <c r="B87" s="13"/>
      <c r="C87" s="13"/>
      <c r="D87" s="13"/>
      <c r="E87" s="13"/>
      <c r="F87" s="13"/>
      <c r="G87" s="13"/>
      <c r="H87" s="13"/>
      <c r="I87" s="13"/>
      <c r="J87" s="13"/>
      <c r="K87" s="13"/>
    </row>
    <row r="88">
      <c r="B88" s="13"/>
      <c r="C88" s="13"/>
      <c r="D88" s="13"/>
      <c r="E88" s="13"/>
      <c r="F88" s="13"/>
      <c r="G88" s="13"/>
      <c r="H88" s="13"/>
      <c r="I88" s="13"/>
      <c r="J88" s="13"/>
      <c r="K88" s="13"/>
    </row>
    <row r="89">
      <c r="B89" s="13"/>
      <c r="C89" s="13"/>
      <c r="D89" s="13"/>
      <c r="E89" s="13"/>
      <c r="F89" s="13"/>
      <c r="G89" s="13"/>
      <c r="H89" s="13"/>
      <c r="I89" s="13"/>
      <c r="J89" s="13"/>
      <c r="K89" s="13"/>
    </row>
    <row r="90">
      <c r="B90" s="13"/>
      <c r="C90" s="13"/>
      <c r="D90" s="13"/>
      <c r="E90" s="13"/>
      <c r="F90" s="13"/>
      <c r="G90" s="13"/>
      <c r="H90" s="13"/>
      <c r="I90" s="13"/>
      <c r="J90" s="13"/>
      <c r="K90" s="13"/>
    </row>
    <row r="91">
      <c r="B91" s="13"/>
      <c r="C91" s="13"/>
      <c r="D91" s="13"/>
      <c r="E91" s="13"/>
      <c r="F91" s="13"/>
      <c r="G91" s="13"/>
      <c r="H91" s="13"/>
      <c r="I91" s="13"/>
      <c r="J91" s="13"/>
      <c r="K91" s="13"/>
    </row>
    <row r="92">
      <c r="B92" s="13"/>
      <c r="C92" s="13"/>
      <c r="D92" s="13"/>
      <c r="E92" s="13"/>
      <c r="F92" s="13"/>
      <c r="G92" s="13"/>
      <c r="H92" s="13"/>
      <c r="I92" s="13"/>
      <c r="J92" s="13"/>
      <c r="K92" s="13"/>
    </row>
    <row r="93">
      <c r="B93" s="13"/>
      <c r="C93" s="13"/>
      <c r="D93" s="13"/>
      <c r="E93" s="13"/>
      <c r="F93" s="13"/>
      <c r="G93" s="13"/>
      <c r="H93" s="13"/>
      <c r="I93" s="13"/>
      <c r="J93" s="13"/>
      <c r="K93" s="13"/>
    </row>
    <row r="94">
      <c r="B94" s="13"/>
      <c r="C94" s="13"/>
      <c r="D94" s="13"/>
      <c r="E94" s="13"/>
      <c r="F94" s="13"/>
      <c r="G94" s="13"/>
      <c r="H94" s="13"/>
      <c r="I94" s="13"/>
      <c r="J94" s="13"/>
      <c r="K94" s="13"/>
    </row>
    <row r="95">
      <c r="B95" s="13"/>
      <c r="C95" s="13"/>
      <c r="D95" s="13"/>
      <c r="E95" s="13"/>
      <c r="F95" s="13"/>
      <c r="G95" s="13"/>
      <c r="H95" s="13"/>
      <c r="I95" s="13"/>
      <c r="J95" s="13"/>
      <c r="K95" s="13"/>
    </row>
    <row r="96">
      <c r="B96" s="13"/>
      <c r="C96" s="13"/>
      <c r="D96" s="13"/>
      <c r="E96" s="13"/>
      <c r="F96" s="13"/>
      <c r="G96" s="13"/>
      <c r="H96" s="13"/>
      <c r="I96" s="13"/>
      <c r="J96" s="13"/>
      <c r="K96" s="13"/>
    </row>
    <row r="97">
      <c r="B97" s="13"/>
      <c r="C97" s="13"/>
      <c r="D97" s="13"/>
      <c r="E97" s="13"/>
      <c r="F97" s="13"/>
      <c r="G97" s="13"/>
      <c r="H97" s="13"/>
      <c r="I97" s="13"/>
      <c r="J97" s="13"/>
      <c r="K97" s="13"/>
    </row>
    <row r="98">
      <c r="B98" s="13"/>
      <c r="C98" s="13"/>
      <c r="D98" s="13"/>
      <c r="E98" s="13"/>
      <c r="F98" s="13"/>
      <c r="G98" s="13"/>
      <c r="H98" s="13"/>
      <c r="I98" s="13"/>
      <c r="J98" s="13"/>
      <c r="K98" s="13"/>
    </row>
    <row r="99">
      <c r="B99" s="13"/>
      <c r="C99" s="13"/>
      <c r="D99" s="13"/>
      <c r="E99" s="13"/>
      <c r="F99" s="13"/>
      <c r="G99" s="13"/>
      <c r="H99" s="13"/>
      <c r="I99" s="13"/>
      <c r="J99" s="13"/>
      <c r="K99" s="13"/>
    </row>
    <row r="100">
      <c r="B100" s="13"/>
      <c r="C100" s="13"/>
      <c r="D100" s="13"/>
      <c r="E100" s="13"/>
      <c r="F100" s="13"/>
      <c r="G100" s="13"/>
      <c r="H100" s="13"/>
      <c r="I100" s="13"/>
      <c r="J100" s="13"/>
      <c r="K100" s="13"/>
    </row>
    <row r="101">
      <c r="B101" s="13"/>
      <c r="C101" s="13"/>
      <c r="D101" s="13"/>
      <c r="E101" s="13"/>
      <c r="F101" s="13"/>
      <c r="G101" s="13"/>
      <c r="H101" s="13"/>
      <c r="I101" s="13"/>
      <c r="J101" s="13"/>
      <c r="K101" s="13"/>
    </row>
    <row r="102">
      <c r="B102" s="13"/>
      <c r="C102" s="13"/>
      <c r="D102" s="13"/>
      <c r="E102" s="13"/>
      <c r="F102" s="13"/>
      <c r="G102" s="13"/>
      <c r="H102" s="13"/>
      <c r="I102" s="13"/>
      <c r="J102" s="13"/>
      <c r="K102" s="13"/>
    </row>
    <row r="103">
      <c r="B103" s="13"/>
      <c r="C103" s="13"/>
      <c r="D103" s="13"/>
      <c r="E103" s="13"/>
      <c r="F103" s="13"/>
      <c r="G103" s="13"/>
      <c r="H103" s="13"/>
      <c r="I103" s="13"/>
      <c r="J103" s="13"/>
      <c r="K103" s="13"/>
    </row>
    <row r="104">
      <c r="B104" s="13"/>
      <c r="C104" s="13"/>
      <c r="D104" s="13"/>
      <c r="E104" s="13"/>
      <c r="F104" s="13"/>
      <c r="G104" s="13"/>
      <c r="H104" s="13"/>
      <c r="I104" s="13"/>
      <c r="J104" s="13"/>
      <c r="K104" s="13"/>
    </row>
    <row r="105">
      <c r="B105" s="13"/>
      <c r="C105" s="13"/>
      <c r="D105" s="13"/>
      <c r="E105" s="13"/>
      <c r="F105" s="13"/>
      <c r="G105" s="13"/>
      <c r="H105" s="13"/>
      <c r="I105" s="13"/>
      <c r="J105" s="13"/>
      <c r="K105" s="13"/>
    </row>
    <row r="106">
      <c r="B106" s="13"/>
      <c r="C106" s="13"/>
      <c r="D106" s="13"/>
      <c r="E106" s="13"/>
      <c r="F106" s="13"/>
      <c r="G106" s="13"/>
      <c r="H106" s="13"/>
      <c r="I106" s="13"/>
      <c r="J106" s="13"/>
      <c r="K106" s="13"/>
    </row>
    <row r="107">
      <c r="B107" s="13"/>
      <c r="C107" s="13"/>
      <c r="D107" s="13"/>
      <c r="E107" s="13"/>
      <c r="F107" s="13"/>
      <c r="G107" s="13"/>
      <c r="H107" s="13"/>
      <c r="I107" s="13"/>
      <c r="J107" s="13"/>
      <c r="K107" s="13"/>
    </row>
    <row r="108">
      <c r="B108" s="13"/>
      <c r="C108" s="13"/>
      <c r="D108" s="13"/>
      <c r="E108" s="13"/>
      <c r="F108" s="13"/>
      <c r="G108" s="13"/>
      <c r="H108" s="13"/>
      <c r="I108" s="13"/>
      <c r="J108" s="13"/>
      <c r="K108" s="13"/>
    </row>
    <row r="109">
      <c r="B109" s="13"/>
      <c r="C109" s="13"/>
      <c r="D109" s="13"/>
      <c r="E109" s="13"/>
      <c r="F109" s="13"/>
      <c r="G109" s="13"/>
      <c r="H109" s="13"/>
      <c r="I109" s="13"/>
      <c r="J109" s="13"/>
      <c r="K109" s="13"/>
    </row>
    <row r="110">
      <c r="B110" s="13"/>
      <c r="C110" s="13"/>
      <c r="D110" s="13"/>
      <c r="E110" s="13"/>
      <c r="F110" s="13"/>
      <c r="G110" s="13"/>
      <c r="H110" s="13"/>
      <c r="I110" s="13"/>
      <c r="J110" s="13"/>
      <c r="K110" s="13"/>
    </row>
    <row r="111">
      <c r="B111" s="13"/>
      <c r="C111" s="13"/>
      <c r="D111" s="13"/>
      <c r="E111" s="13"/>
      <c r="F111" s="13"/>
      <c r="G111" s="13"/>
      <c r="H111" s="13"/>
      <c r="I111" s="13"/>
      <c r="J111" s="13"/>
      <c r="K111" s="13"/>
    </row>
    <row r="112">
      <c r="B112" s="13"/>
      <c r="C112" s="13"/>
      <c r="D112" s="13"/>
      <c r="E112" s="13"/>
      <c r="F112" s="13"/>
      <c r="G112" s="13"/>
      <c r="H112" s="13"/>
      <c r="I112" s="13"/>
      <c r="J112" s="13"/>
      <c r="K112" s="13"/>
    </row>
    <row r="113">
      <c r="B113" s="13"/>
      <c r="C113" s="13"/>
      <c r="D113" s="13"/>
      <c r="E113" s="13"/>
      <c r="F113" s="13"/>
      <c r="G113" s="13"/>
      <c r="H113" s="13"/>
      <c r="I113" s="13"/>
      <c r="J113" s="13"/>
      <c r="K113" s="13"/>
    </row>
    <row r="114">
      <c r="B114" s="13"/>
      <c r="C114" s="13"/>
      <c r="D114" s="13"/>
      <c r="E114" s="13"/>
      <c r="F114" s="13"/>
      <c r="G114" s="13"/>
      <c r="H114" s="13"/>
      <c r="I114" s="13"/>
      <c r="J114" s="13"/>
      <c r="K114" s="13"/>
    </row>
    <row r="115">
      <c r="B115" s="13"/>
      <c r="C115" s="13"/>
      <c r="D115" s="13"/>
      <c r="E115" s="13"/>
      <c r="F115" s="13"/>
      <c r="G115" s="13"/>
      <c r="H115" s="13"/>
      <c r="I115" s="13"/>
      <c r="J115" s="13"/>
      <c r="K115" s="13"/>
    </row>
    <row r="116">
      <c r="B116" s="13"/>
      <c r="C116" s="13"/>
      <c r="D116" s="13"/>
      <c r="E116" s="13"/>
      <c r="F116" s="13"/>
      <c r="G116" s="13"/>
      <c r="H116" s="13"/>
      <c r="I116" s="13"/>
      <c r="J116" s="13"/>
      <c r="K116" s="13"/>
    </row>
    <row r="117">
      <c r="B117" s="13"/>
      <c r="C117" s="13"/>
      <c r="D117" s="13"/>
      <c r="E117" s="13"/>
      <c r="F117" s="13"/>
      <c r="G117" s="13"/>
      <c r="H117" s="13"/>
      <c r="I117" s="13"/>
      <c r="J117" s="13"/>
      <c r="K117" s="13"/>
    </row>
    <row r="118">
      <c r="B118" s="13"/>
      <c r="C118" s="13"/>
      <c r="D118" s="13"/>
      <c r="E118" s="13"/>
      <c r="F118" s="13"/>
      <c r="G118" s="13"/>
      <c r="H118" s="13"/>
      <c r="I118" s="13"/>
      <c r="J118" s="13"/>
      <c r="K118" s="13"/>
    </row>
    <row r="119">
      <c r="B119" s="13"/>
      <c r="C119" s="13"/>
      <c r="D119" s="13"/>
      <c r="E119" s="13"/>
      <c r="F119" s="13"/>
      <c r="G119" s="13"/>
      <c r="H119" s="13"/>
      <c r="I119" s="13"/>
      <c r="J119" s="13"/>
      <c r="K119" s="13"/>
    </row>
    <row r="120">
      <c r="B120" s="13"/>
      <c r="C120" s="13"/>
      <c r="D120" s="13"/>
      <c r="E120" s="13"/>
      <c r="F120" s="13"/>
      <c r="G120" s="13"/>
      <c r="H120" s="13"/>
      <c r="I120" s="13"/>
      <c r="J120" s="13"/>
      <c r="K120" s="13"/>
    </row>
    <row r="121">
      <c r="B121" s="13"/>
      <c r="C121" s="13"/>
      <c r="D121" s="13"/>
      <c r="E121" s="13"/>
      <c r="F121" s="13"/>
      <c r="G121" s="13"/>
      <c r="H121" s="13"/>
      <c r="I121" s="13"/>
      <c r="J121" s="13"/>
      <c r="K121" s="13"/>
    </row>
    <row r="122">
      <c r="B122" s="13"/>
      <c r="C122" s="13"/>
      <c r="D122" s="13"/>
      <c r="E122" s="13"/>
      <c r="F122" s="13"/>
      <c r="G122" s="13"/>
      <c r="H122" s="13"/>
      <c r="I122" s="13"/>
      <c r="J122" s="13"/>
      <c r="K122" s="13"/>
    </row>
    <row r="123">
      <c r="B123" s="13"/>
      <c r="C123" s="13"/>
      <c r="D123" s="13"/>
      <c r="E123" s="13"/>
      <c r="F123" s="13"/>
      <c r="G123" s="13"/>
      <c r="H123" s="13"/>
      <c r="I123" s="13"/>
      <c r="J123" s="13"/>
      <c r="K123" s="13"/>
    </row>
    <row r="124">
      <c r="B124" s="13"/>
      <c r="C124" s="13"/>
      <c r="D124" s="13"/>
      <c r="E124" s="13"/>
      <c r="F124" s="13"/>
      <c r="G124" s="13"/>
      <c r="H124" s="13"/>
      <c r="I124" s="13"/>
      <c r="J124" s="13"/>
      <c r="K124" s="13"/>
    </row>
    <row r="125">
      <c r="B125" s="13"/>
      <c r="C125" s="13"/>
      <c r="D125" s="13"/>
      <c r="E125" s="13"/>
      <c r="F125" s="13"/>
      <c r="G125" s="13"/>
      <c r="H125" s="13"/>
      <c r="I125" s="13"/>
      <c r="J125" s="13"/>
      <c r="K125" s="13"/>
    </row>
    <row r="126">
      <c r="B126" s="13"/>
      <c r="C126" s="13"/>
      <c r="D126" s="13"/>
      <c r="E126" s="13"/>
      <c r="F126" s="13"/>
      <c r="G126" s="13"/>
      <c r="H126" s="13"/>
      <c r="I126" s="13"/>
      <c r="J126" s="13"/>
      <c r="K126" s="13"/>
    </row>
    <row r="127">
      <c r="B127" s="13"/>
      <c r="C127" s="13"/>
      <c r="D127" s="13"/>
      <c r="E127" s="13"/>
      <c r="F127" s="13"/>
      <c r="G127" s="13"/>
      <c r="H127" s="13"/>
      <c r="I127" s="13"/>
      <c r="J127" s="13"/>
      <c r="K127" s="13"/>
    </row>
    <row r="128">
      <c r="B128" s="13"/>
      <c r="C128" s="13"/>
      <c r="D128" s="13"/>
      <c r="E128" s="13"/>
      <c r="F128" s="13"/>
      <c r="G128" s="13"/>
      <c r="H128" s="13"/>
      <c r="I128" s="13"/>
      <c r="J128" s="13"/>
      <c r="K128" s="13"/>
    </row>
    <row r="129">
      <c r="B129" s="13"/>
      <c r="C129" s="13"/>
      <c r="D129" s="13"/>
      <c r="E129" s="13"/>
      <c r="F129" s="13"/>
      <c r="G129" s="13"/>
      <c r="H129" s="13"/>
      <c r="I129" s="13"/>
      <c r="J129" s="13"/>
      <c r="K129" s="13"/>
    </row>
    <row r="130">
      <c r="B130" s="13"/>
      <c r="C130" s="13"/>
      <c r="D130" s="13"/>
      <c r="E130" s="13"/>
      <c r="F130" s="13"/>
      <c r="G130" s="13"/>
      <c r="H130" s="13"/>
      <c r="I130" s="13"/>
      <c r="J130" s="13"/>
      <c r="K130" s="13"/>
    </row>
    <row r="131">
      <c r="B131" s="13"/>
      <c r="C131" s="13"/>
      <c r="D131" s="13"/>
      <c r="E131" s="13"/>
      <c r="F131" s="13"/>
      <c r="G131" s="13"/>
      <c r="H131" s="13"/>
      <c r="I131" s="13"/>
      <c r="J131" s="13"/>
      <c r="K131" s="13"/>
    </row>
    <row r="132">
      <c r="B132" s="13"/>
      <c r="C132" s="13"/>
      <c r="D132" s="13"/>
      <c r="E132" s="13"/>
      <c r="F132" s="13"/>
      <c r="G132" s="13"/>
      <c r="H132" s="13"/>
      <c r="I132" s="13"/>
      <c r="J132" s="13"/>
      <c r="K132" s="13"/>
    </row>
    <row r="133">
      <c r="B133" s="13"/>
      <c r="C133" s="13"/>
      <c r="D133" s="13"/>
      <c r="E133" s="13"/>
      <c r="F133" s="13"/>
      <c r="G133" s="13"/>
      <c r="H133" s="13"/>
      <c r="I133" s="13"/>
      <c r="J133" s="13"/>
      <c r="K133" s="13"/>
    </row>
    <row r="134">
      <c r="B134" s="13"/>
      <c r="C134" s="13"/>
      <c r="D134" s="13"/>
      <c r="E134" s="13"/>
      <c r="F134" s="13"/>
      <c r="G134" s="13"/>
      <c r="H134" s="13"/>
      <c r="I134" s="13"/>
      <c r="J134" s="13"/>
      <c r="K134" s="13"/>
    </row>
    <row r="135">
      <c r="B135" s="13"/>
      <c r="C135" s="13"/>
      <c r="D135" s="13"/>
      <c r="E135" s="13"/>
      <c r="F135" s="13"/>
      <c r="G135" s="13"/>
      <c r="H135" s="13"/>
      <c r="I135" s="13"/>
      <c r="J135" s="13"/>
      <c r="K135" s="13"/>
    </row>
    <row r="136">
      <c r="B136" s="13"/>
      <c r="C136" s="13"/>
      <c r="D136" s="13"/>
      <c r="E136" s="13"/>
      <c r="F136" s="13"/>
      <c r="G136" s="13"/>
      <c r="H136" s="13"/>
      <c r="I136" s="13"/>
      <c r="J136" s="13"/>
      <c r="K136" s="13"/>
    </row>
    <row r="137">
      <c r="B137" s="13"/>
      <c r="C137" s="13"/>
      <c r="D137" s="13"/>
      <c r="E137" s="13"/>
      <c r="F137" s="13"/>
      <c r="G137" s="13"/>
      <c r="H137" s="13"/>
      <c r="I137" s="13"/>
      <c r="J137" s="13"/>
      <c r="K137" s="13"/>
    </row>
    <row r="138">
      <c r="B138" s="13"/>
      <c r="C138" s="13"/>
      <c r="D138" s="13"/>
      <c r="E138" s="13"/>
      <c r="F138" s="13"/>
      <c r="G138" s="13"/>
      <c r="H138" s="13"/>
      <c r="I138" s="13"/>
      <c r="J138" s="13"/>
      <c r="K138" s="13"/>
    </row>
    <row r="139">
      <c r="B139" s="13"/>
      <c r="C139" s="13"/>
      <c r="D139" s="13"/>
      <c r="E139" s="13"/>
      <c r="F139" s="13"/>
      <c r="G139" s="13"/>
      <c r="H139" s="13"/>
      <c r="I139" s="13"/>
      <c r="J139" s="13"/>
      <c r="K139" s="13"/>
    </row>
    <row r="140">
      <c r="B140" s="13"/>
      <c r="C140" s="13"/>
      <c r="D140" s="13"/>
      <c r="E140" s="13"/>
      <c r="F140" s="13"/>
      <c r="G140" s="13"/>
      <c r="H140" s="13"/>
      <c r="I140" s="13"/>
      <c r="J140" s="13"/>
      <c r="K140" s="13"/>
    </row>
    <row r="141">
      <c r="B141" s="13"/>
      <c r="C141" s="13"/>
      <c r="D141" s="13"/>
      <c r="E141" s="13"/>
      <c r="F141" s="13"/>
      <c r="G141" s="13"/>
      <c r="H141" s="13"/>
      <c r="I141" s="13"/>
      <c r="J141" s="13"/>
      <c r="K141" s="13"/>
    </row>
    <row r="142">
      <c r="B142" s="13"/>
      <c r="C142" s="13"/>
      <c r="D142" s="13"/>
      <c r="E142" s="13"/>
      <c r="F142" s="13"/>
      <c r="G142" s="13"/>
      <c r="H142" s="13"/>
      <c r="I142" s="13"/>
      <c r="J142" s="13"/>
      <c r="K142" s="13"/>
    </row>
    <row r="143">
      <c r="B143" s="13"/>
      <c r="C143" s="13"/>
      <c r="D143" s="13"/>
      <c r="E143" s="13"/>
      <c r="F143" s="13"/>
      <c r="G143" s="13"/>
      <c r="H143" s="13"/>
      <c r="I143" s="13"/>
      <c r="J143" s="13"/>
      <c r="K143" s="13"/>
    </row>
    <row r="144">
      <c r="B144" s="13"/>
      <c r="C144" s="13"/>
      <c r="D144" s="13"/>
      <c r="E144" s="13"/>
      <c r="F144" s="13"/>
      <c r="G144" s="13"/>
      <c r="H144" s="13"/>
      <c r="I144" s="13"/>
      <c r="J144" s="13"/>
      <c r="K144" s="13"/>
    </row>
  </sheetData>
  <mergeCells count="8">
    <mergeCell ref="B3:I3"/>
    <mergeCell ref="M4:Q4"/>
    <mergeCell ref="B13:I13"/>
    <mergeCell ref="M14:Q14"/>
    <mergeCell ref="B41:I41"/>
    <mergeCell ref="M42:Q42"/>
    <mergeCell ref="B52:I52"/>
    <mergeCell ref="M53:Q53"/>
  </mergeCells>
  <conditionalFormatting sqref="J2">
    <cfRule type="expression" dxfId="0" priority="1">
      <formula>ABS(J2:J997)&gt;5</formula>
    </cfRule>
  </conditionalFormatting>
  <conditionalFormatting sqref="J2">
    <cfRule type="expression" dxfId="0" priority="2">
      <formula>ABS(J:J)&gt;10.3</formula>
    </cfRule>
  </conditionalFormatting>
  <conditionalFormatting sqref="J1:J3 J13 J41 J52">
    <cfRule type="expression" dxfId="0" priority="3">
      <formula>ABS(J:J)&gt;7</formula>
    </cfRule>
  </conditionalFormatting>
  <conditionalFormatting sqref="K1:K1000">
    <cfRule type="cellIs" dxfId="3" priority="4" operator="greaterThan">
      <formula>20</formula>
    </cfRule>
  </conditionalFormatting>
  <conditionalFormatting sqref="K1:K1000">
    <cfRule type="cellIs" dxfId="0" priority="5" operator="greaterThan">
      <formula>19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44"/>
      <c r="P1" s="44"/>
    </row>
    <row r="2">
      <c r="A2" s="216" t="s">
        <v>153</v>
      </c>
      <c r="B2" s="54"/>
      <c r="C2" s="54"/>
      <c r="D2" s="54" t="str">
        <f>D4</f>
        <v/>
      </c>
      <c r="E2" s="60">
        <v>854777.0</v>
      </c>
      <c r="F2" s="54">
        <f>SUM(F4:F1000)</f>
        <v>47945</v>
      </c>
      <c r="G2" s="54">
        <f>MAX(G3:G1000)</f>
        <v>0</v>
      </c>
      <c r="H2" s="54">
        <f t="shared" ref="H2:I2" si="1">SUM(H4:H1000)</f>
        <v>0</v>
      </c>
      <c r="I2" s="54">
        <f t="shared" si="1"/>
        <v>10153.5</v>
      </c>
      <c r="J2" s="54">
        <f>H2-I2</f>
        <v>-10153.5</v>
      </c>
      <c r="K2" s="63">
        <f>I2/F2*100</f>
        <v>21.17739076</v>
      </c>
      <c r="L2" s="64" t="s">
        <v>65</v>
      </c>
      <c r="M2" s="65"/>
      <c r="P2" s="44"/>
    </row>
    <row r="3">
      <c r="A3" s="87" t="s">
        <v>77</v>
      </c>
      <c r="B3" s="88" t="str">
        <f>IF(L3=4,"АПРЕЛЬ",IF(L3=5,"МАЙ",IF(L3=1,"ЯНВАРЬ",IF(L3=2,"ФЕВРАЛЬ",IF(L3=3,"МАРТ",IF(L3=6,"ИЮНЬ",IF(L3=7,"ИЮЛЬ",IF(L3=8,"АВГУСТ",IF(L3=9,"СЕНТЯБРЬ",IF(L3=10,"ОКТЯБРЬ",IF(L3=11,"НОЯБРЬ",IF(L3=12,"ДЕКАБРЬ"))))))))))))</f>
        <v>ИЮЛЬ</v>
      </c>
      <c r="J3" s="89"/>
      <c r="K3" s="90"/>
      <c r="L3" s="91">
        <f>MONTH(B4)</f>
        <v>7</v>
      </c>
      <c r="M3" s="92"/>
      <c r="N3" s="92"/>
      <c r="O3" s="89"/>
      <c r="P3" s="93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</row>
    <row r="4">
      <c r="B4" s="218">
        <v>45855.0</v>
      </c>
      <c r="C4" s="12" t="s">
        <v>154</v>
      </c>
      <c r="D4" s="13"/>
      <c r="E4" s="12">
        <v>854795.0</v>
      </c>
      <c r="F4" s="13">
        <f>E4-854777</f>
        <v>18</v>
      </c>
      <c r="G4" s="13"/>
      <c r="H4" s="13"/>
      <c r="I4" s="12">
        <v>109.12</v>
      </c>
      <c r="J4" s="13"/>
      <c r="K4" s="18">
        <f t="shared" ref="K4:K7" si="2">I4/F4*100</f>
        <v>606.2222222</v>
      </c>
      <c r="M4" s="82" t="str">
        <f>"тотал"&amp;" "&amp;B3&amp;" "&amp;RIGHT(YEAR(B4),2)</f>
        <v>тотал ИЮЛЬ 25</v>
      </c>
      <c r="N4" s="75"/>
      <c r="O4" s="75"/>
      <c r="P4" s="75"/>
      <c r="Q4" s="76"/>
    </row>
    <row r="5">
      <c r="B5" s="218">
        <v>45857.0</v>
      </c>
      <c r="C5" s="12" t="s">
        <v>147</v>
      </c>
      <c r="D5" s="13"/>
      <c r="E5" s="12">
        <v>855253.0</v>
      </c>
      <c r="F5" s="13">
        <f t="shared" ref="F5:F7" si="3">E5-E4</f>
        <v>458</v>
      </c>
      <c r="G5" s="13"/>
      <c r="H5" s="13"/>
      <c r="I5" s="13">
        <f>200-96.65</f>
        <v>103.35</v>
      </c>
      <c r="J5" s="13"/>
      <c r="K5" s="18">
        <f t="shared" si="2"/>
        <v>22.56550218</v>
      </c>
      <c r="M5" s="83" t="s">
        <v>70</v>
      </c>
      <c r="N5" s="83" t="s">
        <v>71</v>
      </c>
      <c r="O5" s="83" t="s">
        <v>27</v>
      </c>
      <c r="P5" s="77" t="s">
        <v>28</v>
      </c>
      <c r="Q5" s="12" t="s">
        <v>78</v>
      </c>
    </row>
    <row r="6">
      <c r="B6" s="218">
        <v>45859.0</v>
      </c>
      <c r="C6" s="12" t="s">
        <v>149</v>
      </c>
      <c r="D6" s="13"/>
      <c r="E6" s="12">
        <v>855982.0</v>
      </c>
      <c r="F6" s="13">
        <f t="shared" si="3"/>
        <v>729</v>
      </c>
      <c r="G6" s="13"/>
      <c r="H6" s="13"/>
      <c r="I6" s="13">
        <f>148.23+20</f>
        <v>168.23</v>
      </c>
      <c r="J6" s="13"/>
      <c r="K6" s="18">
        <f t="shared" si="2"/>
        <v>23.07681756</v>
      </c>
      <c r="M6" s="84">
        <f>SUM(F5:F7)</f>
        <v>2117</v>
      </c>
      <c r="N6" s="84">
        <f>SUM(I5:I7)</f>
        <v>459.47</v>
      </c>
      <c r="O6" s="85">
        <f>N6/M6*100</f>
        <v>21.70382617</v>
      </c>
      <c r="P6" s="79">
        <f>(M6/100)*(O6-Q6)</f>
        <v>14.9</v>
      </c>
      <c r="Q6" s="78">
        <v>21.0</v>
      </c>
    </row>
    <row r="7">
      <c r="B7" s="218">
        <v>45861.0</v>
      </c>
      <c r="C7" s="12" t="s">
        <v>149</v>
      </c>
      <c r="D7" s="13"/>
      <c r="E7" s="222">
        <v>856912.0</v>
      </c>
      <c r="F7" s="13">
        <f t="shared" si="3"/>
        <v>930</v>
      </c>
      <c r="G7" s="13"/>
      <c r="H7" s="13"/>
      <c r="I7" s="12">
        <v>187.89</v>
      </c>
      <c r="J7" s="13"/>
      <c r="K7" s="18">
        <f t="shared" si="2"/>
        <v>20.20322581</v>
      </c>
    </row>
    <row r="8">
      <c r="A8" s="87" t="s">
        <v>77</v>
      </c>
      <c r="B8" s="88" t="str">
        <f>IF(L8=4,"АПРЕЛЬ",IF(L8=5,"МАЙ",IF(L8=1,"ЯНВАРЬ",IF(L8=2,"ФЕВРАЛЬ",IF(L8=3,"МАРТ",IF(L8=6,"ИЮНЬ",IF(L8=7,"ИЮЛЬ",IF(L8=8,"АВГУСТ",IF(L8=9,"СЕНТЯБРЬ",IF(L8=10,"ОКТЯБРЬ",IF(L8=11,"НОЯБРЬ",IF(L8=12,"ДЕКАБРЬ"))))))))))))</f>
        <v>АВГУСТ</v>
      </c>
      <c r="J8" s="89"/>
      <c r="K8" s="90"/>
      <c r="L8" s="91">
        <f>MONTH(B9)</f>
        <v>8</v>
      </c>
      <c r="M8" s="92"/>
      <c r="N8" s="92"/>
      <c r="O8" s="89"/>
      <c r="P8" s="93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</row>
    <row r="9">
      <c r="B9" s="218">
        <v>45880.0</v>
      </c>
      <c r="C9" s="12" t="s">
        <v>152</v>
      </c>
      <c r="D9" s="12" t="s">
        <v>155</v>
      </c>
      <c r="E9" s="12">
        <v>857461.0</v>
      </c>
      <c r="F9" s="13">
        <f>E9-E7</f>
        <v>549</v>
      </c>
      <c r="G9" s="13"/>
      <c r="H9" s="13"/>
      <c r="I9" s="12">
        <v>304.1</v>
      </c>
      <c r="J9" s="13"/>
      <c r="K9" s="35">
        <f t="shared" ref="K9:K23" si="4">I9/F9*100</f>
        <v>55.39162113</v>
      </c>
      <c r="M9" s="82" t="str">
        <f>"тотал"&amp;" "&amp;B8&amp;" "&amp;RIGHT(YEAR(B9),2)</f>
        <v>тотал АВГУСТ 25</v>
      </c>
      <c r="N9" s="75"/>
      <c r="O9" s="75"/>
      <c r="P9" s="75"/>
      <c r="Q9" s="76"/>
    </row>
    <row r="10">
      <c r="B10" s="218">
        <v>45881.0</v>
      </c>
      <c r="C10" s="12" t="s">
        <v>152</v>
      </c>
      <c r="D10" s="12" t="s">
        <v>155</v>
      </c>
      <c r="E10" s="12">
        <v>858784.0</v>
      </c>
      <c r="F10" s="13">
        <f t="shared" ref="F10:F23" si="5">E10-E9</f>
        <v>1323</v>
      </c>
      <c r="G10" s="13"/>
      <c r="H10" s="13"/>
      <c r="I10" s="12">
        <v>250.0</v>
      </c>
      <c r="J10" s="13"/>
      <c r="K10" s="18">
        <f t="shared" si="4"/>
        <v>18.89644747</v>
      </c>
      <c r="M10" s="83" t="s">
        <v>70</v>
      </c>
      <c r="N10" s="83" t="s">
        <v>71</v>
      </c>
      <c r="O10" s="83" t="s">
        <v>27</v>
      </c>
      <c r="P10" s="77" t="s">
        <v>28</v>
      </c>
      <c r="Q10" s="12" t="s">
        <v>78</v>
      </c>
    </row>
    <row r="11">
      <c r="B11" s="218">
        <v>45882.0</v>
      </c>
      <c r="C11" s="12" t="s">
        <v>152</v>
      </c>
      <c r="D11" s="12" t="s">
        <v>155</v>
      </c>
      <c r="E11" s="12">
        <v>859324.0</v>
      </c>
      <c r="F11" s="13">
        <f t="shared" si="5"/>
        <v>540</v>
      </c>
      <c r="G11" s="13"/>
      <c r="H11" s="13"/>
      <c r="I11" s="12">
        <v>113.01</v>
      </c>
      <c r="J11" s="13"/>
      <c r="K11" s="18">
        <f t="shared" si="4"/>
        <v>20.92777778</v>
      </c>
      <c r="M11" s="84">
        <f>SUM(F9:F23)</f>
        <v>12529</v>
      </c>
      <c r="N11" s="84">
        <f>SUM(I9:I23)</f>
        <v>2744.41</v>
      </c>
      <c r="O11" s="85">
        <f>N11/M11*100</f>
        <v>21.90446165</v>
      </c>
      <c r="P11" s="79">
        <f>(M11/100)*(O11-Q11)</f>
        <v>113.32</v>
      </c>
      <c r="Q11" s="78">
        <v>21.0</v>
      </c>
    </row>
    <row r="12">
      <c r="B12" s="218">
        <v>45888.0</v>
      </c>
      <c r="C12" s="12" t="s">
        <v>152</v>
      </c>
      <c r="D12" s="12" t="s">
        <v>155</v>
      </c>
      <c r="E12" s="12">
        <v>860551.0</v>
      </c>
      <c r="F12" s="13">
        <f t="shared" si="5"/>
        <v>1227</v>
      </c>
      <c r="G12" s="13"/>
      <c r="H12" s="13"/>
      <c r="I12" s="12">
        <v>200.0</v>
      </c>
      <c r="J12" s="13"/>
      <c r="K12" s="18">
        <f t="shared" si="4"/>
        <v>16.2999185</v>
      </c>
    </row>
    <row r="13">
      <c r="B13" s="218">
        <v>45890.0</v>
      </c>
      <c r="C13" s="12" t="s">
        <v>152</v>
      </c>
      <c r="D13" s="12" t="s">
        <v>155</v>
      </c>
      <c r="E13" s="12">
        <v>861555.0</v>
      </c>
      <c r="F13" s="13">
        <f t="shared" si="5"/>
        <v>1004</v>
      </c>
      <c r="G13" s="13"/>
      <c r="H13" s="13"/>
      <c r="I13" s="12">
        <v>255.22</v>
      </c>
      <c r="J13" s="13"/>
      <c r="K13" s="18">
        <f t="shared" si="4"/>
        <v>25.42031873</v>
      </c>
    </row>
    <row r="14">
      <c r="B14" s="218">
        <v>45891.0</v>
      </c>
      <c r="C14" s="12" t="s">
        <v>152</v>
      </c>
      <c r="D14" s="12" t="s">
        <v>155</v>
      </c>
      <c r="E14" s="12">
        <v>862549.0</v>
      </c>
      <c r="F14" s="13">
        <f t="shared" si="5"/>
        <v>994</v>
      </c>
      <c r="G14" s="13"/>
      <c r="H14" s="13"/>
      <c r="I14" s="12">
        <v>197.52</v>
      </c>
      <c r="J14" s="13"/>
      <c r="K14" s="18">
        <f t="shared" si="4"/>
        <v>19.87122736</v>
      </c>
    </row>
    <row r="15">
      <c r="B15" s="218">
        <v>45892.0</v>
      </c>
      <c r="C15" s="12" t="s">
        <v>152</v>
      </c>
      <c r="D15" s="12" t="s">
        <v>155</v>
      </c>
      <c r="E15" s="12">
        <v>863553.0</v>
      </c>
      <c r="F15" s="13">
        <f t="shared" si="5"/>
        <v>1004</v>
      </c>
      <c r="G15" s="13"/>
      <c r="H15" s="13"/>
      <c r="I15" s="12">
        <v>214.64</v>
      </c>
      <c r="J15" s="13"/>
      <c r="K15" s="18">
        <f t="shared" si="4"/>
        <v>21.37848606</v>
      </c>
    </row>
    <row r="16">
      <c r="B16" s="218">
        <v>45893.0</v>
      </c>
      <c r="C16" s="12" t="s">
        <v>152</v>
      </c>
      <c r="D16" s="12" t="s">
        <v>155</v>
      </c>
      <c r="E16" s="12">
        <v>864295.0</v>
      </c>
      <c r="F16" s="13">
        <f t="shared" si="5"/>
        <v>742</v>
      </c>
      <c r="G16" s="13"/>
      <c r="H16" s="13"/>
      <c r="I16" s="12">
        <v>100.0</v>
      </c>
      <c r="J16" s="13"/>
      <c r="K16" s="18">
        <f t="shared" si="4"/>
        <v>13.47708895</v>
      </c>
    </row>
    <row r="17">
      <c r="B17" s="218">
        <v>45893.0</v>
      </c>
      <c r="C17" s="12" t="s">
        <v>152</v>
      </c>
      <c r="D17" s="12" t="s">
        <v>155</v>
      </c>
      <c r="E17" s="12">
        <v>864548.0</v>
      </c>
      <c r="F17" s="13">
        <f t="shared" si="5"/>
        <v>253</v>
      </c>
      <c r="G17" s="13"/>
      <c r="H17" s="13"/>
      <c r="I17" s="12">
        <v>107.16</v>
      </c>
      <c r="J17" s="13"/>
      <c r="K17" s="18">
        <f t="shared" si="4"/>
        <v>42.35573123</v>
      </c>
    </row>
    <row r="18">
      <c r="B18" s="218">
        <v>45895.0</v>
      </c>
      <c r="C18" s="12" t="s">
        <v>152</v>
      </c>
      <c r="D18" s="12" t="s">
        <v>155</v>
      </c>
      <c r="E18" s="12">
        <v>865670.0</v>
      </c>
      <c r="F18" s="13">
        <f t="shared" si="5"/>
        <v>1122</v>
      </c>
      <c r="G18" s="13"/>
      <c r="H18" s="13"/>
      <c r="I18" s="12">
        <v>200.0</v>
      </c>
      <c r="J18" s="13"/>
      <c r="K18" s="18">
        <f t="shared" si="4"/>
        <v>17.82531194</v>
      </c>
    </row>
    <row r="19">
      <c r="B19" s="218">
        <v>45896.0</v>
      </c>
      <c r="C19" s="12" t="s">
        <v>152</v>
      </c>
      <c r="D19" s="12" t="s">
        <v>155</v>
      </c>
      <c r="E19" s="12">
        <v>865894.0</v>
      </c>
      <c r="F19" s="13">
        <f t="shared" si="5"/>
        <v>224</v>
      </c>
      <c r="G19" s="13"/>
      <c r="H19" s="13"/>
      <c r="I19" s="12">
        <v>77.6</v>
      </c>
      <c r="J19" s="13"/>
      <c r="K19" s="18">
        <f t="shared" si="4"/>
        <v>34.64285714</v>
      </c>
    </row>
    <row r="20">
      <c r="B20" s="218">
        <v>45897.0</v>
      </c>
      <c r="C20" s="12" t="s">
        <v>152</v>
      </c>
      <c r="D20" s="12" t="s">
        <v>155</v>
      </c>
      <c r="E20" s="12">
        <v>866647.0</v>
      </c>
      <c r="F20" s="13">
        <f t="shared" si="5"/>
        <v>753</v>
      </c>
      <c r="G20" s="13"/>
      <c r="H20" s="13"/>
      <c r="I20" s="12">
        <v>156.17</v>
      </c>
      <c r="J20" s="13"/>
      <c r="K20" s="18">
        <f t="shared" si="4"/>
        <v>20.73970784</v>
      </c>
    </row>
    <row r="21">
      <c r="B21" s="218">
        <v>45898.0</v>
      </c>
      <c r="C21" s="12" t="s">
        <v>152</v>
      </c>
      <c r="D21" s="12" t="s">
        <v>155</v>
      </c>
      <c r="E21" s="12">
        <v>867643.0</v>
      </c>
      <c r="F21" s="13">
        <f t="shared" si="5"/>
        <v>996</v>
      </c>
      <c r="G21" s="13"/>
      <c r="H21" s="13"/>
      <c r="I21" s="12">
        <v>198.97</v>
      </c>
      <c r="J21" s="13"/>
      <c r="K21" s="18">
        <f t="shared" si="4"/>
        <v>19.97690763</v>
      </c>
    </row>
    <row r="22">
      <c r="B22" s="218">
        <v>45899.0</v>
      </c>
      <c r="C22" s="12" t="s">
        <v>152</v>
      </c>
      <c r="D22" s="12" t="s">
        <v>155</v>
      </c>
      <c r="E22" s="12">
        <v>868393.0</v>
      </c>
      <c r="F22" s="13">
        <f t="shared" si="5"/>
        <v>750</v>
      </c>
      <c r="G22" s="13"/>
      <c r="H22" s="13"/>
      <c r="I22" s="12">
        <v>155.32</v>
      </c>
      <c r="J22" s="13"/>
      <c r="K22" s="18">
        <f t="shared" si="4"/>
        <v>20.70933333</v>
      </c>
    </row>
    <row r="23">
      <c r="B23" s="218">
        <v>45900.0</v>
      </c>
      <c r="C23" s="12" t="s">
        <v>152</v>
      </c>
      <c r="D23" s="12" t="s">
        <v>155</v>
      </c>
      <c r="E23" s="12">
        <v>869441.0</v>
      </c>
      <c r="F23" s="13">
        <f t="shared" si="5"/>
        <v>1048</v>
      </c>
      <c r="G23" s="13"/>
      <c r="H23" s="13"/>
      <c r="I23" s="12">
        <v>214.7</v>
      </c>
      <c r="J23" s="13"/>
      <c r="K23" s="18">
        <f t="shared" si="4"/>
        <v>20.48664122</v>
      </c>
    </row>
    <row r="24">
      <c r="A24" s="87" t="s">
        <v>77</v>
      </c>
      <c r="B24" s="88" t="str">
        <f>IF(L24=4,"АПРЕЛЬ",IF(L24=5,"МАЙ",IF(L24=1,"ЯНВАРЬ",IF(L24=2,"ФЕВРАЛЬ",IF(L24=3,"МАРТ",IF(L24=6,"ИЮНЬ",IF(L24=7,"ИЮЛЬ",IF(L24=8,"АВГУСТ",IF(L24=9,"СЕНТЯБРЬ",IF(L24=10,"ОКТЯБРЬ",IF(L24=11,"НОЯБРЬ",IF(L24=12,"ДЕКАБРЬ"))))))))))))</f>
        <v>СЕНТЯБРЬ</v>
      </c>
      <c r="J24" s="89"/>
      <c r="K24" s="90"/>
      <c r="L24" s="91">
        <f>MONTH(B25)</f>
        <v>9</v>
      </c>
      <c r="M24" s="92"/>
      <c r="N24" s="92"/>
      <c r="O24" s="89"/>
      <c r="P24" s="9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</row>
    <row r="25">
      <c r="B25" s="218">
        <v>45901.0</v>
      </c>
      <c r="C25" s="12" t="s">
        <v>152</v>
      </c>
      <c r="D25" s="12" t="s">
        <v>155</v>
      </c>
      <c r="E25" s="12">
        <v>870192.0</v>
      </c>
      <c r="F25" s="13">
        <f>E25-E23</f>
        <v>751</v>
      </c>
      <c r="G25" s="13"/>
      <c r="H25" s="13"/>
      <c r="I25" s="12">
        <v>154.7</v>
      </c>
      <c r="J25" s="13"/>
      <c r="K25" s="18">
        <f t="shared" ref="K25:K52" si="6">I25/F25*100</f>
        <v>20.59920107</v>
      </c>
      <c r="M25" s="82" t="str">
        <f>"тотал"&amp;" "&amp;B24&amp;" "&amp;RIGHT(YEAR(B25),2)</f>
        <v>тотал СЕНТЯБРЬ 25</v>
      </c>
      <c r="N25" s="75"/>
      <c r="O25" s="75"/>
      <c r="P25" s="75"/>
      <c r="Q25" s="76"/>
    </row>
    <row r="26">
      <c r="B26" s="218">
        <v>45902.0</v>
      </c>
      <c r="C26" s="12" t="s">
        <v>152</v>
      </c>
      <c r="D26" s="12" t="s">
        <v>155</v>
      </c>
      <c r="E26" s="12">
        <v>871186.0</v>
      </c>
      <c r="F26" s="13">
        <f t="shared" ref="F26:F52" si="7">E26-E25</f>
        <v>994</v>
      </c>
      <c r="G26" s="13"/>
      <c r="H26" s="13"/>
      <c r="I26" s="12">
        <v>192.0</v>
      </c>
      <c r="J26" s="13"/>
      <c r="K26" s="18">
        <f t="shared" si="6"/>
        <v>19.31589537</v>
      </c>
      <c r="M26" s="83" t="s">
        <v>70</v>
      </c>
      <c r="N26" s="83" t="s">
        <v>71</v>
      </c>
      <c r="O26" s="83" t="s">
        <v>27</v>
      </c>
      <c r="P26" s="77" t="s">
        <v>28</v>
      </c>
      <c r="Q26" s="12" t="s">
        <v>78</v>
      </c>
    </row>
    <row r="27">
      <c r="B27" s="218">
        <v>45903.0</v>
      </c>
      <c r="C27" s="12" t="s">
        <v>152</v>
      </c>
      <c r="D27" s="12" t="s">
        <v>155</v>
      </c>
      <c r="E27" s="12">
        <v>871936.0</v>
      </c>
      <c r="F27" s="13">
        <f t="shared" si="7"/>
        <v>750</v>
      </c>
      <c r="G27" s="13"/>
      <c r="H27" s="13"/>
      <c r="I27" s="12">
        <v>154.0</v>
      </c>
      <c r="J27" s="13"/>
      <c r="K27" s="18">
        <f t="shared" si="6"/>
        <v>20.53333333</v>
      </c>
      <c r="M27" s="84">
        <f>SUM(F25:F52)</f>
        <v>24622</v>
      </c>
      <c r="N27" s="84">
        <f>SUM(I25:I52)</f>
        <v>5050.7</v>
      </c>
      <c r="O27" s="85">
        <f>N27/M27*100</f>
        <v>20.51295589</v>
      </c>
      <c r="P27" s="79">
        <f>(M27/100)*(O27-Q27)</f>
        <v>-119.92</v>
      </c>
      <c r="Q27" s="78">
        <v>21.0</v>
      </c>
    </row>
    <row r="28">
      <c r="B28" s="218">
        <v>45904.0</v>
      </c>
      <c r="C28" s="12" t="s">
        <v>152</v>
      </c>
      <c r="D28" s="12" t="s">
        <v>155</v>
      </c>
      <c r="E28" s="12">
        <v>872984.0</v>
      </c>
      <c r="F28" s="13">
        <f t="shared" si="7"/>
        <v>1048</v>
      </c>
      <c r="G28" s="13"/>
      <c r="H28" s="13"/>
      <c r="I28" s="12">
        <v>220.51</v>
      </c>
      <c r="J28" s="13"/>
      <c r="K28" s="18">
        <f t="shared" si="6"/>
        <v>21.04103053</v>
      </c>
    </row>
    <row r="29">
      <c r="B29" s="218">
        <v>45905.0</v>
      </c>
      <c r="C29" s="12" t="s">
        <v>152</v>
      </c>
      <c r="D29" s="12" t="s">
        <v>155</v>
      </c>
      <c r="E29" s="12">
        <v>873734.0</v>
      </c>
      <c r="F29" s="13">
        <f t="shared" si="7"/>
        <v>750</v>
      </c>
      <c r="G29" s="13"/>
      <c r="H29" s="13"/>
      <c r="I29" s="12">
        <v>151.49</v>
      </c>
      <c r="J29" s="13"/>
      <c r="K29" s="18">
        <f t="shared" si="6"/>
        <v>20.19866667</v>
      </c>
    </row>
    <row r="30">
      <c r="B30" s="218">
        <v>45906.0</v>
      </c>
      <c r="C30" s="12" t="s">
        <v>152</v>
      </c>
      <c r="D30" s="12" t="s">
        <v>155</v>
      </c>
      <c r="E30" s="12">
        <v>874756.0</v>
      </c>
      <c r="F30" s="13">
        <f t="shared" si="7"/>
        <v>1022</v>
      </c>
      <c r="G30" s="13"/>
      <c r="H30" s="13"/>
      <c r="I30" s="12">
        <v>213.0</v>
      </c>
      <c r="J30" s="13"/>
      <c r="K30" s="18">
        <f t="shared" si="6"/>
        <v>20.84148728</v>
      </c>
    </row>
    <row r="31">
      <c r="B31" s="218">
        <v>45907.0</v>
      </c>
      <c r="C31" s="12" t="s">
        <v>152</v>
      </c>
      <c r="D31" s="12" t="s">
        <v>155</v>
      </c>
      <c r="E31" s="12">
        <v>875531.0</v>
      </c>
      <c r="F31" s="13">
        <f t="shared" si="7"/>
        <v>775</v>
      </c>
      <c r="G31" s="13"/>
      <c r="H31" s="13"/>
      <c r="I31" s="12">
        <v>150.0</v>
      </c>
      <c r="J31" s="13"/>
      <c r="K31" s="18">
        <f t="shared" si="6"/>
        <v>19.35483871</v>
      </c>
    </row>
    <row r="32">
      <c r="B32" s="218">
        <v>45908.0</v>
      </c>
      <c r="C32" s="12" t="s">
        <v>152</v>
      </c>
      <c r="D32" s="12" t="s">
        <v>155</v>
      </c>
      <c r="E32" s="12">
        <v>876554.0</v>
      </c>
      <c r="F32" s="13">
        <f t="shared" si="7"/>
        <v>1023</v>
      </c>
      <c r="G32" s="13"/>
      <c r="H32" s="13"/>
      <c r="I32" s="12">
        <v>50.0</v>
      </c>
      <c r="J32" s="13"/>
      <c r="K32" s="18">
        <f t="shared" si="6"/>
        <v>4.887585533</v>
      </c>
    </row>
    <row r="33">
      <c r="B33" s="218">
        <v>45909.0</v>
      </c>
      <c r="C33" s="12" t="s">
        <v>152</v>
      </c>
      <c r="D33" s="12" t="s">
        <v>155</v>
      </c>
      <c r="E33" s="12">
        <v>876906.0</v>
      </c>
      <c r="F33" s="13">
        <f t="shared" si="7"/>
        <v>352</v>
      </c>
      <c r="G33" s="13"/>
      <c r="H33" s="13"/>
      <c r="I33" s="12">
        <v>220.0</v>
      </c>
      <c r="J33" s="13"/>
      <c r="K33" s="18">
        <f t="shared" si="6"/>
        <v>62.5</v>
      </c>
    </row>
    <row r="34">
      <c r="B34" s="218">
        <v>45909.0</v>
      </c>
      <c r="C34" s="12" t="s">
        <v>152</v>
      </c>
      <c r="D34" s="12" t="s">
        <v>155</v>
      </c>
      <c r="E34" s="12">
        <v>877303.0</v>
      </c>
      <c r="F34" s="13">
        <f t="shared" si="7"/>
        <v>397</v>
      </c>
      <c r="G34" s="13"/>
      <c r="H34" s="13"/>
      <c r="I34" s="12">
        <v>100.0</v>
      </c>
      <c r="J34" s="13"/>
      <c r="K34" s="18">
        <f t="shared" si="6"/>
        <v>25.18891688</v>
      </c>
    </row>
    <row r="35">
      <c r="B35" s="218">
        <v>45910.0</v>
      </c>
      <c r="C35" s="12" t="s">
        <v>152</v>
      </c>
      <c r="D35" s="12" t="s">
        <v>155</v>
      </c>
      <c r="E35" s="12">
        <v>878298.0</v>
      </c>
      <c r="F35" s="13">
        <f t="shared" si="7"/>
        <v>995</v>
      </c>
      <c r="G35" s="13"/>
      <c r="H35" s="13"/>
      <c r="I35" s="12">
        <v>212.75</v>
      </c>
      <c r="J35" s="13"/>
      <c r="K35" s="18">
        <f t="shared" si="6"/>
        <v>21.38190955</v>
      </c>
    </row>
    <row r="36">
      <c r="B36" s="218">
        <v>45911.0</v>
      </c>
      <c r="C36" s="12" t="s">
        <v>152</v>
      </c>
      <c r="D36" s="12" t="s">
        <v>155</v>
      </c>
      <c r="E36" s="12">
        <v>879047.0</v>
      </c>
      <c r="F36" s="13">
        <f t="shared" si="7"/>
        <v>749</v>
      </c>
      <c r="G36" s="13"/>
      <c r="H36" s="13"/>
      <c r="I36" s="12">
        <v>150.0</v>
      </c>
      <c r="J36" s="13"/>
      <c r="K36" s="18">
        <f t="shared" si="6"/>
        <v>20.02670227</v>
      </c>
    </row>
    <row r="37">
      <c r="B37" s="218">
        <v>45912.0</v>
      </c>
      <c r="C37" s="12" t="s">
        <v>152</v>
      </c>
      <c r="D37" s="12" t="s">
        <v>155</v>
      </c>
      <c r="E37" s="12">
        <v>880042.0</v>
      </c>
      <c r="F37" s="13">
        <f t="shared" si="7"/>
        <v>995</v>
      </c>
      <c r="G37" s="13"/>
      <c r="H37" s="13"/>
      <c r="I37" s="12">
        <v>200.25</v>
      </c>
      <c r="J37" s="13"/>
      <c r="K37" s="18">
        <f t="shared" si="6"/>
        <v>20.12562814</v>
      </c>
    </row>
    <row r="38">
      <c r="B38" s="218">
        <v>45913.0</v>
      </c>
      <c r="C38" s="12" t="s">
        <v>152</v>
      </c>
      <c r="D38" s="12" t="s">
        <v>155</v>
      </c>
      <c r="E38" s="12">
        <v>880792.0</v>
      </c>
      <c r="F38" s="13">
        <f t="shared" si="7"/>
        <v>750</v>
      </c>
      <c r="G38" s="13"/>
      <c r="H38" s="13"/>
      <c r="I38" s="12">
        <v>150.0</v>
      </c>
      <c r="J38" s="13"/>
      <c r="K38" s="18">
        <f t="shared" si="6"/>
        <v>20</v>
      </c>
    </row>
    <row r="39">
      <c r="B39" s="218">
        <v>45914.0</v>
      </c>
      <c r="C39" s="12" t="s">
        <v>152</v>
      </c>
      <c r="D39" s="12" t="s">
        <v>155</v>
      </c>
      <c r="E39" s="12">
        <v>881787.0</v>
      </c>
      <c r="F39" s="13">
        <f t="shared" si="7"/>
        <v>995</v>
      </c>
      <c r="G39" s="13"/>
      <c r="H39" s="13"/>
      <c r="I39" s="12">
        <v>200.0</v>
      </c>
      <c r="J39" s="13"/>
      <c r="K39" s="18">
        <f t="shared" si="6"/>
        <v>20.10050251</v>
      </c>
    </row>
    <row r="40">
      <c r="B40" s="218">
        <v>45915.0</v>
      </c>
      <c r="C40" s="12" t="s">
        <v>152</v>
      </c>
      <c r="D40" s="12" t="s">
        <v>155</v>
      </c>
      <c r="E40" s="12">
        <v>882537.0</v>
      </c>
      <c r="F40" s="13">
        <f t="shared" si="7"/>
        <v>750</v>
      </c>
      <c r="G40" s="13"/>
      <c r="H40" s="13"/>
      <c r="I40" s="12">
        <v>150.0</v>
      </c>
      <c r="J40" s="13"/>
      <c r="K40" s="18">
        <f t="shared" si="6"/>
        <v>20</v>
      </c>
    </row>
    <row r="41">
      <c r="B41" s="218">
        <v>45916.0</v>
      </c>
      <c r="C41" s="12" t="s">
        <v>152</v>
      </c>
      <c r="D41" s="12" t="s">
        <v>155</v>
      </c>
      <c r="E41" s="12">
        <v>883533.0</v>
      </c>
      <c r="F41" s="13">
        <f t="shared" si="7"/>
        <v>996</v>
      </c>
      <c r="G41" s="13"/>
      <c r="H41" s="13"/>
      <c r="I41" s="12">
        <v>226.0</v>
      </c>
      <c r="J41" s="13"/>
      <c r="K41" s="18">
        <f t="shared" si="6"/>
        <v>22.69076305</v>
      </c>
    </row>
    <row r="42">
      <c r="B42" s="218">
        <v>45917.0</v>
      </c>
      <c r="C42" s="12" t="s">
        <v>152</v>
      </c>
      <c r="D42" s="12" t="s">
        <v>155</v>
      </c>
      <c r="E42" s="12">
        <v>884283.0</v>
      </c>
      <c r="F42" s="13">
        <f t="shared" si="7"/>
        <v>750</v>
      </c>
      <c r="G42" s="13"/>
      <c r="H42" s="13"/>
      <c r="I42" s="12">
        <v>150.0</v>
      </c>
      <c r="J42" s="13"/>
      <c r="K42" s="18">
        <f t="shared" si="6"/>
        <v>20</v>
      </c>
    </row>
    <row r="43">
      <c r="B43" s="218">
        <v>45918.0</v>
      </c>
      <c r="C43" s="12" t="s">
        <v>152</v>
      </c>
      <c r="D43" s="12" t="s">
        <v>155</v>
      </c>
      <c r="E43" s="12">
        <v>885279.0</v>
      </c>
      <c r="F43" s="13">
        <f t="shared" si="7"/>
        <v>996</v>
      </c>
      <c r="G43" s="13"/>
      <c r="H43" s="13"/>
      <c r="I43" s="12">
        <v>200.0</v>
      </c>
      <c r="J43" s="13"/>
      <c r="K43" s="18">
        <f t="shared" si="6"/>
        <v>20.08032129</v>
      </c>
    </row>
    <row r="44">
      <c r="B44" s="218">
        <v>45919.0</v>
      </c>
      <c r="C44" s="12" t="s">
        <v>152</v>
      </c>
      <c r="D44" s="12" t="s">
        <v>155</v>
      </c>
      <c r="E44" s="12">
        <v>886029.0</v>
      </c>
      <c r="F44" s="13">
        <f t="shared" si="7"/>
        <v>750</v>
      </c>
      <c r="G44" s="13"/>
      <c r="H44" s="13"/>
      <c r="I44" s="12">
        <v>150.0</v>
      </c>
      <c r="J44" s="13"/>
      <c r="K44" s="18">
        <f t="shared" si="6"/>
        <v>20</v>
      </c>
    </row>
    <row r="45">
      <c r="B45" s="218">
        <v>45920.0</v>
      </c>
      <c r="C45" s="12" t="s">
        <v>152</v>
      </c>
      <c r="D45" s="12" t="s">
        <v>155</v>
      </c>
      <c r="E45" s="12">
        <v>887025.0</v>
      </c>
      <c r="F45" s="13">
        <f t="shared" si="7"/>
        <v>996</v>
      </c>
      <c r="G45" s="13"/>
      <c r="H45" s="13"/>
      <c r="I45" s="12">
        <v>200.0</v>
      </c>
      <c r="J45" s="13"/>
      <c r="K45" s="18">
        <f t="shared" si="6"/>
        <v>20.08032129</v>
      </c>
    </row>
    <row r="46">
      <c r="B46" s="218">
        <v>45921.0</v>
      </c>
      <c r="C46" s="12" t="s">
        <v>152</v>
      </c>
      <c r="D46" s="12" t="s">
        <v>155</v>
      </c>
      <c r="E46" s="12">
        <v>887777.0</v>
      </c>
      <c r="F46" s="13">
        <f t="shared" si="7"/>
        <v>752</v>
      </c>
      <c r="G46" s="13"/>
      <c r="H46" s="13"/>
      <c r="I46" s="12">
        <v>50.0</v>
      </c>
      <c r="J46" s="13"/>
      <c r="K46" s="18">
        <f t="shared" si="6"/>
        <v>6.64893617</v>
      </c>
    </row>
    <row r="47">
      <c r="B47" s="218">
        <v>45921.0</v>
      </c>
      <c r="C47" s="12" t="s">
        <v>152</v>
      </c>
      <c r="D47" s="12" t="s">
        <v>155</v>
      </c>
      <c r="E47" s="12">
        <v>888546.0</v>
      </c>
      <c r="F47" s="13">
        <f t="shared" si="7"/>
        <v>769</v>
      </c>
      <c r="G47" s="13"/>
      <c r="H47" s="13"/>
      <c r="I47" s="12">
        <v>268.0</v>
      </c>
      <c r="J47" s="13"/>
      <c r="K47" s="18">
        <f t="shared" si="6"/>
        <v>34.85045514</v>
      </c>
    </row>
    <row r="48">
      <c r="B48" s="218">
        <v>45923.0</v>
      </c>
      <c r="C48" s="12" t="s">
        <v>152</v>
      </c>
      <c r="D48" s="12" t="s">
        <v>155</v>
      </c>
      <c r="E48" s="12">
        <v>890065.0</v>
      </c>
      <c r="F48" s="13">
        <f t="shared" si="7"/>
        <v>1519</v>
      </c>
      <c r="G48" s="13"/>
      <c r="H48" s="13"/>
      <c r="I48" s="12">
        <v>300.0</v>
      </c>
      <c r="J48" s="13"/>
      <c r="K48" s="18">
        <f t="shared" si="6"/>
        <v>19.74983542</v>
      </c>
    </row>
    <row r="49">
      <c r="B49" s="218">
        <v>45924.0</v>
      </c>
      <c r="C49" s="12" t="s">
        <v>152</v>
      </c>
      <c r="D49" s="12" t="s">
        <v>155</v>
      </c>
      <c r="E49" s="12">
        <v>890574.0</v>
      </c>
      <c r="F49" s="13">
        <f t="shared" si="7"/>
        <v>509</v>
      </c>
      <c r="G49" s="13"/>
      <c r="H49" s="13"/>
      <c r="I49" s="12">
        <v>113.0</v>
      </c>
      <c r="J49" s="13"/>
      <c r="K49" s="18">
        <f t="shared" si="6"/>
        <v>22.20039293</v>
      </c>
    </row>
    <row r="50">
      <c r="B50" s="218">
        <v>45925.0</v>
      </c>
      <c r="C50" s="12" t="s">
        <v>152</v>
      </c>
      <c r="D50" s="12" t="s">
        <v>155</v>
      </c>
      <c r="E50" s="12">
        <v>891321.0</v>
      </c>
      <c r="F50" s="13">
        <f t="shared" si="7"/>
        <v>747</v>
      </c>
      <c r="G50" s="13"/>
      <c r="H50" s="13"/>
      <c r="I50" s="12">
        <v>150.0</v>
      </c>
      <c r="J50" s="13"/>
      <c r="K50" s="18">
        <f t="shared" si="6"/>
        <v>20.08032129</v>
      </c>
    </row>
    <row r="51">
      <c r="B51" s="218">
        <v>45927.0</v>
      </c>
      <c r="C51" s="12" t="s">
        <v>152</v>
      </c>
      <c r="D51" s="12" t="s">
        <v>155</v>
      </c>
      <c r="E51" s="12">
        <v>892670.0</v>
      </c>
      <c r="F51" s="13">
        <f t="shared" si="7"/>
        <v>1349</v>
      </c>
      <c r="G51" s="13"/>
      <c r="H51" s="13"/>
      <c r="I51" s="12">
        <v>290.0</v>
      </c>
      <c r="J51" s="13"/>
      <c r="K51" s="18">
        <f t="shared" si="6"/>
        <v>21.49740549</v>
      </c>
    </row>
    <row r="52">
      <c r="B52" s="218">
        <v>45928.0</v>
      </c>
      <c r="C52" s="12" t="s">
        <v>152</v>
      </c>
      <c r="D52" s="12" t="s">
        <v>155</v>
      </c>
      <c r="E52" s="12">
        <v>894063.0</v>
      </c>
      <c r="F52" s="13">
        <f t="shared" si="7"/>
        <v>1393</v>
      </c>
      <c r="G52" s="13"/>
      <c r="H52" s="13"/>
      <c r="I52" s="12">
        <v>285.0</v>
      </c>
      <c r="J52" s="13"/>
      <c r="K52" s="18">
        <f t="shared" si="6"/>
        <v>20.45944006</v>
      </c>
    </row>
    <row r="53">
      <c r="A53" s="87" t="s">
        <v>77</v>
      </c>
      <c r="B53" s="88" t="str">
        <f>IF(L53=4,"АПРЕЛЬ",IF(L53=5,"МАЙ",IF(L53=1,"ЯНВАРЬ",IF(L53=2,"ФЕВРАЛЬ",IF(L53=3,"МАРТ",IF(L53=6,"ИЮНЬ",IF(L53=7,"ИЮЛЬ",IF(L53=8,"АВГУСТ",IF(L53=9,"СЕНТЯБРЬ",IF(L53=10,"ОКТЯБРЬ",IF(L53=11,"НОЯБРЬ",IF(L53=12,"ДЕКАБРЬ"))))))))))))</f>
        <v>ОКТЯБРЬ</v>
      </c>
      <c r="J53" s="89"/>
      <c r="K53" s="90"/>
      <c r="L53" s="91">
        <f>MONTH(B54)</f>
        <v>10</v>
      </c>
      <c r="M53" s="92"/>
      <c r="N53" s="92"/>
      <c r="O53" s="89"/>
      <c r="P53" s="9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</row>
    <row r="54">
      <c r="B54" s="218">
        <v>45931.0</v>
      </c>
      <c r="C54" s="12" t="s">
        <v>152</v>
      </c>
      <c r="D54" s="12" t="s">
        <v>155</v>
      </c>
      <c r="E54" s="12">
        <v>895586.0</v>
      </c>
      <c r="F54" s="13">
        <f>E54-E52</f>
        <v>1523</v>
      </c>
      <c r="G54" s="13"/>
      <c r="H54" s="13"/>
      <c r="I54" s="12">
        <v>328.0</v>
      </c>
      <c r="J54" s="13"/>
      <c r="K54" s="18">
        <f t="shared" ref="K54:K59" si="8">I54/F54*100</f>
        <v>21.53644123</v>
      </c>
      <c r="M54" s="82" t="str">
        <f>"тотал"&amp;" "&amp;B53&amp;" "&amp;RIGHT(YEAR(B54),2)</f>
        <v>тотал ОКТЯБРЬ 25</v>
      </c>
      <c r="N54" s="75"/>
      <c r="O54" s="75"/>
      <c r="P54" s="75"/>
      <c r="Q54" s="76"/>
    </row>
    <row r="55">
      <c r="B55" s="218">
        <v>45932.0</v>
      </c>
      <c r="C55" s="12" t="s">
        <v>152</v>
      </c>
      <c r="D55" s="12" t="s">
        <v>155</v>
      </c>
      <c r="E55" s="12">
        <v>897081.0</v>
      </c>
      <c r="F55" s="13">
        <f t="shared" ref="F55:F59" si="9">E55-E54</f>
        <v>1495</v>
      </c>
      <c r="G55" s="13"/>
      <c r="H55" s="13"/>
      <c r="I55" s="12">
        <v>300.0</v>
      </c>
      <c r="J55" s="13"/>
      <c r="K55" s="18">
        <f t="shared" si="8"/>
        <v>20.06688963</v>
      </c>
      <c r="M55" s="83" t="s">
        <v>70</v>
      </c>
      <c r="N55" s="83" t="s">
        <v>71</v>
      </c>
      <c r="O55" s="83" t="s">
        <v>27</v>
      </c>
      <c r="P55" s="77" t="s">
        <v>28</v>
      </c>
      <c r="Q55" s="12" t="s">
        <v>78</v>
      </c>
    </row>
    <row r="56">
      <c r="B56" s="218">
        <v>45934.0</v>
      </c>
      <c r="C56" s="12" t="s">
        <v>152</v>
      </c>
      <c r="D56" s="12" t="s">
        <v>155</v>
      </c>
      <c r="E56" s="12">
        <v>898338.0</v>
      </c>
      <c r="F56" s="13">
        <f t="shared" si="9"/>
        <v>1257</v>
      </c>
      <c r="G56" s="13"/>
      <c r="H56" s="13"/>
      <c r="I56" s="12">
        <v>280.0</v>
      </c>
      <c r="J56" s="13"/>
      <c r="K56" s="18">
        <f t="shared" si="8"/>
        <v>22.27525855</v>
      </c>
      <c r="M56" s="84">
        <f>SUM(F54:F81)</f>
        <v>8659</v>
      </c>
      <c r="N56" s="84">
        <f>SUM(I54:I81)</f>
        <v>1789.8</v>
      </c>
      <c r="O56" s="85">
        <f>N56/M56*100</f>
        <v>20.66982331</v>
      </c>
      <c r="P56" s="79">
        <f>(M56/100)*(O56-Q56)</f>
        <v>-28.59</v>
      </c>
      <c r="Q56" s="78">
        <v>21.0</v>
      </c>
    </row>
    <row r="57">
      <c r="B57" s="218">
        <v>45937.0</v>
      </c>
      <c r="C57" s="12" t="s">
        <v>152</v>
      </c>
      <c r="D57" s="12" t="s">
        <v>155</v>
      </c>
      <c r="E57" s="12">
        <v>899711.0</v>
      </c>
      <c r="F57" s="13">
        <f t="shared" si="9"/>
        <v>1373</v>
      </c>
      <c r="G57" s="13"/>
      <c r="H57" s="13"/>
      <c r="I57" s="12">
        <v>291.0</v>
      </c>
      <c r="J57" s="13"/>
      <c r="K57" s="18">
        <f t="shared" si="8"/>
        <v>21.19446468</v>
      </c>
    </row>
    <row r="58">
      <c r="A58" s="223"/>
      <c r="B58" s="218">
        <v>45938.0</v>
      </c>
      <c r="C58" s="12" t="s">
        <v>152</v>
      </c>
      <c r="D58" s="12" t="s">
        <v>155</v>
      </c>
      <c r="E58" s="12">
        <v>901272.0</v>
      </c>
      <c r="F58" s="13">
        <f t="shared" si="9"/>
        <v>1561</v>
      </c>
      <c r="G58" s="13"/>
      <c r="H58" s="13"/>
      <c r="I58" s="12">
        <v>323.0</v>
      </c>
      <c r="J58" s="13"/>
      <c r="K58" s="18">
        <f t="shared" si="8"/>
        <v>20.69186419</v>
      </c>
    </row>
    <row r="59">
      <c r="A59" s="224"/>
      <c r="B59" s="218">
        <v>45940.0</v>
      </c>
      <c r="C59" s="12" t="s">
        <v>152</v>
      </c>
      <c r="D59" s="12" t="s">
        <v>155</v>
      </c>
      <c r="E59" s="12">
        <v>902722.0</v>
      </c>
      <c r="F59" s="13">
        <f t="shared" si="9"/>
        <v>1450</v>
      </c>
      <c r="G59" s="13"/>
      <c r="H59" s="13"/>
      <c r="I59" s="12">
        <v>267.8</v>
      </c>
      <c r="J59" s="13"/>
      <c r="K59" s="18">
        <f t="shared" si="8"/>
        <v>18.46896552</v>
      </c>
    </row>
    <row r="60">
      <c r="B60" s="13"/>
      <c r="C60" s="13"/>
      <c r="D60" s="13"/>
      <c r="E60" s="13"/>
      <c r="F60" s="13"/>
      <c r="G60" s="13"/>
      <c r="H60" s="13"/>
      <c r="I60" s="13"/>
      <c r="J60" s="13"/>
      <c r="K60" s="13"/>
    </row>
    <row r="61">
      <c r="B61" s="13"/>
      <c r="C61" s="13"/>
      <c r="D61" s="13"/>
      <c r="E61" s="13"/>
      <c r="F61" s="13"/>
      <c r="G61" s="13"/>
      <c r="H61" s="13"/>
      <c r="I61" s="13"/>
      <c r="J61" s="13"/>
      <c r="K61" s="13"/>
    </row>
    <row r="62">
      <c r="B62" s="13"/>
      <c r="C62" s="13"/>
      <c r="D62" s="13"/>
      <c r="E62" s="13"/>
      <c r="F62" s="13"/>
      <c r="G62" s="13"/>
      <c r="H62" s="13"/>
      <c r="I62" s="13"/>
      <c r="J62" s="13"/>
      <c r="K62" s="13"/>
    </row>
    <row r="63">
      <c r="B63" s="13"/>
      <c r="C63" s="13"/>
      <c r="D63" s="13"/>
      <c r="E63" s="13"/>
      <c r="F63" s="13"/>
      <c r="G63" s="13"/>
      <c r="H63" s="13"/>
      <c r="I63" s="13"/>
      <c r="J63" s="13"/>
      <c r="K63" s="13"/>
    </row>
    <row r="64">
      <c r="B64" s="13"/>
      <c r="C64" s="13"/>
      <c r="D64" s="13"/>
      <c r="E64" s="13"/>
      <c r="F64" s="13"/>
      <c r="G64" s="13"/>
      <c r="H64" s="13"/>
      <c r="I64" s="13"/>
      <c r="J64" s="13"/>
      <c r="K64" s="13"/>
    </row>
    <row r="65">
      <c r="B65" s="13"/>
      <c r="C65" s="13"/>
      <c r="D65" s="13"/>
      <c r="E65" s="13"/>
      <c r="F65" s="13"/>
      <c r="G65" s="13"/>
      <c r="H65" s="13"/>
      <c r="I65" s="13"/>
      <c r="J65" s="13"/>
      <c r="K65" s="13"/>
    </row>
    <row r="66">
      <c r="B66" s="13"/>
      <c r="C66" s="13"/>
      <c r="D66" s="13"/>
      <c r="E66" s="13"/>
      <c r="F66" s="13"/>
      <c r="G66" s="13"/>
      <c r="H66" s="13"/>
      <c r="I66" s="13"/>
      <c r="J66" s="13"/>
      <c r="K66" s="13"/>
    </row>
    <row r="67">
      <c r="B67" s="13"/>
      <c r="C67" s="13"/>
      <c r="D67" s="13"/>
      <c r="E67" s="13"/>
      <c r="F67" s="13"/>
      <c r="G67" s="13"/>
      <c r="H67" s="13"/>
      <c r="I67" s="13"/>
      <c r="J67" s="13"/>
      <c r="K67" s="13"/>
    </row>
    <row r="68">
      <c r="B68" s="13"/>
      <c r="C68" s="13"/>
      <c r="D68" s="13"/>
      <c r="E68" s="13"/>
      <c r="F68" s="13"/>
      <c r="G68" s="13"/>
      <c r="H68" s="13"/>
      <c r="I68" s="13"/>
      <c r="J68" s="13"/>
      <c r="K68" s="13"/>
    </row>
    <row r="69">
      <c r="B69" s="13"/>
      <c r="C69" s="13"/>
      <c r="D69" s="13"/>
      <c r="E69" s="13"/>
      <c r="F69" s="13"/>
      <c r="G69" s="13"/>
      <c r="H69" s="13"/>
      <c r="I69" s="13"/>
      <c r="J69" s="13"/>
      <c r="K69" s="13"/>
    </row>
    <row r="70">
      <c r="B70" s="13"/>
      <c r="C70" s="13"/>
      <c r="D70" s="13"/>
      <c r="E70" s="13"/>
      <c r="F70" s="13"/>
      <c r="G70" s="13"/>
      <c r="H70" s="13"/>
      <c r="I70" s="13"/>
      <c r="J70" s="13"/>
      <c r="K70" s="13"/>
    </row>
    <row r="71">
      <c r="B71" s="13"/>
      <c r="C71" s="13"/>
      <c r="D71" s="13"/>
      <c r="E71" s="13"/>
      <c r="F71" s="13"/>
      <c r="G71" s="13"/>
      <c r="H71" s="13"/>
      <c r="I71" s="13"/>
      <c r="J71" s="13"/>
      <c r="K71" s="13"/>
    </row>
    <row r="72">
      <c r="B72" s="13"/>
      <c r="C72" s="13"/>
      <c r="D72" s="13"/>
      <c r="E72" s="13"/>
      <c r="F72" s="13"/>
      <c r="G72" s="13"/>
      <c r="H72" s="13"/>
      <c r="I72" s="13"/>
      <c r="J72" s="13"/>
      <c r="K72" s="13"/>
    </row>
    <row r="73">
      <c r="B73" s="13"/>
      <c r="C73" s="13"/>
      <c r="D73" s="13"/>
      <c r="E73" s="13"/>
      <c r="F73" s="13"/>
      <c r="G73" s="13"/>
      <c r="H73" s="13"/>
      <c r="I73" s="13"/>
      <c r="J73" s="13"/>
      <c r="K73" s="13"/>
    </row>
    <row r="74">
      <c r="B74" s="13"/>
      <c r="C74" s="13"/>
      <c r="D74" s="13"/>
      <c r="E74" s="13"/>
      <c r="F74" s="13"/>
      <c r="G74" s="13"/>
      <c r="H74" s="13"/>
      <c r="I74" s="13"/>
      <c r="J74" s="13"/>
      <c r="K74" s="13"/>
    </row>
    <row r="75">
      <c r="B75" s="13"/>
      <c r="C75" s="13"/>
      <c r="D75" s="13"/>
      <c r="E75" s="13"/>
      <c r="F75" s="13"/>
      <c r="G75" s="13"/>
      <c r="H75" s="13"/>
      <c r="I75" s="13"/>
      <c r="J75" s="13"/>
      <c r="K75" s="13"/>
    </row>
    <row r="76">
      <c r="B76" s="13"/>
      <c r="C76" s="13"/>
      <c r="D76" s="13"/>
      <c r="E76" s="13"/>
      <c r="F76" s="13"/>
      <c r="G76" s="13"/>
      <c r="H76" s="13"/>
      <c r="I76" s="13"/>
      <c r="J76" s="13"/>
      <c r="K76" s="13"/>
    </row>
    <row r="77">
      <c r="B77" s="13"/>
      <c r="C77" s="13"/>
      <c r="D77" s="13"/>
      <c r="E77" s="13"/>
      <c r="F77" s="13"/>
      <c r="G77" s="13"/>
      <c r="H77" s="13"/>
      <c r="I77" s="13"/>
      <c r="J77" s="13"/>
      <c r="K77" s="13"/>
    </row>
    <row r="78">
      <c r="B78" s="13"/>
      <c r="C78" s="13"/>
      <c r="D78" s="13"/>
      <c r="E78" s="13"/>
      <c r="F78" s="13"/>
      <c r="G78" s="13"/>
      <c r="H78" s="13"/>
      <c r="I78" s="13"/>
      <c r="J78" s="13"/>
      <c r="K78" s="13"/>
    </row>
    <row r="79">
      <c r="B79" s="13"/>
      <c r="C79" s="13"/>
      <c r="D79" s="13"/>
      <c r="E79" s="13"/>
      <c r="F79" s="13"/>
      <c r="G79" s="13"/>
      <c r="H79" s="13"/>
      <c r="I79" s="13"/>
      <c r="J79" s="13"/>
      <c r="K79" s="13"/>
    </row>
    <row r="80">
      <c r="B80" s="13"/>
      <c r="C80" s="13"/>
      <c r="D80" s="13"/>
      <c r="E80" s="13"/>
      <c r="F80" s="13"/>
      <c r="G80" s="13"/>
      <c r="H80" s="13"/>
      <c r="I80" s="13"/>
      <c r="J80" s="13"/>
      <c r="K80" s="13"/>
    </row>
    <row r="81">
      <c r="B81" s="13"/>
      <c r="C81" s="13"/>
      <c r="D81" s="13"/>
      <c r="E81" s="13"/>
      <c r="F81" s="13"/>
      <c r="G81" s="13"/>
      <c r="H81" s="13"/>
      <c r="I81" s="13"/>
      <c r="J81" s="13"/>
      <c r="K81" s="13"/>
    </row>
    <row r="82">
      <c r="B82" s="13"/>
      <c r="C82" s="13"/>
      <c r="D82" s="13"/>
      <c r="E82" s="13"/>
      <c r="F82" s="13"/>
      <c r="G82" s="13"/>
      <c r="H82" s="13"/>
      <c r="I82" s="13"/>
      <c r="J82" s="13"/>
      <c r="K82" s="13"/>
    </row>
    <row r="83">
      <c r="B83" s="13"/>
      <c r="C83" s="13"/>
      <c r="D83" s="13"/>
      <c r="E83" s="13"/>
      <c r="F83" s="13"/>
      <c r="G83" s="13"/>
      <c r="H83" s="13"/>
      <c r="I83" s="13"/>
      <c r="J83" s="13"/>
      <c r="K83" s="13"/>
    </row>
  </sheetData>
  <mergeCells count="8">
    <mergeCell ref="B3:I3"/>
    <mergeCell ref="M4:Q4"/>
    <mergeCell ref="B8:I8"/>
    <mergeCell ref="M9:Q9"/>
    <mergeCell ref="B24:I24"/>
    <mergeCell ref="M25:Q25"/>
    <mergeCell ref="B53:I53"/>
    <mergeCell ref="M54:Q54"/>
  </mergeCells>
  <conditionalFormatting sqref="J2">
    <cfRule type="expression" dxfId="0" priority="1">
      <formula>ABS(J2:J997)&gt;5</formula>
    </cfRule>
  </conditionalFormatting>
  <conditionalFormatting sqref="J2">
    <cfRule type="expression" dxfId="0" priority="2">
      <formula>ABS(J:J)&gt;10.3</formula>
    </cfRule>
  </conditionalFormatting>
  <conditionalFormatting sqref="J1:J3 J8 J24 J53">
    <cfRule type="expression" dxfId="0" priority="3">
      <formula>ABS(J:J)&gt;7</formula>
    </cfRule>
  </conditionalFormatting>
  <conditionalFormatting sqref="K1:K1000">
    <cfRule type="cellIs" dxfId="5" priority="4" operator="greaterThan">
      <formula>20</formula>
    </cfRule>
  </conditionalFormatting>
  <conditionalFormatting sqref="K1:K1000">
    <cfRule type="cellIs" dxfId="0" priority="5" operator="greaterThan">
      <formula>19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7.75"/>
    <col customWidth="1" min="2" max="2" width="12.63"/>
  </cols>
  <sheetData>
    <row r="1">
      <c r="A1" s="178" t="s">
        <v>54</v>
      </c>
      <c r="B1" s="225" t="s">
        <v>55</v>
      </c>
      <c r="C1" s="77" t="s">
        <v>56</v>
      </c>
      <c r="D1" s="101" t="s">
        <v>57</v>
      </c>
      <c r="E1" s="101" t="s">
        <v>58</v>
      </c>
      <c r="F1" s="101" t="s">
        <v>59</v>
      </c>
      <c r="G1" s="101" t="s">
        <v>60</v>
      </c>
      <c r="H1" s="101" t="s">
        <v>61</v>
      </c>
      <c r="I1" s="101" t="s">
        <v>62</v>
      </c>
      <c r="J1" s="101" t="s">
        <v>63</v>
      </c>
      <c r="K1" s="192" t="s">
        <v>64</v>
      </c>
      <c r="L1" s="195" t="s">
        <v>128</v>
      </c>
      <c r="M1" s="195">
        <v>28.0</v>
      </c>
      <c r="N1" s="9" t="s">
        <v>129</v>
      </c>
      <c r="O1" s="9">
        <v>70.0</v>
      </c>
      <c r="P1" s="86"/>
      <c r="Q1" s="54"/>
      <c r="R1" s="226" t="s">
        <v>156</v>
      </c>
      <c r="S1" s="227" t="s">
        <v>54</v>
      </c>
      <c r="T1" s="228" t="s">
        <v>55</v>
      </c>
      <c r="U1" s="229" t="s">
        <v>57</v>
      </c>
      <c r="V1" s="229" t="s">
        <v>58</v>
      </c>
      <c r="W1" s="229" t="s">
        <v>59</v>
      </c>
      <c r="X1" s="229" t="s">
        <v>60</v>
      </c>
      <c r="Y1" s="229" t="s">
        <v>61</v>
      </c>
      <c r="Z1" s="229" t="s">
        <v>62</v>
      </c>
      <c r="AA1" s="229" t="s">
        <v>63</v>
      </c>
      <c r="AB1" s="230" t="s">
        <v>64</v>
      </c>
      <c r="AC1" s="231" t="s">
        <v>157</v>
      </c>
      <c r="AD1" s="232"/>
    </row>
    <row r="2" ht="21.0" customHeight="1">
      <c r="A2" s="60" t="s">
        <v>158</v>
      </c>
      <c r="B2" s="102"/>
      <c r="C2" s="102"/>
      <c r="D2" s="102"/>
      <c r="E2" s="102"/>
      <c r="F2" s="102">
        <f>SUM(F4:F998)</f>
        <v>285649</v>
      </c>
      <c r="G2" s="102">
        <f>MAX(G4:G998)</f>
        <v>510</v>
      </c>
      <c r="H2" s="102">
        <f t="shared" ref="H2:I2" si="1">SUM(H4:H998)</f>
        <v>86772</v>
      </c>
      <c r="I2" s="102">
        <f t="shared" si="1"/>
        <v>86694.22</v>
      </c>
      <c r="J2" s="102">
        <f>H2-I2</f>
        <v>77.78</v>
      </c>
      <c r="K2" s="103">
        <f>I2/F2*100</f>
        <v>30.34991195</v>
      </c>
      <c r="L2" s="64" t="s">
        <v>65</v>
      </c>
      <c r="M2" s="65"/>
      <c r="N2" s="54"/>
      <c r="O2" s="54"/>
      <c r="P2" s="86"/>
      <c r="Q2" s="54"/>
      <c r="S2" s="227" t="s">
        <v>159</v>
      </c>
      <c r="T2" s="232"/>
      <c r="U2" s="232"/>
      <c r="V2" s="232"/>
      <c r="W2" s="232">
        <f>SUM(W5:W180)</f>
        <v>178704</v>
      </c>
      <c r="X2" s="233"/>
      <c r="Y2" s="232">
        <f t="shared" ref="Y2:Z2" si="2">SUM(Y5:Y180)</f>
        <v>50539.92</v>
      </c>
      <c r="Z2" s="232">
        <f t="shared" si="2"/>
        <v>52135.93</v>
      </c>
      <c r="AA2" s="232">
        <f>Y2-Z2</f>
        <v>-1596.01</v>
      </c>
      <c r="AB2" s="234">
        <f>Z2/W2*100</f>
        <v>29.17446168</v>
      </c>
      <c r="AC2" s="235" t="s">
        <v>160</v>
      </c>
      <c r="AD2" s="236"/>
    </row>
    <row r="3">
      <c r="A3" s="237"/>
      <c r="B3" s="238"/>
      <c r="C3" s="238"/>
      <c r="D3" s="238"/>
      <c r="E3" s="238"/>
      <c r="F3" s="239" t="s">
        <v>66</v>
      </c>
      <c r="G3" s="238"/>
      <c r="H3" s="238"/>
      <c r="I3" s="238"/>
      <c r="J3" s="237"/>
      <c r="K3" s="237"/>
      <c r="L3" s="240"/>
      <c r="M3" s="237"/>
      <c r="N3" s="237"/>
      <c r="O3" s="89"/>
      <c r="P3" s="93"/>
      <c r="Q3" s="89"/>
      <c r="R3" s="241"/>
      <c r="T3" s="66"/>
      <c r="U3" s="66"/>
      <c r="V3" s="66"/>
      <c r="W3" s="67"/>
      <c r="X3" s="67">
        <v>2023.0</v>
      </c>
      <c r="Y3" s="66"/>
      <c r="Z3" s="66"/>
      <c r="AA3" s="66"/>
      <c r="AB3" s="242"/>
      <c r="AC3" s="54"/>
      <c r="AD3" s="54"/>
    </row>
    <row r="4">
      <c r="A4" s="54"/>
      <c r="B4" s="243">
        <v>45299.0</v>
      </c>
      <c r="C4" s="244"/>
      <c r="D4" s="245" t="s">
        <v>161</v>
      </c>
      <c r="E4" s="245">
        <v>1789610.0</v>
      </c>
      <c r="F4" s="245">
        <v>440.0</v>
      </c>
      <c r="G4" s="245">
        <v>501.0</v>
      </c>
      <c r="H4" s="246">
        <v>148.0</v>
      </c>
      <c r="I4" s="246">
        <v>152.07</v>
      </c>
      <c r="J4" s="246">
        <v>-4.07</v>
      </c>
      <c r="K4" s="247">
        <f t="shared" ref="K4:K22" si="3">I4/F4*100</f>
        <v>34.56136364</v>
      </c>
      <c r="L4" s="248"/>
      <c r="M4" s="74" t="s">
        <v>162</v>
      </c>
      <c r="N4" s="75"/>
      <c r="O4" s="75"/>
      <c r="P4" s="75"/>
      <c r="Q4" s="76"/>
      <c r="R4" s="249"/>
      <c r="T4" s="66"/>
      <c r="U4" s="66"/>
      <c r="V4" s="66"/>
      <c r="W4" s="67"/>
      <c r="X4" s="67" t="s">
        <v>66</v>
      </c>
      <c r="Y4" s="66"/>
      <c r="Z4" s="66"/>
      <c r="AA4" s="66"/>
      <c r="AB4" s="242"/>
      <c r="AC4" s="54"/>
      <c r="AD4" s="54"/>
    </row>
    <row r="5">
      <c r="A5" s="54"/>
      <c r="B5" s="250">
        <v>45300.0</v>
      </c>
      <c r="C5" s="251"/>
      <c r="D5" s="252" t="s">
        <v>161</v>
      </c>
      <c r="E5" s="252">
        <v>1790929.0</v>
      </c>
      <c r="F5" s="252">
        <v>1319.0</v>
      </c>
      <c r="G5" s="252">
        <v>510.0</v>
      </c>
      <c r="H5" s="253">
        <v>415.0</v>
      </c>
      <c r="I5" s="253">
        <v>420.01</v>
      </c>
      <c r="J5" s="253">
        <v>-5.01</v>
      </c>
      <c r="K5" s="247">
        <f t="shared" si="3"/>
        <v>31.84306293</v>
      </c>
      <c r="L5" s="248"/>
      <c r="M5" s="77" t="s">
        <v>70</v>
      </c>
      <c r="N5" s="77" t="s">
        <v>71</v>
      </c>
      <c r="O5" s="77" t="s">
        <v>163</v>
      </c>
      <c r="P5" s="77" t="s">
        <v>164</v>
      </c>
      <c r="Q5" s="77" t="s">
        <v>27</v>
      </c>
      <c r="R5" s="249"/>
      <c r="T5" s="70">
        <v>45294.0</v>
      </c>
      <c r="U5" s="71" t="s">
        <v>165</v>
      </c>
      <c r="V5" s="71">
        <v>1606384.0</v>
      </c>
      <c r="W5" s="71">
        <v>692.0</v>
      </c>
      <c r="X5" s="71" t="s">
        <v>166</v>
      </c>
      <c r="Y5" s="72">
        <v>199.58</v>
      </c>
      <c r="Z5" s="72">
        <v>200.0</v>
      </c>
      <c r="AA5" s="72">
        <v>-0.42</v>
      </c>
      <c r="AB5" s="254">
        <f t="shared" ref="AB5:AB11" si="4">Z5/W5*100</f>
        <v>28.9017341</v>
      </c>
      <c r="AC5" s="54"/>
      <c r="AD5" s="54"/>
    </row>
    <row r="6">
      <c r="A6" s="54"/>
      <c r="B6" s="250">
        <v>45302.0</v>
      </c>
      <c r="C6" s="251"/>
      <c r="D6" s="252" t="s">
        <v>161</v>
      </c>
      <c r="E6" s="252">
        <v>1792466.0</v>
      </c>
      <c r="F6" s="252">
        <v>1537.0</v>
      </c>
      <c r="G6" s="252">
        <v>501.0</v>
      </c>
      <c r="H6" s="253">
        <v>500.0</v>
      </c>
      <c r="I6" s="253">
        <v>491.6</v>
      </c>
      <c r="J6" s="253">
        <v>8.4</v>
      </c>
      <c r="K6" s="247">
        <f t="shared" si="3"/>
        <v>31.98438517</v>
      </c>
      <c r="L6" s="248"/>
      <c r="M6" s="77">
        <v>15987.0</v>
      </c>
      <c r="N6" s="79">
        <f>SUM(I4:I22)</f>
        <v>5245.83</v>
      </c>
      <c r="O6" s="79">
        <f>SUM(H4:H22)</f>
        <v>5245</v>
      </c>
      <c r="P6" s="79">
        <f>N6-O6</f>
        <v>0.83</v>
      </c>
      <c r="Q6" s="214">
        <f>N6/M6*100</f>
        <v>32.81309814</v>
      </c>
      <c r="R6" s="249"/>
      <c r="T6" s="70">
        <v>45295.0</v>
      </c>
      <c r="U6" s="71" t="s">
        <v>165</v>
      </c>
      <c r="V6" s="71">
        <v>1607087.0</v>
      </c>
      <c r="W6" s="71">
        <v>703.0</v>
      </c>
      <c r="X6" s="71" t="s">
        <v>167</v>
      </c>
      <c r="Y6" s="72">
        <v>202.68</v>
      </c>
      <c r="Z6" s="72">
        <v>200.0</v>
      </c>
      <c r="AA6" s="72">
        <v>2.68</v>
      </c>
      <c r="AB6" s="254">
        <f t="shared" si="4"/>
        <v>28.44950213</v>
      </c>
      <c r="AC6" s="54"/>
      <c r="AD6" s="54"/>
    </row>
    <row r="7">
      <c r="A7" s="54"/>
      <c r="B7" s="250">
        <v>45304.0</v>
      </c>
      <c r="C7" s="251"/>
      <c r="D7" s="252" t="s">
        <v>161</v>
      </c>
      <c r="E7" s="252">
        <v>1793668.0</v>
      </c>
      <c r="F7" s="252">
        <v>1202.0</v>
      </c>
      <c r="G7" s="252">
        <v>436.0</v>
      </c>
      <c r="H7" s="253">
        <v>357.0</v>
      </c>
      <c r="I7" s="253">
        <v>360.0</v>
      </c>
      <c r="J7" s="253">
        <v>-3.0</v>
      </c>
      <c r="K7" s="247">
        <f t="shared" si="3"/>
        <v>29.95008319</v>
      </c>
      <c r="L7" s="248"/>
      <c r="M7" s="54"/>
      <c r="N7" s="54"/>
      <c r="O7" s="54"/>
      <c r="P7" s="86"/>
      <c r="Q7" s="54"/>
      <c r="R7" s="249"/>
      <c r="T7" s="70">
        <v>45296.0</v>
      </c>
      <c r="U7" s="71" t="s">
        <v>165</v>
      </c>
      <c r="V7" s="71">
        <v>1607800.0</v>
      </c>
      <c r="W7" s="71">
        <v>713.0</v>
      </c>
      <c r="X7" s="71" t="s">
        <v>168</v>
      </c>
      <c r="Y7" s="72">
        <v>277.75</v>
      </c>
      <c r="Z7" s="72">
        <v>296.94</v>
      </c>
      <c r="AA7" s="72">
        <v>-19.19</v>
      </c>
      <c r="AB7" s="254">
        <f t="shared" si="4"/>
        <v>41.64656381</v>
      </c>
      <c r="AC7" s="54"/>
      <c r="AD7" s="54"/>
    </row>
    <row r="8">
      <c r="A8" s="54"/>
      <c r="B8" s="250">
        <v>45305.0</v>
      </c>
      <c r="C8" s="251"/>
      <c r="D8" s="252" t="s">
        <v>161</v>
      </c>
      <c r="E8" s="252">
        <v>1794003.0</v>
      </c>
      <c r="F8" s="252">
        <v>335.0</v>
      </c>
      <c r="G8" s="252">
        <v>510.0</v>
      </c>
      <c r="H8" s="253">
        <v>182.0</v>
      </c>
      <c r="I8" s="253">
        <v>190.01</v>
      </c>
      <c r="J8" s="253">
        <v>-8.01</v>
      </c>
      <c r="K8" s="247">
        <f t="shared" si="3"/>
        <v>56.71940299</v>
      </c>
      <c r="L8" s="248"/>
      <c r="M8" s="60"/>
      <c r="N8" s="54"/>
      <c r="O8" s="54"/>
      <c r="P8" s="86"/>
      <c r="Q8" s="54"/>
      <c r="R8" s="249"/>
      <c r="T8" s="70">
        <v>45298.0</v>
      </c>
      <c r="U8" s="71" t="s">
        <v>165</v>
      </c>
      <c r="V8" s="71">
        <v>1608657.0</v>
      </c>
      <c r="W8" s="71">
        <v>857.0</v>
      </c>
      <c r="X8" s="71" t="s">
        <v>169</v>
      </c>
      <c r="Y8" s="72">
        <v>239.22</v>
      </c>
      <c r="Z8" s="72">
        <v>255.18</v>
      </c>
      <c r="AA8" s="72">
        <v>-15.96</v>
      </c>
      <c r="AB8" s="254">
        <f t="shared" si="4"/>
        <v>29.77596266</v>
      </c>
      <c r="AC8" s="54"/>
      <c r="AD8" s="54"/>
    </row>
    <row r="9">
      <c r="A9" s="54"/>
      <c r="B9" s="250">
        <v>45307.0</v>
      </c>
      <c r="C9" s="251"/>
      <c r="D9" s="252" t="s">
        <v>161</v>
      </c>
      <c r="E9" s="252">
        <v>1795285.0</v>
      </c>
      <c r="F9" s="252">
        <v>1282.0</v>
      </c>
      <c r="G9" s="252">
        <v>495.0</v>
      </c>
      <c r="H9" s="253">
        <v>397.0</v>
      </c>
      <c r="I9" s="253">
        <v>400.0</v>
      </c>
      <c r="J9" s="253">
        <v>-3.0</v>
      </c>
      <c r="K9" s="247">
        <f t="shared" si="3"/>
        <v>31.20124805</v>
      </c>
      <c r="L9" s="248"/>
      <c r="M9" s="54"/>
      <c r="N9" s="54"/>
      <c r="O9" s="54"/>
      <c r="P9" s="86"/>
      <c r="Q9" s="54"/>
      <c r="R9" s="249"/>
      <c r="T9" s="70">
        <v>45301.0</v>
      </c>
      <c r="U9" s="71" t="s">
        <v>165</v>
      </c>
      <c r="V9" s="71">
        <v>1609279.0</v>
      </c>
      <c r="W9" s="71">
        <v>622.0</v>
      </c>
      <c r="X9" s="71" t="s">
        <v>170</v>
      </c>
      <c r="Y9" s="72">
        <v>294.63</v>
      </c>
      <c r="Z9" s="72">
        <v>300.0</v>
      </c>
      <c r="AA9" s="72">
        <v>-5.37</v>
      </c>
      <c r="AB9" s="254">
        <f t="shared" si="4"/>
        <v>48.23151125</v>
      </c>
      <c r="AC9" s="54"/>
      <c r="AD9" s="54"/>
    </row>
    <row r="10">
      <c r="A10" s="54"/>
      <c r="B10" s="250">
        <v>45308.0</v>
      </c>
      <c r="C10" s="251"/>
      <c r="D10" s="252" t="s">
        <v>161</v>
      </c>
      <c r="E10" s="252">
        <v>1795766.0</v>
      </c>
      <c r="F10" s="252">
        <v>481.0</v>
      </c>
      <c r="G10" s="252">
        <v>433.0</v>
      </c>
      <c r="H10" s="253">
        <v>99.0</v>
      </c>
      <c r="I10" s="253">
        <v>100.0</v>
      </c>
      <c r="J10" s="253">
        <v>-1.0</v>
      </c>
      <c r="K10" s="247">
        <f t="shared" si="3"/>
        <v>20.79002079</v>
      </c>
      <c r="L10" s="248"/>
      <c r="M10" s="54"/>
      <c r="N10" s="54"/>
      <c r="O10" s="54"/>
      <c r="P10" s="86"/>
      <c r="Q10" s="54"/>
      <c r="R10" s="249"/>
      <c r="T10" s="70">
        <v>45302.0</v>
      </c>
      <c r="U10" s="71" t="s">
        <v>165</v>
      </c>
      <c r="V10" s="71">
        <v>1610324.0</v>
      </c>
      <c r="W10" s="71">
        <v>1045.0</v>
      </c>
      <c r="X10" s="71" t="s">
        <v>171</v>
      </c>
      <c r="Y10" s="72">
        <v>313.88</v>
      </c>
      <c r="Z10" s="72">
        <v>330.01</v>
      </c>
      <c r="AA10" s="72">
        <v>-16.13</v>
      </c>
      <c r="AB10" s="254">
        <f t="shared" si="4"/>
        <v>31.57990431</v>
      </c>
      <c r="AC10" s="54"/>
      <c r="AD10" s="54"/>
    </row>
    <row r="11">
      <c r="A11" s="54"/>
      <c r="B11" s="250">
        <v>45309.0</v>
      </c>
      <c r="C11" s="251"/>
      <c r="D11" s="252" t="s">
        <v>161</v>
      </c>
      <c r="E11" s="252">
        <v>1796822.0</v>
      </c>
      <c r="F11" s="252">
        <v>1056.0</v>
      </c>
      <c r="G11" s="252">
        <v>468.0</v>
      </c>
      <c r="H11" s="253">
        <v>397.0</v>
      </c>
      <c r="I11" s="253">
        <v>400.0</v>
      </c>
      <c r="J11" s="253">
        <v>-3.0</v>
      </c>
      <c r="K11" s="247">
        <f t="shared" si="3"/>
        <v>37.87878788</v>
      </c>
      <c r="L11" s="248"/>
      <c r="M11" s="54"/>
      <c r="N11" s="54"/>
      <c r="O11" s="54"/>
      <c r="P11" s="86"/>
      <c r="Q11" s="54"/>
      <c r="R11" s="249"/>
      <c r="T11" s="70">
        <v>45306.0</v>
      </c>
      <c r="U11" s="71" t="s">
        <v>165</v>
      </c>
      <c r="V11" s="71">
        <v>1611490.0</v>
      </c>
      <c r="W11" s="71">
        <v>1166.0</v>
      </c>
      <c r="X11" s="71" t="s">
        <v>172</v>
      </c>
      <c r="Y11" s="72">
        <v>307.3</v>
      </c>
      <c r="Z11" s="72">
        <v>300.0</v>
      </c>
      <c r="AA11" s="72">
        <v>7.3</v>
      </c>
      <c r="AB11" s="254">
        <f t="shared" si="4"/>
        <v>25.72898799</v>
      </c>
      <c r="AC11" s="54"/>
      <c r="AD11" s="54"/>
    </row>
    <row r="12">
      <c r="A12" s="54"/>
      <c r="B12" s="250">
        <v>45310.0</v>
      </c>
      <c r="C12" s="251"/>
      <c r="D12" s="252" t="s">
        <v>161</v>
      </c>
      <c r="E12" s="252">
        <v>1797303.0</v>
      </c>
      <c r="F12" s="252">
        <v>481.0</v>
      </c>
      <c r="G12" s="252">
        <v>501.0</v>
      </c>
      <c r="H12" s="253">
        <v>193.0</v>
      </c>
      <c r="I12" s="253">
        <v>191.32</v>
      </c>
      <c r="J12" s="253">
        <v>1.68</v>
      </c>
      <c r="K12" s="247">
        <f t="shared" si="3"/>
        <v>39.77546778</v>
      </c>
      <c r="L12" s="248"/>
      <c r="M12" s="54"/>
      <c r="N12" s="54"/>
      <c r="O12" s="54"/>
      <c r="P12" s="86"/>
      <c r="Q12" s="54"/>
      <c r="R12" s="249"/>
      <c r="T12" s="70">
        <v>45307.0</v>
      </c>
      <c r="U12" s="71" t="s">
        <v>165</v>
      </c>
      <c r="V12" s="71" t="s">
        <v>87</v>
      </c>
      <c r="W12" s="73"/>
      <c r="X12" s="255"/>
      <c r="Y12" s="256"/>
      <c r="Z12" s="256"/>
      <c r="AA12" s="256"/>
      <c r="AB12" s="254"/>
      <c r="AC12" s="54"/>
      <c r="AD12" s="54"/>
    </row>
    <row r="13">
      <c r="A13" s="54"/>
      <c r="B13" s="250">
        <v>45311.0</v>
      </c>
      <c r="C13" s="251"/>
      <c r="D13" s="252" t="s">
        <v>161</v>
      </c>
      <c r="E13" s="252">
        <v>1798360.0</v>
      </c>
      <c r="F13" s="252">
        <v>1057.0</v>
      </c>
      <c r="G13" s="252">
        <v>501.0</v>
      </c>
      <c r="H13" s="253">
        <v>337.0</v>
      </c>
      <c r="I13" s="253">
        <v>340.0</v>
      </c>
      <c r="J13" s="253">
        <v>-3.0</v>
      </c>
      <c r="K13" s="247">
        <f t="shared" si="3"/>
        <v>32.16650899</v>
      </c>
      <c r="L13" s="248"/>
      <c r="M13" s="54"/>
      <c r="N13" s="54"/>
      <c r="O13" s="54"/>
      <c r="P13" s="86"/>
      <c r="Q13" s="54"/>
      <c r="R13" s="249"/>
      <c r="T13" s="70">
        <v>45307.0</v>
      </c>
      <c r="U13" s="71" t="s">
        <v>165</v>
      </c>
      <c r="V13" s="71">
        <v>1612103.0</v>
      </c>
      <c r="W13" s="71">
        <v>613.0</v>
      </c>
      <c r="X13" s="71" t="s">
        <v>173</v>
      </c>
      <c r="Y13" s="72">
        <v>206.43</v>
      </c>
      <c r="Z13" s="72">
        <v>200.0</v>
      </c>
      <c r="AA13" s="72">
        <v>6.43</v>
      </c>
      <c r="AB13" s="254">
        <f t="shared" ref="AB13:AB16" si="5">Z13/W13*100</f>
        <v>32.62642741</v>
      </c>
      <c r="AC13" s="54"/>
      <c r="AD13" s="54"/>
    </row>
    <row r="14">
      <c r="A14" s="54"/>
      <c r="B14" s="250">
        <v>45313.0</v>
      </c>
      <c r="C14" s="251"/>
      <c r="D14" s="252" t="s">
        <v>161</v>
      </c>
      <c r="E14" s="252">
        <v>1798987.0</v>
      </c>
      <c r="F14" s="252">
        <v>627.0</v>
      </c>
      <c r="G14" s="252">
        <v>501.0</v>
      </c>
      <c r="H14" s="253">
        <v>224.0</v>
      </c>
      <c r="I14" s="253">
        <v>224.74</v>
      </c>
      <c r="J14" s="253">
        <v>-0.74</v>
      </c>
      <c r="K14" s="247">
        <f t="shared" si="3"/>
        <v>35.84370016</v>
      </c>
      <c r="L14" s="248"/>
      <c r="M14" s="257"/>
      <c r="N14" s="54"/>
      <c r="O14" s="54"/>
      <c r="P14" s="86"/>
      <c r="Q14" s="54"/>
      <c r="R14" s="249"/>
      <c r="T14" s="70">
        <v>45309.0</v>
      </c>
      <c r="U14" s="71" t="s">
        <v>165</v>
      </c>
      <c r="V14" s="71">
        <v>1612619.0</v>
      </c>
      <c r="W14" s="71">
        <v>516.0</v>
      </c>
      <c r="X14" s="71" t="s">
        <v>174</v>
      </c>
      <c r="Y14" s="72">
        <v>257.48</v>
      </c>
      <c r="Z14" s="72">
        <v>270.0</v>
      </c>
      <c r="AA14" s="72">
        <v>-12.52</v>
      </c>
      <c r="AB14" s="254">
        <f t="shared" si="5"/>
        <v>52.3255814</v>
      </c>
      <c r="AC14" s="54"/>
      <c r="AD14" s="54"/>
    </row>
    <row r="15">
      <c r="A15" s="54"/>
      <c r="B15" s="250">
        <v>45314.0</v>
      </c>
      <c r="C15" s="251"/>
      <c r="D15" s="252" t="s">
        <v>161</v>
      </c>
      <c r="E15" s="252">
        <v>1800043.0</v>
      </c>
      <c r="F15" s="252">
        <v>1056.0</v>
      </c>
      <c r="G15" s="252">
        <v>497.0</v>
      </c>
      <c r="H15" s="253">
        <v>351.0</v>
      </c>
      <c r="I15" s="253">
        <v>350.0</v>
      </c>
      <c r="J15" s="253">
        <v>1.0</v>
      </c>
      <c r="K15" s="247">
        <f t="shared" si="3"/>
        <v>33.14393939</v>
      </c>
      <c r="L15" s="248"/>
      <c r="M15" s="54"/>
      <c r="N15" s="54"/>
      <c r="O15" s="54"/>
      <c r="P15" s="86"/>
      <c r="Q15" s="54"/>
      <c r="R15" s="249"/>
      <c r="T15" s="70">
        <v>45312.0</v>
      </c>
      <c r="U15" s="71" t="s">
        <v>165</v>
      </c>
      <c r="V15" s="71">
        <v>1613666.0</v>
      </c>
      <c r="W15" s="71">
        <v>1047.0</v>
      </c>
      <c r="X15" s="71" t="s">
        <v>175</v>
      </c>
      <c r="Y15" s="72">
        <v>326.02</v>
      </c>
      <c r="Z15" s="72">
        <v>344.87</v>
      </c>
      <c r="AA15" s="72">
        <v>-18.85</v>
      </c>
      <c r="AB15" s="254">
        <f t="shared" si="5"/>
        <v>32.93887297</v>
      </c>
      <c r="AC15" s="54"/>
      <c r="AD15" s="54"/>
    </row>
    <row r="16">
      <c r="A16" s="54"/>
      <c r="B16" s="250">
        <v>45315.0</v>
      </c>
      <c r="C16" s="251"/>
      <c r="D16" s="252" t="s">
        <v>161</v>
      </c>
      <c r="E16" s="252">
        <v>1800525.0</v>
      </c>
      <c r="F16" s="252">
        <v>482.0</v>
      </c>
      <c r="G16" s="252">
        <v>498.0</v>
      </c>
      <c r="H16" s="253">
        <v>167.0</v>
      </c>
      <c r="I16" s="253">
        <v>165.0</v>
      </c>
      <c r="J16" s="253">
        <v>2.0</v>
      </c>
      <c r="K16" s="247">
        <f t="shared" si="3"/>
        <v>34.23236515</v>
      </c>
      <c r="L16" s="248"/>
      <c r="M16" s="54"/>
      <c r="N16" s="54"/>
      <c r="O16" s="54"/>
      <c r="P16" s="86"/>
      <c r="Q16" s="54"/>
      <c r="R16" s="249"/>
      <c r="T16" s="70">
        <v>45315.0</v>
      </c>
      <c r="U16" s="71" t="s">
        <v>165</v>
      </c>
      <c r="V16" s="71">
        <v>1614592.0</v>
      </c>
      <c r="W16" s="71">
        <v>926.0</v>
      </c>
      <c r="X16" s="71" t="s">
        <v>176</v>
      </c>
      <c r="Y16" s="72">
        <v>358.65</v>
      </c>
      <c r="Z16" s="72">
        <v>371.64</v>
      </c>
      <c r="AA16" s="72">
        <v>-12.99</v>
      </c>
      <c r="AB16" s="254">
        <f t="shared" si="5"/>
        <v>40.13390929</v>
      </c>
      <c r="AC16" s="54"/>
      <c r="AD16" s="54"/>
    </row>
    <row r="17">
      <c r="A17" s="54"/>
      <c r="B17" s="250">
        <v>45316.0</v>
      </c>
      <c r="C17" s="251"/>
      <c r="D17" s="252" t="s">
        <v>161</v>
      </c>
      <c r="E17" s="252">
        <v>1801580.0</v>
      </c>
      <c r="F17" s="252">
        <v>1055.0</v>
      </c>
      <c r="G17" s="252">
        <v>500.0</v>
      </c>
      <c r="H17" s="253">
        <v>343.0</v>
      </c>
      <c r="I17" s="253">
        <v>345.0</v>
      </c>
      <c r="J17" s="253">
        <v>-2.0</v>
      </c>
      <c r="K17" s="247">
        <f t="shared" si="3"/>
        <v>32.7014218</v>
      </c>
      <c r="L17" s="248"/>
      <c r="M17" s="54"/>
      <c r="N17" s="54"/>
      <c r="O17" s="54"/>
      <c r="P17" s="86"/>
      <c r="Q17" s="54"/>
      <c r="R17" s="249"/>
      <c r="T17" s="66"/>
      <c r="U17" s="66"/>
      <c r="V17" s="66"/>
      <c r="W17" s="67"/>
      <c r="X17" s="67" t="s">
        <v>68</v>
      </c>
      <c r="Y17" s="66"/>
      <c r="Z17" s="66"/>
      <c r="AA17" s="66"/>
      <c r="AB17" s="242"/>
      <c r="AC17" s="54"/>
      <c r="AD17" s="54"/>
    </row>
    <row r="18">
      <c r="A18" s="54"/>
      <c r="B18" s="250">
        <v>45317.0</v>
      </c>
      <c r="C18" s="251"/>
      <c r="D18" s="252" t="s">
        <v>161</v>
      </c>
      <c r="E18" s="252">
        <v>1802060.0</v>
      </c>
      <c r="F18" s="252">
        <v>480.0</v>
      </c>
      <c r="G18" s="252">
        <v>494.0</v>
      </c>
      <c r="H18" s="253">
        <v>158.0</v>
      </c>
      <c r="I18" s="253">
        <v>155.0</v>
      </c>
      <c r="J18" s="253">
        <v>3.0</v>
      </c>
      <c r="K18" s="247">
        <f t="shared" si="3"/>
        <v>32.29166667</v>
      </c>
      <c r="L18" s="248"/>
      <c r="M18" s="54"/>
      <c r="N18" s="54"/>
      <c r="O18" s="54"/>
      <c r="P18" s="86"/>
      <c r="Q18" s="54"/>
      <c r="R18" s="249"/>
      <c r="T18" s="94">
        <v>45326.0</v>
      </c>
      <c r="U18" s="96" t="s">
        <v>177</v>
      </c>
      <c r="V18" s="96">
        <v>1615288.0</v>
      </c>
      <c r="W18" s="96">
        <v>696.0</v>
      </c>
      <c r="X18" s="96" t="s">
        <v>178</v>
      </c>
      <c r="Y18" s="97">
        <v>257.0</v>
      </c>
      <c r="Z18" s="97">
        <v>270.0</v>
      </c>
      <c r="AA18" s="97">
        <v>-13.0</v>
      </c>
      <c r="AB18" s="254">
        <f t="shared" ref="AB18:AB31" si="6">Z18/W18*100</f>
        <v>38.79310345</v>
      </c>
      <c r="AC18" s="54"/>
      <c r="AD18" s="54"/>
    </row>
    <row r="19">
      <c r="A19" s="54"/>
      <c r="B19" s="250">
        <v>45318.0</v>
      </c>
      <c r="C19" s="251"/>
      <c r="D19" s="252" t="s">
        <v>161</v>
      </c>
      <c r="E19" s="252">
        <v>1803114.0</v>
      </c>
      <c r="F19" s="252">
        <v>1054.0</v>
      </c>
      <c r="G19" s="252">
        <v>492.0</v>
      </c>
      <c r="H19" s="253">
        <v>324.0</v>
      </c>
      <c r="I19" s="253">
        <v>325.56</v>
      </c>
      <c r="J19" s="253">
        <v>-1.56</v>
      </c>
      <c r="K19" s="247">
        <f t="shared" si="3"/>
        <v>30.88804554</v>
      </c>
      <c r="L19" s="248"/>
      <c r="M19" s="54"/>
      <c r="N19" s="54"/>
      <c r="O19" s="54"/>
      <c r="P19" s="86"/>
      <c r="Q19" s="54"/>
      <c r="R19" s="249"/>
      <c r="T19" s="94">
        <v>45327.0</v>
      </c>
      <c r="U19" s="96" t="s">
        <v>177</v>
      </c>
      <c r="V19" s="96">
        <v>1616223.0</v>
      </c>
      <c r="W19" s="96">
        <v>935.0</v>
      </c>
      <c r="X19" s="96" t="s">
        <v>179</v>
      </c>
      <c r="Y19" s="97">
        <v>252.87</v>
      </c>
      <c r="Z19" s="97">
        <v>260.33</v>
      </c>
      <c r="AA19" s="97">
        <v>-7.46</v>
      </c>
      <c r="AB19" s="254">
        <f t="shared" si="6"/>
        <v>27.84278075</v>
      </c>
      <c r="AC19" s="54"/>
      <c r="AD19" s="54"/>
    </row>
    <row r="20">
      <c r="A20" s="54"/>
      <c r="B20" s="250">
        <v>45320.0</v>
      </c>
      <c r="C20" s="251"/>
      <c r="D20" s="252" t="s">
        <v>161</v>
      </c>
      <c r="E20" s="252">
        <v>1803594.0</v>
      </c>
      <c r="F20" s="252">
        <v>480.0</v>
      </c>
      <c r="G20" s="252">
        <v>497.0</v>
      </c>
      <c r="H20" s="253">
        <v>160.0</v>
      </c>
      <c r="I20" s="253">
        <v>155.52</v>
      </c>
      <c r="J20" s="253">
        <v>4.48</v>
      </c>
      <c r="K20" s="247">
        <f t="shared" si="3"/>
        <v>32.4</v>
      </c>
      <c r="L20" s="248"/>
      <c r="M20" s="54"/>
      <c r="N20" s="54"/>
      <c r="O20" s="54"/>
      <c r="P20" s="86"/>
      <c r="Q20" s="54"/>
      <c r="R20" s="249"/>
      <c r="T20" s="94">
        <v>45329.0</v>
      </c>
      <c r="U20" s="96" t="s">
        <v>177</v>
      </c>
      <c r="V20" s="96">
        <v>1617178.0</v>
      </c>
      <c r="W20" s="96">
        <v>955.0</v>
      </c>
      <c r="X20" s="96" t="s">
        <v>180</v>
      </c>
      <c r="Y20" s="97">
        <v>254.65</v>
      </c>
      <c r="Z20" s="97">
        <v>250.0</v>
      </c>
      <c r="AA20" s="97">
        <v>4.65</v>
      </c>
      <c r="AB20" s="254">
        <f t="shared" si="6"/>
        <v>26.17801047</v>
      </c>
      <c r="AC20" s="54"/>
      <c r="AD20" s="54"/>
    </row>
    <row r="21">
      <c r="A21" s="54"/>
      <c r="B21" s="250">
        <v>45321.0</v>
      </c>
      <c r="C21" s="251"/>
      <c r="D21" s="252" t="s">
        <v>161</v>
      </c>
      <c r="E21" s="252">
        <v>1804678.0</v>
      </c>
      <c r="F21" s="252">
        <v>1084.0</v>
      </c>
      <c r="G21" s="252">
        <v>507.0</v>
      </c>
      <c r="H21" s="253">
        <v>347.0</v>
      </c>
      <c r="I21" s="253">
        <v>340.0</v>
      </c>
      <c r="J21" s="253">
        <v>7.0</v>
      </c>
      <c r="K21" s="247">
        <f t="shared" si="3"/>
        <v>31.36531365</v>
      </c>
      <c r="L21" s="248"/>
      <c r="M21" s="54"/>
      <c r="N21" s="54"/>
      <c r="O21" s="54"/>
      <c r="P21" s="86"/>
      <c r="Q21" s="54"/>
      <c r="R21" s="249"/>
      <c r="T21" s="94">
        <v>45331.0</v>
      </c>
      <c r="U21" s="96" t="s">
        <v>177</v>
      </c>
      <c r="V21" s="96">
        <v>1618332.0</v>
      </c>
      <c r="W21" s="96">
        <v>1154.0</v>
      </c>
      <c r="X21" s="96" t="s">
        <v>181</v>
      </c>
      <c r="Y21" s="97">
        <v>356.05</v>
      </c>
      <c r="Z21" s="97">
        <v>350.0</v>
      </c>
      <c r="AA21" s="97">
        <v>6.05</v>
      </c>
      <c r="AB21" s="254">
        <f t="shared" si="6"/>
        <v>30.32928943</v>
      </c>
      <c r="AC21" s="54"/>
      <c r="AD21" s="54"/>
    </row>
    <row r="22">
      <c r="A22" s="54"/>
      <c r="B22" s="250">
        <v>45322.0</v>
      </c>
      <c r="C22" s="251"/>
      <c r="D22" s="252" t="s">
        <v>161</v>
      </c>
      <c r="E22" s="252">
        <v>1805157.0</v>
      </c>
      <c r="F22" s="252">
        <v>479.0</v>
      </c>
      <c r="G22" s="252">
        <v>500.0</v>
      </c>
      <c r="H22" s="253">
        <v>146.0</v>
      </c>
      <c r="I22" s="253">
        <v>140.0</v>
      </c>
      <c r="J22" s="253">
        <v>6.0</v>
      </c>
      <c r="K22" s="247">
        <f t="shared" si="3"/>
        <v>29.22755741</v>
      </c>
      <c r="L22" s="54"/>
      <c r="M22" s="54"/>
      <c r="N22" s="54"/>
      <c r="O22" s="54"/>
      <c r="P22" s="86"/>
      <c r="Q22" s="54"/>
      <c r="R22" s="249"/>
      <c r="T22" s="94">
        <v>45333.0</v>
      </c>
      <c r="U22" s="96" t="s">
        <v>177</v>
      </c>
      <c r="V22" s="96">
        <v>1619244.0</v>
      </c>
      <c r="W22" s="96">
        <v>912.0</v>
      </c>
      <c r="X22" s="96" t="s">
        <v>181</v>
      </c>
      <c r="Y22" s="97">
        <v>308.76</v>
      </c>
      <c r="Z22" s="97">
        <v>300.0</v>
      </c>
      <c r="AA22" s="97">
        <v>8.76</v>
      </c>
      <c r="AB22" s="254">
        <f t="shared" si="6"/>
        <v>32.89473684</v>
      </c>
      <c r="AC22" s="54"/>
      <c r="AD22" s="54"/>
    </row>
    <row r="23">
      <c r="A23" s="66"/>
      <c r="B23" s="67"/>
      <c r="C23" s="67"/>
      <c r="D23" s="67"/>
      <c r="E23" s="67"/>
      <c r="F23" s="67" t="s">
        <v>68</v>
      </c>
      <c r="G23" s="67"/>
      <c r="H23" s="67"/>
      <c r="I23" s="67"/>
      <c r="J23" s="66"/>
      <c r="K23" s="66"/>
      <c r="L23" s="66"/>
      <c r="M23" s="66"/>
      <c r="N23" s="66"/>
      <c r="O23" s="66"/>
      <c r="P23" s="113"/>
      <c r="Q23" s="66"/>
      <c r="R23" s="249"/>
      <c r="T23" s="94">
        <v>45337.0</v>
      </c>
      <c r="U23" s="96" t="s">
        <v>177</v>
      </c>
      <c r="V23" s="96">
        <v>1619861.0</v>
      </c>
      <c r="W23" s="96">
        <v>617.0</v>
      </c>
      <c r="X23" s="96" t="s">
        <v>182</v>
      </c>
      <c r="Y23" s="97">
        <v>250.44</v>
      </c>
      <c r="Z23" s="97">
        <v>266.59</v>
      </c>
      <c r="AA23" s="97">
        <v>-16.15</v>
      </c>
      <c r="AB23" s="254">
        <f t="shared" si="6"/>
        <v>43.20745543</v>
      </c>
      <c r="AC23" s="54"/>
      <c r="AD23" s="54"/>
    </row>
    <row r="24">
      <c r="A24" s="54"/>
      <c r="B24" s="243">
        <v>45323.0</v>
      </c>
      <c r="C24" s="244"/>
      <c r="D24" s="258"/>
      <c r="E24" s="245">
        <v>1806241.0</v>
      </c>
      <c r="F24" s="245">
        <v>1084.0</v>
      </c>
      <c r="G24" s="245">
        <v>501.0</v>
      </c>
      <c r="H24" s="246">
        <v>340.0</v>
      </c>
      <c r="I24" s="246">
        <v>340.0</v>
      </c>
      <c r="J24" s="246">
        <v>0.0</v>
      </c>
      <c r="K24" s="97">
        <v>31.37</v>
      </c>
      <c r="L24" s="54"/>
      <c r="M24" s="74" t="s">
        <v>183</v>
      </c>
      <c r="N24" s="75"/>
      <c r="O24" s="75"/>
      <c r="P24" s="75"/>
      <c r="Q24" s="76"/>
      <c r="R24" s="249"/>
      <c r="T24" s="94">
        <v>45339.0</v>
      </c>
      <c r="U24" s="96" t="s">
        <v>177</v>
      </c>
      <c r="V24" s="96">
        <v>1620824.0</v>
      </c>
      <c r="W24" s="96">
        <v>963.0</v>
      </c>
      <c r="X24" s="96" t="s">
        <v>184</v>
      </c>
      <c r="Y24" s="97">
        <v>270.46</v>
      </c>
      <c r="Z24" s="97">
        <v>265.63</v>
      </c>
      <c r="AA24" s="97">
        <v>4.83</v>
      </c>
      <c r="AB24" s="254">
        <f t="shared" si="6"/>
        <v>27.58359294</v>
      </c>
      <c r="AC24" s="54"/>
      <c r="AD24" s="54"/>
    </row>
    <row r="25">
      <c r="A25" s="54"/>
      <c r="B25" s="250">
        <v>45324.0</v>
      </c>
      <c r="C25" s="251"/>
      <c r="D25" s="259"/>
      <c r="E25" s="252">
        <v>1806721.0</v>
      </c>
      <c r="F25" s="252">
        <v>480.0</v>
      </c>
      <c r="G25" s="252">
        <v>496.0</v>
      </c>
      <c r="H25" s="253">
        <v>151.0</v>
      </c>
      <c r="I25" s="253">
        <v>150.0</v>
      </c>
      <c r="J25" s="253">
        <v>1.0</v>
      </c>
      <c r="K25" s="97">
        <v>31.25</v>
      </c>
      <c r="L25" s="54"/>
      <c r="M25" s="77" t="s">
        <v>70</v>
      </c>
      <c r="N25" s="77" t="s">
        <v>71</v>
      </c>
      <c r="O25" s="77" t="s">
        <v>163</v>
      </c>
      <c r="P25" s="77" t="s">
        <v>164</v>
      </c>
      <c r="Q25" s="77" t="s">
        <v>27</v>
      </c>
      <c r="R25" s="249"/>
      <c r="T25" s="94">
        <v>45340.0</v>
      </c>
      <c r="U25" s="96" t="s">
        <v>177</v>
      </c>
      <c r="V25" s="96">
        <v>1621446.0</v>
      </c>
      <c r="W25" s="96">
        <v>622.0</v>
      </c>
      <c r="X25" s="96" t="s">
        <v>185</v>
      </c>
      <c r="Y25" s="97">
        <v>225.36</v>
      </c>
      <c r="Z25" s="97">
        <v>240.0</v>
      </c>
      <c r="AA25" s="97">
        <v>-14.64</v>
      </c>
      <c r="AB25" s="254">
        <f t="shared" si="6"/>
        <v>38.585209</v>
      </c>
      <c r="AC25" s="54"/>
      <c r="AD25" s="54"/>
    </row>
    <row r="26">
      <c r="A26" s="54"/>
      <c r="B26" s="250">
        <v>45325.0</v>
      </c>
      <c r="C26" s="251"/>
      <c r="D26" s="259"/>
      <c r="E26" s="252">
        <v>1807769.0</v>
      </c>
      <c r="F26" s="252">
        <v>1048.0</v>
      </c>
      <c r="G26" s="252">
        <v>494.0</v>
      </c>
      <c r="H26" s="253">
        <v>328.0</v>
      </c>
      <c r="I26" s="253">
        <v>335.02</v>
      </c>
      <c r="J26" s="253">
        <v>-7.02</v>
      </c>
      <c r="K26" s="97">
        <v>31.97</v>
      </c>
      <c r="L26" s="54"/>
      <c r="M26" s="79">
        <f>SUM(F24:F46)</f>
        <v>19984</v>
      </c>
      <c r="N26" s="79">
        <f>SUM(I24:I46)</f>
        <v>6491.17</v>
      </c>
      <c r="O26" s="79">
        <f>SUM(H24:H46)</f>
        <v>6460</v>
      </c>
      <c r="P26" s="79">
        <f>N26-O26</f>
        <v>31.17</v>
      </c>
      <c r="Q26" s="214">
        <f>N26/M26*100</f>
        <v>32.48183547</v>
      </c>
      <c r="R26" s="249"/>
      <c r="T26" s="94">
        <v>45342.0</v>
      </c>
      <c r="U26" s="96" t="s">
        <v>177</v>
      </c>
      <c r="V26" s="96">
        <v>1622169.0</v>
      </c>
      <c r="W26" s="96">
        <v>723.0</v>
      </c>
      <c r="X26" s="96" t="s">
        <v>186</v>
      </c>
      <c r="Y26" s="97">
        <v>228.74</v>
      </c>
      <c r="Z26" s="97">
        <v>286.58</v>
      </c>
      <c r="AA26" s="97">
        <v>-57.84</v>
      </c>
      <c r="AB26" s="254">
        <f t="shared" si="6"/>
        <v>39.63762102</v>
      </c>
      <c r="AC26" s="54"/>
      <c r="AD26" s="54"/>
    </row>
    <row r="27">
      <c r="A27" s="54"/>
      <c r="B27" s="250">
        <v>45327.0</v>
      </c>
      <c r="C27" s="251"/>
      <c r="D27" s="259"/>
      <c r="E27" s="252">
        <v>1808249.0</v>
      </c>
      <c r="F27" s="252">
        <v>480.0</v>
      </c>
      <c r="G27" s="252">
        <v>498.0</v>
      </c>
      <c r="H27" s="253">
        <v>156.0</v>
      </c>
      <c r="I27" s="253">
        <v>150.0</v>
      </c>
      <c r="J27" s="253">
        <v>6.0</v>
      </c>
      <c r="K27" s="97">
        <v>31.25</v>
      </c>
      <c r="L27" s="54"/>
      <c r="M27" s="54"/>
      <c r="N27" s="54"/>
      <c r="O27" s="54"/>
      <c r="P27" s="86"/>
      <c r="Q27" s="54"/>
      <c r="R27" s="249"/>
      <c r="T27" s="94">
        <v>45343.0</v>
      </c>
      <c r="U27" s="96" t="s">
        <v>177</v>
      </c>
      <c r="V27" s="96">
        <v>1622796.0</v>
      </c>
      <c r="W27" s="96">
        <v>627.0</v>
      </c>
      <c r="X27" s="96" t="s">
        <v>187</v>
      </c>
      <c r="Y27" s="97">
        <v>209.25</v>
      </c>
      <c r="Z27" s="97">
        <v>218.65</v>
      </c>
      <c r="AA27" s="97">
        <v>-9.4</v>
      </c>
      <c r="AB27" s="254">
        <f t="shared" si="6"/>
        <v>34.87240829</v>
      </c>
      <c r="AC27" s="54"/>
      <c r="AD27" s="54"/>
    </row>
    <row r="28">
      <c r="A28" s="54"/>
      <c r="B28" s="250">
        <v>45328.0</v>
      </c>
      <c r="C28" s="251"/>
      <c r="D28" s="259"/>
      <c r="E28" s="252">
        <v>1809303.0</v>
      </c>
      <c r="F28" s="252">
        <v>1054.0</v>
      </c>
      <c r="G28" s="252">
        <v>494.0</v>
      </c>
      <c r="H28" s="253">
        <v>323.0</v>
      </c>
      <c r="I28" s="253">
        <v>325.0</v>
      </c>
      <c r="J28" s="253">
        <v>-2.0</v>
      </c>
      <c r="K28" s="97">
        <v>30.83</v>
      </c>
      <c r="L28" s="54"/>
      <c r="M28" s="60"/>
      <c r="N28" s="54"/>
      <c r="O28" s="54"/>
      <c r="P28" s="86"/>
      <c r="Q28" s="54"/>
      <c r="R28" s="249"/>
      <c r="T28" s="94">
        <v>45345.0</v>
      </c>
      <c r="U28" s="96" t="s">
        <v>177</v>
      </c>
      <c r="V28" s="96">
        <v>1623670.0</v>
      </c>
      <c r="W28" s="96">
        <v>874.0</v>
      </c>
      <c r="X28" s="96" t="s">
        <v>188</v>
      </c>
      <c r="Y28" s="97">
        <v>258.31</v>
      </c>
      <c r="Z28" s="97">
        <v>260.0</v>
      </c>
      <c r="AA28" s="97">
        <v>-1.69</v>
      </c>
      <c r="AB28" s="254">
        <f t="shared" si="6"/>
        <v>29.74828375</v>
      </c>
      <c r="AC28" s="54"/>
      <c r="AD28" s="54"/>
    </row>
    <row r="29">
      <c r="A29" s="54"/>
      <c r="B29" s="250">
        <v>45329.0</v>
      </c>
      <c r="C29" s="251"/>
      <c r="D29" s="259"/>
      <c r="E29" s="252">
        <v>1809782.0</v>
      </c>
      <c r="F29" s="252">
        <v>479.0</v>
      </c>
      <c r="G29" s="252">
        <v>497.0</v>
      </c>
      <c r="H29" s="253">
        <v>148.0</v>
      </c>
      <c r="I29" s="253">
        <v>145.01</v>
      </c>
      <c r="J29" s="253">
        <v>2.99</v>
      </c>
      <c r="K29" s="97">
        <v>30.27</v>
      </c>
      <c r="L29" s="54"/>
      <c r="M29" s="63"/>
      <c r="N29" s="54"/>
      <c r="O29" s="54"/>
      <c r="P29" s="86"/>
      <c r="Q29" s="54"/>
      <c r="R29" s="249"/>
      <c r="T29" s="94">
        <v>45348.0</v>
      </c>
      <c r="U29" s="96" t="s">
        <v>177</v>
      </c>
      <c r="V29" s="96">
        <v>1624297.0</v>
      </c>
      <c r="W29" s="96">
        <v>627.0</v>
      </c>
      <c r="X29" s="96" t="s">
        <v>189</v>
      </c>
      <c r="Y29" s="97">
        <v>209.46</v>
      </c>
      <c r="Z29" s="97">
        <v>264.62</v>
      </c>
      <c r="AA29" s="97">
        <v>-55.16</v>
      </c>
      <c r="AB29" s="254">
        <f t="shared" si="6"/>
        <v>42.20414673</v>
      </c>
      <c r="AC29" s="54"/>
      <c r="AD29" s="54"/>
    </row>
    <row r="30">
      <c r="A30" s="54"/>
      <c r="B30" s="250">
        <v>45330.0</v>
      </c>
      <c r="C30" s="251"/>
      <c r="D30" s="259"/>
      <c r="E30" s="252">
        <v>1810837.0</v>
      </c>
      <c r="F30" s="252">
        <v>1055.0</v>
      </c>
      <c r="G30" s="252">
        <v>497.0</v>
      </c>
      <c r="H30" s="253">
        <v>348.0</v>
      </c>
      <c r="I30" s="253">
        <v>355.0</v>
      </c>
      <c r="J30" s="253">
        <v>-7.0</v>
      </c>
      <c r="K30" s="97">
        <v>33.65</v>
      </c>
      <c r="L30" s="54"/>
      <c r="M30" s="54"/>
      <c r="N30" s="54"/>
      <c r="O30" s="54"/>
      <c r="P30" s="86"/>
      <c r="Q30" s="54"/>
      <c r="R30" s="249"/>
      <c r="T30" s="94">
        <v>45349.0</v>
      </c>
      <c r="U30" s="96" t="s">
        <v>177</v>
      </c>
      <c r="V30" s="96">
        <v>1624486.0</v>
      </c>
      <c r="W30" s="96">
        <v>189.0</v>
      </c>
      <c r="X30" s="96" t="s">
        <v>190</v>
      </c>
      <c r="Y30" s="97">
        <v>58.98</v>
      </c>
      <c r="Z30" s="97">
        <v>70.34</v>
      </c>
      <c r="AA30" s="97">
        <v>-11.36</v>
      </c>
      <c r="AB30" s="254">
        <f t="shared" si="6"/>
        <v>37.21693122</v>
      </c>
      <c r="AC30" s="54"/>
      <c r="AD30" s="54"/>
    </row>
    <row r="31">
      <c r="A31" s="54"/>
      <c r="B31" s="250">
        <v>45331.0</v>
      </c>
      <c r="C31" s="251"/>
      <c r="D31" s="259"/>
      <c r="E31" s="252">
        <v>1811399.0</v>
      </c>
      <c r="F31" s="252">
        <v>562.0</v>
      </c>
      <c r="G31" s="252">
        <v>442.0</v>
      </c>
      <c r="H31" s="253">
        <v>147.0</v>
      </c>
      <c r="I31" s="253">
        <v>150.0</v>
      </c>
      <c r="J31" s="253">
        <v>-3.0</v>
      </c>
      <c r="K31" s="97">
        <v>26.69</v>
      </c>
      <c r="L31" s="54"/>
      <c r="M31" s="54"/>
      <c r="N31" s="54"/>
      <c r="O31" s="54"/>
      <c r="P31" s="86"/>
      <c r="Q31" s="54"/>
      <c r="R31" s="249"/>
      <c r="T31" s="94">
        <v>45350.0</v>
      </c>
      <c r="U31" s="96" t="s">
        <v>177</v>
      </c>
      <c r="V31" s="96">
        <v>1625277.0</v>
      </c>
      <c r="W31" s="96">
        <v>791.0</v>
      </c>
      <c r="X31" s="96" t="s">
        <v>191</v>
      </c>
      <c r="Y31" s="97">
        <v>237.3</v>
      </c>
      <c r="Z31" s="97">
        <v>244.73</v>
      </c>
      <c r="AA31" s="97">
        <v>-7.43</v>
      </c>
      <c r="AB31" s="254">
        <f t="shared" si="6"/>
        <v>30.93931732</v>
      </c>
      <c r="AC31" s="54"/>
      <c r="AD31" s="54"/>
    </row>
    <row r="32">
      <c r="A32" s="54"/>
      <c r="B32" s="250">
        <v>45332.0</v>
      </c>
      <c r="C32" s="251"/>
      <c r="D32" s="259"/>
      <c r="E32" s="252">
        <v>1812373.0</v>
      </c>
      <c r="F32" s="252">
        <v>974.0</v>
      </c>
      <c r="G32" s="252">
        <v>494.0</v>
      </c>
      <c r="H32" s="253">
        <v>399.0</v>
      </c>
      <c r="I32" s="253">
        <v>400.0</v>
      </c>
      <c r="J32" s="253">
        <v>-1.0</v>
      </c>
      <c r="K32" s="97">
        <v>41.07</v>
      </c>
      <c r="L32" s="54"/>
      <c r="M32" s="54"/>
      <c r="N32" s="54"/>
      <c r="O32" s="54"/>
      <c r="P32" s="86"/>
      <c r="Q32" s="54"/>
      <c r="R32" s="249"/>
      <c r="T32" s="66"/>
      <c r="U32" s="66"/>
      <c r="V32" s="66"/>
      <c r="W32" s="67"/>
      <c r="X32" s="67" t="s">
        <v>72</v>
      </c>
      <c r="Y32" s="66"/>
      <c r="Z32" s="66"/>
      <c r="AA32" s="66"/>
      <c r="AB32" s="242"/>
      <c r="AC32" s="54"/>
      <c r="AD32" s="54"/>
    </row>
    <row r="33">
      <c r="A33" s="54"/>
      <c r="B33" s="250">
        <v>45334.0</v>
      </c>
      <c r="C33" s="251"/>
      <c r="D33" s="259"/>
      <c r="E33" s="252">
        <v>1812853.0</v>
      </c>
      <c r="F33" s="252">
        <v>480.0</v>
      </c>
      <c r="G33" s="252">
        <v>497.0</v>
      </c>
      <c r="H33" s="253">
        <v>152.0</v>
      </c>
      <c r="I33" s="253">
        <v>150.0</v>
      </c>
      <c r="J33" s="253">
        <v>2.0</v>
      </c>
      <c r="K33" s="97">
        <v>31.25</v>
      </c>
      <c r="L33" s="54"/>
      <c r="M33" s="54"/>
      <c r="N33" s="54"/>
      <c r="O33" s="54"/>
      <c r="P33" s="86"/>
      <c r="Q33" s="54"/>
      <c r="R33" s="249"/>
      <c r="T33" s="70">
        <v>45353.0</v>
      </c>
      <c r="U33" s="71" t="s">
        <v>177</v>
      </c>
      <c r="V33" s="71">
        <v>1626762.0</v>
      </c>
      <c r="W33" s="71">
        <v>1485.0</v>
      </c>
      <c r="X33" s="71" t="s">
        <v>192</v>
      </c>
      <c r="Y33" s="72">
        <v>438.59</v>
      </c>
      <c r="Z33" s="72">
        <v>450.06</v>
      </c>
      <c r="AA33" s="72">
        <v>-11.47</v>
      </c>
      <c r="AB33" s="254">
        <f t="shared" ref="AB33:AB44" si="7">Z33/W33*100</f>
        <v>30.30707071</v>
      </c>
      <c r="AC33" s="54"/>
      <c r="AD33" s="54"/>
    </row>
    <row r="34">
      <c r="A34" s="54"/>
      <c r="B34" s="250">
        <v>45335.0</v>
      </c>
      <c r="C34" s="251"/>
      <c r="D34" s="259"/>
      <c r="E34" s="252">
        <v>1813930.0</v>
      </c>
      <c r="F34" s="252">
        <v>1077.0</v>
      </c>
      <c r="G34" s="252">
        <v>499.0</v>
      </c>
      <c r="H34" s="253">
        <v>346.0</v>
      </c>
      <c r="I34" s="253">
        <v>352.06</v>
      </c>
      <c r="J34" s="253">
        <v>-6.06</v>
      </c>
      <c r="K34" s="97">
        <v>32.69</v>
      </c>
      <c r="L34" s="54"/>
      <c r="M34" s="54"/>
      <c r="N34" s="54"/>
      <c r="O34" s="54"/>
      <c r="P34" s="86"/>
      <c r="Q34" s="54"/>
      <c r="R34" s="249"/>
      <c r="T34" s="70">
        <v>45354.0</v>
      </c>
      <c r="U34" s="71" t="s">
        <v>177</v>
      </c>
      <c r="V34" s="71">
        <v>1627652.0</v>
      </c>
      <c r="W34" s="71">
        <v>890.0</v>
      </c>
      <c r="X34" s="71" t="s">
        <v>193</v>
      </c>
      <c r="Y34" s="72">
        <v>259.09</v>
      </c>
      <c r="Z34" s="72">
        <v>272.67</v>
      </c>
      <c r="AA34" s="72">
        <v>-13.58</v>
      </c>
      <c r="AB34" s="254">
        <f t="shared" si="7"/>
        <v>30.63707865</v>
      </c>
      <c r="AC34" s="54"/>
      <c r="AD34" s="54"/>
    </row>
    <row r="35">
      <c r="A35" s="54"/>
      <c r="B35" s="250">
        <v>45336.0</v>
      </c>
      <c r="C35" s="251"/>
      <c r="D35" s="259"/>
      <c r="E35" s="252">
        <v>1814924.0</v>
      </c>
      <c r="F35" s="252">
        <v>994.0</v>
      </c>
      <c r="G35" s="252">
        <v>467.0</v>
      </c>
      <c r="H35" s="253">
        <v>313.0</v>
      </c>
      <c r="I35" s="253">
        <v>314.16</v>
      </c>
      <c r="J35" s="253">
        <v>-1.16</v>
      </c>
      <c r="K35" s="97">
        <v>31.61</v>
      </c>
      <c r="L35" s="54"/>
      <c r="M35" s="54"/>
      <c r="N35" s="54"/>
      <c r="O35" s="54"/>
      <c r="P35" s="86"/>
      <c r="Q35" s="54"/>
      <c r="R35" s="249"/>
      <c r="T35" s="70">
        <v>45355.0</v>
      </c>
      <c r="U35" s="71" t="s">
        <v>177</v>
      </c>
      <c r="V35" s="71">
        <v>1628469.0</v>
      </c>
      <c r="W35" s="71">
        <v>817.0</v>
      </c>
      <c r="X35" s="71" t="s">
        <v>194</v>
      </c>
      <c r="Y35" s="72">
        <v>209.1</v>
      </c>
      <c r="Z35" s="72">
        <v>217.6</v>
      </c>
      <c r="AA35" s="72">
        <v>-8.5</v>
      </c>
      <c r="AB35" s="254">
        <f t="shared" si="7"/>
        <v>26.63402693</v>
      </c>
      <c r="AC35" s="54"/>
      <c r="AD35" s="54"/>
    </row>
    <row r="36">
      <c r="A36" s="54"/>
      <c r="B36" s="250">
        <v>45337.0</v>
      </c>
      <c r="C36" s="251"/>
      <c r="D36" s="259"/>
      <c r="E36" s="252">
        <v>1815726.0</v>
      </c>
      <c r="F36" s="252">
        <v>802.0</v>
      </c>
      <c r="G36" s="252">
        <v>484.0</v>
      </c>
      <c r="H36" s="253">
        <v>307.0</v>
      </c>
      <c r="I36" s="253">
        <v>300.0</v>
      </c>
      <c r="J36" s="253">
        <v>7.0</v>
      </c>
      <c r="K36" s="97">
        <v>37.41</v>
      </c>
      <c r="L36" s="54"/>
      <c r="M36" s="54"/>
      <c r="N36" s="54"/>
      <c r="O36" s="54"/>
      <c r="P36" s="86"/>
      <c r="Q36" s="54"/>
      <c r="R36" s="249"/>
      <c r="T36" s="70">
        <v>45357.0</v>
      </c>
      <c r="U36" s="71" t="s">
        <v>177</v>
      </c>
      <c r="V36" s="71">
        <v>1629408.0</v>
      </c>
      <c r="W36" s="71">
        <v>939.0</v>
      </c>
      <c r="X36" s="71" t="s">
        <v>195</v>
      </c>
      <c r="Y36" s="72">
        <v>276.31</v>
      </c>
      <c r="Z36" s="72">
        <v>350.0</v>
      </c>
      <c r="AA36" s="72">
        <v>-73.69</v>
      </c>
      <c r="AB36" s="254">
        <f t="shared" si="7"/>
        <v>37.27369542</v>
      </c>
      <c r="AC36" s="54"/>
      <c r="AD36" s="54"/>
    </row>
    <row r="37">
      <c r="A37" s="54"/>
      <c r="B37" s="250">
        <v>45338.0</v>
      </c>
      <c r="C37" s="251"/>
      <c r="D37" s="259"/>
      <c r="E37" s="252">
        <v>1816464.0</v>
      </c>
      <c r="F37" s="252">
        <v>738.0</v>
      </c>
      <c r="G37" s="252">
        <v>479.0</v>
      </c>
      <c r="H37" s="253">
        <v>224.0</v>
      </c>
      <c r="I37" s="253">
        <v>224.29</v>
      </c>
      <c r="J37" s="253">
        <v>-0.29</v>
      </c>
      <c r="K37" s="97">
        <v>30.39</v>
      </c>
      <c r="L37" s="54"/>
      <c r="M37" s="54"/>
      <c r="N37" s="54"/>
      <c r="O37" s="54"/>
      <c r="P37" s="86"/>
      <c r="Q37" s="54"/>
      <c r="R37" s="249"/>
      <c r="T37" s="70">
        <v>45358.0</v>
      </c>
      <c r="U37" s="71" t="s">
        <v>177</v>
      </c>
      <c r="V37" s="71">
        <v>1630101.0</v>
      </c>
      <c r="W37" s="71">
        <v>693.0</v>
      </c>
      <c r="X37" s="71" t="s">
        <v>196</v>
      </c>
      <c r="Y37" s="72">
        <v>236.85</v>
      </c>
      <c r="Z37" s="72">
        <v>248.59</v>
      </c>
      <c r="AA37" s="72">
        <v>-11.74</v>
      </c>
      <c r="AB37" s="254">
        <f t="shared" si="7"/>
        <v>35.87157287</v>
      </c>
      <c r="AC37" s="54"/>
      <c r="AD37" s="54"/>
    </row>
    <row r="38">
      <c r="A38" s="54"/>
      <c r="B38" s="250">
        <v>45340.0</v>
      </c>
      <c r="C38" s="251"/>
      <c r="D38" s="259"/>
      <c r="E38" s="252">
        <v>1817245.0</v>
      </c>
      <c r="F38" s="252">
        <v>781.0</v>
      </c>
      <c r="G38" s="252">
        <v>498.0</v>
      </c>
      <c r="H38" s="253">
        <v>287.0</v>
      </c>
      <c r="I38" s="253">
        <v>292.03</v>
      </c>
      <c r="J38" s="253">
        <v>-5.03</v>
      </c>
      <c r="K38" s="97">
        <v>37.39</v>
      </c>
      <c r="L38" s="54"/>
      <c r="M38" s="54"/>
      <c r="N38" s="54"/>
      <c r="O38" s="54"/>
      <c r="P38" s="86"/>
      <c r="Q38" s="54"/>
      <c r="R38" s="249"/>
      <c r="T38" s="70">
        <v>45360.0</v>
      </c>
      <c r="U38" s="71" t="s">
        <v>177</v>
      </c>
      <c r="V38" s="71">
        <v>1630769.0</v>
      </c>
      <c r="W38" s="71">
        <v>668.0</v>
      </c>
      <c r="X38" s="71" t="s">
        <v>197</v>
      </c>
      <c r="Y38" s="72">
        <v>214.63</v>
      </c>
      <c r="Z38" s="72">
        <v>300.0</v>
      </c>
      <c r="AA38" s="72">
        <v>-85.37</v>
      </c>
      <c r="AB38" s="254">
        <f t="shared" si="7"/>
        <v>44.91017964</v>
      </c>
      <c r="AC38" s="54"/>
      <c r="AD38" s="54"/>
    </row>
    <row r="39">
      <c r="A39" s="54"/>
      <c r="B39" s="250">
        <v>45342.0</v>
      </c>
      <c r="C39" s="251"/>
      <c r="D39" s="259"/>
      <c r="E39" s="252">
        <v>1818525.0</v>
      </c>
      <c r="F39" s="252">
        <v>1280.0</v>
      </c>
      <c r="G39" s="252">
        <v>491.0</v>
      </c>
      <c r="H39" s="253">
        <v>399.0</v>
      </c>
      <c r="I39" s="253">
        <v>399.97</v>
      </c>
      <c r="J39" s="253">
        <v>-0.97</v>
      </c>
      <c r="K39" s="97">
        <v>31.25</v>
      </c>
      <c r="L39" s="54"/>
      <c r="M39" s="54"/>
      <c r="N39" s="54"/>
      <c r="O39" s="54"/>
      <c r="P39" s="86"/>
      <c r="Q39" s="54"/>
      <c r="R39" s="249"/>
      <c r="T39" s="70">
        <v>45363.0</v>
      </c>
      <c r="U39" s="71" t="s">
        <v>177</v>
      </c>
      <c r="V39" s="71">
        <v>1631363.0</v>
      </c>
      <c r="W39" s="71">
        <v>594.0</v>
      </c>
      <c r="X39" s="71" t="s">
        <v>198</v>
      </c>
      <c r="Y39" s="72">
        <v>212.77</v>
      </c>
      <c r="Z39" s="72">
        <v>271.21</v>
      </c>
      <c r="AA39" s="72">
        <v>-58.44</v>
      </c>
      <c r="AB39" s="254">
        <f t="shared" si="7"/>
        <v>45.65824916</v>
      </c>
      <c r="AC39" s="54"/>
      <c r="AD39" s="54"/>
    </row>
    <row r="40">
      <c r="A40" s="54"/>
      <c r="B40" s="250">
        <v>45343.0</v>
      </c>
      <c r="C40" s="251"/>
      <c r="D40" s="259"/>
      <c r="E40" s="252">
        <v>1819004.0</v>
      </c>
      <c r="F40" s="252">
        <v>479.0</v>
      </c>
      <c r="G40" s="252">
        <v>498.0</v>
      </c>
      <c r="H40" s="253">
        <v>164.0</v>
      </c>
      <c r="I40" s="253">
        <v>158.52</v>
      </c>
      <c r="J40" s="253">
        <v>5.48</v>
      </c>
      <c r="K40" s="97">
        <v>33.09</v>
      </c>
      <c r="L40" s="54"/>
      <c r="M40" s="54"/>
      <c r="N40" s="54"/>
      <c r="O40" s="54"/>
      <c r="P40" s="86"/>
      <c r="Q40" s="54"/>
      <c r="R40" s="249"/>
      <c r="T40" s="70">
        <v>45364.0</v>
      </c>
      <c r="U40" s="71" t="s">
        <v>177</v>
      </c>
      <c r="V40" s="71">
        <v>1632207.0</v>
      </c>
      <c r="W40" s="71">
        <v>844.0</v>
      </c>
      <c r="X40" s="71" t="s">
        <v>199</v>
      </c>
      <c r="Y40" s="72">
        <v>225.19</v>
      </c>
      <c r="Z40" s="72">
        <v>239.21</v>
      </c>
      <c r="AA40" s="72">
        <v>-14.02</v>
      </c>
      <c r="AB40" s="254">
        <f t="shared" si="7"/>
        <v>28.34241706</v>
      </c>
      <c r="AC40" s="54"/>
      <c r="AD40" s="54"/>
    </row>
    <row r="41">
      <c r="A41" s="54"/>
      <c r="B41" s="250">
        <v>45344.0</v>
      </c>
      <c r="C41" s="251"/>
      <c r="D41" s="259"/>
      <c r="E41" s="252">
        <v>1820061.0</v>
      </c>
      <c r="F41" s="252">
        <v>1057.0</v>
      </c>
      <c r="G41" s="252">
        <v>495.0</v>
      </c>
      <c r="H41" s="253">
        <v>332.0</v>
      </c>
      <c r="I41" s="253">
        <v>337.59</v>
      </c>
      <c r="J41" s="253">
        <v>-5.59</v>
      </c>
      <c r="K41" s="97">
        <v>31.94</v>
      </c>
      <c r="L41" s="54"/>
      <c r="M41" s="54"/>
      <c r="N41" s="54"/>
      <c r="O41" s="54"/>
      <c r="P41" s="86"/>
      <c r="Q41" s="54"/>
      <c r="R41" s="249"/>
      <c r="T41" s="70">
        <v>45366.0</v>
      </c>
      <c r="U41" s="71" t="s">
        <v>177</v>
      </c>
      <c r="V41" s="71">
        <v>1632878.0</v>
      </c>
      <c r="W41" s="71">
        <v>671.0</v>
      </c>
      <c r="X41" s="71" t="s">
        <v>200</v>
      </c>
      <c r="Y41" s="72">
        <v>192.69</v>
      </c>
      <c r="Z41" s="72">
        <v>200.0</v>
      </c>
      <c r="AA41" s="72">
        <v>-7.31</v>
      </c>
      <c r="AB41" s="254">
        <f t="shared" si="7"/>
        <v>29.80625931</v>
      </c>
      <c r="AC41" s="54"/>
      <c r="AD41" s="54"/>
    </row>
    <row r="42">
      <c r="A42" s="54"/>
      <c r="B42" s="250">
        <v>45345.0</v>
      </c>
      <c r="C42" s="251"/>
      <c r="D42" s="259"/>
      <c r="E42" s="252">
        <v>1820541.0</v>
      </c>
      <c r="F42" s="252">
        <v>480.0</v>
      </c>
      <c r="G42" s="252">
        <v>494.0</v>
      </c>
      <c r="H42" s="253">
        <v>153.0</v>
      </c>
      <c r="I42" s="253">
        <v>147.65</v>
      </c>
      <c r="J42" s="253">
        <v>5.35</v>
      </c>
      <c r="K42" s="97">
        <v>30.76</v>
      </c>
      <c r="L42" s="54"/>
      <c r="M42" s="54"/>
      <c r="N42" s="54"/>
      <c r="O42" s="54"/>
      <c r="P42" s="86"/>
      <c r="Q42" s="54"/>
      <c r="R42" s="249"/>
      <c r="T42" s="70">
        <v>45375.0</v>
      </c>
      <c r="U42" s="71" t="s">
        <v>161</v>
      </c>
      <c r="V42" s="71">
        <v>1633684.0</v>
      </c>
      <c r="W42" s="71">
        <v>806.0</v>
      </c>
      <c r="X42" s="71" t="s">
        <v>201</v>
      </c>
      <c r="Y42" s="72">
        <v>251.26</v>
      </c>
      <c r="Z42" s="72">
        <v>264.34</v>
      </c>
      <c r="AA42" s="72">
        <v>-13.08</v>
      </c>
      <c r="AB42" s="254">
        <f t="shared" si="7"/>
        <v>32.79652605</v>
      </c>
      <c r="AC42" s="54"/>
      <c r="AD42" s="54"/>
    </row>
    <row r="43">
      <c r="A43" s="54"/>
      <c r="B43" s="250">
        <v>45346.0</v>
      </c>
      <c r="C43" s="251"/>
      <c r="D43" s="259"/>
      <c r="E43" s="252">
        <v>1821596.0</v>
      </c>
      <c r="F43" s="252">
        <v>1055.0</v>
      </c>
      <c r="G43" s="252">
        <v>491.0</v>
      </c>
      <c r="H43" s="253">
        <v>331.0</v>
      </c>
      <c r="I43" s="253">
        <v>330.01</v>
      </c>
      <c r="J43" s="253">
        <v>0.99</v>
      </c>
      <c r="K43" s="97">
        <v>31.28</v>
      </c>
      <c r="L43" s="54"/>
      <c r="M43" s="54"/>
      <c r="N43" s="54"/>
      <c r="O43" s="54"/>
      <c r="P43" s="86"/>
      <c r="Q43" s="54"/>
      <c r="R43" s="249"/>
      <c r="T43" s="70">
        <v>45378.0</v>
      </c>
      <c r="U43" s="71" t="s">
        <v>161</v>
      </c>
      <c r="V43" s="71">
        <v>1634318.0</v>
      </c>
      <c r="W43" s="71">
        <v>634.0</v>
      </c>
      <c r="X43" s="71" t="s">
        <v>202</v>
      </c>
      <c r="Y43" s="72">
        <v>173.04</v>
      </c>
      <c r="Z43" s="72">
        <v>186.43</v>
      </c>
      <c r="AA43" s="72">
        <v>-13.39</v>
      </c>
      <c r="AB43" s="254">
        <f t="shared" si="7"/>
        <v>29.40536278</v>
      </c>
      <c r="AC43" s="54"/>
      <c r="AD43" s="54"/>
    </row>
    <row r="44">
      <c r="A44" s="54"/>
      <c r="B44" s="250">
        <v>45348.0</v>
      </c>
      <c r="C44" s="251"/>
      <c r="D44" s="259"/>
      <c r="E44" s="252">
        <v>1822297.0</v>
      </c>
      <c r="F44" s="252">
        <v>701.0</v>
      </c>
      <c r="G44" s="252">
        <v>490.0</v>
      </c>
      <c r="H44" s="253">
        <v>220.0</v>
      </c>
      <c r="I44" s="253">
        <v>225.92</v>
      </c>
      <c r="J44" s="253">
        <v>-5.92</v>
      </c>
      <c r="K44" s="97">
        <v>32.23</v>
      </c>
      <c r="L44" s="54"/>
      <c r="M44" s="54"/>
      <c r="N44" s="54"/>
      <c r="O44" s="54"/>
      <c r="P44" s="86"/>
      <c r="Q44" s="54"/>
      <c r="R44" s="249"/>
      <c r="T44" s="70">
        <v>45380.0</v>
      </c>
      <c r="U44" s="71" t="s">
        <v>161</v>
      </c>
      <c r="V44" s="71">
        <v>1635707.0</v>
      </c>
      <c r="W44" s="71">
        <v>1389.0</v>
      </c>
      <c r="X44" s="71" t="s">
        <v>203</v>
      </c>
      <c r="Y44" s="72">
        <v>362.94</v>
      </c>
      <c r="Z44" s="72">
        <v>377.78</v>
      </c>
      <c r="AA44" s="72">
        <v>-14.84</v>
      </c>
      <c r="AB44" s="254">
        <f t="shared" si="7"/>
        <v>27.19798416</v>
      </c>
      <c r="AC44" s="54"/>
      <c r="AD44" s="54"/>
    </row>
    <row r="45">
      <c r="A45" s="54"/>
      <c r="B45" s="250">
        <v>45349.0</v>
      </c>
      <c r="C45" s="251"/>
      <c r="D45" s="259"/>
      <c r="E45" s="252">
        <v>1823607.0</v>
      </c>
      <c r="F45" s="252">
        <v>1310.0</v>
      </c>
      <c r="G45" s="252">
        <v>499.0</v>
      </c>
      <c r="H45" s="253">
        <v>425.0</v>
      </c>
      <c r="I45" s="253">
        <v>428.99</v>
      </c>
      <c r="J45" s="253">
        <v>-3.99</v>
      </c>
      <c r="K45" s="97">
        <v>32.75</v>
      </c>
      <c r="L45" s="54"/>
      <c r="M45" s="54"/>
      <c r="N45" s="54"/>
      <c r="O45" s="54"/>
      <c r="P45" s="86"/>
      <c r="Q45" s="54"/>
      <c r="R45" s="249"/>
      <c r="T45" s="66"/>
      <c r="U45" s="66"/>
      <c r="V45" s="66"/>
      <c r="W45" s="67"/>
      <c r="X45" s="67" t="s">
        <v>74</v>
      </c>
      <c r="Y45" s="66"/>
      <c r="Z45" s="66"/>
      <c r="AA45" s="66"/>
      <c r="AB45" s="242"/>
      <c r="AC45" s="54"/>
      <c r="AD45" s="54"/>
    </row>
    <row r="46">
      <c r="A46" s="54"/>
      <c r="B46" s="250">
        <v>45351.0</v>
      </c>
      <c r="C46" s="251"/>
      <c r="D46" s="259"/>
      <c r="E46" s="252">
        <v>1825141.0</v>
      </c>
      <c r="F46" s="252">
        <v>1534.0</v>
      </c>
      <c r="G46" s="252">
        <v>503.0</v>
      </c>
      <c r="H46" s="253">
        <v>467.0</v>
      </c>
      <c r="I46" s="253">
        <v>479.95</v>
      </c>
      <c r="J46" s="253">
        <v>-12.95</v>
      </c>
      <c r="K46" s="97">
        <v>31.29</v>
      </c>
      <c r="L46" s="54"/>
      <c r="M46" s="54"/>
      <c r="N46" s="54"/>
      <c r="O46" s="54"/>
      <c r="P46" s="86"/>
      <c r="Q46" s="54"/>
      <c r="R46" s="249"/>
      <c r="T46" s="70">
        <v>45384.0</v>
      </c>
      <c r="U46" s="71" t="s">
        <v>161</v>
      </c>
      <c r="V46" s="71">
        <v>1636761.0</v>
      </c>
      <c r="W46" s="71">
        <v>1054.0</v>
      </c>
      <c r="X46" s="71" t="s">
        <v>204</v>
      </c>
      <c r="Y46" s="72">
        <v>299.59</v>
      </c>
      <c r="Z46" s="72">
        <v>296.35</v>
      </c>
      <c r="AA46" s="72">
        <v>3.24</v>
      </c>
      <c r="AB46" s="254">
        <f t="shared" ref="AB46:AB62" si="8">Z46/W46*100</f>
        <v>28.11669829</v>
      </c>
      <c r="AC46" s="54"/>
      <c r="AD46" s="54"/>
    </row>
    <row r="47">
      <c r="A47" s="66"/>
      <c r="B47" s="67" t="s">
        <v>72</v>
      </c>
      <c r="J47" s="66"/>
      <c r="K47" s="204"/>
      <c r="L47" s="66"/>
      <c r="M47" s="66"/>
      <c r="N47" s="66"/>
      <c r="O47" s="66"/>
      <c r="P47" s="113"/>
      <c r="Q47" s="66"/>
      <c r="R47" s="249"/>
      <c r="T47" s="70">
        <v>45386.0</v>
      </c>
      <c r="U47" s="71" t="s">
        <v>161</v>
      </c>
      <c r="V47" s="71">
        <v>1637481.0</v>
      </c>
      <c r="W47" s="71">
        <v>720.0</v>
      </c>
      <c r="X47" s="71" t="s">
        <v>205</v>
      </c>
      <c r="Y47" s="72">
        <v>199.06</v>
      </c>
      <c r="Z47" s="72">
        <v>212.5</v>
      </c>
      <c r="AA47" s="72">
        <v>-13.44</v>
      </c>
      <c r="AB47" s="254">
        <f t="shared" si="8"/>
        <v>29.51388889</v>
      </c>
      <c r="AC47" s="54"/>
      <c r="AD47" s="54"/>
    </row>
    <row r="48">
      <c r="A48" s="54"/>
      <c r="B48" s="243">
        <v>45353.0</v>
      </c>
      <c r="C48" s="244"/>
      <c r="D48" s="258"/>
      <c r="E48" s="245">
        <v>1826423.0</v>
      </c>
      <c r="F48" s="245">
        <v>1282.0</v>
      </c>
      <c r="G48" s="245">
        <v>494.0</v>
      </c>
      <c r="H48" s="246">
        <v>377.0</v>
      </c>
      <c r="I48" s="246">
        <v>384.01</v>
      </c>
      <c r="J48" s="246">
        <v>-7.01</v>
      </c>
      <c r="K48" s="97">
        <v>29.95</v>
      </c>
      <c r="L48" s="54"/>
      <c r="M48" s="74" t="s">
        <v>206</v>
      </c>
      <c r="N48" s="75"/>
      <c r="O48" s="75"/>
      <c r="P48" s="75"/>
      <c r="Q48" s="76"/>
      <c r="R48" s="249"/>
      <c r="T48" s="70">
        <v>45387.0</v>
      </c>
      <c r="U48" s="71" t="s">
        <v>161</v>
      </c>
      <c r="V48" s="71">
        <v>1638647.0</v>
      </c>
      <c r="W48" s="71">
        <v>1166.0</v>
      </c>
      <c r="X48" s="71" t="s">
        <v>207</v>
      </c>
      <c r="Y48" s="72">
        <v>322.89</v>
      </c>
      <c r="Z48" s="72">
        <v>341.67</v>
      </c>
      <c r="AA48" s="72">
        <v>-18.78</v>
      </c>
      <c r="AB48" s="254">
        <f t="shared" si="8"/>
        <v>29.30274443</v>
      </c>
      <c r="AC48" s="54"/>
      <c r="AD48" s="54"/>
    </row>
    <row r="49">
      <c r="A49" s="54"/>
      <c r="B49" s="250">
        <v>45354.0</v>
      </c>
      <c r="C49" s="251"/>
      <c r="D49" s="259"/>
      <c r="E49" s="252">
        <v>1826902.0</v>
      </c>
      <c r="F49" s="252">
        <v>479.0</v>
      </c>
      <c r="G49" s="252">
        <v>495.0</v>
      </c>
      <c r="H49" s="253">
        <v>147.0</v>
      </c>
      <c r="I49" s="253">
        <v>144.73</v>
      </c>
      <c r="J49" s="253">
        <v>2.27</v>
      </c>
      <c r="K49" s="97">
        <v>30.22</v>
      </c>
      <c r="L49" s="54"/>
      <c r="M49" s="77" t="s">
        <v>70</v>
      </c>
      <c r="N49" s="77" t="s">
        <v>71</v>
      </c>
      <c r="O49" s="77" t="s">
        <v>163</v>
      </c>
      <c r="P49" s="77" t="s">
        <v>164</v>
      </c>
      <c r="Q49" s="77" t="s">
        <v>27</v>
      </c>
      <c r="R49" s="249"/>
      <c r="T49" s="70">
        <v>45389.0</v>
      </c>
      <c r="U49" s="71" t="s">
        <v>161</v>
      </c>
      <c r="V49" s="71">
        <v>1639364.0</v>
      </c>
      <c r="W49" s="71">
        <v>717.0</v>
      </c>
      <c r="X49" s="71" t="s">
        <v>208</v>
      </c>
      <c r="Y49" s="72">
        <v>204.88</v>
      </c>
      <c r="Z49" s="72">
        <v>226.18</v>
      </c>
      <c r="AA49" s="72">
        <v>-21.3</v>
      </c>
      <c r="AB49" s="254">
        <f t="shared" si="8"/>
        <v>31.54532775</v>
      </c>
      <c r="AC49" s="54"/>
      <c r="AD49" s="54"/>
    </row>
    <row r="50">
      <c r="A50" s="54"/>
      <c r="B50" s="250">
        <v>45356.0</v>
      </c>
      <c r="C50" s="251"/>
      <c r="D50" s="259"/>
      <c r="E50" s="252">
        <v>1828436.0</v>
      </c>
      <c r="F50" s="252">
        <v>1534.0</v>
      </c>
      <c r="G50" s="252">
        <v>494.0</v>
      </c>
      <c r="H50" s="253">
        <v>460.0</v>
      </c>
      <c r="I50" s="253">
        <v>465.12</v>
      </c>
      <c r="J50" s="253">
        <v>-5.12</v>
      </c>
      <c r="K50" s="97">
        <v>30.32</v>
      </c>
      <c r="L50" s="54"/>
      <c r="M50" s="77">
        <f>SUM(F48:F66)</f>
        <v>19995</v>
      </c>
      <c r="N50" s="79">
        <f>SUM(I48:I66)</f>
        <v>5188.83</v>
      </c>
      <c r="O50" s="79">
        <f>SUM(H48:H66)</f>
        <v>5125</v>
      </c>
      <c r="P50" s="79">
        <f>N50-O50</f>
        <v>63.83</v>
      </c>
      <c r="Q50" s="214">
        <f>N50/M50*100</f>
        <v>25.95063766</v>
      </c>
      <c r="R50" s="249"/>
      <c r="T50" s="70">
        <v>45392.0</v>
      </c>
      <c r="U50" s="71" t="s">
        <v>161</v>
      </c>
      <c r="V50" s="71">
        <v>1641000.0</v>
      </c>
      <c r="W50" s="71">
        <v>1636.0</v>
      </c>
      <c r="X50" s="71" t="s">
        <v>209</v>
      </c>
      <c r="Y50" s="72">
        <v>109.27</v>
      </c>
      <c r="Z50" s="72">
        <v>105.44</v>
      </c>
      <c r="AA50" s="72">
        <v>3.83</v>
      </c>
      <c r="AB50" s="254">
        <f t="shared" si="8"/>
        <v>6.444987775</v>
      </c>
      <c r="AC50" s="54"/>
      <c r="AD50" s="54"/>
    </row>
    <row r="51">
      <c r="A51" s="54"/>
      <c r="B51" s="250">
        <v>45358.0</v>
      </c>
      <c r="C51" s="251"/>
      <c r="D51" s="259"/>
      <c r="E51" s="252">
        <v>1829744.0</v>
      </c>
      <c r="F51" s="252">
        <v>1308.0</v>
      </c>
      <c r="G51" s="252">
        <v>501.0</v>
      </c>
      <c r="H51" s="253">
        <v>387.0</v>
      </c>
      <c r="I51" s="253">
        <v>396.07</v>
      </c>
      <c r="J51" s="253">
        <v>-9.07</v>
      </c>
      <c r="K51" s="97">
        <v>30.28</v>
      </c>
      <c r="L51" s="54"/>
      <c r="M51" s="54"/>
      <c r="N51" s="54"/>
      <c r="O51" s="54"/>
      <c r="P51" s="86"/>
      <c r="Q51" s="54"/>
      <c r="R51" s="249"/>
      <c r="T51" s="70">
        <v>45392.0</v>
      </c>
      <c r="U51" s="71" t="s">
        <v>161</v>
      </c>
      <c r="V51" s="71">
        <v>1641135.0</v>
      </c>
      <c r="W51" s="71">
        <v>135.0</v>
      </c>
      <c r="X51" s="71" t="s">
        <v>210</v>
      </c>
      <c r="Y51" s="72">
        <v>348.62</v>
      </c>
      <c r="Z51" s="72">
        <v>362.43</v>
      </c>
      <c r="AA51" s="72">
        <v>-13.81</v>
      </c>
      <c r="AB51" s="254">
        <f t="shared" si="8"/>
        <v>268.4666667</v>
      </c>
      <c r="AC51" s="54"/>
      <c r="AD51" s="54"/>
    </row>
    <row r="52">
      <c r="A52" s="54"/>
      <c r="B52" s="250">
        <v>45360.0</v>
      </c>
      <c r="C52" s="251"/>
      <c r="D52" s="259"/>
      <c r="E52" s="252">
        <v>1831023.0</v>
      </c>
      <c r="F52" s="252">
        <v>1279.0</v>
      </c>
      <c r="G52" s="252">
        <v>497.0</v>
      </c>
      <c r="H52" s="253">
        <v>385.0</v>
      </c>
      <c r="I52" s="253">
        <v>390.0</v>
      </c>
      <c r="J52" s="253">
        <v>-5.0</v>
      </c>
      <c r="K52" s="97">
        <v>30.49</v>
      </c>
      <c r="L52" s="54"/>
      <c r="N52" s="54"/>
      <c r="O52" s="54"/>
      <c r="P52" s="86"/>
      <c r="Q52" s="54"/>
      <c r="R52" s="249"/>
      <c r="T52" s="70">
        <v>45394.0</v>
      </c>
      <c r="U52" s="71" t="s">
        <v>161</v>
      </c>
      <c r="V52" s="71">
        <v>1641833.0</v>
      </c>
      <c r="W52" s="71">
        <v>698.0</v>
      </c>
      <c r="X52" s="71" t="s">
        <v>211</v>
      </c>
      <c r="Y52" s="72">
        <v>165.5</v>
      </c>
      <c r="Z52" s="72">
        <v>193.55</v>
      </c>
      <c r="AA52" s="72">
        <v>-28.05</v>
      </c>
      <c r="AB52" s="254">
        <f t="shared" si="8"/>
        <v>27.72922636</v>
      </c>
      <c r="AC52" s="54"/>
      <c r="AD52" s="54"/>
    </row>
    <row r="53">
      <c r="A53" s="54"/>
      <c r="B53" s="250">
        <v>45361.0</v>
      </c>
      <c r="C53" s="251"/>
      <c r="D53" s="259"/>
      <c r="E53" s="252">
        <v>1831503.0</v>
      </c>
      <c r="F53" s="252">
        <v>480.0</v>
      </c>
      <c r="G53" s="252">
        <v>498.0</v>
      </c>
      <c r="H53" s="253">
        <v>146.0</v>
      </c>
      <c r="I53" s="253">
        <v>142.24</v>
      </c>
      <c r="J53" s="253">
        <v>3.76</v>
      </c>
      <c r="K53" s="97">
        <v>29.63</v>
      </c>
      <c r="L53" s="54"/>
      <c r="M53" s="60"/>
      <c r="N53" s="54"/>
      <c r="O53" s="54"/>
      <c r="P53" s="86"/>
      <c r="Q53" s="54"/>
      <c r="R53" s="249"/>
      <c r="T53" s="70">
        <v>45396.0</v>
      </c>
      <c r="U53" s="71" t="s">
        <v>161</v>
      </c>
      <c r="V53" s="71">
        <v>1643388.0</v>
      </c>
      <c r="W53" s="71">
        <v>1555.0</v>
      </c>
      <c r="X53" s="71" t="s">
        <v>186</v>
      </c>
      <c r="Y53" s="72">
        <v>401.54</v>
      </c>
      <c r="Z53" s="72">
        <v>399.34</v>
      </c>
      <c r="AA53" s="72">
        <v>2.2</v>
      </c>
      <c r="AB53" s="254">
        <f t="shared" si="8"/>
        <v>25.68102894</v>
      </c>
      <c r="AC53" s="54"/>
      <c r="AD53" s="54"/>
    </row>
    <row r="54">
      <c r="A54" s="54"/>
      <c r="B54" s="250">
        <v>45363.0</v>
      </c>
      <c r="C54" s="251"/>
      <c r="D54" s="259"/>
      <c r="E54" s="252">
        <v>1832809.0</v>
      </c>
      <c r="F54" s="252">
        <v>1306.0</v>
      </c>
      <c r="G54" s="252">
        <v>498.0</v>
      </c>
      <c r="H54" s="253">
        <v>373.0</v>
      </c>
      <c r="I54" s="253">
        <v>386.42</v>
      </c>
      <c r="J54" s="253">
        <v>-13.42</v>
      </c>
      <c r="K54" s="97">
        <v>29.59</v>
      </c>
      <c r="L54" s="54"/>
      <c r="M54" s="54"/>
      <c r="N54" s="54"/>
      <c r="O54" s="54"/>
      <c r="P54" s="86"/>
      <c r="Q54" s="54"/>
      <c r="R54" s="249"/>
      <c r="T54" s="70">
        <v>45397.0</v>
      </c>
      <c r="U54" s="71" t="s">
        <v>161</v>
      </c>
      <c r="V54" s="71">
        <v>1644396.0</v>
      </c>
      <c r="W54" s="71">
        <v>1008.0</v>
      </c>
      <c r="X54" s="71" t="s">
        <v>212</v>
      </c>
      <c r="Y54" s="72">
        <v>285.72</v>
      </c>
      <c r="Z54" s="72">
        <v>300.0</v>
      </c>
      <c r="AA54" s="72">
        <v>-14.28</v>
      </c>
      <c r="AB54" s="254">
        <f t="shared" si="8"/>
        <v>29.76190476</v>
      </c>
      <c r="AC54" s="54"/>
      <c r="AD54" s="54"/>
    </row>
    <row r="55">
      <c r="A55" s="54"/>
      <c r="B55" s="250">
        <v>45365.0</v>
      </c>
      <c r="C55" s="251"/>
      <c r="D55" s="259"/>
      <c r="E55" s="252">
        <v>1834091.0</v>
      </c>
      <c r="F55" s="252">
        <v>1282.0</v>
      </c>
      <c r="G55" s="252">
        <v>497.0</v>
      </c>
      <c r="H55" s="253">
        <v>376.0</v>
      </c>
      <c r="I55" s="253">
        <v>378.15</v>
      </c>
      <c r="J55" s="253">
        <v>-2.15</v>
      </c>
      <c r="K55" s="97">
        <v>29.5</v>
      </c>
      <c r="L55" s="54"/>
      <c r="M55" s="54"/>
      <c r="N55" s="54"/>
      <c r="O55" s="54"/>
      <c r="P55" s="86"/>
      <c r="Q55" s="54"/>
      <c r="R55" s="249"/>
      <c r="T55" s="70">
        <v>45398.0</v>
      </c>
      <c r="U55" s="71" t="s">
        <v>161</v>
      </c>
      <c r="V55" s="71">
        <v>1644458.0</v>
      </c>
      <c r="W55" s="71">
        <v>62.0</v>
      </c>
      <c r="X55" s="71" t="s">
        <v>213</v>
      </c>
      <c r="Y55" s="72">
        <v>10.14</v>
      </c>
      <c r="Z55" s="72">
        <v>30.0</v>
      </c>
      <c r="AA55" s="72">
        <v>-19.86</v>
      </c>
      <c r="AB55" s="254">
        <f t="shared" si="8"/>
        <v>48.38709677</v>
      </c>
      <c r="AC55" s="54"/>
      <c r="AD55" s="54"/>
    </row>
    <row r="56">
      <c r="A56" s="54"/>
      <c r="B56" s="250">
        <v>45366.0</v>
      </c>
      <c r="C56" s="251"/>
      <c r="D56" s="259"/>
      <c r="E56" s="252">
        <v>1834570.0</v>
      </c>
      <c r="F56" s="252">
        <v>479.0</v>
      </c>
      <c r="G56" s="252">
        <v>494.0</v>
      </c>
      <c r="H56" s="253">
        <v>140.0</v>
      </c>
      <c r="I56" s="253">
        <v>139.48</v>
      </c>
      <c r="J56" s="253">
        <v>0.52</v>
      </c>
      <c r="K56" s="97">
        <v>29.12</v>
      </c>
      <c r="L56" s="54"/>
      <c r="M56" s="54"/>
      <c r="N56" s="54"/>
      <c r="O56" s="54"/>
      <c r="P56" s="86"/>
      <c r="Q56" s="54"/>
      <c r="R56" s="249"/>
      <c r="T56" s="70">
        <v>45400.0</v>
      </c>
      <c r="U56" s="71" t="s">
        <v>161</v>
      </c>
      <c r="V56" s="71">
        <v>1645956.0</v>
      </c>
      <c r="W56" s="71">
        <v>1498.0</v>
      </c>
      <c r="X56" s="71" t="s">
        <v>214</v>
      </c>
      <c r="Y56" s="72">
        <v>378.27</v>
      </c>
      <c r="Z56" s="72">
        <v>395.69</v>
      </c>
      <c r="AA56" s="72">
        <v>-17.42</v>
      </c>
      <c r="AB56" s="254">
        <f t="shared" si="8"/>
        <v>26.41455274</v>
      </c>
      <c r="AC56" s="54"/>
      <c r="AD56" s="54"/>
    </row>
    <row r="57">
      <c r="A57" s="54"/>
      <c r="B57" s="250">
        <v>45367.0</v>
      </c>
      <c r="C57" s="251"/>
      <c r="D57" s="259"/>
      <c r="E57" s="252">
        <v>1835624.0</v>
      </c>
      <c r="F57" s="252">
        <v>1054.0</v>
      </c>
      <c r="G57" s="252">
        <v>490.0</v>
      </c>
      <c r="H57" s="253">
        <v>307.0</v>
      </c>
      <c r="I57" s="253">
        <v>312.01</v>
      </c>
      <c r="J57" s="253">
        <v>-5.01</v>
      </c>
      <c r="K57" s="97">
        <v>29.6</v>
      </c>
      <c r="L57" s="54"/>
      <c r="M57" s="54"/>
      <c r="N57" s="54"/>
      <c r="O57" s="54"/>
      <c r="P57" s="86"/>
      <c r="Q57" s="54"/>
      <c r="R57" s="249"/>
      <c r="T57" s="70">
        <v>45402.0</v>
      </c>
      <c r="U57" s="71" t="s">
        <v>161</v>
      </c>
      <c r="V57" s="71">
        <v>1647485.0</v>
      </c>
      <c r="W57" s="71">
        <v>1529.0</v>
      </c>
      <c r="X57" s="71" t="s">
        <v>215</v>
      </c>
      <c r="Y57" s="72">
        <v>399.01</v>
      </c>
      <c r="Z57" s="72">
        <v>419.16</v>
      </c>
      <c r="AA57" s="72">
        <v>-20.15</v>
      </c>
      <c r="AB57" s="254">
        <f t="shared" si="8"/>
        <v>27.41399608</v>
      </c>
      <c r="AC57" s="54"/>
      <c r="AD57" s="54"/>
    </row>
    <row r="58">
      <c r="A58" s="54"/>
      <c r="B58" s="250">
        <v>45368.0</v>
      </c>
      <c r="C58" s="251"/>
      <c r="D58" s="259"/>
      <c r="E58" s="252">
        <v>1835876.0</v>
      </c>
      <c r="F58" s="252">
        <v>252.0</v>
      </c>
      <c r="G58" s="252">
        <v>496.0</v>
      </c>
      <c r="H58" s="253">
        <v>75.0</v>
      </c>
      <c r="I58" s="253">
        <v>80.0</v>
      </c>
      <c r="J58" s="253">
        <v>-5.0</v>
      </c>
      <c r="K58" s="97">
        <v>31.75</v>
      </c>
      <c r="L58" s="54"/>
      <c r="M58" s="54"/>
      <c r="N58" s="54"/>
      <c r="O58" s="54"/>
      <c r="P58" s="86"/>
      <c r="Q58" s="54"/>
      <c r="R58" s="249"/>
      <c r="T58" s="70">
        <v>45404.0</v>
      </c>
      <c r="U58" s="71" t="s">
        <v>161</v>
      </c>
      <c r="V58" s="71">
        <v>1648806.0</v>
      </c>
      <c r="W58" s="71">
        <v>1321.0</v>
      </c>
      <c r="X58" s="71" t="s">
        <v>216</v>
      </c>
      <c r="Y58" s="72">
        <v>352.03</v>
      </c>
      <c r="Z58" s="72">
        <v>368.0</v>
      </c>
      <c r="AA58" s="72">
        <v>-15.97</v>
      </c>
      <c r="AB58" s="254">
        <f t="shared" si="8"/>
        <v>27.85768357</v>
      </c>
      <c r="AC58" s="54"/>
      <c r="AD58" s="54"/>
    </row>
    <row r="59">
      <c r="A59" s="54"/>
      <c r="B59" s="250">
        <v>45373.0</v>
      </c>
      <c r="C59" s="251"/>
      <c r="D59" s="259"/>
      <c r="E59" s="252">
        <v>1836431.0</v>
      </c>
      <c r="F59" s="252">
        <v>555.0</v>
      </c>
      <c r="G59" s="252">
        <v>500.0</v>
      </c>
      <c r="H59" s="253">
        <v>174.0</v>
      </c>
      <c r="I59" s="253">
        <v>170.0</v>
      </c>
      <c r="J59" s="253">
        <v>4.0</v>
      </c>
      <c r="K59" s="97">
        <v>30.63</v>
      </c>
      <c r="L59" s="54"/>
      <c r="M59" s="54"/>
      <c r="N59" s="54"/>
      <c r="O59" s="54"/>
      <c r="P59" s="86"/>
      <c r="Q59" s="54"/>
      <c r="R59" s="249"/>
      <c r="T59" s="70">
        <v>45405.0</v>
      </c>
      <c r="U59" s="71" t="s">
        <v>161</v>
      </c>
      <c r="V59" s="71">
        <v>1649272.0</v>
      </c>
      <c r="W59" s="71">
        <v>466.0</v>
      </c>
      <c r="X59" s="71" t="s">
        <v>213</v>
      </c>
      <c r="Y59" s="72">
        <v>99.54</v>
      </c>
      <c r="Z59" s="72">
        <v>129.04</v>
      </c>
      <c r="AA59" s="72">
        <v>-29.5</v>
      </c>
      <c r="AB59" s="254">
        <f t="shared" si="8"/>
        <v>27.69098712</v>
      </c>
      <c r="AC59" s="54"/>
      <c r="AD59" s="54"/>
    </row>
    <row r="60">
      <c r="A60" s="54"/>
      <c r="B60" s="250">
        <v>45374.0</v>
      </c>
      <c r="C60" s="251"/>
      <c r="D60" s="259"/>
      <c r="E60" s="252">
        <v>1837485.0</v>
      </c>
      <c r="F60" s="252">
        <v>1054.0</v>
      </c>
      <c r="G60" s="252">
        <v>496.0</v>
      </c>
      <c r="H60" s="253">
        <v>302.0</v>
      </c>
      <c r="I60" s="253">
        <v>304.73</v>
      </c>
      <c r="J60" s="253">
        <v>-2.73</v>
      </c>
      <c r="K60" s="97">
        <v>28.91</v>
      </c>
      <c r="L60" s="54"/>
      <c r="M60" s="54"/>
      <c r="N60" s="54"/>
      <c r="O60" s="54"/>
      <c r="P60" s="86"/>
      <c r="Q60" s="54"/>
      <c r="R60" s="249"/>
      <c r="T60" s="70">
        <v>45407.0</v>
      </c>
      <c r="U60" s="71" t="s">
        <v>161</v>
      </c>
      <c r="V60" s="71">
        <v>1650591.0</v>
      </c>
      <c r="W60" s="71">
        <v>1319.0</v>
      </c>
      <c r="X60" s="71" t="s">
        <v>217</v>
      </c>
      <c r="Y60" s="72">
        <v>397.77</v>
      </c>
      <c r="Z60" s="72">
        <v>411.19</v>
      </c>
      <c r="AA60" s="72">
        <v>-13.42</v>
      </c>
      <c r="AB60" s="254">
        <f t="shared" si="8"/>
        <v>31.17437453</v>
      </c>
      <c r="AC60" s="54"/>
      <c r="AD60" s="54"/>
    </row>
    <row r="61">
      <c r="A61" s="54"/>
      <c r="B61" s="250">
        <v>45375.0</v>
      </c>
      <c r="C61" s="251"/>
      <c r="D61" s="259"/>
      <c r="E61" s="252">
        <v>1837947.0</v>
      </c>
      <c r="F61" s="252">
        <v>462.0</v>
      </c>
      <c r="G61" s="252">
        <v>500.0</v>
      </c>
      <c r="H61" s="253">
        <v>155.0</v>
      </c>
      <c r="I61" s="253">
        <v>160.0</v>
      </c>
      <c r="J61" s="253">
        <v>-5.0</v>
      </c>
      <c r="K61" s="97">
        <v>34.63</v>
      </c>
      <c r="L61" s="54"/>
      <c r="M61" s="54"/>
      <c r="N61" s="54"/>
      <c r="O61" s="54"/>
      <c r="P61" s="86"/>
      <c r="Q61" s="54"/>
      <c r="R61" s="249"/>
      <c r="T61" s="70">
        <v>45409.0</v>
      </c>
      <c r="U61" s="71" t="s">
        <v>161</v>
      </c>
      <c r="V61" s="71">
        <v>1652334.0</v>
      </c>
      <c r="W61" s="71">
        <v>1743.0</v>
      </c>
      <c r="X61" s="71" t="s">
        <v>218</v>
      </c>
      <c r="Y61" s="72">
        <v>414.99</v>
      </c>
      <c r="Z61" s="72">
        <v>428.67</v>
      </c>
      <c r="AA61" s="72">
        <v>-13.68</v>
      </c>
      <c r="AB61" s="254">
        <f t="shared" si="8"/>
        <v>24.59380379</v>
      </c>
      <c r="AC61" s="54"/>
      <c r="AD61" s="54"/>
    </row>
    <row r="62">
      <c r="A62" s="54"/>
      <c r="B62" s="250">
        <v>45377.0</v>
      </c>
      <c r="C62" s="251"/>
      <c r="D62" s="259"/>
      <c r="E62" s="252">
        <v>1839229.0</v>
      </c>
      <c r="F62" s="252">
        <v>1282.0</v>
      </c>
      <c r="G62" s="252">
        <v>500.0</v>
      </c>
      <c r="H62" s="253">
        <v>395.0</v>
      </c>
      <c r="I62" s="253">
        <v>398.03</v>
      </c>
      <c r="J62" s="253">
        <v>-3.03</v>
      </c>
      <c r="K62" s="97">
        <v>31.05</v>
      </c>
      <c r="L62" s="54"/>
      <c r="M62" s="54"/>
      <c r="N62" s="54"/>
      <c r="O62" s="54"/>
      <c r="P62" s="86"/>
      <c r="Q62" s="54"/>
      <c r="R62" s="249"/>
      <c r="T62" s="70">
        <v>45411.0</v>
      </c>
      <c r="U62" s="71" t="s">
        <v>161</v>
      </c>
      <c r="V62" s="71">
        <v>1653589.0</v>
      </c>
      <c r="W62" s="71">
        <v>1255.0</v>
      </c>
      <c r="X62" s="71" t="s">
        <v>219</v>
      </c>
      <c r="Y62" s="72">
        <v>362.23</v>
      </c>
      <c r="Z62" s="72">
        <v>380.0</v>
      </c>
      <c r="AA62" s="72">
        <v>-17.77</v>
      </c>
      <c r="AB62" s="254">
        <f t="shared" si="8"/>
        <v>30.27888446</v>
      </c>
      <c r="AC62" s="54"/>
      <c r="AD62" s="54"/>
    </row>
    <row r="63">
      <c r="A63" s="54"/>
      <c r="B63" s="250">
        <v>45378.0</v>
      </c>
      <c r="C63" s="251"/>
      <c r="D63" s="259"/>
      <c r="E63" s="252">
        <v>1839708.0</v>
      </c>
      <c r="F63" s="252">
        <v>479.0</v>
      </c>
      <c r="G63" s="252">
        <v>498.0</v>
      </c>
      <c r="H63" s="253">
        <v>132.0</v>
      </c>
      <c r="I63" s="253">
        <v>130.01</v>
      </c>
      <c r="J63" s="253">
        <v>1.99</v>
      </c>
      <c r="K63" s="97">
        <v>27.14</v>
      </c>
      <c r="L63" s="54"/>
      <c r="M63" s="54"/>
      <c r="N63" s="54"/>
      <c r="O63" s="54"/>
      <c r="P63" s="86"/>
      <c r="Q63" s="54"/>
      <c r="R63" s="249"/>
      <c r="T63" s="66"/>
      <c r="U63" s="66"/>
      <c r="V63" s="66"/>
      <c r="W63" s="66"/>
      <c r="X63" s="67" t="s">
        <v>75</v>
      </c>
      <c r="Y63" s="66"/>
      <c r="Z63" s="66"/>
      <c r="AA63" s="66"/>
      <c r="AB63" s="242"/>
      <c r="AC63" s="54"/>
      <c r="AD63" s="54"/>
    </row>
    <row r="64">
      <c r="A64" s="54"/>
      <c r="B64" s="250">
        <v>45379.0</v>
      </c>
      <c r="C64" s="251"/>
      <c r="D64" s="259"/>
      <c r="E64" s="252">
        <v>1841015.0</v>
      </c>
      <c r="F64" s="252">
        <v>1307.0</v>
      </c>
      <c r="G64" s="252">
        <v>493.0</v>
      </c>
      <c r="H64" s="253">
        <v>368.0</v>
      </c>
      <c r="I64" s="253">
        <v>374.19</v>
      </c>
      <c r="J64" s="253">
        <v>-6.19</v>
      </c>
      <c r="K64" s="97">
        <v>28.63</v>
      </c>
      <c r="L64" s="54"/>
      <c r="M64" s="54"/>
      <c r="N64" s="54"/>
      <c r="O64" s="54"/>
      <c r="P64" s="86"/>
      <c r="Q64" s="54"/>
      <c r="R64" s="249"/>
      <c r="T64" s="70">
        <v>45415.0</v>
      </c>
      <c r="U64" s="260" t="s">
        <v>161</v>
      </c>
      <c r="V64" s="260">
        <v>1654261.0</v>
      </c>
      <c r="W64" s="260">
        <v>672.0</v>
      </c>
      <c r="X64" s="260" t="s">
        <v>220</v>
      </c>
      <c r="Y64" s="261">
        <v>151.83</v>
      </c>
      <c r="Z64" s="261">
        <v>174.74</v>
      </c>
      <c r="AA64" s="261">
        <v>-22.91</v>
      </c>
      <c r="AB64" s="254">
        <f t="shared" ref="AB64:AB79" si="9">Z64/W64*100</f>
        <v>26.00297619</v>
      </c>
      <c r="AC64" s="54"/>
      <c r="AD64" s="54"/>
    </row>
    <row r="65">
      <c r="A65" s="54"/>
      <c r="B65" s="250">
        <v>45381.0</v>
      </c>
      <c r="C65" s="251"/>
      <c r="D65" s="259"/>
      <c r="E65" s="252">
        <v>1842296.0</v>
      </c>
      <c r="F65" s="252">
        <v>1281.0</v>
      </c>
      <c r="G65" s="252">
        <v>492.0</v>
      </c>
      <c r="H65" s="253">
        <v>355.0</v>
      </c>
      <c r="I65" s="253">
        <v>358.64</v>
      </c>
      <c r="J65" s="253">
        <v>-3.64</v>
      </c>
      <c r="K65" s="97">
        <v>28.0</v>
      </c>
      <c r="L65" s="54"/>
      <c r="M65" s="54"/>
      <c r="N65" s="54"/>
      <c r="O65" s="54"/>
      <c r="P65" s="86"/>
      <c r="Q65" s="54"/>
      <c r="R65" s="249"/>
      <c r="T65" s="262">
        <v>45416.0</v>
      </c>
      <c r="U65" s="263" t="s">
        <v>161</v>
      </c>
      <c r="V65" s="263">
        <v>1655556.0</v>
      </c>
      <c r="W65" s="263">
        <v>1295.0</v>
      </c>
      <c r="X65" s="263" t="s">
        <v>221</v>
      </c>
      <c r="Y65" s="264">
        <v>311.51</v>
      </c>
      <c r="Z65" s="264">
        <v>358.49</v>
      </c>
      <c r="AA65" s="264">
        <v>-46.98</v>
      </c>
      <c r="AB65" s="254">
        <f t="shared" si="9"/>
        <v>27.68262548</v>
      </c>
      <c r="AC65" s="54"/>
      <c r="AD65" s="54"/>
    </row>
    <row r="66">
      <c r="A66" s="54"/>
      <c r="B66" s="250">
        <v>45382.0</v>
      </c>
      <c r="C66" s="251"/>
      <c r="D66" s="259"/>
      <c r="E66" s="252">
        <v>1842548.0</v>
      </c>
      <c r="F66" s="252">
        <v>2840.0</v>
      </c>
      <c r="G66" s="252">
        <v>503.0</v>
      </c>
      <c r="H66" s="253">
        <v>71.0</v>
      </c>
      <c r="I66" s="253">
        <v>75.0</v>
      </c>
      <c r="J66" s="253">
        <v>-4.0</v>
      </c>
      <c r="K66" s="97">
        <v>2.64</v>
      </c>
      <c r="L66" s="54"/>
      <c r="M66" s="54"/>
      <c r="N66" s="54"/>
      <c r="O66" s="54"/>
      <c r="P66" s="86"/>
      <c r="Q66" s="54"/>
      <c r="R66" s="249"/>
      <c r="T66" s="262">
        <v>45418.0</v>
      </c>
      <c r="U66" s="263" t="s">
        <v>161</v>
      </c>
      <c r="V66" s="263">
        <v>1656762.0</v>
      </c>
      <c r="W66" s="263">
        <v>1206.0</v>
      </c>
      <c r="X66" s="263" t="s">
        <v>222</v>
      </c>
      <c r="Y66" s="264">
        <v>334.07</v>
      </c>
      <c r="Z66" s="264">
        <v>350.0</v>
      </c>
      <c r="AA66" s="264">
        <v>-15.93</v>
      </c>
      <c r="AB66" s="254">
        <f t="shared" si="9"/>
        <v>29.02155887</v>
      </c>
      <c r="AC66" s="54"/>
      <c r="AD66" s="54"/>
    </row>
    <row r="67">
      <c r="A67" s="66"/>
      <c r="B67" s="67" t="s">
        <v>74</v>
      </c>
      <c r="J67" s="66"/>
      <c r="K67" s="204"/>
      <c r="L67" s="66"/>
      <c r="M67" s="66"/>
      <c r="N67" s="66"/>
      <c r="O67" s="66"/>
      <c r="P67" s="113"/>
      <c r="Q67" s="66"/>
      <c r="R67" s="249"/>
      <c r="T67" s="262">
        <v>45421.0</v>
      </c>
      <c r="U67" s="263" t="s">
        <v>161</v>
      </c>
      <c r="V67" s="263">
        <v>1657270.0</v>
      </c>
      <c r="W67" s="263">
        <v>508.0</v>
      </c>
      <c r="X67" s="263" t="s">
        <v>223</v>
      </c>
      <c r="Y67" s="264">
        <v>111.88</v>
      </c>
      <c r="Z67" s="264">
        <v>136.41</v>
      </c>
      <c r="AA67" s="264">
        <v>-24.53</v>
      </c>
      <c r="AB67" s="254">
        <f t="shared" si="9"/>
        <v>26.8523622</v>
      </c>
      <c r="AC67" s="54"/>
      <c r="AD67" s="54"/>
    </row>
    <row r="68">
      <c r="A68" s="54"/>
      <c r="B68" s="243">
        <v>45384.0</v>
      </c>
      <c r="C68" s="244"/>
      <c r="D68" s="258"/>
      <c r="E68" s="245">
        <v>1843830.0</v>
      </c>
      <c r="F68" s="245">
        <v>1282.0</v>
      </c>
      <c r="G68" s="245">
        <v>498.0</v>
      </c>
      <c r="H68" s="246">
        <v>358.0</v>
      </c>
      <c r="I68" s="246">
        <v>359.21</v>
      </c>
      <c r="J68" s="246">
        <v>-1.21</v>
      </c>
      <c r="K68" s="97">
        <v>28.02</v>
      </c>
      <c r="L68" s="54"/>
      <c r="M68" s="82" t="str">
        <f>"тотал"&amp;" "&amp;B67</f>
        <v>тотал АПРЕЛЬ</v>
      </c>
      <c r="N68" s="75"/>
      <c r="O68" s="76"/>
      <c r="P68" s="120"/>
      <c r="Q68" s="60"/>
      <c r="R68" s="249"/>
      <c r="T68" s="262">
        <v>45423.0</v>
      </c>
      <c r="U68" s="263" t="s">
        <v>161</v>
      </c>
      <c r="V68" s="263">
        <v>1658541.0</v>
      </c>
      <c r="W68" s="263">
        <v>1271.0</v>
      </c>
      <c r="X68" s="263" t="s">
        <v>224</v>
      </c>
      <c r="Y68" s="264">
        <v>304.69</v>
      </c>
      <c r="Z68" s="264">
        <v>321.7</v>
      </c>
      <c r="AA68" s="264">
        <v>-17.01</v>
      </c>
      <c r="AB68" s="254">
        <f t="shared" si="9"/>
        <v>25.31077891</v>
      </c>
      <c r="AC68" s="54"/>
      <c r="AD68" s="54"/>
    </row>
    <row r="69">
      <c r="A69" s="54"/>
      <c r="B69" s="250">
        <v>45384.0</v>
      </c>
      <c r="C69" s="251"/>
      <c r="D69" s="259"/>
      <c r="E69" s="252">
        <v>1844083.0</v>
      </c>
      <c r="F69" s="252">
        <v>253.0</v>
      </c>
      <c r="G69" s="252">
        <v>506.0</v>
      </c>
      <c r="H69" s="253">
        <v>67.0</v>
      </c>
      <c r="I69" s="253">
        <v>69.0</v>
      </c>
      <c r="J69" s="253">
        <v>-2.0</v>
      </c>
      <c r="K69" s="97">
        <v>27.27</v>
      </c>
      <c r="L69" s="54"/>
      <c r="M69" s="83" t="s">
        <v>70</v>
      </c>
      <c r="N69" s="83" t="s">
        <v>71</v>
      </c>
      <c r="O69" s="83" t="s">
        <v>27</v>
      </c>
      <c r="P69" s="120"/>
      <c r="Q69" s="60"/>
      <c r="R69" s="249"/>
      <c r="T69" s="262">
        <v>45424.0</v>
      </c>
      <c r="U69" s="263" t="s">
        <v>161</v>
      </c>
      <c r="V69" s="263">
        <v>1658977.0</v>
      </c>
      <c r="W69" s="263">
        <v>436.0</v>
      </c>
      <c r="X69" s="263" t="s">
        <v>225</v>
      </c>
      <c r="Y69" s="264">
        <v>98.77</v>
      </c>
      <c r="Z69" s="264">
        <v>121.41</v>
      </c>
      <c r="AA69" s="264">
        <v>-22.64</v>
      </c>
      <c r="AB69" s="254">
        <f t="shared" si="9"/>
        <v>27.84633028</v>
      </c>
      <c r="AC69" s="54"/>
      <c r="AD69" s="54"/>
    </row>
    <row r="70">
      <c r="A70" s="54"/>
      <c r="B70" s="250">
        <v>45386.0</v>
      </c>
      <c r="C70" s="251"/>
      <c r="D70" s="259"/>
      <c r="E70" s="252">
        <v>1844954.0</v>
      </c>
      <c r="F70" s="252">
        <v>871.0</v>
      </c>
      <c r="G70" s="252">
        <v>496.0</v>
      </c>
      <c r="H70" s="253">
        <v>367.0</v>
      </c>
      <c r="I70" s="253">
        <v>369.4</v>
      </c>
      <c r="J70" s="253">
        <v>-2.4</v>
      </c>
      <c r="K70" s="97">
        <v>42.41</v>
      </c>
      <c r="L70" s="54"/>
      <c r="M70" s="84">
        <f>SUM(F68:F92)</f>
        <v>19698</v>
      </c>
      <c r="N70" s="84">
        <f>SUM(I68:I92)</f>
        <v>5760.11</v>
      </c>
      <c r="O70" s="85">
        <f>N70/M70*100</f>
        <v>29.2421058</v>
      </c>
      <c r="P70" s="86"/>
      <c r="Q70" s="63"/>
      <c r="R70" s="249"/>
      <c r="T70" s="262">
        <v>45426.0</v>
      </c>
      <c r="U70" s="263" t="s">
        <v>161</v>
      </c>
      <c r="V70" s="263">
        <v>1660186.0</v>
      </c>
      <c r="W70" s="263">
        <v>1209.0</v>
      </c>
      <c r="X70" s="263" t="s">
        <v>226</v>
      </c>
      <c r="Y70" s="264">
        <v>276.28</v>
      </c>
      <c r="Z70" s="264">
        <v>300.0</v>
      </c>
      <c r="AA70" s="264">
        <v>-23.72</v>
      </c>
      <c r="AB70" s="254">
        <f t="shared" si="9"/>
        <v>24.81389578</v>
      </c>
      <c r="AC70" s="54"/>
      <c r="AD70" s="54"/>
    </row>
    <row r="71">
      <c r="A71" s="54"/>
      <c r="B71" s="250">
        <v>45386.0</v>
      </c>
      <c r="C71" s="251"/>
      <c r="D71" s="259"/>
      <c r="E71" s="252">
        <v>1845616.0</v>
      </c>
      <c r="F71" s="252">
        <v>662.0</v>
      </c>
      <c r="G71" s="252">
        <v>510.0</v>
      </c>
      <c r="H71" s="253">
        <v>76.0</v>
      </c>
      <c r="I71" s="253">
        <v>85.0</v>
      </c>
      <c r="J71" s="253">
        <v>-9.0</v>
      </c>
      <c r="K71" s="97">
        <v>12.84</v>
      </c>
      <c r="L71" s="54"/>
      <c r="M71" s="265"/>
      <c r="P71" s="86"/>
      <c r="Q71" s="54"/>
      <c r="R71" s="249"/>
      <c r="T71" s="262">
        <v>45428.0</v>
      </c>
      <c r="U71" s="263" t="s">
        <v>161</v>
      </c>
      <c r="V71" s="263">
        <v>1661705.0</v>
      </c>
      <c r="W71" s="263">
        <v>1519.0</v>
      </c>
      <c r="X71" s="263" t="s">
        <v>227</v>
      </c>
      <c r="Y71" s="264">
        <v>394.43</v>
      </c>
      <c r="Z71" s="264">
        <v>410.0</v>
      </c>
      <c r="AA71" s="264">
        <v>-15.57</v>
      </c>
      <c r="AB71" s="254">
        <f t="shared" si="9"/>
        <v>26.99144174</v>
      </c>
      <c r="AC71" s="54"/>
      <c r="AD71" s="54"/>
    </row>
    <row r="72">
      <c r="A72" s="54"/>
      <c r="B72" s="250">
        <v>45388.0</v>
      </c>
      <c r="C72" s="251"/>
      <c r="D72" s="259"/>
      <c r="E72" s="252">
        <v>1846829.0</v>
      </c>
      <c r="F72" s="252">
        <v>1213.0</v>
      </c>
      <c r="G72" s="252">
        <v>485.0</v>
      </c>
      <c r="H72" s="253">
        <v>405.0</v>
      </c>
      <c r="I72" s="253">
        <v>400.0</v>
      </c>
      <c r="J72" s="253">
        <v>5.0</v>
      </c>
      <c r="K72" s="97">
        <v>32.98</v>
      </c>
      <c r="L72" s="54"/>
      <c r="M72" s="266"/>
      <c r="N72" s="266"/>
      <c r="O72" s="266"/>
      <c r="P72" s="86"/>
      <c r="Q72" s="54"/>
      <c r="R72" s="249"/>
      <c r="T72" s="262">
        <v>45430.0</v>
      </c>
      <c r="U72" s="263" t="s">
        <v>161</v>
      </c>
      <c r="V72" s="263">
        <v>1663296.0</v>
      </c>
      <c r="W72" s="263">
        <v>1591.0</v>
      </c>
      <c r="X72" s="263" t="s">
        <v>228</v>
      </c>
      <c r="Y72" s="264">
        <v>383.84</v>
      </c>
      <c r="Z72" s="264">
        <v>430.0</v>
      </c>
      <c r="AA72" s="264">
        <v>-46.16</v>
      </c>
      <c r="AB72" s="254">
        <f t="shared" si="9"/>
        <v>27.02702703</v>
      </c>
      <c r="AC72" s="54"/>
      <c r="AD72" s="54"/>
    </row>
    <row r="73">
      <c r="A73" s="54"/>
      <c r="B73" s="250">
        <v>45389.0</v>
      </c>
      <c r="C73" s="251"/>
      <c r="D73" s="259"/>
      <c r="E73" s="252">
        <v>1847153.0</v>
      </c>
      <c r="F73" s="252">
        <v>324.0</v>
      </c>
      <c r="G73" s="252">
        <v>510.0</v>
      </c>
      <c r="H73" s="253">
        <v>104.0</v>
      </c>
      <c r="I73" s="253">
        <v>103.71</v>
      </c>
      <c r="J73" s="253">
        <v>0.29</v>
      </c>
      <c r="K73" s="97">
        <v>32.01</v>
      </c>
      <c r="L73" s="54"/>
      <c r="M73" s="194"/>
      <c r="N73" s="194"/>
      <c r="O73" s="267"/>
      <c r="P73" s="86"/>
      <c r="Q73" s="54"/>
      <c r="R73" s="249"/>
      <c r="T73" s="262">
        <v>45432.0</v>
      </c>
      <c r="U73" s="263" t="s">
        <v>161</v>
      </c>
      <c r="V73" s="263">
        <v>1664502.0</v>
      </c>
      <c r="W73" s="263">
        <v>1206.0</v>
      </c>
      <c r="X73" s="263" t="s">
        <v>229</v>
      </c>
      <c r="Y73" s="264">
        <v>330.66</v>
      </c>
      <c r="Z73" s="264">
        <v>350.01</v>
      </c>
      <c r="AA73" s="264">
        <v>-19.35</v>
      </c>
      <c r="AB73" s="254">
        <f t="shared" si="9"/>
        <v>29.02238806</v>
      </c>
      <c r="AC73" s="54"/>
      <c r="AD73" s="54"/>
    </row>
    <row r="74">
      <c r="A74" s="54"/>
      <c r="B74" s="250">
        <v>45391.0</v>
      </c>
      <c r="C74" s="251"/>
      <c r="D74" s="259"/>
      <c r="E74" s="252">
        <v>1848304.0</v>
      </c>
      <c r="F74" s="252">
        <v>1151.0</v>
      </c>
      <c r="G74" s="252">
        <v>504.0</v>
      </c>
      <c r="H74" s="253">
        <v>364.0</v>
      </c>
      <c r="I74" s="253">
        <v>360.0</v>
      </c>
      <c r="J74" s="253">
        <v>4.0</v>
      </c>
      <c r="K74" s="97">
        <v>31.28</v>
      </c>
      <c r="L74" s="54"/>
      <c r="M74" s="54"/>
      <c r="N74" s="54"/>
      <c r="O74" s="54"/>
      <c r="P74" s="86"/>
      <c r="Q74" s="54"/>
      <c r="R74" s="249"/>
      <c r="T74" s="262">
        <v>45433.0</v>
      </c>
      <c r="U74" s="263" t="s">
        <v>161</v>
      </c>
      <c r="V74" s="263">
        <v>1664844.0</v>
      </c>
      <c r="W74" s="263">
        <v>342.0</v>
      </c>
      <c r="X74" s="263" t="s">
        <v>230</v>
      </c>
      <c r="Y74" s="264">
        <v>59.86</v>
      </c>
      <c r="Z74" s="264">
        <v>87.89</v>
      </c>
      <c r="AA74" s="264">
        <v>-28.03</v>
      </c>
      <c r="AB74" s="254">
        <f t="shared" si="9"/>
        <v>25.69883041</v>
      </c>
      <c r="AC74" s="54"/>
      <c r="AD74" s="54"/>
    </row>
    <row r="75">
      <c r="A75" s="54"/>
      <c r="B75" s="250">
        <v>45392.0</v>
      </c>
      <c r="C75" s="251"/>
      <c r="D75" s="259"/>
      <c r="E75" s="252">
        <v>1848897.0</v>
      </c>
      <c r="F75" s="252">
        <v>593.0</v>
      </c>
      <c r="G75" s="252">
        <v>510.0</v>
      </c>
      <c r="H75" s="253">
        <v>133.0</v>
      </c>
      <c r="I75" s="253">
        <v>134.0</v>
      </c>
      <c r="J75" s="253">
        <v>-1.0</v>
      </c>
      <c r="K75" s="97">
        <v>22.6</v>
      </c>
      <c r="L75" s="54"/>
      <c r="M75" s="54"/>
      <c r="N75" s="54"/>
      <c r="O75" s="54"/>
      <c r="P75" s="86"/>
      <c r="Q75" s="54"/>
      <c r="R75" s="249"/>
      <c r="T75" s="262">
        <v>45435.0</v>
      </c>
      <c r="U75" s="263" t="s">
        <v>161</v>
      </c>
      <c r="V75" s="263">
        <v>1666391.0</v>
      </c>
      <c r="W75" s="263">
        <v>1547.0</v>
      </c>
      <c r="X75" s="263" t="s">
        <v>231</v>
      </c>
      <c r="Y75" s="264">
        <v>398.32</v>
      </c>
      <c r="Z75" s="264">
        <v>440.65</v>
      </c>
      <c r="AA75" s="264">
        <v>-42.33</v>
      </c>
      <c r="AB75" s="254">
        <f t="shared" si="9"/>
        <v>28.4841629</v>
      </c>
      <c r="AC75" s="54"/>
      <c r="AD75" s="54"/>
    </row>
    <row r="76">
      <c r="A76" s="54"/>
      <c r="B76" s="250">
        <v>45393.0</v>
      </c>
      <c r="C76" s="251"/>
      <c r="D76" s="259"/>
      <c r="E76" s="252">
        <v>1849522.0</v>
      </c>
      <c r="F76" s="252">
        <v>625.0</v>
      </c>
      <c r="G76" s="252">
        <v>509.0</v>
      </c>
      <c r="H76" s="253">
        <v>296.0</v>
      </c>
      <c r="I76" s="253">
        <v>290.0</v>
      </c>
      <c r="J76" s="253">
        <v>6.0</v>
      </c>
      <c r="K76" s="97">
        <v>46.4</v>
      </c>
      <c r="L76" s="54"/>
      <c r="M76" s="54"/>
      <c r="N76" s="54"/>
      <c r="O76" s="54"/>
      <c r="P76" s="86"/>
      <c r="Q76" s="54"/>
      <c r="R76" s="249"/>
      <c r="T76" s="262">
        <v>45437.0</v>
      </c>
      <c r="U76" s="263" t="s">
        <v>161</v>
      </c>
      <c r="V76" s="263">
        <v>1667938.0</v>
      </c>
      <c r="W76" s="263">
        <v>1547.0</v>
      </c>
      <c r="X76" s="263" t="s">
        <v>232</v>
      </c>
      <c r="Y76" s="264">
        <v>387.24</v>
      </c>
      <c r="Z76" s="264">
        <v>430.01</v>
      </c>
      <c r="AA76" s="264">
        <v>-42.77</v>
      </c>
      <c r="AB76" s="254">
        <f t="shared" si="9"/>
        <v>27.79638009</v>
      </c>
      <c r="AC76" s="54"/>
      <c r="AD76" s="54"/>
    </row>
    <row r="77">
      <c r="A77" s="54"/>
      <c r="B77" s="250">
        <v>45393.0</v>
      </c>
      <c r="C77" s="251"/>
      <c r="D77" s="259"/>
      <c r="E77" s="252">
        <v>1850203.0</v>
      </c>
      <c r="F77" s="252">
        <v>681.0</v>
      </c>
      <c r="G77" s="252">
        <v>510.0</v>
      </c>
      <c r="H77" s="253">
        <v>59.0</v>
      </c>
      <c r="I77" s="253">
        <v>70.0</v>
      </c>
      <c r="J77" s="253">
        <v>-11.0</v>
      </c>
      <c r="K77" s="97">
        <v>10.28</v>
      </c>
      <c r="L77" s="54"/>
      <c r="M77" s="54"/>
      <c r="N77" s="54"/>
      <c r="O77" s="54"/>
      <c r="P77" s="86"/>
      <c r="Q77" s="54"/>
      <c r="R77" s="249"/>
      <c r="T77" s="262">
        <v>45439.0</v>
      </c>
      <c r="U77" s="263" t="s">
        <v>161</v>
      </c>
      <c r="V77" s="263">
        <v>1669136.0</v>
      </c>
      <c r="W77" s="263">
        <v>1198.0</v>
      </c>
      <c r="X77" s="263" t="s">
        <v>233</v>
      </c>
      <c r="Y77" s="264">
        <v>304.78</v>
      </c>
      <c r="Z77" s="264">
        <v>326.7</v>
      </c>
      <c r="AA77" s="264">
        <v>-21.92</v>
      </c>
      <c r="AB77" s="254">
        <f t="shared" si="9"/>
        <v>27.27045075</v>
      </c>
      <c r="AC77" s="54"/>
      <c r="AD77" s="54"/>
    </row>
    <row r="78">
      <c r="A78" s="54"/>
      <c r="B78" s="250">
        <v>45395.0</v>
      </c>
      <c r="C78" s="251"/>
      <c r="D78" s="259"/>
      <c r="E78" s="252">
        <v>1851458.0</v>
      </c>
      <c r="F78" s="252">
        <v>1255.0</v>
      </c>
      <c r="G78" s="252">
        <v>509.0</v>
      </c>
      <c r="H78" s="253">
        <v>375.0</v>
      </c>
      <c r="I78" s="253">
        <v>370.0</v>
      </c>
      <c r="J78" s="253">
        <v>5.0</v>
      </c>
      <c r="K78" s="97">
        <v>29.48</v>
      </c>
      <c r="L78" s="54"/>
      <c r="M78" s="54"/>
      <c r="N78" s="54"/>
      <c r="O78" s="54"/>
      <c r="P78" s="86"/>
      <c r="Q78" s="54"/>
      <c r="R78" s="249"/>
      <c r="T78" s="262">
        <v>45441.0</v>
      </c>
      <c r="U78" s="263" t="s">
        <v>161</v>
      </c>
      <c r="V78" s="263">
        <v>1669795.0</v>
      </c>
      <c r="W78" s="263">
        <v>659.0</v>
      </c>
      <c r="X78" s="263" t="s">
        <v>176</v>
      </c>
      <c r="Y78" s="264">
        <v>149.94</v>
      </c>
      <c r="Z78" s="264">
        <v>168.37</v>
      </c>
      <c r="AA78" s="264">
        <v>-18.43</v>
      </c>
      <c r="AB78" s="254">
        <f t="shared" si="9"/>
        <v>25.54931715</v>
      </c>
      <c r="AC78" s="54"/>
      <c r="AD78" s="54"/>
    </row>
    <row r="79">
      <c r="A79" s="54"/>
      <c r="B79" s="250">
        <v>45396.0</v>
      </c>
      <c r="C79" s="251"/>
      <c r="D79" s="259"/>
      <c r="E79" s="252">
        <v>1851737.0</v>
      </c>
      <c r="F79" s="252">
        <v>279.0</v>
      </c>
      <c r="G79" s="252">
        <v>510.0</v>
      </c>
      <c r="H79" s="253">
        <v>66.0</v>
      </c>
      <c r="I79" s="253">
        <v>70.0</v>
      </c>
      <c r="J79" s="253">
        <v>-4.0</v>
      </c>
      <c r="K79" s="97">
        <v>25.09</v>
      </c>
      <c r="L79" s="54"/>
      <c r="M79" s="54"/>
      <c r="N79" s="54"/>
      <c r="O79" s="54"/>
      <c r="P79" s="86"/>
      <c r="Q79" s="54"/>
      <c r="R79" s="249"/>
      <c r="T79" s="262">
        <v>45443.0</v>
      </c>
      <c r="U79" s="263" t="s">
        <v>161</v>
      </c>
      <c r="V79" s="263">
        <v>1671279.0</v>
      </c>
      <c r="W79" s="263">
        <v>1484.0</v>
      </c>
      <c r="X79" s="263" t="s">
        <v>234</v>
      </c>
      <c r="Y79" s="264">
        <v>411.44</v>
      </c>
      <c r="Z79" s="264">
        <v>430.0</v>
      </c>
      <c r="AA79" s="264">
        <v>-18.56</v>
      </c>
      <c r="AB79" s="254">
        <f t="shared" si="9"/>
        <v>28.97574124</v>
      </c>
      <c r="AC79" s="54"/>
      <c r="AD79" s="54"/>
    </row>
    <row r="80">
      <c r="A80" s="54"/>
      <c r="B80" s="250">
        <v>45398.0</v>
      </c>
      <c r="C80" s="251"/>
      <c r="D80" s="259"/>
      <c r="E80" s="252">
        <v>1853019.0</v>
      </c>
      <c r="F80" s="252">
        <v>1282.0</v>
      </c>
      <c r="G80" s="252">
        <v>510.0</v>
      </c>
      <c r="H80" s="253">
        <v>384.0</v>
      </c>
      <c r="I80" s="253">
        <v>379.09</v>
      </c>
      <c r="J80" s="253">
        <v>4.91</v>
      </c>
      <c r="K80" s="97">
        <v>29.57</v>
      </c>
      <c r="L80" s="54"/>
      <c r="M80" s="54"/>
      <c r="N80" s="54"/>
      <c r="O80" s="54"/>
      <c r="P80" s="86"/>
      <c r="Q80" s="54"/>
      <c r="R80" s="249"/>
      <c r="T80" s="66"/>
      <c r="U80" s="66"/>
      <c r="V80" s="66"/>
      <c r="W80" s="66"/>
      <c r="X80" s="67" t="s">
        <v>90</v>
      </c>
      <c r="Y80" s="66"/>
      <c r="Z80" s="66"/>
      <c r="AA80" s="66"/>
      <c r="AB80" s="66"/>
      <c r="AC80" s="54"/>
      <c r="AD80" s="54"/>
    </row>
    <row r="81">
      <c r="A81" s="54"/>
      <c r="B81" s="250">
        <v>45398.0</v>
      </c>
      <c r="C81" s="251"/>
      <c r="D81" s="259"/>
      <c r="E81" s="252">
        <v>1853199.0</v>
      </c>
      <c r="F81" s="252">
        <v>180.0</v>
      </c>
      <c r="G81" s="252">
        <v>509.0</v>
      </c>
      <c r="H81" s="253">
        <v>66.0</v>
      </c>
      <c r="I81" s="253">
        <v>66.44</v>
      </c>
      <c r="J81" s="253">
        <v>-0.44</v>
      </c>
      <c r="K81" s="97">
        <v>36.91</v>
      </c>
      <c r="L81" s="54"/>
      <c r="M81" s="54"/>
      <c r="N81" s="54"/>
      <c r="O81" s="54"/>
      <c r="P81" s="86"/>
      <c r="Q81" s="54"/>
      <c r="R81" s="249"/>
      <c r="T81" s="70">
        <v>45445.0</v>
      </c>
      <c r="U81" s="260" t="s">
        <v>161</v>
      </c>
      <c r="V81" s="260">
        <v>1672763.0</v>
      </c>
      <c r="W81" s="260">
        <v>1484.0</v>
      </c>
      <c r="X81" s="260" t="s">
        <v>235</v>
      </c>
      <c r="Y81" s="261">
        <v>379.04</v>
      </c>
      <c r="Z81" s="261">
        <v>397.0</v>
      </c>
      <c r="AA81" s="261">
        <v>-17.96</v>
      </c>
      <c r="AB81" s="103">
        <f t="shared" ref="AB81:AB88" si="10">Z81/W81*100</f>
        <v>26.75202156</v>
      </c>
      <c r="AC81" s="54"/>
      <c r="AD81" s="54"/>
    </row>
    <row r="82">
      <c r="A82" s="54"/>
      <c r="B82" s="250">
        <v>45400.0</v>
      </c>
      <c r="C82" s="251"/>
      <c r="D82" s="259"/>
      <c r="E82" s="252">
        <v>1854121.0</v>
      </c>
      <c r="F82" s="252">
        <v>922.0</v>
      </c>
      <c r="G82" s="252">
        <v>501.0</v>
      </c>
      <c r="H82" s="253">
        <v>369.0</v>
      </c>
      <c r="I82" s="253">
        <v>367.75</v>
      </c>
      <c r="J82" s="253">
        <v>1.25</v>
      </c>
      <c r="K82" s="97">
        <v>39.89</v>
      </c>
      <c r="L82" s="54"/>
      <c r="M82" s="54"/>
      <c r="N82" s="54"/>
      <c r="O82" s="54"/>
      <c r="P82" s="86"/>
      <c r="Q82" s="54"/>
      <c r="R82" s="249"/>
      <c r="T82" s="262">
        <v>45448.0</v>
      </c>
      <c r="U82" s="263" t="s">
        <v>161</v>
      </c>
      <c r="V82" s="263">
        <v>1674230.0</v>
      </c>
      <c r="W82" s="263">
        <v>1467.0</v>
      </c>
      <c r="X82" s="263" t="s">
        <v>231</v>
      </c>
      <c r="Y82" s="264">
        <v>376.78</v>
      </c>
      <c r="Z82" s="264">
        <v>390.0</v>
      </c>
      <c r="AA82" s="264">
        <v>-13.22</v>
      </c>
      <c r="AB82" s="103">
        <f t="shared" si="10"/>
        <v>26.58486708</v>
      </c>
      <c r="AC82" s="54"/>
      <c r="AD82" s="54"/>
    </row>
    <row r="83">
      <c r="A83" s="54"/>
      <c r="B83" s="250">
        <v>45400.0</v>
      </c>
      <c r="C83" s="251"/>
      <c r="D83" s="259"/>
      <c r="E83" s="252">
        <v>1854121.0</v>
      </c>
      <c r="F83" s="252">
        <v>0.0</v>
      </c>
      <c r="G83" s="252">
        <v>508.0</v>
      </c>
      <c r="H83" s="253">
        <v>66.0</v>
      </c>
      <c r="I83" s="253">
        <v>73.97</v>
      </c>
      <c r="J83" s="253">
        <v>-7.97</v>
      </c>
      <c r="K83" s="97" t="s">
        <v>140</v>
      </c>
      <c r="L83" s="54"/>
      <c r="M83" s="54"/>
      <c r="N83" s="54"/>
      <c r="O83" s="54"/>
      <c r="P83" s="86"/>
      <c r="Q83" s="54"/>
      <c r="R83" s="249"/>
      <c r="T83" s="262">
        <v>45450.0</v>
      </c>
      <c r="U83" s="263" t="s">
        <v>161</v>
      </c>
      <c r="V83" s="263">
        <v>1675715.0</v>
      </c>
      <c r="W83" s="263">
        <v>1485.0</v>
      </c>
      <c r="X83" s="263" t="s">
        <v>236</v>
      </c>
      <c r="Y83" s="264">
        <v>391.92</v>
      </c>
      <c r="Z83" s="264">
        <v>408.25</v>
      </c>
      <c r="AA83" s="264">
        <v>-16.33</v>
      </c>
      <c r="AB83" s="103">
        <f t="shared" si="10"/>
        <v>27.49158249</v>
      </c>
      <c r="AC83" s="54"/>
      <c r="AD83" s="54"/>
    </row>
    <row r="84">
      <c r="A84" s="54"/>
      <c r="B84" s="250">
        <v>45402.0</v>
      </c>
      <c r="C84" s="251"/>
      <c r="D84" s="259"/>
      <c r="E84" s="252">
        <v>1855802.0</v>
      </c>
      <c r="F84" s="252">
        <v>1681.0</v>
      </c>
      <c r="G84" s="252">
        <v>507.0</v>
      </c>
      <c r="H84" s="253">
        <v>404.0</v>
      </c>
      <c r="I84" s="253">
        <v>399.48</v>
      </c>
      <c r="J84" s="253">
        <v>4.52</v>
      </c>
      <c r="K84" s="97">
        <v>23.76</v>
      </c>
      <c r="L84" s="54"/>
      <c r="M84" s="54"/>
      <c r="N84" s="54"/>
      <c r="O84" s="54"/>
      <c r="P84" s="86"/>
      <c r="Q84" s="54"/>
      <c r="R84" s="249"/>
      <c r="T84" s="262">
        <v>45452.0</v>
      </c>
      <c r="U84" s="263" t="s">
        <v>161</v>
      </c>
      <c r="V84" s="263">
        <v>1677263.0</v>
      </c>
      <c r="W84" s="263">
        <v>1548.0</v>
      </c>
      <c r="X84" s="263" t="s">
        <v>237</v>
      </c>
      <c r="Y84" s="264">
        <v>398.54</v>
      </c>
      <c r="Z84" s="264">
        <v>413.04</v>
      </c>
      <c r="AA84" s="264">
        <v>-14.5</v>
      </c>
      <c r="AB84" s="103">
        <f t="shared" si="10"/>
        <v>26.68217054</v>
      </c>
      <c r="AC84" s="54"/>
      <c r="AD84" s="54"/>
    </row>
    <row r="85">
      <c r="A85" s="54"/>
      <c r="B85" s="250">
        <v>45403.0</v>
      </c>
      <c r="C85" s="251"/>
      <c r="D85" s="259"/>
      <c r="E85" s="252">
        <v>1856344.0</v>
      </c>
      <c r="F85" s="252">
        <v>542.0</v>
      </c>
      <c r="G85" s="252">
        <v>510.0</v>
      </c>
      <c r="H85" s="253">
        <v>69.0</v>
      </c>
      <c r="I85" s="253">
        <v>75.0</v>
      </c>
      <c r="J85" s="253">
        <v>-6.0</v>
      </c>
      <c r="K85" s="97">
        <v>13.84</v>
      </c>
      <c r="L85" s="54"/>
      <c r="M85" s="54"/>
      <c r="N85" s="54"/>
      <c r="O85" s="54"/>
      <c r="P85" s="86"/>
      <c r="Q85" s="54"/>
      <c r="R85" s="249"/>
      <c r="T85" s="262">
        <v>45453.0</v>
      </c>
      <c r="U85" s="263" t="s">
        <v>161</v>
      </c>
      <c r="V85" s="263">
        <v>1678602.0</v>
      </c>
      <c r="W85" s="263">
        <v>1339.0</v>
      </c>
      <c r="X85" s="263" t="s">
        <v>238</v>
      </c>
      <c r="Y85" s="264">
        <v>348.06</v>
      </c>
      <c r="Z85" s="264">
        <v>367.0</v>
      </c>
      <c r="AA85" s="264">
        <v>-18.94</v>
      </c>
      <c r="AB85" s="103">
        <f t="shared" si="10"/>
        <v>27.40851382</v>
      </c>
      <c r="AC85" s="54"/>
      <c r="AD85" s="54"/>
    </row>
    <row r="86">
      <c r="A86" s="54"/>
      <c r="B86" s="250">
        <v>45405.0</v>
      </c>
      <c r="C86" s="251"/>
      <c r="D86" s="259"/>
      <c r="E86" s="252">
        <v>1857612.0</v>
      </c>
      <c r="F86" s="252">
        <v>1268.0</v>
      </c>
      <c r="G86" s="252">
        <v>508.0</v>
      </c>
      <c r="H86" s="253">
        <v>394.0</v>
      </c>
      <c r="I86" s="253">
        <v>390.01</v>
      </c>
      <c r="J86" s="253">
        <v>3.99</v>
      </c>
      <c r="K86" s="97">
        <v>30.76</v>
      </c>
      <c r="L86" s="54"/>
      <c r="M86" s="54"/>
      <c r="N86" s="54"/>
      <c r="O86" s="54"/>
      <c r="P86" s="86"/>
      <c r="Q86" s="54"/>
      <c r="R86" s="249"/>
      <c r="T86" s="262">
        <v>45456.0</v>
      </c>
      <c r="U86" s="263" t="s">
        <v>161</v>
      </c>
      <c r="V86" s="263">
        <v>1680121.0</v>
      </c>
      <c r="W86" s="263">
        <v>1519.0</v>
      </c>
      <c r="X86" s="263" t="s">
        <v>232</v>
      </c>
      <c r="Y86" s="264">
        <v>392.17</v>
      </c>
      <c r="Z86" s="264">
        <v>410.03</v>
      </c>
      <c r="AA86" s="264">
        <v>-17.86</v>
      </c>
      <c r="AB86" s="103">
        <f t="shared" si="10"/>
        <v>26.99341672</v>
      </c>
      <c r="AC86" s="54"/>
      <c r="AD86" s="54"/>
    </row>
    <row r="87">
      <c r="A87" s="54"/>
      <c r="B87" s="250">
        <v>45405.0</v>
      </c>
      <c r="C87" s="251"/>
      <c r="D87" s="259"/>
      <c r="E87" s="252">
        <v>1857860.0</v>
      </c>
      <c r="F87" s="252">
        <v>248.0</v>
      </c>
      <c r="G87" s="252">
        <v>504.0</v>
      </c>
      <c r="H87" s="253">
        <v>70.0</v>
      </c>
      <c r="I87" s="253">
        <v>75.58</v>
      </c>
      <c r="J87" s="253">
        <v>-5.58</v>
      </c>
      <c r="K87" s="97">
        <v>30.48</v>
      </c>
      <c r="L87" s="54"/>
      <c r="M87" s="54"/>
      <c r="N87" s="54"/>
      <c r="O87" s="54"/>
      <c r="P87" s="86"/>
      <c r="Q87" s="54"/>
      <c r="R87" s="249"/>
      <c r="T87" s="262">
        <v>45458.0</v>
      </c>
      <c r="U87" s="263" t="s">
        <v>161</v>
      </c>
      <c r="V87" s="263">
        <v>1681668.0</v>
      </c>
      <c r="W87" s="263">
        <v>1547.0</v>
      </c>
      <c r="X87" s="263" t="s">
        <v>239</v>
      </c>
      <c r="Y87" s="264">
        <v>386.11</v>
      </c>
      <c r="Z87" s="264">
        <v>405.01</v>
      </c>
      <c r="AA87" s="264">
        <v>-18.9</v>
      </c>
      <c r="AB87" s="103">
        <f t="shared" si="10"/>
        <v>26.18034906</v>
      </c>
      <c r="AC87" s="54"/>
      <c r="AD87" s="54"/>
    </row>
    <row r="88">
      <c r="A88" s="54"/>
      <c r="B88" s="250">
        <v>45407.0</v>
      </c>
      <c r="C88" s="251"/>
      <c r="D88" s="259"/>
      <c r="E88" s="252">
        <v>1859165.0</v>
      </c>
      <c r="F88" s="252">
        <v>1305.0</v>
      </c>
      <c r="G88" s="252">
        <v>507.0</v>
      </c>
      <c r="H88" s="253">
        <v>385.0</v>
      </c>
      <c r="I88" s="253">
        <v>380.0</v>
      </c>
      <c r="J88" s="253">
        <v>5.0</v>
      </c>
      <c r="K88" s="97">
        <v>29.12</v>
      </c>
      <c r="L88" s="54"/>
      <c r="M88" s="54"/>
      <c r="N88" s="54"/>
      <c r="O88" s="54"/>
      <c r="P88" s="86"/>
      <c r="Q88" s="54"/>
      <c r="R88" s="249"/>
      <c r="T88" s="262">
        <v>45460.0</v>
      </c>
      <c r="U88" s="263" t="s">
        <v>161</v>
      </c>
      <c r="V88" s="263">
        <v>1683179.0</v>
      </c>
      <c r="W88" s="263">
        <v>1511.0</v>
      </c>
      <c r="X88" s="263" t="s">
        <v>240</v>
      </c>
      <c r="Y88" s="264">
        <v>378.18</v>
      </c>
      <c r="Z88" s="264">
        <v>395.38</v>
      </c>
      <c r="AA88" s="264">
        <v>-17.2</v>
      </c>
      <c r="AB88" s="103">
        <f t="shared" si="10"/>
        <v>26.16677697</v>
      </c>
      <c r="AC88" s="54"/>
      <c r="AD88" s="54"/>
    </row>
    <row r="89">
      <c r="A89" s="54"/>
      <c r="B89" s="250">
        <v>45407.0</v>
      </c>
      <c r="C89" s="251"/>
      <c r="D89" s="259"/>
      <c r="E89" s="252">
        <v>1859418.0</v>
      </c>
      <c r="F89" s="252">
        <v>253.0</v>
      </c>
      <c r="G89" s="252">
        <v>508.0</v>
      </c>
      <c r="H89" s="253">
        <v>75.0</v>
      </c>
      <c r="I89" s="253">
        <v>75.0</v>
      </c>
      <c r="J89" s="253">
        <v>0.0</v>
      </c>
      <c r="K89" s="97">
        <v>29.64</v>
      </c>
      <c r="L89" s="54"/>
      <c r="M89" s="54"/>
      <c r="N89" s="54"/>
      <c r="O89" s="54"/>
      <c r="P89" s="86"/>
      <c r="Q89" s="54"/>
      <c r="R89" s="249"/>
      <c r="T89" s="66"/>
      <c r="U89" s="66"/>
      <c r="V89" s="66"/>
      <c r="W89" s="66"/>
      <c r="X89" s="67" t="s">
        <v>92</v>
      </c>
      <c r="Y89" s="66"/>
      <c r="Z89" s="66"/>
      <c r="AA89" s="66"/>
      <c r="AB89" s="242"/>
      <c r="AC89" s="54"/>
      <c r="AD89" s="54"/>
    </row>
    <row r="90">
      <c r="A90" s="54"/>
      <c r="B90" s="250">
        <v>45409.0</v>
      </c>
      <c r="C90" s="251"/>
      <c r="D90" s="259"/>
      <c r="E90" s="252">
        <v>1860703.0</v>
      </c>
      <c r="F90" s="252">
        <v>1285.0</v>
      </c>
      <c r="G90" s="252">
        <v>507.0</v>
      </c>
      <c r="H90" s="253">
        <v>363.0</v>
      </c>
      <c r="I90" s="253">
        <v>357.47</v>
      </c>
      <c r="J90" s="253">
        <v>5.53</v>
      </c>
      <c r="K90" s="97">
        <v>27.82</v>
      </c>
      <c r="L90" s="54"/>
      <c r="M90" s="54"/>
      <c r="N90" s="54"/>
      <c r="O90" s="54"/>
      <c r="P90" s="86"/>
      <c r="Q90" s="54"/>
      <c r="R90" s="249"/>
      <c r="T90" s="70">
        <v>45475.0</v>
      </c>
      <c r="U90" s="260" t="s">
        <v>161</v>
      </c>
      <c r="V90" s="260">
        <v>1683886.0</v>
      </c>
      <c r="W90" s="260">
        <v>707.0</v>
      </c>
      <c r="X90" s="260" t="s">
        <v>241</v>
      </c>
      <c r="Y90" s="261">
        <v>185.31</v>
      </c>
      <c r="Z90" s="261">
        <v>210.2</v>
      </c>
      <c r="AA90" s="261">
        <v>-24.89</v>
      </c>
      <c r="AB90" s="254">
        <f t="shared" ref="AB90:AB98" si="11">Z90/W90*100</f>
        <v>29.73125884</v>
      </c>
      <c r="AC90" s="54"/>
      <c r="AD90" s="54"/>
    </row>
    <row r="91">
      <c r="A91" s="54"/>
      <c r="B91" s="250">
        <v>45410.0</v>
      </c>
      <c r="C91" s="251"/>
      <c r="D91" s="259"/>
      <c r="E91" s="252">
        <v>1861218.0</v>
      </c>
      <c r="F91" s="252">
        <v>515.0</v>
      </c>
      <c r="G91" s="252">
        <v>466.0</v>
      </c>
      <c r="H91" s="253">
        <v>101.0</v>
      </c>
      <c r="I91" s="253">
        <v>100.0</v>
      </c>
      <c r="J91" s="253">
        <v>1.0</v>
      </c>
      <c r="K91" s="97">
        <v>19.42</v>
      </c>
      <c r="L91" s="54"/>
      <c r="M91" s="54"/>
      <c r="N91" s="54"/>
      <c r="O91" s="54"/>
      <c r="P91" s="86"/>
      <c r="Q91" s="54"/>
      <c r="R91" s="249"/>
      <c r="T91" s="262">
        <v>45477.0</v>
      </c>
      <c r="U91" s="263" t="s">
        <v>161</v>
      </c>
      <c r="V91" s="263">
        <v>1685369.0</v>
      </c>
      <c r="W91" s="263">
        <v>1483.0</v>
      </c>
      <c r="X91" s="263" t="s">
        <v>242</v>
      </c>
      <c r="Y91" s="264">
        <v>371.08</v>
      </c>
      <c r="Z91" s="264">
        <v>385.06</v>
      </c>
      <c r="AA91" s="264">
        <v>-13.98</v>
      </c>
      <c r="AB91" s="254">
        <f t="shared" si="11"/>
        <v>25.96493594</v>
      </c>
      <c r="AC91" s="54"/>
      <c r="AD91" s="54"/>
    </row>
    <row r="92">
      <c r="A92" s="54"/>
      <c r="B92" s="250">
        <v>45411.0</v>
      </c>
      <c r="C92" s="251"/>
      <c r="D92" s="259"/>
      <c r="E92" s="252">
        <v>1862246.0</v>
      </c>
      <c r="F92" s="252">
        <v>1028.0</v>
      </c>
      <c r="G92" s="252">
        <v>505.0</v>
      </c>
      <c r="H92" s="253">
        <v>340.0</v>
      </c>
      <c r="I92" s="253">
        <v>340.0</v>
      </c>
      <c r="J92" s="253">
        <v>0.0</v>
      </c>
      <c r="K92" s="97">
        <v>33.07</v>
      </c>
      <c r="L92" s="54"/>
      <c r="M92" s="54"/>
      <c r="N92" s="54"/>
      <c r="O92" s="54"/>
      <c r="P92" s="86"/>
      <c r="Q92" s="54"/>
      <c r="R92" s="249"/>
      <c r="T92" s="262">
        <v>45480.0</v>
      </c>
      <c r="U92" s="263" t="s">
        <v>161</v>
      </c>
      <c r="V92" s="263">
        <v>1686433.0</v>
      </c>
      <c r="W92" s="263">
        <v>1064.0</v>
      </c>
      <c r="X92" s="263" t="s">
        <v>243</v>
      </c>
      <c r="Y92" s="264">
        <v>278.31</v>
      </c>
      <c r="Z92" s="264">
        <v>304.45</v>
      </c>
      <c r="AA92" s="264">
        <v>-26.14</v>
      </c>
      <c r="AB92" s="254">
        <f t="shared" si="11"/>
        <v>28.6137218</v>
      </c>
      <c r="AC92" s="54"/>
      <c r="AD92" s="54"/>
    </row>
    <row r="93">
      <c r="A93" s="66"/>
      <c r="B93" s="67" t="s">
        <v>75</v>
      </c>
      <c r="J93" s="66"/>
      <c r="K93" s="204"/>
      <c r="L93" s="66"/>
      <c r="M93" s="66"/>
      <c r="N93" s="66"/>
      <c r="O93" s="66"/>
      <c r="P93" s="113"/>
      <c r="Q93" s="66"/>
      <c r="R93" s="249"/>
      <c r="T93" s="262">
        <v>45482.0</v>
      </c>
      <c r="U93" s="263" t="s">
        <v>161</v>
      </c>
      <c r="V93" s="263">
        <v>1687904.0</v>
      </c>
      <c r="W93" s="263">
        <v>1471.0</v>
      </c>
      <c r="X93" s="263" t="s">
        <v>244</v>
      </c>
      <c r="Y93" s="264">
        <v>355.25</v>
      </c>
      <c r="Z93" s="264">
        <v>375.0</v>
      </c>
      <c r="AA93" s="264">
        <v>-19.75</v>
      </c>
      <c r="AB93" s="254">
        <f t="shared" si="11"/>
        <v>25.492862</v>
      </c>
      <c r="AC93" s="54"/>
      <c r="AD93" s="54"/>
    </row>
    <row r="94">
      <c r="A94" s="54"/>
      <c r="B94" s="243">
        <v>45413.0</v>
      </c>
      <c r="C94" s="244"/>
      <c r="D94" s="245" t="s">
        <v>161</v>
      </c>
      <c r="E94" s="245">
        <v>1862860.0</v>
      </c>
      <c r="F94" s="245">
        <v>614.0</v>
      </c>
      <c r="G94" s="245">
        <v>499.0</v>
      </c>
      <c r="H94" s="246">
        <v>167.0</v>
      </c>
      <c r="I94" s="246">
        <v>165.88</v>
      </c>
      <c r="J94" s="246">
        <v>1.12</v>
      </c>
      <c r="K94" s="97">
        <v>27.02</v>
      </c>
      <c r="L94" s="54"/>
      <c r="M94" s="82" t="str">
        <f>"тотал"&amp;" "&amp;B93</f>
        <v>тотал МАЙ</v>
      </c>
      <c r="N94" s="75"/>
      <c r="O94" s="76"/>
      <c r="P94" s="86"/>
      <c r="Q94" s="54"/>
      <c r="R94" s="249"/>
      <c r="T94" s="262">
        <v>45484.0</v>
      </c>
      <c r="U94" s="263" t="s">
        <v>161</v>
      </c>
      <c r="V94" s="263">
        <v>1689415.0</v>
      </c>
      <c r="W94" s="263">
        <v>1511.0</v>
      </c>
      <c r="X94" s="263" t="s">
        <v>245</v>
      </c>
      <c r="Y94" s="264">
        <v>390.21</v>
      </c>
      <c r="Z94" s="264">
        <v>400.0</v>
      </c>
      <c r="AA94" s="264">
        <v>-9.79</v>
      </c>
      <c r="AB94" s="254">
        <f t="shared" si="11"/>
        <v>26.47253475</v>
      </c>
      <c r="AC94" s="54"/>
      <c r="AD94" s="54"/>
    </row>
    <row r="95">
      <c r="A95" s="54"/>
      <c r="B95" s="250">
        <v>45414.0</v>
      </c>
      <c r="C95" s="251"/>
      <c r="D95" s="252" t="s">
        <v>161</v>
      </c>
      <c r="E95" s="252">
        <v>1863893.0</v>
      </c>
      <c r="F95" s="252">
        <v>1033.0</v>
      </c>
      <c r="G95" s="252">
        <v>492.0</v>
      </c>
      <c r="H95" s="253">
        <v>301.0</v>
      </c>
      <c r="I95" s="253">
        <v>302.12</v>
      </c>
      <c r="J95" s="253">
        <v>-1.12</v>
      </c>
      <c r="K95" s="97">
        <v>29.25</v>
      </c>
      <c r="L95" s="54"/>
      <c r="M95" s="83" t="s">
        <v>70</v>
      </c>
      <c r="N95" s="83" t="s">
        <v>71</v>
      </c>
      <c r="O95" s="83" t="s">
        <v>27</v>
      </c>
      <c r="P95" s="120"/>
      <c r="Q95" s="60"/>
      <c r="R95" s="249"/>
      <c r="T95" s="262">
        <v>45486.0</v>
      </c>
      <c r="U95" s="263" t="s">
        <v>161</v>
      </c>
      <c r="V95" s="263">
        <v>1690676.0</v>
      </c>
      <c r="W95" s="263">
        <v>1261.0</v>
      </c>
      <c r="X95" s="263" t="s">
        <v>220</v>
      </c>
      <c r="Y95" s="264">
        <v>312.84</v>
      </c>
      <c r="Z95" s="264">
        <v>331.09</v>
      </c>
      <c r="AA95" s="264">
        <v>-18.25</v>
      </c>
      <c r="AB95" s="254">
        <f t="shared" si="11"/>
        <v>26.25614592</v>
      </c>
      <c r="AC95" s="54"/>
      <c r="AD95" s="54"/>
    </row>
    <row r="96">
      <c r="A96" s="54"/>
      <c r="B96" s="250">
        <v>45415.0</v>
      </c>
      <c r="C96" s="251"/>
      <c r="D96" s="252" t="s">
        <v>161</v>
      </c>
      <c r="E96" s="252">
        <v>1864316.0</v>
      </c>
      <c r="F96" s="252">
        <v>423.0</v>
      </c>
      <c r="G96" s="252">
        <v>495.0</v>
      </c>
      <c r="H96" s="253">
        <v>133.0</v>
      </c>
      <c r="I96" s="253">
        <v>130.81</v>
      </c>
      <c r="J96" s="253">
        <v>2.19</v>
      </c>
      <c r="K96" s="97">
        <v>30.92</v>
      </c>
      <c r="L96" s="54"/>
      <c r="M96" s="84">
        <f>SUM(F94:F104)</f>
        <v>11126</v>
      </c>
      <c r="N96" s="84">
        <f>SUM(I94:I104)</f>
        <v>3321.75</v>
      </c>
      <c r="O96" s="85">
        <f>N96/M96*100</f>
        <v>29.8557433</v>
      </c>
      <c r="P96" s="86"/>
      <c r="Q96" s="63"/>
      <c r="R96" s="249"/>
      <c r="T96" s="262">
        <v>45488.0</v>
      </c>
      <c r="U96" s="263" t="s">
        <v>161</v>
      </c>
      <c r="V96" s="263">
        <v>1692189.0</v>
      </c>
      <c r="W96" s="263">
        <v>1513.0</v>
      </c>
      <c r="X96" s="263" t="s">
        <v>246</v>
      </c>
      <c r="Y96" s="264">
        <v>399.75</v>
      </c>
      <c r="Z96" s="264">
        <v>412.86</v>
      </c>
      <c r="AA96" s="264">
        <v>-13.11</v>
      </c>
      <c r="AB96" s="254">
        <f t="shared" si="11"/>
        <v>27.28750826</v>
      </c>
      <c r="AC96" s="54"/>
      <c r="AD96" s="54"/>
    </row>
    <row r="97">
      <c r="A97" s="54"/>
      <c r="B97" s="250">
        <v>45416.0</v>
      </c>
      <c r="C97" s="251"/>
      <c r="D97" s="252" t="s">
        <v>161</v>
      </c>
      <c r="E97" s="252">
        <v>1865349.0</v>
      </c>
      <c r="F97" s="252">
        <v>1033.0</v>
      </c>
      <c r="G97" s="252">
        <v>439.0</v>
      </c>
      <c r="H97" s="253">
        <v>253.0</v>
      </c>
      <c r="I97" s="253">
        <v>250.0</v>
      </c>
      <c r="J97" s="253">
        <v>3.0</v>
      </c>
      <c r="K97" s="97">
        <v>24.2</v>
      </c>
      <c r="L97" s="54"/>
      <c r="M97" s="54"/>
      <c r="N97" s="54"/>
      <c r="O97" s="54"/>
      <c r="P97" s="86"/>
      <c r="Q97" s="54"/>
      <c r="R97" s="249"/>
      <c r="T97" s="262">
        <v>45490.0</v>
      </c>
      <c r="U97" s="263" t="s">
        <v>161</v>
      </c>
      <c r="V97" s="263">
        <v>1693687.0</v>
      </c>
      <c r="W97" s="263">
        <v>1498.0</v>
      </c>
      <c r="X97" s="263" t="s">
        <v>247</v>
      </c>
      <c r="Y97" s="264">
        <v>414.1</v>
      </c>
      <c r="Z97" s="264">
        <v>420.0</v>
      </c>
      <c r="AA97" s="264">
        <v>-5.9</v>
      </c>
      <c r="AB97" s="254">
        <f t="shared" si="11"/>
        <v>28.03738318</v>
      </c>
      <c r="AC97" s="54"/>
      <c r="AD97" s="54"/>
    </row>
    <row r="98">
      <c r="A98" s="54"/>
      <c r="B98" s="250">
        <v>45431.0</v>
      </c>
      <c r="C98" s="251"/>
      <c r="D98" s="252" t="s">
        <v>161</v>
      </c>
      <c r="E98" s="252">
        <v>1865763.0</v>
      </c>
      <c r="F98" s="252">
        <v>414.0</v>
      </c>
      <c r="G98" s="252">
        <v>510.0</v>
      </c>
      <c r="H98" s="253">
        <v>279.0</v>
      </c>
      <c r="I98" s="253">
        <v>297.94</v>
      </c>
      <c r="J98" s="253">
        <v>-18.94</v>
      </c>
      <c r="K98" s="97">
        <v>71.97</v>
      </c>
      <c r="L98" s="54"/>
      <c r="M98" s="60"/>
      <c r="N98" s="54"/>
      <c r="O98" s="54"/>
      <c r="P98" s="86"/>
      <c r="Q98" s="54"/>
      <c r="R98" s="249"/>
      <c r="T98" s="262">
        <v>45504.0</v>
      </c>
      <c r="U98" s="263" t="s">
        <v>161</v>
      </c>
      <c r="V98" s="263">
        <v>1694100.0</v>
      </c>
      <c r="W98" s="263">
        <v>413.0</v>
      </c>
      <c r="X98" s="263" t="s">
        <v>248</v>
      </c>
      <c r="Y98" s="264">
        <v>82.48</v>
      </c>
      <c r="Z98" s="264">
        <v>112.24</v>
      </c>
      <c r="AA98" s="264">
        <v>-29.76</v>
      </c>
      <c r="AB98" s="254">
        <f t="shared" si="11"/>
        <v>27.17675545</v>
      </c>
      <c r="AC98" s="54"/>
      <c r="AD98" s="54"/>
    </row>
    <row r="99">
      <c r="A99" s="54"/>
      <c r="B99" s="250">
        <v>45433.0</v>
      </c>
      <c r="C99" s="251"/>
      <c r="D99" s="252" t="s">
        <v>161</v>
      </c>
      <c r="E99" s="252">
        <v>1867025.0</v>
      </c>
      <c r="F99" s="252">
        <v>1262.0</v>
      </c>
      <c r="G99" s="252">
        <v>501.0</v>
      </c>
      <c r="H99" s="253">
        <v>354.0</v>
      </c>
      <c r="I99" s="253">
        <v>350.01</v>
      </c>
      <c r="J99" s="253">
        <v>3.99</v>
      </c>
      <c r="K99" s="97">
        <v>27.73</v>
      </c>
      <c r="L99" s="54"/>
      <c r="M99" s="63"/>
      <c r="N99" s="54"/>
      <c r="O99" s="54"/>
      <c r="P99" s="86"/>
      <c r="Q99" s="54"/>
      <c r="R99" s="249"/>
      <c r="T99" s="66"/>
      <c r="U99" s="66"/>
      <c r="V99" s="66"/>
      <c r="W99" s="66"/>
      <c r="X99" s="67" t="s">
        <v>95</v>
      </c>
      <c r="Y99" s="66"/>
      <c r="Z99" s="66"/>
      <c r="AA99" s="66"/>
      <c r="AB99" s="242"/>
      <c r="AC99" s="54"/>
      <c r="AD99" s="54"/>
    </row>
    <row r="100">
      <c r="A100" s="54"/>
      <c r="B100" s="250">
        <v>45435.0</v>
      </c>
      <c r="C100" s="251"/>
      <c r="D100" s="252" t="s">
        <v>161</v>
      </c>
      <c r="E100" s="252">
        <v>1867642.0</v>
      </c>
      <c r="F100" s="252">
        <v>617.0</v>
      </c>
      <c r="G100" s="252">
        <v>508.0</v>
      </c>
      <c r="H100" s="253">
        <v>185.0</v>
      </c>
      <c r="I100" s="253">
        <v>181.08</v>
      </c>
      <c r="J100" s="253">
        <v>3.92</v>
      </c>
      <c r="K100" s="97">
        <v>29.35</v>
      </c>
      <c r="L100" s="54"/>
      <c r="M100" s="54"/>
      <c r="N100" s="54"/>
      <c r="O100" s="54"/>
      <c r="P100" s="86"/>
      <c r="Q100" s="54"/>
      <c r="R100" s="249"/>
      <c r="T100" s="70">
        <v>45505.0</v>
      </c>
      <c r="U100" s="260" t="s">
        <v>161</v>
      </c>
      <c r="V100" s="260">
        <v>1695283.0</v>
      </c>
      <c r="W100" s="260">
        <v>1183.0</v>
      </c>
      <c r="X100" s="260" t="s">
        <v>249</v>
      </c>
      <c r="Y100" s="261">
        <v>289.43</v>
      </c>
      <c r="Z100" s="261">
        <v>310.62</v>
      </c>
      <c r="AA100" s="261">
        <v>-21.19</v>
      </c>
      <c r="AB100" s="254">
        <f t="shared" ref="AB100:AB113" si="12">Z100/W100*100</f>
        <v>26.2569738</v>
      </c>
      <c r="AC100" s="54"/>
      <c r="AD100" s="54"/>
    </row>
    <row r="101">
      <c r="A101" s="54"/>
      <c r="B101" s="250">
        <v>45436.0</v>
      </c>
      <c r="C101" s="251"/>
      <c r="D101" s="252" t="s">
        <v>161</v>
      </c>
      <c r="E101" s="252">
        <v>1868916.0</v>
      </c>
      <c r="F101" s="252">
        <v>1274.0</v>
      </c>
      <c r="G101" s="252">
        <v>510.0</v>
      </c>
      <c r="H101" s="253">
        <v>375.0</v>
      </c>
      <c r="I101" s="253">
        <v>367.16</v>
      </c>
      <c r="J101" s="253">
        <v>7.84</v>
      </c>
      <c r="K101" s="97">
        <v>28.82</v>
      </c>
      <c r="L101" s="54"/>
      <c r="M101" s="54"/>
      <c r="N101" s="54"/>
      <c r="O101" s="54"/>
      <c r="P101" s="86"/>
      <c r="Q101" s="54"/>
      <c r="R101" s="249"/>
      <c r="T101" s="262">
        <v>45507.0</v>
      </c>
      <c r="U101" s="263" t="s">
        <v>161</v>
      </c>
      <c r="V101" s="263">
        <v>1696792.0</v>
      </c>
      <c r="W101" s="263">
        <v>1509.0</v>
      </c>
      <c r="X101" s="263" t="s">
        <v>250</v>
      </c>
      <c r="Y101" s="264">
        <v>378.58</v>
      </c>
      <c r="Z101" s="264">
        <v>390.11</v>
      </c>
      <c r="AA101" s="264">
        <v>-11.53</v>
      </c>
      <c r="AB101" s="254">
        <f t="shared" si="12"/>
        <v>25.85222001</v>
      </c>
      <c r="AC101" s="54"/>
      <c r="AD101" s="54"/>
    </row>
    <row r="102">
      <c r="A102" s="54"/>
      <c r="B102" s="250">
        <v>45438.0</v>
      </c>
      <c r="C102" s="251"/>
      <c r="D102" s="252" t="s">
        <v>161</v>
      </c>
      <c r="E102" s="252">
        <v>1870259.0</v>
      </c>
      <c r="F102" s="252">
        <v>1343.0</v>
      </c>
      <c r="G102" s="252">
        <v>510.0</v>
      </c>
      <c r="H102" s="253">
        <v>425.0</v>
      </c>
      <c r="I102" s="253">
        <v>430.0</v>
      </c>
      <c r="J102" s="253">
        <v>-5.0</v>
      </c>
      <c r="K102" s="97">
        <v>32.02</v>
      </c>
      <c r="L102" s="54"/>
      <c r="M102" s="54"/>
      <c r="N102" s="54"/>
      <c r="O102" s="54"/>
      <c r="P102" s="86"/>
      <c r="Q102" s="54"/>
      <c r="R102" s="249"/>
      <c r="T102" s="262">
        <v>45510.0</v>
      </c>
      <c r="U102" s="263" t="s">
        <v>161</v>
      </c>
      <c r="V102" s="263">
        <v>1698356.0</v>
      </c>
      <c r="W102" s="263">
        <v>1564.0</v>
      </c>
      <c r="X102" s="263" t="s">
        <v>207</v>
      </c>
      <c r="Y102" s="264">
        <v>393.6</v>
      </c>
      <c r="Z102" s="264">
        <v>413.27</v>
      </c>
      <c r="AA102" s="264">
        <v>-19.67</v>
      </c>
      <c r="AB102" s="254">
        <f t="shared" si="12"/>
        <v>26.42391304</v>
      </c>
      <c r="AC102" s="54"/>
      <c r="AD102" s="54"/>
    </row>
    <row r="103">
      <c r="A103" s="54"/>
      <c r="B103" s="250">
        <v>45440.0</v>
      </c>
      <c r="C103" s="251"/>
      <c r="D103" s="252" t="s">
        <v>161</v>
      </c>
      <c r="E103" s="252">
        <v>1871332.0</v>
      </c>
      <c r="F103" s="252">
        <v>1073.0</v>
      </c>
      <c r="G103" s="252">
        <v>507.0</v>
      </c>
      <c r="H103" s="253">
        <v>428.0</v>
      </c>
      <c r="I103" s="253">
        <v>422.18</v>
      </c>
      <c r="J103" s="253">
        <v>5.82</v>
      </c>
      <c r="K103" s="97">
        <v>39.35</v>
      </c>
      <c r="L103" s="54"/>
      <c r="M103" s="54"/>
      <c r="N103" s="54"/>
      <c r="O103" s="54"/>
      <c r="P103" s="86"/>
      <c r="Q103" s="54"/>
      <c r="R103" s="249"/>
      <c r="T103" s="262">
        <v>45512.0</v>
      </c>
      <c r="U103" s="263" t="s">
        <v>161</v>
      </c>
      <c r="V103" s="263">
        <v>1699864.0</v>
      </c>
      <c r="W103" s="263">
        <v>1508.0</v>
      </c>
      <c r="X103" s="263" t="s">
        <v>251</v>
      </c>
      <c r="Y103" s="264">
        <v>378.98</v>
      </c>
      <c r="Z103" s="264">
        <v>390.39</v>
      </c>
      <c r="AA103" s="264">
        <v>-11.41</v>
      </c>
      <c r="AB103" s="254">
        <f t="shared" si="12"/>
        <v>25.88793103</v>
      </c>
      <c r="AC103" s="54"/>
      <c r="AD103" s="54"/>
    </row>
    <row r="104">
      <c r="A104" s="54"/>
      <c r="B104" s="250">
        <v>45442.0</v>
      </c>
      <c r="C104" s="251"/>
      <c r="D104" s="252" t="s">
        <v>161</v>
      </c>
      <c r="E104" s="252">
        <v>1873372.0</v>
      </c>
      <c r="F104" s="252">
        <v>2040.0</v>
      </c>
      <c r="G104" s="252">
        <v>510.0</v>
      </c>
      <c r="H104" s="253">
        <v>431.0</v>
      </c>
      <c r="I104" s="253">
        <v>424.57</v>
      </c>
      <c r="J104" s="253">
        <v>6.43</v>
      </c>
      <c r="K104" s="97">
        <v>20.81</v>
      </c>
      <c r="L104" s="54"/>
      <c r="M104" s="54"/>
      <c r="N104" s="54"/>
      <c r="O104" s="54"/>
      <c r="P104" s="86"/>
      <c r="Q104" s="54"/>
      <c r="R104" s="249"/>
      <c r="T104" s="262">
        <v>45514.0</v>
      </c>
      <c r="U104" s="263" t="s">
        <v>161</v>
      </c>
      <c r="V104" s="263">
        <v>1701402.0</v>
      </c>
      <c r="W104" s="263">
        <v>1538.0</v>
      </c>
      <c r="X104" s="263" t="s">
        <v>252</v>
      </c>
      <c r="Y104" s="264">
        <v>394.72</v>
      </c>
      <c r="Z104" s="264">
        <v>400.03</v>
      </c>
      <c r="AA104" s="264">
        <v>-5.31</v>
      </c>
      <c r="AB104" s="254">
        <f t="shared" si="12"/>
        <v>26.00975293</v>
      </c>
      <c r="AC104" s="54"/>
      <c r="AD104" s="54"/>
    </row>
    <row r="105">
      <c r="A105" s="66"/>
      <c r="B105" s="67" t="s">
        <v>90</v>
      </c>
      <c r="J105" s="66"/>
      <c r="K105" s="204"/>
      <c r="L105" s="66"/>
      <c r="M105" s="66"/>
      <c r="N105" s="66"/>
      <c r="O105" s="66"/>
      <c r="P105" s="113"/>
      <c r="Q105" s="66"/>
      <c r="R105" s="249"/>
      <c r="T105" s="262">
        <v>45516.0</v>
      </c>
      <c r="U105" s="263" t="s">
        <v>161</v>
      </c>
      <c r="V105" s="263">
        <v>1702951.0</v>
      </c>
      <c r="W105" s="263">
        <v>1549.0</v>
      </c>
      <c r="X105" s="263" t="s">
        <v>253</v>
      </c>
      <c r="Y105" s="264">
        <v>419.2</v>
      </c>
      <c r="Z105" s="264">
        <v>425.0</v>
      </c>
      <c r="AA105" s="264">
        <v>-5.8</v>
      </c>
      <c r="AB105" s="254">
        <f t="shared" si="12"/>
        <v>27.43705617</v>
      </c>
      <c r="AC105" s="54"/>
      <c r="AD105" s="54"/>
    </row>
    <row r="106">
      <c r="A106" s="54"/>
      <c r="B106" s="243">
        <v>45452.0</v>
      </c>
      <c r="C106" s="244"/>
      <c r="D106" s="258"/>
      <c r="E106" s="245">
        <v>1873637.0</v>
      </c>
      <c r="F106" s="245">
        <v>265.0</v>
      </c>
      <c r="G106" s="245">
        <v>505.0</v>
      </c>
      <c r="H106" s="246">
        <v>57.0</v>
      </c>
      <c r="I106" s="246">
        <v>65.0</v>
      </c>
      <c r="J106" s="246">
        <v>-8.0</v>
      </c>
      <c r="K106" s="97">
        <v>24.53</v>
      </c>
      <c r="L106" s="54"/>
      <c r="M106" s="74" t="s">
        <v>254</v>
      </c>
      <c r="N106" s="75"/>
      <c r="O106" s="75"/>
      <c r="P106" s="75"/>
      <c r="Q106" s="76"/>
      <c r="R106" s="249"/>
      <c r="T106" s="262">
        <v>45519.0</v>
      </c>
      <c r="U106" s="263" t="s">
        <v>161</v>
      </c>
      <c r="V106" s="263">
        <v>1704548.0</v>
      </c>
      <c r="W106" s="263">
        <v>1597.0</v>
      </c>
      <c r="X106" s="263" t="s">
        <v>255</v>
      </c>
      <c r="Y106" s="264">
        <v>410.99</v>
      </c>
      <c r="Z106" s="264">
        <v>420.02</v>
      </c>
      <c r="AA106" s="264">
        <v>-9.03</v>
      </c>
      <c r="AB106" s="254">
        <f t="shared" si="12"/>
        <v>26.30056356</v>
      </c>
      <c r="AC106" s="54"/>
      <c r="AD106" s="54"/>
    </row>
    <row r="107">
      <c r="A107" s="54"/>
      <c r="B107" s="250">
        <v>45454.0</v>
      </c>
      <c r="C107" s="251"/>
      <c r="D107" s="259"/>
      <c r="E107" s="252">
        <v>1875132.0</v>
      </c>
      <c r="F107" s="252">
        <v>1495.0</v>
      </c>
      <c r="G107" s="252">
        <v>506.0</v>
      </c>
      <c r="H107" s="253">
        <v>433.0</v>
      </c>
      <c r="I107" s="253">
        <v>430.01</v>
      </c>
      <c r="J107" s="253">
        <v>2.99</v>
      </c>
      <c r="K107" s="97">
        <v>28.76</v>
      </c>
      <c r="L107" s="54"/>
      <c r="M107" s="77" t="s">
        <v>70</v>
      </c>
      <c r="N107" s="77" t="s">
        <v>71</v>
      </c>
      <c r="O107" s="77" t="s">
        <v>163</v>
      </c>
      <c r="P107" s="77" t="s">
        <v>164</v>
      </c>
      <c r="Q107" s="77" t="s">
        <v>27</v>
      </c>
      <c r="R107" s="249"/>
      <c r="T107" s="262">
        <v>45521.0</v>
      </c>
      <c r="U107" s="263" t="s">
        <v>161</v>
      </c>
      <c r="V107" s="263">
        <v>1706124.0</v>
      </c>
      <c r="W107" s="263">
        <v>1576.0</v>
      </c>
      <c r="X107" s="263" t="s">
        <v>256</v>
      </c>
      <c r="Y107" s="264">
        <v>384.79</v>
      </c>
      <c r="Z107" s="264">
        <v>397.0</v>
      </c>
      <c r="AA107" s="264">
        <v>-12.21</v>
      </c>
      <c r="AB107" s="254">
        <f t="shared" si="12"/>
        <v>25.19035533</v>
      </c>
      <c r="AC107" s="54"/>
      <c r="AD107" s="54"/>
    </row>
    <row r="108">
      <c r="A108" s="54"/>
      <c r="B108" s="250">
        <v>45456.0</v>
      </c>
      <c r="C108" s="251"/>
      <c r="D108" s="259"/>
      <c r="E108" s="252">
        <v>1876382.0</v>
      </c>
      <c r="F108" s="252">
        <v>1250.0</v>
      </c>
      <c r="G108" s="252">
        <v>505.0</v>
      </c>
      <c r="H108" s="253">
        <v>358.0</v>
      </c>
      <c r="I108" s="253">
        <v>355.0</v>
      </c>
      <c r="J108" s="253">
        <v>3.0</v>
      </c>
      <c r="K108" s="97">
        <v>28.4</v>
      </c>
      <c r="L108" s="54"/>
      <c r="M108" s="77">
        <f>SUM(F106:F122)</f>
        <v>13651</v>
      </c>
      <c r="N108" s="79">
        <f>SUM(I106:I122)</f>
        <v>3908.48</v>
      </c>
      <c r="O108" s="79">
        <f>SUM(H106:H122)</f>
        <v>3912</v>
      </c>
      <c r="P108" s="79">
        <f>N108-O108</f>
        <v>-3.52</v>
      </c>
      <c r="Q108" s="214">
        <f>N108/M108*100</f>
        <v>28.63145557</v>
      </c>
      <c r="R108" s="249"/>
      <c r="T108" s="262">
        <v>45524.0</v>
      </c>
      <c r="U108" s="263" t="s">
        <v>161</v>
      </c>
      <c r="V108" s="263">
        <v>1707661.0</v>
      </c>
      <c r="W108" s="263">
        <v>1537.0</v>
      </c>
      <c r="X108" s="263" t="s">
        <v>245</v>
      </c>
      <c r="Y108" s="264">
        <v>380.56</v>
      </c>
      <c r="Z108" s="264">
        <v>391.77</v>
      </c>
      <c r="AA108" s="264">
        <v>-11.21</v>
      </c>
      <c r="AB108" s="254">
        <f t="shared" si="12"/>
        <v>25.4892648</v>
      </c>
      <c r="AC108" s="54"/>
      <c r="AD108" s="54"/>
    </row>
    <row r="109">
      <c r="A109" s="54"/>
      <c r="B109" s="250">
        <v>45457.0</v>
      </c>
      <c r="C109" s="251"/>
      <c r="D109" s="259"/>
      <c r="E109" s="252">
        <v>1877362.0</v>
      </c>
      <c r="F109" s="252">
        <v>980.0</v>
      </c>
      <c r="G109" s="252">
        <v>503.0</v>
      </c>
      <c r="H109" s="253">
        <v>290.0</v>
      </c>
      <c r="I109" s="253">
        <v>292.95</v>
      </c>
      <c r="J109" s="253">
        <v>-2.95</v>
      </c>
      <c r="K109" s="97">
        <v>29.89</v>
      </c>
      <c r="L109" s="54"/>
      <c r="M109" s="54"/>
      <c r="N109" s="54"/>
      <c r="O109" s="54"/>
      <c r="P109" s="86"/>
      <c r="Q109" s="54"/>
      <c r="R109" s="249"/>
      <c r="T109" s="262">
        <v>45526.0</v>
      </c>
      <c r="U109" s="263" t="s">
        <v>161</v>
      </c>
      <c r="V109" s="263">
        <v>1709200.0</v>
      </c>
      <c r="W109" s="263">
        <v>1539.0</v>
      </c>
      <c r="X109" s="263" t="s">
        <v>205</v>
      </c>
      <c r="Y109" s="264">
        <v>390.56</v>
      </c>
      <c r="Z109" s="264">
        <v>400.0</v>
      </c>
      <c r="AA109" s="264">
        <v>-9.44</v>
      </c>
      <c r="AB109" s="254">
        <f t="shared" si="12"/>
        <v>25.99090318</v>
      </c>
      <c r="AC109" s="54"/>
      <c r="AD109" s="54"/>
    </row>
    <row r="110">
      <c r="A110" s="54"/>
      <c r="B110" s="250">
        <v>45459.0</v>
      </c>
      <c r="C110" s="251"/>
      <c r="D110" s="259"/>
      <c r="E110" s="252">
        <v>1878123.0</v>
      </c>
      <c r="F110" s="252">
        <v>761.0</v>
      </c>
      <c r="G110" s="252">
        <v>498.0</v>
      </c>
      <c r="H110" s="253">
        <v>211.0</v>
      </c>
      <c r="I110" s="253">
        <v>210.0</v>
      </c>
      <c r="J110" s="253">
        <v>1.0</v>
      </c>
      <c r="K110" s="97">
        <v>27.6</v>
      </c>
      <c r="L110" s="54"/>
      <c r="M110" s="60"/>
      <c r="N110" s="54"/>
      <c r="O110" s="54"/>
      <c r="P110" s="86"/>
      <c r="Q110" s="54"/>
      <c r="R110" s="249"/>
      <c r="T110" s="262">
        <v>45528.0</v>
      </c>
      <c r="U110" s="263" t="s">
        <v>161</v>
      </c>
      <c r="V110" s="263">
        <v>1710738.0</v>
      </c>
      <c r="W110" s="263">
        <v>1538.0</v>
      </c>
      <c r="X110" s="263" t="s">
        <v>257</v>
      </c>
      <c r="Y110" s="264">
        <v>395.18</v>
      </c>
      <c r="Z110" s="264">
        <v>405.43</v>
      </c>
      <c r="AA110" s="264">
        <v>-10.25</v>
      </c>
      <c r="AB110" s="254">
        <f t="shared" si="12"/>
        <v>26.36085826</v>
      </c>
      <c r="AC110" s="54"/>
      <c r="AD110" s="54"/>
    </row>
    <row r="111">
      <c r="A111" s="54"/>
      <c r="B111" s="250">
        <v>45460.0</v>
      </c>
      <c r="C111" s="251"/>
      <c r="D111" s="259"/>
      <c r="E111" s="252">
        <v>1878857.0</v>
      </c>
      <c r="F111" s="252">
        <v>734.0</v>
      </c>
      <c r="G111" s="252">
        <v>497.0</v>
      </c>
      <c r="H111" s="253">
        <v>204.0</v>
      </c>
      <c r="I111" s="253">
        <v>203.93</v>
      </c>
      <c r="J111" s="253">
        <v>0.07</v>
      </c>
      <c r="K111" s="97">
        <v>27.78</v>
      </c>
      <c r="L111" s="54"/>
      <c r="M111" s="63"/>
      <c r="N111" s="54"/>
      <c r="O111" s="54"/>
      <c r="P111" s="86"/>
      <c r="Q111" s="54"/>
      <c r="R111" s="249"/>
      <c r="T111" s="262">
        <v>45531.0</v>
      </c>
      <c r="U111" s="263" t="s">
        <v>161</v>
      </c>
      <c r="V111" s="263">
        <v>1712276.0</v>
      </c>
      <c r="W111" s="263">
        <v>1538.0</v>
      </c>
      <c r="X111" s="263" t="s">
        <v>225</v>
      </c>
      <c r="Y111" s="264">
        <v>391.14</v>
      </c>
      <c r="Z111" s="264">
        <v>404.22</v>
      </c>
      <c r="AA111" s="264">
        <v>-13.08</v>
      </c>
      <c r="AB111" s="254">
        <f t="shared" si="12"/>
        <v>26.28218466</v>
      </c>
      <c r="AC111" s="54"/>
      <c r="AD111" s="54"/>
    </row>
    <row r="112">
      <c r="A112" s="54"/>
      <c r="B112" s="250">
        <v>45461.0</v>
      </c>
      <c r="C112" s="251"/>
      <c r="D112" s="259"/>
      <c r="E112" s="252">
        <v>1879619.0</v>
      </c>
      <c r="F112" s="252">
        <v>762.0</v>
      </c>
      <c r="G112" s="252">
        <v>488.0</v>
      </c>
      <c r="H112" s="253">
        <v>205.0</v>
      </c>
      <c r="I112" s="253">
        <v>200.0</v>
      </c>
      <c r="J112" s="253">
        <v>5.0</v>
      </c>
      <c r="K112" s="97">
        <v>26.25</v>
      </c>
      <c r="L112" s="54"/>
      <c r="M112" s="54"/>
      <c r="N112" s="54"/>
      <c r="O112" s="54"/>
      <c r="P112" s="86"/>
      <c r="Q112" s="54"/>
      <c r="R112" s="249"/>
      <c r="T112" s="262">
        <v>45533.0</v>
      </c>
      <c r="U112" s="263" t="s">
        <v>161</v>
      </c>
      <c r="V112" s="263">
        <v>1713805.0</v>
      </c>
      <c r="W112" s="263">
        <v>1529.0</v>
      </c>
      <c r="X112" s="263" t="s">
        <v>258</v>
      </c>
      <c r="Y112" s="264">
        <v>416.6</v>
      </c>
      <c r="Z112" s="264">
        <v>420.0</v>
      </c>
      <c r="AA112" s="264">
        <v>-3.4</v>
      </c>
      <c r="AB112" s="254">
        <f t="shared" si="12"/>
        <v>27.46893394</v>
      </c>
      <c r="AC112" s="54"/>
      <c r="AD112" s="54"/>
    </row>
    <row r="113">
      <c r="A113" s="54"/>
      <c r="B113" s="250">
        <v>45462.0</v>
      </c>
      <c r="C113" s="251"/>
      <c r="D113" s="259"/>
      <c r="E113" s="252">
        <v>1880353.0</v>
      </c>
      <c r="F113" s="252">
        <v>734.0</v>
      </c>
      <c r="G113" s="252">
        <v>495.0</v>
      </c>
      <c r="H113" s="253">
        <v>223.0</v>
      </c>
      <c r="I113" s="253">
        <v>223.46</v>
      </c>
      <c r="J113" s="253">
        <v>-0.46</v>
      </c>
      <c r="K113" s="97">
        <v>30.44</v>
      </c>
      <c r="L113" s="54"/>
      <c r="M113" s="54"/>
      <c r="N113" s="54"/>
      <c r="O113" s="54"/>
      <c r="P113" s="86"/>
      <c r="Q113" s="54"/>
      <c r="R113" s="249"/>
      <c r="T113" s="262">
        <v>45535.0</v>
      </c>
      <c r="U113" s="263" t="s">
        <v>161</v>
      </c>
      <c r="V113" s="263">
        <v>1715332.0</v>
      </c>
      <c r="W113" s="263">
        <v>1527.0</v>
      </c>
      <c r="X113" s="263" t="s">
        <v>179</v>
      </c>
      <c r="Y113" s="264">
        <v>398.6</v>
      </c>
      <c r="Z113" s="264">
        <v>420.0</v>
      </c>
      <c r="AA113" s="264">
        <v>-21.4</v>
      </c>
      <c r="AB113" s="254">
        <f t="shared" si="12"/>
        <v>27.50491159</v>
      </c>
      <c r="AC113" s="54"/>
      <c r="AD113" s="54"/>
    </row>
    <row r="114">
      <c r="A114" s="54"/>
      <c r="B114" s="250">
        <v>45463.0</v>
      </c>
      <c r="C114" s="251"/>
      <c r="D114" s="259"/>
      <c r="E114" s="252">
        <v>1881120.0</v>
      </c>
      <c r="F114" s="252">
        <v>767.0</v>
      </c>
      <c r="G114" s="252">
        <v>473.0</v>
      </c>
      <c r="H114" s="253">
        <v>204.0</v>
      </c>
      <c r="I114" s="253">
        <v>200.0</v>
      </c>
      <c r="J114" s="253">
        <v>4.0</v>
      </c>
      <c r="K114" s="97">
        <v>26.08</v>
      </c>
      <c r="L114" s="54"/>
      <c r="M114" s="54"/>
      <c r="N114" s="54"/>
      <c r="O114" s="54"/>
      <c r="P114" s="86"/>
      <c r="Q114" s="54"/>
      <c r="R114" s="249"/>
      <c r="T114" s="66"/>
      <c r="U114" s="66"/>
      <c r="V114" s="66"/>
      <c r="W114" s="66"/>
      <c r="X114" s="67" t="s">
        <v>104</v>
      </c>
      <c r="Y114" s="66"/>
      <c r="Z114" s="66"/>
      <c r="AA114" s="66"/>
      <c r="AB114" s="242"/>
      <c r="AC114" s="54"/>
      <c r="AD114" s="54"/>
    </row>
    <row r="115">
      <c r="A115" s="54"/>
      <c r="B115" s="250">
        <v>45464.0</v>
      </c>
      <c r="C115" s="251"/>
      <c r="D115" s="259"/>
      <c r="E115" s="252">
        <v>1881346.0</v>
      </c>
      <c r="F115" s="252">
        <v>226.0</v>
      </c>
      <c r="G115" s="252">
        <v>494.0</v>
      </c>
      <c r="H115" s="253">
        <v>243.0</v>
      </c>
      <c r="I115" s="253">
        <v>243.46</v>
      </c>
      <c r="J115" s="253">
        <v>-0.46</v>
      </c>
      <c r="K115" s="97">
        <f>I115/F115*100</f>
        <v>107.7256637</v>
      </c>
      <c r="L115" s="54"/>
      <c r="M115" s="215">
        <f>SUM(F115:F122)</f>
        <v>5903</v>
      </c>
      <c r="N115" s="215">
        <f>SUM(I115:I122)</f>
        <v>1728.13</v>
      </c>
      <c r="O115" s="54"/>
      <c r="P115" s="86"/>
      <c r="Q115" s="54"/>
      <c r="R115" s="249"/>
      <c r="T115" s="70">
        <v>45538.0</v>
      </c>
      <c r="U115" s="260" t="s">
        <v>161</v>
      </c>
      <c r="V115" s="260">
        <v>1716860.0</v>
      </c>
      <c r="W115" s="260">
        <v>1528.0</v>
      </c>
      <c r="X115" s="260" t="s">
        <v>259</v>
      </c>
      <c r="Y115" s="261">
        <v>399.17</v>
      </c>
      <c r="Z115" s="261">
        <v>400.0</v>
      </c>
      <c r="AA115" s="261">
        <v>-0.83</v>
      </c>
      <c r="AB115" s="254">
        <f t="shared" ref="AB115:AB127" si="13">Z115/W115*100</f>
        <v>26.17801047</v>
      </c>
      <c r="AC115" s="54"/>
      <c r="AD115" s="54"/>
    </row>
    <row r="116">
      <c r="A116" s="54"/>
      <c r="B116" s="250">
        <v>45466.0</v>
      </c>
      <c r="C116" s="251"/>
      <c r="D116" s="259"/>
      <c r="E116" s="252">
        <v>1882597.0</v>
      </c>
      <c r="F116" s="252">
        <v>1251.0</v>
      </c>
      <c r="G116" s="252">
        <v>468.0</v>
      </c>
      <c r="H116" s="253">
        <v>199.0</v>
      </c>
      <c r="I116" s="253">
        <v>200.0</v>
      </c>
      <c r="J116" s="253">
        <v>-1.0</v>
      </c>
      <c r="K116" s="97">
        <v>15.99</v>
      </c>
      <c r="L116" s="54"/>
      <c r="M116" s="215"/>
      <c r="N116" s="215"/>
      <c r="O116" s="54"/>
      <c r="P116" s="86"/>
      <c r="Q116" s="54"/>
      <c r="R116" s="249"/>
      <c r="T116" s="262">
        <v>45540.0</v>
      </c>
      <c r="U116" s="263" t="s">
        <v>161</v>
      </c>
      <c r="V116" s="263">
        <v>1718395.0</v>
      </c>
      <c r="W116" s="263">
        <v>1535.0</v>
      </c>
      <c r="X116" s="263" t="s">
        <v>260</v>
      </c>
      <c r="Y116" s="264">
        <v>407.42</v>
      </c>
      <c r="Z116" s="264">
        <v>405.89</v>
      </c>
      <c r="AA116" s="264">
        <v>1.53</v>
      </c>
      <c r="AB116" s="254">
        <f t="shared" si="13"/>
        <v>26.44234528</v>
      </c>
      <c r="AC116" s="54"/>
      <c r="AD116" s="54"/>
    </row>
    <row r="117">
      <c r="A117" s="54"/>
      <c r="B117" s="250">
        <v>45467.0</v>
      </c>
      <c r="C117" s="251"/>
      <c r="D117" s="259"/>
      <c r="E117" s="252">
        <v>1882905.0</v>
      </c>
      <c r="F117" s="252">
        <v>308.0</v>
      </c>
      <c r="G117" s="252">
        <v>484.0</v>
      </c>
      <c r="H117" s="253">
        <v>224.0</v>
      </c>
      <c r="I117" s="253">
        <v>223.23</v>
      </c>
      <c r="J117" s="253">
        <v>0.77</v>
      </c>
      <c r="K117" s="97">
        <v>72.48</v>
      </c>
      <c r="L117" s="54"/>
      <c r="M117" s="268">
        <f>N115/M115*100</f>
        <v>29.27545316</v>
      </c>
      <c r="N117" s="215"/>
      <c r="O117" s="54"/>
      <c r="P117" s="86"/>
      <c r="Q117" s="54"/>
      <c r="R117" s="249"/>
      <c r="T117" s="262">
        <v>45542.0</v>
      </c>
      <c r="U117" s="263" t="s">
        <v>161</v>
      </c>
      <c r="V117" s="263">
        <v>1719728.0</v>
      </c>
      <c r="W117" s="263">
        <v>1333.0</v>
      </c>
      <c r="X117" s="263" t="s">
        <v>261</v>
      </c>
      <c r="Y117" s="264">
        <v>420.97</v>
      </c>
      <c r="Z117" s="264">
        <v>415.02</v>
      </c>
      <c r="AA117" s="264">
        <v>5.95</v>
      </c>
      <c r="AB117" s="254">
        <f t="shared" si="13"/>
        <v>31.13428357</v>
      </c>
      <c r="AC117" s="54"/>
      <c r="AD117" s="54"/>
    </row>
    <row r="118">
      <c r="A118" s="54"/>
      <c r="B118" s="250">
        <v>45468.0</v>
      </c>
      <c r="C118" s="251"/>
      <c r="D118" s="259"/>
      <c r="E118" s="252">
        <v>1884012.0</v>
      </c>
      <c r="F118" s="252">
        <v>1107.0</v>
      </c>
      <c r="G118" s="252">
        <v>479.0</v>
      </c>
      <c r="H118" s="253">
        <v>210.0</v>
      </c>
      <c r="I118" s="253">
        <v>210.0</v>
      </c>
      <c r="J118" s="253">
        <v>0.0</v>
      </c>
      <c r="K118" s="97">
        <v>18.97</v>
      </c>
      <c r="L118" s="54"/>
      <c r="M118" s="54"/>
      <c r="N118" s="54"/>
      <c r="O118" s="54"/>
      <c r="P118" s="86"/>
      <c r="Q118" s="54"/>
      <c r="R118" s="249"/>
      <c r="T118" s="262">
        <v>45545.0</v>
      </c>
      <c r="U118" s="263" t="s">
        <v>161</v>
      </c>
      <c r="V118" s="263">
        <v>1721451.0</v>
      </c>
      <c r="W118" s="263">
        <v>1723.0</v>
      </c>
      <c r="X118" s="263">
        <v>505.0</v>
      </c>
      <c r="Y118" s="264">
        <v>420.0</v>
      </c>
      <c r="Z118" s="264">
        <v>410.01</v>
      </c>
      <c r="AA118" s="264">
        <v>9.99</v>
      </c>
      <c r="AB118" s="254">
        <f t="shared" si="13"/>
        <v>23.79628555</v>
      </c>
      <c r="AC118" s="54"/>
      <c r="AD118" s="54"/>
    </row>
    <row r="119">
      <c r="A119" s="54"/>
      <c r="B119" s="250">
        <v>45469.0</v>
      </c>
      <c r="C119" s="251"/>
      <c r="D119" s="259"/>
      <c r="E119" s="252">
        <v>1884345.0</v>
      </c>
      <c r="F119" s="252">
        <v>333.0</v>
      </c>
      <c r="G119" s="252">
        <v>493.0</v>
      </c>
      <c r="H119" s="253">
        <v>221.0</v>
      </c>
      <c r="I119" s="253">
        <v>213.22</v>
      </c>
      <c r="J119" s="253">
        <v>7.78</v>
      </c>
      <c r="K119" s="97">
        <v>64.03</v>
      </c>
      <c r="L119" s="54"/>
      <c r="M119" s="54"/>
      <c r="N119" s="54"/>
      <c r="O119" s="54"/>
      <c r="P119" s="86"/>
      <c r="Q119" s="54"/>
      <c r="R119" s="249"/>
      <c r="T119" s="262">
        <v>45547.0</v>
      </c>
      <c r="U119" s="263" t="s">
        <v>161</v>
      </c>
      <c r="V119" s="263">
        <v>1722979.0</v>
      </c>
      <c r="W119" s="263">
        <v>1528.0</v>
      </c>
      <c r="X119" s="263">
        <v>503.0</v>
      </c>
      <c r="Y119" s="264">
        <v>405.0</v>
      </c>
      <c r="Z119" s="264">
        <v>400.0</v>
      </c>
      <c r="AA119" s="264">
        <v>5.0</v>
      </c>
      <c r="AB119" s="254">
        <f t="shared" si="13"/>
        <v>26.17801047</v>
      </c>
      <c r="AC119" s="54"/>
      <c r="AD119" s="54"/>
    </row>
    <row r="120">
      <c r="A120" s="54"/>
      <c r="B120" s="250">
        <v>45470.0</v>
      </c>
      <c r="C120" s="251"/>
      <c r="D120" s="259"/>
      <c r="E120" s="252">
        <v>1885590.0</v>
      </c>
      <c r="F120" s="252">
        <v>1245.0</v>
      </c>
      <c r="G120" s="252">
        <v>479.0</v>
      </c>
      <c r="H120" s="253">
        <v>210.0</v>
      </c>
      <c r="I120" s="253">
        <v>210.0</v>
      </c>
      <c r="J120" s="253">
        <v>0.0</v>
      </c>
      <c r="K120" s="97">
        <v>16.87</v>
      </c>
      <c r="L120" s="54"/>
      <c r="M120" s="54"/>
      <c r="N120" s="54"/>
      <c r="O120" s="54"/>
      <c r="P120" s="86"/>
      <c r="Q120" s="54"/>
      <c r="R120" s="249"/>
      <c r="T120" s="262">
        <v>45549.0</v>
      </c>
      <c r="U120" s="263" t="s">
        <v>161</v>
      </c>
      <c r="V120" s="263">
        <v>1724509.0</v>
      </c>
      <c r="W120" s="263">
        <v>1530.0</v>
      </c>
      <c r="X120" s="263">
        <v>506.0</v>
      </c>
      <c r="Y120" s="264">
        <v>402.0</v>
      </c>
      <c r="Z120" s="264">
        <v>400.0</v>
      </c>
      <c r="AA120" s="264">
        <v>2.0</v>
      </c>
      <c r="AB120" s="254">
        <f t="shared" si="13"/>
        <v>26.14379085</v>
      </c>
      <c r="AC120" s="54"/>
      <c r="AD120" s="54"/>
    </row>
    <row r="121">
      <c r="A121" s="54"/>
      <c r="B121" s="250">
        <v>45471.0</v>
      </c>
      <c r="C121" s="251"/>
      <c r="D121" s="259"/>
      <c r="E121" s="252">
        <v>1886166.0</v>
      </c>
      <c r="F121" s="252">
        <v>576.0</v>
      </c>
      <c r="G121" s="252">
        <v>488.0</v>
      </c>
      <c r="H121" s="253">
        <v>217.0</v>
      </c>
      <c r="I121" s="253">
        <v>218.22</v>
      </c>
      <c r="J121" s="253">
        <v>-1.22</v>
      </c>
      <c r="K121" s="97">
        <v>37.89</v>
      </c>
      <c r="L121" s="54"/>
      <c r="M121" s="54"/>
      <c r="N121" s="54"/>
      <c r="O121" s="54"/>
      <c r="P121" s="86"/>
      <c r="Q121" s="54"/>
      <c r="R121" s="249"/>
      <c r="T121" s="262">
        <v>45551.0</v>
      </c>
      <c r="U121" s="263" t="s">
        <v>161</v>
      </c>
      <c r="V121" s="263">
        <v>1726020.0</v>
      </c>
      <c r="W121" s="263">
        <v>1511.0</v>
      </c>
      <c r="X121" s="263">
        <v>508.0</v>
      </c>
      <c r="Y121" s="264">
        <v>408.0</v>
      </c>
      <c r="Z121" s="264">
        <v>400.0</v>
      </c>
      <c r="AA121" s="264">
        <v>8.0</v>
      </c>
      <c r="AB121" s="254">
        <f t="shared" si="13"/>
        <v>26.47253475</v>
      </c>
      <c r="AC121" s="54"/>
      <c r="AD121" s="54"/>
    </row>
    <row r="122">
      <c r="A122" s="54"/>
      <c r="B122" s="250">
        <v>45473.0</v>
      </c>
      <c r="C122" s="251"/>
      <c r="D122" s="259"/>
      <c r="E122" s="252">
        <v>1887023.0</v>
      </c>
      <c r="F122" s="252">
        <v>857.0</v>
      </c>
      <c r="G122" s="252">
        <v>488.0</v>
      </c>
      <c r="H122" s="253">
        <v>203.0</v>
      </c>
      <c r="I122" s="253">
        <v>210.0</v>
      </c>
      <c r="J122" s="253">
        <v>-7.0</v>
      </c>
      <c r="K122" s="97">
        <v>24.5</v>
      </c>
      <c r="L122" s="54"/>
      <c r="M122" s="54"/>
      <c r="N122" s="54"/>
      <c r="O122" s="54"/>
      <c r="P122" s="86"/>
      <c r="Q122" s="54"/>
      <c r="R122" s="249"/>
      <c r="T122" s="262">
        <v>45553.0</v>
      </c>
      <c r="U122" s="263" t="s">
        <v>161</v>
      </c>
      <c r="V122" s="263">
        <v>1727521.0</v>
      </c>
      <c r="W122" s="263">
        <v>1501.0</v>
      </c>
      <c r="X122" s="263">
        <v>510.0</v>
      </c>
      <c r="Y122" s="264">
        <v>402.0</v>
      </c>
      <c r="Z122" s="264">
        <v>400.0</v>
      </c>
      <c r="AA122" s="264">
        <v>2.0</v>
      </c>
      <c r="AB122" s="254">
        <f t="shared" si="13"/>
        <v>26.64890073</v>
      </c>
      <c r="AC122" s="54"/>
      <c r="AD122" s="54"/>
    </row>
    <row r="123">
      <c r="A123" s="66"/>
      <c r="B123" s="67" t="s">
        <v>92</v>
      </c>
      <c r="J123" s="66"/>
      <c r="K123" s="204"/>
      <c r="L123" s="66"/>
      <c r="M123" s="66"/>
      <c r="N123" s="66"/>
      <c r="O123" s="66"/>
      <c r="P123" s="113"/>
      <c r="Q123" s="66"/>
      <c r="R123" s="249"/>
      <c r="T123" s="262">
        <v>45555.0</v>
      </c>
      <c r="U123" s="263" t="s">
        <v>161</v>
      </c>
      <c r="V123" s="263">
        <v>1728044.0</v>
      </c>
      <c r="W123" s="263">
        <v>523.0</v>
      </c>
      <c r="X123" s="263">
        <v>506.0</v>
      </c>
      <c r="Y123" s="264">
        <v>142.0</v>
      </c>
      <c r="Z123" s="264">
        <v>144.32</v>
      </c>
      <c r="AA123" s="264">
        <v>-2.32</v>
      </c>
      <c r="AB123" s="254">
        <f t="shared" si="13"/>
        <v>27.59464627</v>
      </c>
      <c r="AC123" s="54"/>
      <c r="AD123" s="54"/>
    </row>
    <row r="124">
      <c r="A124" s="54"/>
      <c r="B124" s="243">
        <v>45474.0</v>
      </c>
      <c r="C124" s="244"/>
      <c r="D124" s="258"/>
      <c r="E124" s="269">
        <v>1887023.0</v>
      </c>
      <c r="F124" s="96">
        <v>0.0</v>
      </c>
      <c r="G124" s="245">
        <v>498.0</v>
      </c>
      <c r="H124" s="246"/>
      <c r="I124" s="246"/>
      <c r="J124" s="246">
        <v>1.48</v>
      </c>
      <c r="K124" s="97"/>
      <c r="L124" s="54"/>
      <c r="M124" s="54"/>
      <c r="N124" s="54"/>
      <c r="O124" s="54"/>
      <c r="P124" s="86"/>
      <c r="Q124" s="54"/>
      <c r="R124" s="249"/>
      <c r="T124" s="262">
        <v>45558.0</v>
      </c>
      <c r="U124" s="263" t="s">
        <v>161</v>
      </c>
      <c r="V124" s="263">
        <v>1729579.0</v>
      </c>
      <c r="W124" s="263">
        <v>1535.0</v>
      </c>
      <c r="X124" s="263">
        <v>499.0</v>
      </c>
      <c r="Y124" s="264">
        <v>407.0</v>
      </c>
      <c r="Z124" s="264">
        <v>400.0</v>
      </c>
      <c r="AA124" s="264">
        <v>7.0</v>
      </c>
      <c r="AB124" s="254">
        <f t="shared" si="13"/>
        <v>26.05863192</v>
      </c>
      <c r="AC124" s="54"/>
      <c r="AD124" s="54"/>
    </row>
    <row r="125">
      <c r="A125" s="54"/>
      <c r="B125" s="250">
        <v>45475.0</v>
      </c>
      <c r="C125" s="251"/>
      <c r="D125" s="259"/>
      <c r="E125" s="245">
        <v>1888573.0</v>
      </c>
      <c r="F125" s="252">
        <v>1550.0</v>
      </c>
      <c r="G125" s="252">
        <v>489.0</v>
      </c>
      <c r="H125" s="253">
        <v>628.0</v>
      </c>
      <c r="I125" s="253">
        <v>629.04</v>
      </c>
      <c r="J125" s="253">
        <f>H125-I125</f>
        <v>-1.04</v>
      </c>
      <c r="K125" s="202">
        <f t="shared" ref="K125:K144" si="14">I125/F125*100</f>
        <v>40.58322581</v>
      </c>
      <c r="L125" s="54"/>
      <c r="M125" s="54"/>
      <c r="N125" s="54"/>
      <c r="O125" s="54"/>
      <c r="P125" s="86"/>
      <c r="Q125" s="54"/>
      <c r="R125" s="249"/>
      <c r="T125" s="262">
        <v>45560.0</v>
      </c>
      <c r="U125" s="263" t="s">
        <v>161</v>
      </c>
      <c r="V125" s="263">
        <v>1731092.0</v>
      </c>
      <c r="W125" s="263">
        <v>1513.0</v>
      </c>
      <c r="X125" s="263">
        <v>506.0</v>
      </c>
      <c r="Y125" s="264">
        <v>388.0</v>
      </c>
      <c r="Z125" s="264">
        <v>391.7</v>
      </c>
      <c r="AA125" s="264">
        <v>-3.7</v>
      </c>
      <c r="AB125" s="254">
        <f t="shared" si="13"/>
        <v>25.88896233</v>
      </c>
      <c r="AC125" s="54"/>
      <c r="AD125" s="54"/>
    </row>
    <row r="126">
      <c r="A126" s="54"/>
      <c r="B126" s="250">
        <v>45476.0</v>
      </c>
      <c r="C126" s="251"/>
      <c r="D126" s="259"/>
      <c r="E126" s="252">
        <v>1889275.0</v>
      </c>
      <c r="F126" s="252">
        <v>702.0</v>
      </c>
      <c r="G126" s="252">
        <v>497.0</v>
      </c>
      <c r="H126" s="253">
        <v>209.0</v>
      </c>
      <c r="I126" s="253">
        <v>210.09</v>
      </c>
      <c r="J126" s="253">
        <v>-1.09</v>
      </c>
      <c r="K126" s="202">
        <f t="shared" si="14"/>
        <v>29.92735043</v>
      </c>
      <c r="L126" s="54"/>
      <c r="M126" s="270" t="s">
        <v>262</v>
      </c>
      <c r="N126" s="75"/>
      <c r="O126" s="76"/>
      <c r="P126" s="86"/>
      <c r="Q126" s="54"/>
      <c r="R126" s="249"/>
      <c r="T126" s="262">
        <v>45562.0</v>
      </c>
      <c r="U126" s="263" t="s">
        <v>161</v>
      </c>
      <c r="V126" s="263">
        <v>1732622.0</v>
      </c>
      <c r="W126" s="263">
        <v>1530.0</v>
      </c>
      <c r="X126" s="263">
        <v>486.0</v>
      </c>
      <c r="Y126" s="264">
        <v>401.0</v>
      </c>
      <c r="Z126" s="264">
        <v>400.0</v>
      </c>
      <c r="AA126" s="264">
        <v>1.0</v>
      </c>
      <c r="AB126" s="254">
        <f t="shared" si="13"/>
        <v>26.14379085</v>
      </c>
      <c r="AC126" s="54"/>
      <c r="AD126" s="54"/>
    </row>
    <row r="127">
      <c r="A127" s="54"/>
      <c r="B127" s="250">
        <v>45477.0</v>
      </c>
      <c r="C127" s="251"/>
      <c r="D127" s="259"/>
      <c r="E127" s="128">
        <v>1890151.0</v>
      </c>
      <c r="F127" s="271">
        <v>876.0</v>
      </c>
      <c r="G127" s="252">
        <v>497.0</v>
      </c>
      <c r="H127" s="253">
        <v>213.0</v>
      </c>
      <c r="I127" s="253">
        <v>210.0</v>
      </c>
      <c r="J127" s="253">
        <v>3.0</v>
      </c>
      <c r="K127" s="202">
        <f t="shared" si="14"/>
        <v>23.97260274</v>
      </c>
      <c r="L127" s="54"/>
      <c r="M127" s="272" t="s">
        <v>70</v>
      </c>
      <c r="N127" s="272" t="s">
        <v>71</v>
      </c>
      <c r="O127" s="272" t="s">
        <v>263</v>
      </c>
      <c r="P127" s="86"/>
      <c r="Q127" s="54"/>
      <c r="R127" s="249"/>
      <c r="T127" s="262">
        <v>45564.0</v>
      </c>
      <c r="U127" s="263" t="s">
        <v>161</v>
      </c>
      <c r="V127" s="263">
        <v>1734157.0</v>
      </c>
      <c r="W127" s="263">
        <v>1535.0</v>
      </c>
      <c r="X127" s="263">
        <v>481.0</v>
      </c>
      <c r="Y127" s="264">
        <v>404.0</v>
      </c>
      <c r="Z127" s="264">
        <v>400.0</v>
      </c>
      <c r="AA127" s="264">
        <v>4.0</v>
      </c>
      <c r="AB127" s="254">
        <f t="shared" si="13"/>
        <v>26.05863192</v>
      </c>
      <c r="AC127" s="54"/>
      <c r="AD127" s="54"/>
    </row>
    <row r="128">
      <c r="A128" s="54"/>
      <c r="B128" s="250">
        <v>45478.0</v>
      </c>
      <c r="C128" s="251"/>
      <c r="D128" s="259"/>
      <c r="E128" s="128">
        <v>1890885.0</v>
      </c>
      <c r="F128" s="271">
        <v>734.0</v>
      </c>
      <c r="G128" s="252">
        <v>505.0</v>
      </c>
      <c r="H128" s="253">
        <v>211.0</v>
      </c>
      <c r="I128" s="253">
        <v>208.25</v>
      </c>
      <c r="J128" s="253">
        <v>2.75</v>
      </c>
      <c r="K128" s="202">
        <f t="shared" si="14"/>
        <v>28.3719346</v>
      </c>
      <c r="L128" s="54"/>
      <c r="M128" s="273">
        <f>SUM(F124:F144)</f>
        <v>15640</v>
      </c>
      <c r="N128" s="273">
        <f>SUM(I124:I144)</f>
        <v>4623.45</v>
      </c>
      <c r="O128" s="274">
        <f>N128/M128*100</f>
        <v>29.56170077</v>
      </c>
      <c r="P128" s="86"/>
      <c r="Q128" s="54"/>
      <c r="R128" s="249"/>
      <c r="T128" s="66"/>
      <c r="U128" s="66"/>
      <c r="V128" s="66"/>
      <c r="W128" s="66"/>
      <c r="X128" s="67" t="s">
        <v>96</v>
      </c>
      <c r="Y128" s="66"/>
      <c r="Z128" s="66"/>
      <c r="AA128" s="66"/>
      <c r="AB128" s="242"/>
      <c r="AC128" s="54"/>
      <c r="AD128" s="54"/>
    </row>
    <row r="129">
      <c r="A129" s="54"/>
      <c r="B129" s="250">
        <v>45480.0</v>
      </c>
      <c r="C129" s="251"/>
      <c r="D129" s="259"/>
      <c r="E129" s="128">
        <v>1891412.0</v>
      </c>
      <c r="F129" s="271">
        <v>527.0</v>
      </c>
      <c r="G129" s="252">
        <v>482.0</v>
      </c>
      <c r="H129" s="253">
        <v>200.0</v>
      </c>
      <c r="I129" s="253">
        <v>200.0</v>
      </c>
      <c r="J129" s="253">
        <v>0.0</v>
      </c>
      <c r="K129" s="202">
        <f t="shared" si="14"/>
        <v>37.95066414</v>
      </c>
      <c r="L129" s="54"/>
      <c r="M129" s="54"/>
      <c r="N129" s="54"/>
      <c r="O129" s="54"/>
      <c r="P129" s="86"/>
      <c r="Q129" s="54"/>
      <c r="R129" s="249"/>
      <c r="T129" s="70">
        <v>45566.0</v>
      </c>
      <c r="U129" s="71" t="s">
        <v>161</v>
      </c>
      <c r="V129" s="71">
        <v>1735308.0</v>
      </c>
      <c r="W129" s="71">
        <v>1151.0</v>
      </c>
      <c r="X129" s="71">
        <v>497.0</v>
      </c>
      <c r="Y129" s="72">
        <v>430.0</v>
      </c>
      <c r="Z129" s="72">
        <v>435.5</v>
      </c>
      <c r="AA129" s="72">
        <v>-5.5</v>
      </c>
      <c r="AB129" s="72">
        <v>37.84</v>
      </c>
      <c r="AC129" s="54"/>
      <c r="AD129" s="54"/>
    </row>
    <row r="130">
      <c r="A130" s="54"/>
      <c r="B130" s="250">
        <v>45481.0</v>
      </c>
      <c r="C130" s="251"/>
      <c r="D130" s="259"/>
      <c r="E130" s="128">
        <v>1892274.0</v>
      </c>
      <c r="F130" s="271">
        <v>862.0</v>
      </c>
      <c r="G130" s="252">
        <v>498.0</v>
      </c>
      <c r="H130" s="253">
        <v>223.0</v>
      </c>
      <c r="I130" s="253">
        <v>219.82</v>
      </c>
      <c r="J130" s="253">
        <v>3.18</v>
      </c>
      <c r="K130" s="202">
        <f t="shared" si="14"/>
        <v>25.50116009</v>
      </c>
      <c r="L130" s="54"/>
      <c r="M130" s="54"/>
      <c r="N130" s="54"/>
      <c r="O130" s="54"/>
      <c r="P130" s="86"/>
      <c r="Q130" s="54"/>
      <c r="R130" s="249"/>
      <c r="T130" s="70">
        <v>45568.0</v>
      </c>
      <c r="U130" s="71" t="s">
        <v>161</v>
      </c>
      <c r="V130" s="71">
        <v>1737191.0</v>
      </c>
      <c r="W130" s="71">
        <v>1883.0</v>
      </c>
      <c r="X130" s="71">
        <v>496.0</v>
      </c>
      <c r="Y130" s="72">
        <v>399.0</v>
      </c>
      <c r="Z130" s="72">
        <v>400.0</v>
      </c>
      <c r="AA130" s="72">
        <v>-1.0</v>
      </c>
      <c r="AB130" s="72">
        <v>21.24</v>
      </c>
      <c r="AC130" s="54"/>
      <c r="AD130" s="54"/>
    </row>
    <row r="131">
      <c r="A131" s="54"/>
      <c r="B131" s="250">
        <v>45482.0</v>
      </c>
      <c r="C131" s="251"/>
      <c r="D131" s="259"/>
      <c r="E131" s="128">
        <v>1892869.0</v>
      </c>
      <c r="F131" s="271">
        <v>595.0</v>
      </c>
      <c r="G131" s="252">
        <v>485.0</v>
      </c>
      <c r="H131" s="253">
        <v>203.0</v>
      </c>
      <c r="I131" s="253">
        <v>200.0</v>
      </c>
      <c r="J131" s="253">
        <v>3.0</v>
      </c>
      <c r="K131" s="202">
        <f t="shared" si="14"/>
        <v>33.61344538</v>
      </c>
      <c r="L131" s="54"/>
      <c r="M131" s="54"/>
      <c r="N131" s="54"/>
      <c r="O131" s="63"/>
      <c r="P131" s="44"/>
      <c r="Q131" s="54"/>
      <c r="R131" s="249"/>
      <c r="T131" s="70">
        <v>45570.0</v>
      </c>
      <c r="U131" s="71" t="s">
        <v>161</v>
      </c>
      <c r="V131" s="71">
        <v>1738705.0</v>
      </c>
      <c r="W131" s="71">
        <v>1514.0</v>
      </c>
      <c r="X131" s="71">
        <v>485.0</v>
      </c>
      <c r="Y131" s="72">
        <v>405.0</v>
      </c>
      <c r="Z131" s="72">
        <v>400.0</v>
      </c>
      <c r="AA131" s="72">
        <v>5.0</v>
      </c>
      <c r="AB131" s="72">
        <v>26.42</v>
      </c>
      <c r="AC131" s="54"/>
      <c r="AD131" s="54"/>
    </row>
    <row r="132">
      <c r="A132" s="54"/>
      <c r="B132" s="250">
        <v>45483.0</v>
      </c>
      <c r="C132" s="251"/>
      <c r="D132" s="259"/>
      <c r="E132" s="128">
        <v>1892869.0</v>
      </c>
      <c r="F132" s="271">
        <v>0.0</v>
      </c>
      <c r="G132" s="252">
        <v>493.0</v>
      </c>
      <c r="H132" s="253"/>
      <c r="I132" s="253"/>
      <c r="J132" s="253">
        <v>-0.83</v>
      </c>
      <c r="K132" s="202" t="str">
        <f t="shared" si="14"/>
        <v>#DIV/0!</v>
      </c>
      <c r="L132" s="54"/>
      <c r="M132" s="54"/>
      <c r="N132" s="54">
        <f>N128*65</f>
        <v>300524.25</v>
      </c>
      <c r="O132" s="54"/>
      <c r="P132" s="86"/>
      <c r="Q132" s="54"/>
      <c r="R132" s="249"/>
      <c r="T132" s="70">
        <v>45572.0</v>
      </c>
      <c r="U132" s="71" t="s">
        <v>161</v>
      </c>
      <c r="V132" s="71">
        <v>1740201.0</v>
      </c>
      <c r="W132" s="71">
        <v>1496.0</v>
      </c>
      <c r="X132" s="71">
        <v>491.0</v>
      </c>
      <c r="Y132" s="72">
        <v>419.0</v>
      </c>
      <c r="Z132" s="72">
        <v>400.0</v>
      </c>
      <c r="AA132" s="72">
        <v>19.0</v>
      </c>
      <c r="AB132" s="72">
        <v>26.74</v>
      </c>
      <c r="AC132" s="54"/>
      <c r="AD132" s="54"/>
    </row>
    <row r="133">
      <c r="A133" s="54"/>
      <c r="B133" s="243">
        <v>45484.0</v>
      </c>
      <c r="C133" s="243"/>
      <c r="D133" s="102"/>
      <c r="E133" s="100">
        <v>1894586.0</v>
      </c>
      <c r="F133" s="99">
        <f t="shared" ref="F133:F144" si="15">E133-E132</f>
        <v>1717</v>
      </c>
      <c r="G133" s="100">
        <v>496.0</v>
      </c>
      <c r="H133" s="101">
        <v>439.0</v>
      </c>
      <c r="I133" s="101">
        <v>436.83</v>
      </c>
      <c r="J133" s="102">
        <f t="shared" ref="J133:J144" si="16">H133-I133</f>
        <v>2.17</v>
      </c>
      <c r="K133" s="202">
        <f t="shared" si="14"/>
        <v>25.44146768</v>
      </c>
      <c r="L133" s="54"/>
      <c r="M133" s="54"/>
      <c r="N133" s="54"/>
      <c r="O133" s="54"/>
      <c r="P133" s="86"/>
      <c r="Q133" s="54"/>
      <c r="R133" s="249"/>
      <c r="T133" s="275">
        <v>45583.0</v>
      </c>
      <c r="U133" s="71" t="s">
        <v>161</v>
      </c>
      <c r="V133" s="71">
        <v>1740697.0</v>
      </c>
      <c r="W133" s="71">
        <v>496.0</v>
      </c>
      <c r="X133" s="71">
        <v>510.0</v>
      </c>
      <c r="Y133" s="72">
        <v>180.0</v>
      </c>
      <c r="Z133" s="72">
        <v>190.1</v>
      </c>
      <c r="AA133" s="72">
        <v>-10.1</v>
      </c>
      <c r="AB133" s="72">
        <v>38.33</v>
      </c>
      <c r="AC133" s="54"/>
      <c r="AD133" s="54"/>
    </row>
    <row r="134">
      <c r="A134" s="54"/>
      <c r="B134" s="243">
        <v>45485.0</v>
      </c>
      <c r="C134" s="243"/>
      <c r="D134" s="102"/>
      <c r="E134" s="104">
        <v>1895152.0</v>
      </c>
      <c r="F134" s="99">
        <f t="shared" si="15"/>
        <v>566</v>
      </c>
      <c r="G134" s="100">
        <v>495.0</v>
      </c>
      <c r="H134" s="101">
        <v>205.0</v>
      </c>
      <c r="I134" s="101">
        <v>206.82</v>
      </c>
      <c r="J134" s="102">
        <f t="shared" si="16"/>
        <v>-1.82</v>
      </c>
      <c r="K134" s="202">
        <f t="shared" si="14"/>
        <v>36.54063604</v>
      </c>
      <c r="L134" s="54"/>
      <c r="M134" s="54"/>
      <c r="N134" s="54"/>
      <c r="O134" s="63"/>
      <c r="P134" s="86"/>
      <c r="Q134" s="54"/>
      <c r="R134" s="249"/>
      <c r="T134" s="275">
        <v>45584.0</v>
      </c>
      <c r="U134" s="71" t="s">
        <v>161</v>
      </c>
      <c r="V134" s="71">
        <v>1742043.0</v>
      </c>
      <c r="W134" s="71">
        <v>1346.0</v>
      </c>
      <c r="X134" s="71">
        <v>506.0</v>
      </c>
      <c r="Y134" s="72">
        <v>389.0</v>
      </c>
      <c r="Z134" s="72">
        <v>390.27</v>
      </c>
      <c r="AA134" s="72">
        <v>-1.27</v>
      </c>
      <c r="AB134" s="72">
        <v>28.99</v>
      </c>
      <c r="AC134" s="54"/>
      <c r="AD134" s="54"/>
    </row>
    <row r="135">
      <c r="A135" s="54"/>
      <c r="B135" s="243">
        <v>45487.0</v>
      </c>
      <c r="C135" s="243"/>
      <c r="D135" s="102"/>
      <c r="E135" s="104">
        <v>1896140.0</v>
      </c>
      <c r="F135" s="99">
        <f t="shared" si="15"/>
        <v>988</v>
      </c>
      <c r="G135" s="100">
        <v>484.0</v>
      </c>
      <c r="H135" s="101">
        <v>197.0</v>
      </c>
      <c r="I135" s="101">
        <v>200.0</v>
      </c>
      <c r="J135" s="102">
        <f t="shared" si="16"/>
        <v>-3</v>
      </c>
      <c r="K135" s="202">
        <f t="shared" si="14"/>
        <v>20.24291498</v>
      </c>
      <c r="L135" s="54"/>
      <c r="M135" s="54"/>
      <c r="N135" s="54"/>
      <c r="O135" s="54"/>
      <c r="P135" s="86"/>
      <c r="Q135" s="54"/>
      <c r="R135" s="249"/>
      <c r="T135" s="275">
        <v>45586.0</v>
      </c>
      <c r="U135" s="71" t="s">
        <v>161</v>
      </c>
      <c r="V135" s="71">
        <v>1743329.0</v>
      </c>
      <c r="W135" s="71">
        <v>1286.0</v>
      </c>
      <c r="X135" s="71">
        <v>504.0</v>
      </c>
      <c r="Y135" s="72">
        <v>383.0</v>
      </c>
      <c r="Z135" s="72">
        <v>380.86</v>
      </c>
      <c r="AA135" s="72">
        <v>2.14</v>
      </c>
      <c r="AB135" s="72">
        <v>29.62</v>
      </c>
      <c r="AC135" s="54"/>
      <c r="AD135" s="54"/>
    </row>
    <row r="136">
      <c r="A136" s="54"/>
      <c r="B136" s="243">
        <v>45488.0</v>
      </c>
      <c r="C136" s="243"/>
      <c r="D136" s="102"/>
      <c r="E136" s="104">
        <v>1896468.0</v>
      </c>
      <c r="F136" s="99">
        <f t="shared" si="15"/>
        <v>328</v>
      </c>
      <c r="G136" s="100">
        <v>494.0</v>
      </c>
      <c r="H136" s="101">
        <v>222.0</v>
      </c>
      <c r="I136" s="101">
        <v>221.59</v>
      </c>
      <c r="J136" s="102">
        <f t="shared" si="16"/>
        <v>0.41</v>
      </c>
      <c r="K136" s="202">
        <f t="shared" si="14"/>
        <v>67.55792683</v>
      </c>
      <c r="L136" s="54"/>
      <c r="M136" s="54"/>
      <c r="N136" s="54"/>
      <c r="O136" s="54"/>
      <c r="P136" s="86"/>
      <c r="Q136" s="54"/>
      <c r="R136" s="249"/>
      <c r="T136" s="275">
        <v>45588.0</v>
      </c>
      <c r="U136" s="71" t="s">
        <v>161</v>
      </c>
      <c r="V136" s="71">
        <v>1744576.0</v>
      </c>
      <c r="W136" s="71">
        <v>1247.0</v>
      </c>
      <c r="X136" s="71">
        <v>507.0</v>
      </c>
      <c r="Y136" s="72">
        <v>337.0</v>
      </c>
      <c r="Z136" s="72">
        <v>343.37</v>
      </c>
      <c r="AA136" s="72">
        <v>-6.37</v>
      </c>
      <c r="AB136" s="72">
        <v>27.54</v>
      </c>
      <c r="AC136" s="54"/>
      <c r="AD136" s="54"/>
    </row>
    <row r="137">
      <c r="A137" s="54"/>
      <c r="B137" s="243">
        <v>45489.0</v>
      </c>
      <c r="C137" s="243"/>
      <c r="D137" s="102"/>
      <c r="E137" s="104">
        <v>1897637.0</v>
      </c>
      <c r="F137" s="99">
        <f t="shared" si="15"/>
        <v>1169</v>
      </c>
      <c r="G137" s="100">
        <v>488.0</v>
      </c>
      <c r="H137" s="101">
        <v>205.0</v>
      </c>
      <c r="I137" s="101">
        <v>210.0</v>
      </c>
      <c r="J137" s="102">
        <f t="shared" si="16"/>
        <v>-5</v>
      </c>
      <c r="K137" s="202">
        <f t="shared" si="14"/>
        <v>17.96407186</v>
      </c>
      <c r="L137" s="54"/>
      <c r="M137" s="54"/>
      <c r="N137" s="54"/>
      <c r="O137" s="54"/>
      <c r="P137" s="86"/>
      <c r="Q137" s="54"/>
      <c r="R137" s="249"/>
      <c r="T137" s="275">
        <v>45589.0</v>
      </c>
      <c r="U137" s="71" t="s">
        <v>161</v>
      </c>
      <c r="V137" s="71">
        <v>1745356.0</v>
      </c>
      <c r="W137" s="71">
        <v>780.0</v>
      </c>
      <c r="X137" s="71">
        <v>508.0</v>
      </c>
      <c r="Y137" s="72">
        <v>217.0</v>
      </c>
      <c r="Z137" s="72">
        <v>220.0</v>
      </c>
      <c r="AA137" s="72">
        <v>-3.0</v>
      </c>
      <c r="AB137" s="72">
        <v>28.21</v>
      </c>
      <c r="AC137" s="54"/>
      <c r="AD137" s="54"/>
    </row>
    <row r="138">
      <c r="A138" s="54"/>
      <c r="B138" s="243">
        <v>45490.0</v>
      </c>
      <c r="C138" s="243"/>
      <c r="D138" s="102"/>
      <c r="E138" s="104">
        <v>1898373.0</v>
      </c>
      <c r="F138" s="99">
        <f t="shared" si="15"/>
        <v>736</v>
      </c>
      <c r="G138" s="100">
        <v>497.0</v>
      </c>
      <c r="H138" s="101">
        <v>213.0</v>
      </c>
      <c r="I138" s="101">
        <v>216.59</v>
      </c>
      <c r="J138" s="102">
        <f t="shared" si="16"/>
        <v>-3.59</v>
      </c>
      <c r="K138" s="202">
        <f t="shared" si="14"/>
        <v>29.42798913</v>
      </c>
      <c r="L138" s="54"/>
      <c r="M138" s="54"/>
      <c r="N138" s="54"/>
      <c r="O138" s="54"/>
      <c r="P138" s="86"/>
      <c r="Q138" s="54"/>
      <c r="R138" s="249"/>
      <c r="T138" s="275">
        <v>45590.0</v>
      </c>
      <c r="U138" s="71" t="s">
        <v>161</v>
      </c>
      <c r="V138" s="71">
        <v>1746110.0</v>
      </c>
      <c r="W138" s="71">
        <v>754.0</v>
      </c>
      <c r="X138" s="71">
        <v>504.0</v>
      </c>
      <c r="Y138" s="72">
        <v>223.0</v>
      </c>
      <c r="Z138" s="72">
        <v>220.61</v>
      </c>
      <c r="AA138" s="72">
        <v>2.39</v>
      </c>
      <c r="AB138" s="72">
        <v>29.26</v>
      </c>
      <c r="AC138" s="54"/>
      <c r="AD138" s="54"/>
    </row>
    <row r="139">
      <c r="A139" s="54"/>
      <c r="B139" s="243">
        <v>45491.0</v>
      </c>
      <c r="C139" s="243"/>
      <c r="D139" s="102"/>
      <c r="E139" s="104">
        <v>1899134.0</v>
      </c>
      <c r="F139" s="99">
        <f t="shared" si="15"/>
        <v>761</v>
      </c>
      <c r="G139" s="100">
        <v>487.0</v>
      </c>
      <c r="H139" s="276">
        <v>214.0</v>
      </c>
      <c r="I139" s="101">
        <v>210.0</v>
      </c>
      <c r="J139" s="277">
        <f t="shared" si="16"/>
        <v>4</v>
      </c>
      <c r="K139" s="202">
        <f t="shared" si="14"/>
        <v>27.59526938</v>
      </c>
      <c r="L139" s="54"/>
      <c r="M139" s="54"/>
      <c r="N139" s="54"/>
      <c r="O139" s="54"/>
      <c r="P139" s="86"/>
      <c r="Q139" s="54"/>
      <c r="R139" s="249"/>
      <c r="T139" s="275">
        <v>45591.0</v>
      </c>
      <c r="U139" s="71" t="s">
        <v>161</v>
      </c>
      <c r="V139" s="71">
        <v>1746901.0</v>
      </c>
      <c r="W139" s="71">
        <v>791.0</v>
      </c>
      <c r="X139" s="71">
        <v>510.0</v>
      </c>
      <c r="Y139" s="72">
        <v>238.0</v>
      </c>
      <c r="Z139" s="72">
        <v>240.0</v>
      </c>
      <c r="AA139" s="72">
        <v>-2.0</v>
      </c>
      <c r="AB139" s="72">
        <v>30.34</v>
      </c>
      <c r="AC139" s="54"/>
      <c r="AD139" s="54"/>
    </row>
    <row r="140">
      <c r="A140" s="54"/>
      <c r="B140" s="243">
        <v>45492.0</v>
      </c>
      <c r="C140" s="243"/>
      <c r="D140" s="102"/>
      <c r="E140" s="104">
        <v>1899828.0</v>
      </c>
      <c r="F140" s="99">
        <f t="shared" si="15"/>
        <v>694</v>
      </c>
      <c r="G140" s="100">
        <v>494.0</v>
      </c>
      <c r="H140" s="101">
        <v>213.0</v>
      </c>
      <c r="I140" s="101">
        <v>211.59</v>
      </c>
      <c r="J140" s="102">
        <f t="shared" si="16"/>
        <v>1.41</v>
      </c>
      <c r="K140" s="202">
        <f t="shared" si="14"/>
        <v>30.48847262</v>
      </c>
      <c r="L140" s="54"/>
      <c r="M140" s="54"/>
      <c r="N140" s="54"/>
      <c r="O140" s="54"/>
      <c r="P140" s="86"/>
      <c r="Q140" s="54"/>
      <c r="R140" s="249"/>
      <c r="T140" s="275">
        <v>45592.0</v>
      </c>
      <c r="U140" s="71" t="s">
        <v>161</v>
      </c>
      <c r="V140" s="71">
        <v>1747655.0</v>
      </c>
      <c r="W140" s="71">
        <v>754.0</v>
      </c>
      <c r="X140" s="71">
        <v>500.0</v>
      </c>
      <c r="Y140" s="72">
        <v>221.0</v>
      </c>
      <c r="Z140" s="72">
        <v>220.61</v>
      </c>
      <c r="AA140" s="72">
        <v>0.39</v>
      </c>
      <c r="AB140" s="72">
        <v>29.26</v>
      </c>
      <c r="AC140" s="54"/>
      <c r="AD140" s="54"/>
    </row>
    <row r="141">
      <c r="A141" s="54"/>
      <c r="B141" s="278">
        <v>45494.0</v>
      </c>
      <c r="C141" s="278"/>
      <c r="D141" s="99"/>
      <c r="E141" s="104">
        <v>1900630.0</v>
      </c>
      <c r="F141" s="99">
        <f t="shared" si="15"/>
        <v>802</v>
      </c>
      <c r="G141" s="100">
        <v>493.0</v>
      </c>
      <c r="H141" s="101">
        <v>208.0</v>
      </c>
      <c r="I141" s="101">
        <v>210.0</v>
      </c>
      <c r="J141" s="102">
        <f t="shared" si="16"/>
        <v>-2</v>
      </c>
      <c r="K141" s="202">
        <f t="shared" si="14"/>
        <v>26.18453865</v>
      </c>
      <c r="L141" s="54"/>
      <c r="M141" s="54"/>
      <c r="N141" s="54"/>
      <c r="O141" s="54"/>
      <c r="P141" s="86"/>
      <c r="Q141" s="54"/>
      <c r="R141" s="249"/>
      <c r="T141" s="275">
        <v>45594.0</v>
      </c>
      <c r="U141" s="71" t="s">
        <v>161</v>
      </c>
      <c r="V141" s="71">
        <v>1748621.0</v>
      </c>
      <c r="W141" s="71">
        <v>966.0</v>
      </c>
      <c r="X141" s="71">
        <v>509.0</v>
      </c>
      <c r="Y141" s="72">
        <v>296.0</v>
      </c>
      <c r="Z141" s="72">
        <v>301.91</v>
      </c>
      <c r="AA141" s="72">
        <v>-5.91</v>
      </c>
      <c r="AB141" s="72">
        <v>31.25</v>
      </c>
      <c r="AC141" s="54"/>
      <c r="AD141" s="54"/>
    </row>
    <row r="142">
      <c r="A142" s="54"/>
      <c r="B142" s="278">
        <v>45495.0</v>
      </c>
      <c r="C142" s="278"/>
      <c r="D142" s="99"/>
      <c r="E142" s="104">
        <v>1901365.0</v>
      </c>
      <c r="F142" s="99">
        <f t="shared" si="15"/>
        <v>735</v>
      </c>
      <c r="G142" s="100">
        <v>497.0</v>
      </c>
      <c r="H142" s="101">
        <v>207.0</v>
      </c>
      <c r="I142" s="101">
        <v>206.92</v>
      </c>
      <c r="J142" s="102">
        <f t="shared" si="16"/>
        <v>0.08</v>
      </c>
      <c r="K142" s="202">
        <f t="shared" si="14"/>
        <v>28.15238095</v>
      </c>
      <c r="L142" s="54"/>
      <c r="M142" s="279" t="s">
        <v>264</v>
      </c>
      <c r="R142" s="249"/>
      <c r="T142" s="275">
        <v>45596.0</v>
      </c>
      <c r="U142" s="71" t="s">
        <v>161</v>
      </c>
      <c r="V142" s="71">
        <v>1750155.0</v>
      </c>
      <c r="W142" s="71">
        <v>1534.0</v>
      </c>
      <c r="X142" s="71">
        <v>422.0</v>
      </c>
      <c r="Y142" s="72">
        <v>487.0</v>
      </c>
      <c r="Z142" s="72">
        <v>421.07</v>
      </c>
      <c r="AA142" s="72">
        <v>65.93</v>
      </c>
      <c r="AB142" s="72">
        <v>27.45</v>
      </c>
      <c r="AC142" s="54"/>
      <c r="AD142" s="54"/>
    </row>
    <row r="143">
      <c r="A143" s="54"/>
      <c r="B143" s="278">
        <v>45496.0</v>
      </c>
      <c r="C143" s="278"/>
      <c r="D143" s="99"/>
      <c r="E143" s="104">
        <v>1902003.0</v>
      </c>
      <c r="F143" s="99">
        <f t="shared" si="15"/>
        <v>638</v>
      </c>
      <c r="G143" s="100">
        <v>492.0</v>
      </c>
      <c r="H143" s="101">
        <v>209.0</v>
      </c>
      <c r="I143" s="101">
        <v>210.0</v>
      </c>
      <c r="J143" s="102">
        <f t="shared" si="16"/>
        <v>-1</v>
      </c>
      <c r="K143" s="202">
        <f t="shared" si="14"/>
        <v>32.9153605</v>
      </c>
      <c r="L143" s="54"/>
      <c r="R143" s="249"/>
      <c r="T143" s="66"/>
      <c r="U143" s="66"/>
      <c r="V143" s="66"/>
      <c r="W143" s="66"/>
      <c r="X143" s="67" t="s">
        <v>97</v>
      </c>
      <c r="Y143" s="66"/>
      <c r="Z143" s="66"/>
      <c r="AA143" s="66"/>
      <c r="AB143" s="242"/>
      <c r="AC143" s="54"/>
      <c r="AD143" s="54"/>
    </row>
    <row r="144">
      <c r="A144" s="54"/>
      <c r="B144" s="278">
        <v>45497.0</v>
      </c>
      <c r="C144" s="278"/>
      <c r="D144" s="99"/>
      <c r="E144" s="104">
        <v>1902663.0</v>
      </c>
      <c r="F144" s="99">
        <f t="shared" si="15"/>
        <v>660</v>
      </c>
      <c r="G144" s="100">
        <v>496.0</v>
      </c>
      <c r="H144" s="101">
        <v>206.0</v>
      </c>
      <c r="I144" s="101">
        <v>205.91</v>
      </c>
      <c r="J144" s="102">
        <f t="shared" si="16"/>
        <v>0.09</v>
      </c>
      <c r="K144" s="202">
        <f t="shared" si="14"/>
        <v>31.19848485</v>
      </c>
      <c r="L144" s="54"/>
      <c r="R144" s="249"/>
      <c r="T144" s="70">
        <v>45598.0</v>
      </c>
      <c r="U144" s="71" t="s">
        <v>161</v>
      </c>
      <c r="V144" s="71">
        <v>1751353.0</v>
      </c>
      <c r="W144" s="71">
        <v>1198.0</v>
      </c>
      <c r="X144" s="71">
        <v>510.0</v>
      </c>
      <c r="Y144" s="72">
        <v>444.0</v>
      </c>
      <c r="Z144" s="72">
        <v>445.29</v>
      </c>
      <c r="AA144" s="72">
        <v>-1.29</v>
      </c>
      <c r="AB144" s="72">
        <v>37.17</v>
      </c>
      <c r="AC144" s="54"/>
      <c r="AD144" s="54"/>
    </row>
    <row r="145">
      <c r="A145" s="66"/>
      <c r="B145" s="67" t="s">
        <v>95</v>
      </c>
      <c r="J145" s="66"/>
      <c r="K145" s="204"/>
      <c r="L145" s="66"/>
      <c r="M145" s="66"/>
      <c r="N145" s="66"/>
      <c r="O145" s="66"/>
      <c r="P145" s="113"/>
      <c r="Q145" s="66"/>
      <c r="R145" s="249"/>
      <c r="T145" s="262">
        <v>45555.0</v>
      </c>
      <c r="U145" s="263" t="s">
        <v>161</v>
      </c>
      <c r="V145" s="263">
        <v>1728044.0</v>
      </c>
      <c r="W145" s="263">
        <v>523.0</v>
      </c>
      <c r="X145" s="263">
        <v>506.0</v>
      </c>
      <c r="Y145" s="264">
        <v>142.0</v>
      </c>
      <c r="Z145" s="264">
        <v>144.32</v>
      </c>
      <c r="AA145" s="264">
        <v>-2.32</v>
      </c>
      <c r="AB145" s="254">
        <f>Z145/W145*100</f>
        <v>27.59464627</v>
      </c>
      <c r="AC145" s="54"/>
      <c r="AD145" s="54"/>
    </row>
    <row r="146">
      <c r="A146" s="60"/>
      <c r="B146" s="98">
        <v>45515.0</v>
      </c>
      <c r="C146" s="98"/>
      <c r="D146" s="99"/>
      <c r="E146" s="280">
        <v>1903840.0</v>
      </c>
      <c r="F146" s="99">
        <f>E146-E144</f>
        <v>1177</v>
      </c>
      <c r="G146" s="100">
        <v>499.0</v>
      </c>
      <c r="H146" s="101">
        <v>289.0</v>
      </c>
      <c r="I146" s="101">
        <v>290.0</v>
      </c>
      <c r="J146" s="102">
        <f t="shared" ref="J146:J163" si="17">H146-I146</f>
        <v>-1</v>
      </c>
      <c r="K146" s="103">
        <f t="shared" ref="K146:K163" si="18">I146/F146*100</f>
        <v>24.63891249</v>
      </c>
      <c r="L146" s="54"/>
      <c r="M146" s="82" t="str">
        <f>"тотал"&amp;" "&amp;B145</f>
        <v>тотал АВГУСТ</v>
      </c>
      <c r="N146" s="75"/>
      <c r="O146" s="76"/>
      <c r="P146" s="86"/>
      <c r="Q146" s="54"/>
      <c r="R146" s="249"/>
      <c r="T146" s="70">
        <v>45601.0</v>
      </c>
      <c r="U146" s="71" t="s">
        <v>161</v>
      </c>
      <c r="V146" s="71">
        <v>1753219.0</v>
      </c>
      <c r="W146" s="71">
        <v>683.0</v>
      </c>
      <c r="X146" s="71">
        <v>498.0</v>
      </c>
      <c r="Y146" s="72">
        <v>201.0</v>
      </c>
      <c r="Z146" s="72">
        <v>205.91</v>
      </c>
      <c r="AA146" s="72">
        <v>-4.91</v>
      </c>
      <c r="AB146" s="72">
        <v>30.15</v>
      </c>
      <c r="AC146" s="54"/>
      <c r="AD146" s="54"/>
    </row>
    <row r="147">
      <c r="A147" s="60"/>
      <c r="B147" s="98">
        <v>45516.0</v>
      </c>
      <c r="C147" s="98"/>
      <c r="D147" s="99"/>
      <c r="E147" s="280">
        <v>1904574.0</v>
      </c>
      <c r="F147" s="99">
        <f t="shared" ref="F147:F163" si="19">E147-E146</f>
        <v>734</v>
      </c>
      <c r="G147" s="100">
        <v>499.0</v>
      </c>
      <c r="H147" s="101">
        <v>221.0</v>
      </c>
      <c r="I147" s="101">
        <v>219.79</v>
      </c>
      <c r="J147" s="102">
        <f t="shared" si="17"/>
        <v>1.21</v>
      </c>
      <c r="K147" s="103">
        <f t="shared" si="18"/>
        <v>29.94414169</v>
      </c>
      <c r="L147" s="54"/>
      <c r="M147" s="83" t="s">
        <v>70</v>
      </c>
      <c r="N147" s="83" t="s">
        <v>71</v>
      </c>
      <c r="O147" s="83" t="s">
        <v>27</v>
      </c>
      <c r="P147" s="86"/>
      <c r="Q147" s="54"/>
      <c r="R147" s="249"/>
      <c r="T147" s="70">
        <v>45603.0</v>
      </c>
      <c r="U147" s="71" t="s">
        <v>161</v>
      </c>
      <c r="V147" s="71">
        <v>1754782.0</v>
      </c>
      <c r="W147" s="71">
        <v>783.0</v>
      </c>
      <c r="X147" s="71">
        <v>485.0</v>
      </c>
      <c r="Y147" s="72">
        <v>224.0</v>
      </c>
      <c r="Z147" s="72">
        <v>220.0</v>
      </c>
      <c r="AA147" s="72">
        <v>4.0</v>
      </c>
      <c r="AB147" s="72">
        <v>28.1</v>
      </c>
      <c r="AC147" s="54"/>
      <c r="AD147" s="54"/>
    </row>
    <row r="148">
      <c r="A148" s="54"/>
      <c r="B148" s="98">
        <v>45517.0</v>
      </c>
      <c r="C148" s="98"/>
      <c r="D148" s="99"/>
      <c r="E148" s="100">
        <v>1905334.0</v>
      </c>
      <c r="F148" s="99">
        <f t="shared" si="19"/>
        <v>760</v>
      </c>
      <c r="G148" s="100">
        <v>496.0</v>
      </c>
      <c r="H148" s="101">
        <v>220.0</v>
      </c>
      <c r="I148" s="101">
        <v>220.0</v>
      </c>
      <c r="J148" s="102">
        <f t="shared" si="17"/>
        <v>0</v>
      </c>
      <c r="K148" s="103">
        <f t="shared" si="18"/>
        <v>28.94736842</v>
      </c>
      <c r="L148" s="54"/>
      <c r="M148" s="84">
        <f>SUM(F146:F159)</f>
        <v>10886</v>
      </c>
      <c r="N148" s="84">
        <f>SUM(I146:I159)</f>
        <v>3098.52</v>
      </c>
      <c r="O148" s="85">
        <f>N148/M148*100</f>
        <v>28.46334742</v>
      </c>
      <c r="P148" s="86"/>
      <c r="Q148" s="54"/>
      <c r="R148" s="249"/>
      <c r="T148" s="70">
        <v>45605.0</v>
      </c>
      <c r="U148" s="71" t="s">
        <v>161</v>
      </c>
      <c r="V148" s="71">
        <v>1756321.0</v>
      </c>
      <c r="W148" s="71">
        <v>1539.0</v>
      </c>
      <c r="X148" s="71">
        <v>509.0</v>
      </c>
      <c r="Y148" s="72">
        <v>452.0</v>
      </c>
      <c r="Z148" s="72">
        <v>450.0</v>
      </c>
      <c r="AA148" s="72">
        <v>2.0</v>
      </c>
      <c r="AB148" s="72">
        <v>29.24</v>
      </c>
      <c r="AC148" s="54"/>
      <c r="AD148" s="54"/>
    </row>
    <row r="149">
      <c r="A149" s="54"/>
      <c r="B149" s="98">
        <v>45518.0</v>
      </c>
      <c r="C149" s="98"/>
      <c r="D149" s="99"/>
      <c r="E149" s="281">
        <v>1906068.0</v>
      </c>
      <c r="F149" s="99">
        <f t="shared" si="19"/>
        <v>734</v>
      </c>
      <c r="G149" s="100">
        <v>494.0</v>
      </c>
      <c r="H149" s="101">
        <v>214.0</v>
      </c>
      <c r="I149" s="101">
        <v>209.82</v>
      </c>
      <c r="J149" s="102">
        <f t="shared" si="17"/>
        <v>4.18</v>
      </c>
      <c r="K149" s="103">
        <f t="shared" si="18"/>
        <v>28.58583106</v>
      </c>
      <c r="L149" s="54"/>
      <c r="M149" s="54"/>
      <c r="N149" s="54"/>
      <c r="O149" s="54"/>
      <c r="P149" s="86"/>
      <c r="Q149" s="54"/>
      <c r="R149" s="249"/>
      <c r="T149" s="275">
        <v>45607.0</v>
      </c>
      <c r="U149" s="71" t="s">
        <v>161</v>
      </c>
      <c r="V149" s="71">
        <v>1757602.0</v>
      </c>
      <c r="W149" s="71">
        <v>1281.0</v>
      </c>
      <c r="X149" s="71">
        <v>381.0</v>
      </c>
      <c r="Y149" s="72">
        <v>250.0</v>
      </c>
      <c r="Z149" s="72">
        <v>250.0</v>
      </c>
      <c r="AA149" s="72">
        <v>0.0</v>
      </c>
      <c r="AB149" s="72">
        <v>19.52</v>
      </c>
      <c r="AC149" s="54"/>
      <c r="AD149" s="54"/>
    </row>
    <row r="150">
      <c r="A150" s="54"/>
      <c r="B150" s="98">
        <v>45519.0</v>
      </c>
      <c r="C150" s="98"/>
      <c r="D150" s="99"/>
      <c r="E150" s="100">
        <v>1906828.0</v>
      </c>
      <c r="F150" s="99">
        <f t="shared" si="19"/>
        <v>760</v>
      </c>
      <c r="G150" s="100">
        <v>489.0</v>
      </c>
      <c r="H150" s="101">
        <v>216.0</v>
      </c>
      <c r="I150" s="101">
        <v>220.0</v>
      </c>
      <c r="J150" s="102">
        <f t="shared" si="17"/>
        <v>-4</v>
      </c>
      <c r="K150" s="103">
        <f t="shared" si="18"/>
        <v>28.94736842</v>
      </c>
      <c r="L150" s="54"/>
      <c r="M150" s="54"/>
      <c r="N150" s="54"/>
      <c r="O150" s="54"/>
      <c r="P150" s="86"/>
      <c r="Q150" s="54"/>
      <c r="R150" s="249"/>
      <c r="T150" s="275">
        <v>45608.0</v>
      </c>
      <c r="U150" s="71" t="s">
        <v>161</v>
      </c>
      <c r="V150" s="71">
        <v>1757853.0</v>
      </c>
      <c r="W150" s="71">
        <v>251.0</v>
      </c>
      <c r="X150" s="71">
        <v>505.0</v>
      </c>
      <c r="Y150" s="72">
        <v>196.0</v>
      </c>
      <c r="Z150" s="72">
        <v>206.84</v>
      </c>
      <c r="AA150" s="72">
        <v>-10.84</v>
      </c>
      <c r="AB150" s="72">
        <v>82.41</v>
      </c>
      <c r="AC150" s="54"/>
      <c r="AD150" s="54"/>
    </row>
    <row r="151">
      <c r="A151" s="54"/>
      <c r="B151" s="98">
        <v>45520.0</v>
      </c>
      <c r="C151" s="98"/>
      <c r="D151" s="99"/>
      <c r="E151" s="130">
        <v>1907563.0</v>
      </c>
      <c r="F151" s="99">
        <f t="shared" si="19"/>
        <v>735</v>
      </c>
      <c r="G151" s="100">
        <v>489.0</v>
      </c>
      <c r="H151" s="101">
        <v>210.0</v>
      </c>
      <c r="I151" s="101">
        <v>209.78</v>
      </c>
      <c r="J151" s="102">
        <f t="shared" si="17"/>
        <v>0.22</v>
      </c>
      <c r="K151" s="103">
        <f t="shared" si="18"/>
        <v>28.5414966</v>
      </c>
      <c r="L151" s="54"/>
      <c r="M151" s="54"/>
      <c r="N151" s="54"/>
      <c r="O151" s="54"/>
      <c r="P151" s="86"/>
      <c r="Q151" s="54"/>
      <c r="R151" s="249"/>
      <c r="T151" s="275">
        <v>45610.0</v>
      </c>
      <c r="U151" s="71" t="s">
        <v>161</v>
      </c>
      <c r="V151" s="71">
        <v>1759392.0</v>
      </c>
      <c r="W151" s="71">
        <v>1539.0</v>
      </c>
      <c r="X151" s="71">
        <v>499.0</v>
      </c>
      <c r="Y151" s="72">
        <v>464.0</v>
      </c>
      <c r="Z151" s="72">
        <v>469.03</v>
      </c>
      <c r="AA151" s="72">
        <v>-5.03</v>
      </c>
      <c r="AB151" s="72">
        <v>30.48</v>
      </c>
      <c r="AC151" s="54"/>
      <c r="AD151" s="54"/>
    </row>
    <row r="152">
      <c r="A152" s="54"/>
      <c r="B152" s="98">
        <v>45522.0</v>
      </c>
      <c r="C152" s="98"/>
      <c r="D152" s="99"/>
      <c r="E152" s="130">
        <v>1908322.0</v>
      </c>
      <c r="F152" s="99">
        <f t="shared" si="19"/>
        <v>759</v>
      </c>
      <c r="G152" s="100">
        <v>488.0</v>
      </c>
      <c r="H152" s="101">
        <v>219.0</v>
      </c>
      <c r="I152" s="101">
        <v>220.0</v>
      </c>
      <c r="J152" s="102">
        <f t="shared" si="17"/>
        <v>-1</v>
      </c>
      <c r="K152" s="103">
        <f t="shared" si="18"/>
        <v>28.98550725</v>
      </c>
      <c r="L152" s="54"/>
      <c r="M152" s="54"/>
      <c r="N152" s="54"/>
      <c r="O152" s="54"/>
      <c r="P152" s="86"/>
      <c r="Q152" s="54"/>
      <c r="R152" s="249"/>
      <c r="T152" s="275">
        <v>45614.0</v>
      </c>
      <c r="U152" s="71" t="s">
        <v>161</v>
      </c>
      <c r="V152" s="71">
        <v>1762213.0</v>
      </c>
      <c r="W152" s="71">
        <v>1284.0</v>
      </c>
      <c r="X152" s="71">
        <v>357.0</v>
      </c>
      <c r="Y152" s="72">
        <v>248.0</v>
      </c>
      <c r="Z152" s="72">
        <v>250.0</v>
      </c>
      <c r="AA152" s="72">
        <v>-2.0</v>
      </c>
      <c r="AB152" s="72">
        <v>19.47</v>
      </c>
      <c r="AC152" s="54"/>
      <c r="AD152" s="54"/>
    </row>
    <row r="153">
      <c r="A153" s="54"/>
      <c r="B153" s="98">
        <v>45523.0</v>
      </c>
      <c r="C153" s="98"/>
      <c r="D153" s="99"/>
      <c r="E153" s="130">
        <v>1909056.0</v>
      </c>
      <c r="F153" s="99">
        <f t="shared" si="19"/>
        <v>734</v>
      </c>
      <c r="G153" s="100">
        <v>496.0</v>
      </c>
      <c r="H153" s="101">
        <v>219.0</v>
      </c>
      <c r="I153" s="101">
        <v>209.78</v>
      </c>
      <c r="J153" s="102">
        <f t="shared" si="17"/>
        <v>9.22</v>
      </c>
      <c r="K153" s="103">
        <f t="shared" si="18"/>
        <v>28.58038147</v>
      </c>
      <c r="L153" s="54"/>
      <c r="M153" s="54"/>
      <c r="N153" s="54"/>
      <c r="O153" s="54"/>
      <c r="P153" s="86"/>
      <c r="Q153" s="54"/>
      <c r="R153" s="249"/>
      <c r="T153" s="275">
        <v>45615.0</v>
      </c>
      <c r="U153" s="71" t="s">
        <v>161</v>
      </c>
      <c r="V153" s="71">
        <v>1762478.0</v>
      </c>
      <c r="W153" s="71">
        <v>265.0</v>
      </c>
      <c r="X153" s="71">
        <v>507.0</v>
      </c>
      <c r="Y153" s="72">
        <v>226.0</v>
      </c>
      <c r="Z153" s="72">
        <v>230.0</v>
      </c>
      <c r="AA153" s="72">
        <v>-4.0</v>
      </c>
      <c r="AB153" s="72">
        <v>86.79</v>
      </c>
      <c r="AC153" s="54"/>
      <c r="AD153" s="54"/>
    </row>
    <row r="154">
      <c r="A154" s="54"/>
      <c r="B154" s="98">
        <v>45524.0</v>
      </c>
      <c r="C154" s="98"/>
      <c r="D154" s="99"/>
      <c r="E154" s="104">
        <v>1909816.0</v>
      </c>
      <c r="F154" s="99">
        <f t="shared" si="19"/>
        <v>760</v>
      </c>
      <c r="G154" s="100">
        <v>487.0</v>
      </c>
      <c r="H154" s="101">
        <v>216.0</v>
      </c>
      <c r="I154" s="101">
        <v>220.0</v>
      </c>
      <c r="J154" s="102">
        <f t="shared" si="17"/>
        <v>-4</v>
      </c>
      <c r="K154" s="103">
        <f t="shared" si="18"/>
        <v>28.94736842</v>
      </c>
      <c r="L154" s="54"/>
      <c r="M154" s="54"/>
      <c r="N154" s="54"/>
      <c r="O154" s="54"/>
      <c r="P154" s="86"/>
      <c r="Q154" s="54"/>
      <c r="R154" s="249"/>
      <c r="T154" s="275">
        <v>45617.0</v>
      </c>
      <c r="U154" s="71" t="s">
        <v>161</v>
      </c>
      <c r="V154" s="71">
        <v>1763763.0</v>
      </c>
      <c r="W154" s="71">
        <v>1285.0</v>
      </c>
      <c r="X154" s="71">
        <v>360.0</v>
      </c>
      <c r="Y154" s="72">
        <v>248.0</v>
      </c>
      <c r="Z154" s="72">
        <v>250.0</v>
      </c>
      <c r="AA154" s="72">
        <v>-2.0</v>
      </c>
      <c r="AB154" s="72">
        <v>19.46</v>
      </c>
      <c r="AC154" s="54"/>
      <c r="AD154" s="54"/>
    </row>
    <row r="155">
      <c r="A155" s="54"/>
      <c r="B155" s="98">
        <v>45525.0</v>
      </c>
      <c r="C155" s="98"/>
      <c r="D155" s="99"/>
      <c r="E155" s="100">
        <v>1910561.0</v>
      </c>
      <c r="F155" s="99">
        <f t="shared" si="19"/>
        <v>745</v>
      </c>
      <c r="G155" s="100">
        <v>488.0</v>
      </c>
      <c r="H155" s="101">
        <v>215.0</v>
      </c>
      <c r="I155" s="101">
        <v>214.79</v>
      </c>
      <c r="J155" s="102">
        <f t="shared" si="17"/>
        <v>0.21</v>
      </c>
      <c r="K155" s="103">
        <f t="shared" si="18"/>
        <v>28.83087248</v>
      </c>
      <c r="L155" s="54"/>
      <c r="M155" s="54"/>
      <c r="N155" s="54"/>
      <c r="O155" s="54"/>
      <c r="P155" s="86"/>
      <c r="Q155" s="54"/>
      <c r="R155" s="249"/>
      <c r="T155" s="275">
        <v>45618.0</v>
      </c>
      <c r="U155" s="71" t="s">
        <v>161</v>
      </c>
      <c r="V155" s="71">
        <v>1764190.0</v>
      </c>
      <c r="W155" s="71">
        <v>427.0</v>
      </c>
      <c r="X155" s="71">
        <v>483.0</v>
      </c>
      <c r="Y155" s="72">
        <v>252.0</v>
      </c>
      <c r="Z155" s="72">
        <v>250.0</v>
      </c>
      <c r="AA155" s="72">
        <v>2.0</v>
      </c>
      <c r="AB155" s="72">
        <v>58.55</v>
      </c>
      <c r="AC155" s="54"/>
      <c r="AD155" s="54"/>
    </row>
    <row r="156">
      <c r="A156" s="54"/>
      <c r="B156" s="98">
        <v>45526.0</v>
      </c>
      <c r="C156" s="98"/>
      <c r="D156" s="99"/>
      <c r="E156" s="100">
        <v>1911321.0</v>
      </c>
      <c r="F156" s="99">
        <f t="shared" si="19"/>
        <v>760</v>
      </c>
      <c r="G156" s="100">
        <v>484.0</v>
      </c>
      <c r="H156" s="101">
        <v>219.0</v>
      </c>
      <c r="I156" s="101">
        <v>220.0</v>
      </c>
      <c r="J156" s="102">
        <f t="shared" si="17"/>
        <v>-1</v>
      </c>
      <c r="K156" s="103">
        <f t="shared" si="18"/>
        <v>28.94736842</v>
      </c>
      <c r="L156" s="54"/>
      <c r="M156" s="54"/>
      <c r="N156" s="54"/>
      <c r="O156" s="54"/>
      <c r="P156" s="86"/>
      <c r="Q156" s="54"/>
      <c r="R156" s="249"/>
      <c r="T156" s="275">
        <v>45619.0</v>
      </c>
      <c r="U156" s="71" t="s">
        <v>161</v>
      </c>
      <c r="V156" s="71">
        <v>1765279.0</v>
      </c>
      <c r="W156" s="71">
        <v>1089.0</v>
      </c>
      <c r="X156" s="71">
        <v>362.0</v>
      </c>
      <c r="Y156" s="72">
        <v>251.0</v>
      </c>
      <c r="Z156" s="72">
        <v>250.0</v>
      </c>
      <c r="AA156" s="72">
        <v>1.0</v>
      </c>
      <c r="AB156" s="72">
        <v>22.96</v>
      </c>
      <c r="AC156" s="54"/>
      <c r="AD156" s="54"/>
    </row>
    <row r="157">
      <c r="A157" s="54"/>
      <c r="B157" s="98">
        <v>45527.0</v>
      </c>
      <c r="C157" s="98"/>
      <c r="D157" s="99"/>
      <c r="E157" s="104">
        <v>1912056.0</v>
      </c>
      <c r="F157" s="99">
        <f t="shared" si="19"/>
        <v>735</v>
      </c>
      <c r="G157" s="100">
        <v>491.0</v>
      </c>
      <c r="H157" s="101">
        <v>219.0</v>
      </c>
      <c r="I157" s="101">
        <v>219.78</v>
      </c>
      <c r="J157" s="102">
        <f t="shared" si="17"/>
        <v>-0.78</v>
      </c>
      <c r="K157" s="103">
        <f t="shared" si="18"/>
        <v>29.90204082</v>
      </c>
      <c r="L157" s="54"/>
      <c r="M157" s="54"/>
      <c r="N157" s="54"/>
      <c r="O157" s="54"/>
      <c r="P157" s="86"/>
      <c r="Q157" s="54"/>
      <c r="R157" s="249"/>
      <c r="T157" s="275">
        <v>45620.0</v>
      </c>
      <c r="U157" s="71" t="s">
        <v>161</v>
      </c>
      <c r="V157" s="71">
        <v>1765709.0</v>
      </c>
      <c r="W157" s="71">
        <v>430.0</v>
      </c>
      <c r="X157" s="71">
        <v>462.0</v>
      </c>
      <c r="Y157" s="72">
        <v>253.0</v>
      </c>
      <c r="Z157" s="72">
        <v>250.0</v>
      </c>
      <c r="AA157" s="72">
        <v>3.0</v>
      </c>
      <c r="AB157" s="72">
        <v>58.14</v>
      </c>
      <c r="AC157" s="54"/>
      <c r="AD157" s="54"/>
    </row>
    <row r="158">
      <c r="A158" s="54"/>
      <c r="B158" s="98">
        <v>45529.0</v>
      </c>
      <c r="C158" s="98"/>
      <c r="D158" s="99"/>
      <c r="E158" s="104">
        <v>1912816.0</v>
      </c>
      <c r="F158" s="99">
        <f t="shared" si="19"/>
        <v>760</v>
      </c>
      <c r="G158" s="100">
        <v>482.0</v>
      </c>
      <c r="H158" s="101">
        <v>213.0</v>
      </c>
      <c r="I158" s="101">
        <v>215.0</v>
      </c>
      <c r="J158" s="102">
        <f t="shared" si="17"/>
        <v>-2</v>
      </c>
      <c r="K158" s="103">
        <f t="shared" si="18"/>
        <v>28.28947368</v>
      </c>
      <c r="L158" s="54"/>
      <c r="M158" s="54"/>
      <c r="N158" s="54"/>
      <c r="O158" s="54"/>
      <c r="P158" s="86"/>
      <c r="Q158" s="54"/>
      <c r="R158" s="249"/>
      <c r="T158" s="275">
        <v>45621.0</v>
      </c>
      <c r="U158" s="71" t="s">
        <v>161</v>
      </c>
      <c r="V158" s="71">
        <v>1766777.0</v>
      </c>
      <c r="W158" s="71">
        <v>1068.0</v>
      </c>
      <c r="X158" s="71">
        <v>361.0</v>
      </c>
      <c r="Y158" s="72">
        <v>253.0</v>
      </c>
      <c r="Z158" s="72">
        <v>250.0</v>
      </c>
      <c r="AA158" s="72">
        <v>3.0</v>
      </c>
      <c r="AB158" s="72">
        <v>23.41</v>
      </c>
      <c r="AC158" s="54"/>
      <c r="AD158" s="54"/>
    </row>
    <row r="159">
      <c r="A159" s="54"/>
      <c r="B159" s="98">
        <v>45530.0</v>
      </c>
      <c r="C159" s="98"/>
      <c r="D159" s="99"/>
      <c r="E159" s="100">
        <v>1913549.0</v>
      </c>
      <c r="F159" s="99">
        <f t="shared" si="19"/>
        <v>733</v>
      </c>
      <c r="G159" s="100">
        <v>491.0</v>
      </c>
      <c r="H159" s="101">
        <v>210.0</v>
      </c>
      <c r="I159" s="178">
        <v>209.78</v>
      </c>
      <c r="J159" s="102">
        <f t="shared" si="17"/>
        <v>0.22</v>
      </c>
      <c r="K159" s="103">
        <f t="shared" si="18"/>
        <v>28.61937244</v>
      </c>
      <c r="L159" s="54"/>
      <c r="M159" s="54"/>
      <c r="N159" s="54"/>
      <c r="O159" s="54"/>
      <c r="P159" s="86"/>
      <c r="Q159" s="54"/>
      <c r="R159" s="249"/>
      <c r="T159" s="275">
        <v>45622.0</v>
      </c>
      <c r="U159" s="71" t="s">
        <v>161</v>
      </c>
      <c r="V159" s="71">
        <v>1767017.0</v>
      </c>
      <c r="W159" s="71">
        <v>240.0</v>
      </c>
      <c r="X159" s="71">
        <v>506.0</v>
      </c>
      <c r="Y159" s="72">
        <v>227.0</v>
      </c>
      <c r="Z159" s="72">
        <v>230.58</v>
      </c>
      <c r="AA159" s="72">
        <v>-3.58</v>
      </c>
      <c r="AB159" s="72">
        <v>96.08</v>
      </c>
      <c r="AC159" s="54"/>
      <c r="AD159" s="54"/>
    </row>
    <row r="160">
      <c r="A160" s="54"/>
      <c r="B160" s="98">
        <v>45531.0</v>
      </c>
      <c r="C160" s="98"/>
      <c r="D160" s="99"/>
      <c r="E160" s="104">
        <v>1914309.0</v>
      </c>
      <c r="F160" s="99">
        <f t="shared" si="19"/>
        <v>760</v>
      </c>
      <c r="G160" s="100">
        <v>486.0</v>
      </c>
      <c r="H160" s="101">
        <v>212.0</v>
      </c>
      <c r="I160" s="101">
        <v>215.0</v>
      </c>
      <c r="J160" s="102">
        <f t="shared" si="17"/>
        <v>-3</v>
      </c>
      <c r="K160" s="103">
        <f t="shared" si="18"/>
        <v>28.28947368</v>
      </c>
      <c r="L160" s="54"/>
      <c r="M160" s="54"/>
      <c r="N160" s="54"/>
      <c r="O160" s="54"/>
      <c r="P160" s="86"/>
      <c r="Q160" s="54"/>
      <c r="R160" s="249"/>
      <c r="T160" s="275">
        <v>45624.0</v>
      </c>
      <c r="U160" s="71" t="s">
        <v>161</v>
      </c>
      <c r="V160" s="71">
        <v>1768220.0</v>
      </c>
      <c r="W160" s="71">
        <v>1203.0</v>
      </c>
      <c r="X160" s="71">
        <v>346.0</v>
      </c>
      <c r="Y160" s="72">
        <v>258.0</v>
      </c>
      <c r="Z160" s="72">
        <v>250.0</v>
      </c>
      <c r="AA160" s="72">
        <v>8.0</v>
      </c>
      <c r="AB160" s="72">
        <v>20.78</v>
      </c>
      <c r="AC160" s="54"/>
      <c r="AD160" s="54"/>
    </row>
    <row r="161">
      <c r="A161" s="54"/>
      <c r="B161" s="98">
        <v>45532.0</v>
      </c>
      <c r="C161" s="98"/>
      <c r="D161" s="99"/>
      <c r="E161" s="104">
        <v>1915043.0</v>
      </c>
      <c r="F161" s="99">
        <f t="shared" si="19"/>
        <v>734</v>
      </c>
      <c r="G161" s="100">
        <v>489.0</v>
      </c>
      <c r="H161" s="101">
        <v>210.0</v>
      </c>
      <c r="I161" s="101">
        <v>209.78</v>
      </c>
      <c r="J161" s="102">
        <f t="shared" si="17"/>
        <v>0.22</v>
      </c>
      <c r="K161" s="103">
        <f t="shared" si="18"/>
        <v>28.58038147</v>
      </c>
      <c r="L161" s="54"/>
      <c r="M161" s="54"/>
      <c r="N161" s="54"/>
      <c r="O161" s="54"/>
      <c r="P161" s="86"/>
      <c r="Q161" s="54"/>
      <c r="R161" s="249"/>
      <c r="T161" s="275">
        <v>45625.0</v>
      </c>
      <c r="U161" s="71" t="s">
        <v>161</v>
      </c>
      <c r="V161" s="71">
        <v>1768758.0</v>
      </c>
      <c r="W161" s="71">
        <v>538.0</v>
      </c>
      <c r="X161" s="71">
        <v>510.0</v>
      </c>
      <c r="Y161" s="72">
        <v>350.0</v>
      </c>
      <c r="Z161" s="72">
        <v>347.18</v>
      </c>
      <c r="AA161" s="72">
        <v>2.82</v>
      </c>
      <c r="AB161" s="72">
        <v>64.53</v>
      </c>
      <c r="AC161" s="54"/>
      <c r="AD161" s="54"/>
    </row>
    <row r="162">
      <c r="A162" s="54"/>
      <c r="B162" s="98">
        <v>45533.0</v>
      </c>
      <c r="C162" s="98"/>
      <c r="D162" s="99"/>
      <c r="E162" s="104">
        <v>1915803.0</v>
      </c>
      <c r="F162" s="99">
        <f t="shared" si="19"/>
        <v>760</v>
      </c>
      <c r="G162" s="100">
        <v>483.0</v>
      </c>
      <c r="H162" s="101">
        <v>214.0</v>
      </c>
      <c r="I162" s="101">
        <v>215.0</v>
      </c>
      <c r="J162" s="102">
        <f t="shared" si="17"/>
        <v>-1</v>
      </c>
      <c r="K162" s="103">
        <f t="shared" si="18"/>
        <v>28.28947368</v>
      </c>
      <c r="L162" s="54"/>
      <c r="M162" s="54"/>
      <c r="N162" s="54"/>
      <c r="O162" s="54"/>
      <c r="P162" s="86"/>
      <c r="Q162" s="54"/>
      <c r="R162" s="249"/>
      <c r="T162" s="275">
        <v>45626.0</v>
      </c>
      <c r="U162" s="71" t="s">
        <v>161</v>
      </c>
      <c r="V162" s="71">
        <v>1770278.0</v>
      </c>
      <c r="W162" s="71">
        <v>1520.0</v>
      </c>
      <c r="X162" s="71">
        <v>503.0</v>
      </c>
      <c r="Y162" s="72">
        <v>478.0</v>
      </c>
      <c r="Z162" s="72">
        <v>481.06</v>
      </c>
      <c r="AA162" s="72">
        <v>-3.06</v>
      </c>
      <c r="AB162" s="72">
        <v>31.65</v>
      </c>
      <c r="AC162" s="54"/>
      <c r="AD162" s="54"/>
    </row>
    <row r="163">
      <c r="A163" s="54"/>
      <c r="B163" s="98">
        <v>45534.0</v>
      </c>
      <c r="C163" s="98"/>
      <c r="D163" s="99"/>
      <c r="E163" s="104">
        <v>1916539.0</v>
      </c>
      <c r="F163" s="99">
        <f t="shared" si="19"/>
        <v>736</v>
      </c>
      <c r="G163" s="100">
        <v>488.0</v>
      </c>
      <c r="H163" s="101">
        <v>205.0</v>
      </c>
      <c r="I163" s="101">
        <v>209.51</v>
      </c>
      <c r="J163" s="102">
        <f t="shared" si="17"/>
        <v>-4.51</v>
      </c>
      <c r="K163" s="103">
        <f t="shared" si="18"/>
        <v>28.46603261</v>
      </c>
      <c r="L163" s="54"/>
      <c r="M163" s="54"/>
      <c r="N163" s="54"/>
      <c r="O163" s="54"/>
      <c r="P163" s="86"/>
      <c r="Q163" s="54"/>
      <c r="R163" s="249"/>
      <c r="T163" s="66"/>
      <c r="U163" s="66"/>
      <c r="V163" s="66"/>
      <c r="W163" s="66"/>
      <c r="X163" s="67" t="s">
        <v>98</v>
      </c>
      <c r="Y163" s="66"/>
      <c r="Z163" s="66"/>
      <c r="AA163" s="66"/>
      <c r="AB163" s="242"/>
      <c r="AC163" s="54"/>
      <c r="AD163" s="54"/>
    </row>
    <row r="164">
      <c r="A164" s="68"/>
      <c r="B164" s="203" t="str">
        <f>IF(L164=4,"АПРЕЛЬ",IF(L164=5,"МАЙ",IF(L164=1,"ЯНВАРЬ",IF(L164=2,"ФЕВРАЛЬ",IF(L164=3,"МАРТ",IF(L164=6,"ИЮНЬ",IF(L164=7,"ИЮЛЬ",IF(L164=8,"АВГУСТ",IF(L164=9,"СЕНТЯБРЬ",IF(L164=10,"ОКТЯБРЬ",IF(L164=11,"НОЯБРЬ",IF(L164=12,"ДЕКАБРЬ"))))))))))))</f>
        <v>СЕНТЯБРЬ</v>
      </c>
      <c r="J164" s="88"/>
      <c r="K164" s="88"/>
      <c r="L164" s="91">
        <f>MONTH(B165)</f>
        <v>9</v>
      </c>
      <c r="M164" s="66"/>
      <c r="N164" s="66"/>
      <c r="O164" s="66"/>
      <c r="P164" s="113"/>
      <c r="Q164" s="66"/>
      <c r="R164" s="249"/>
      <c r="T164" s="70">
        <v>45628.0</v>
      </c>
      <c r="U164" s="260" t="s">
        <v>161</v>
      </c>
      <c r="V164" s="260">
        <v>1771566.0</v>
      </c>
      <c r="W164" s="260">
        <v>1288.0</v>
      </c>
      <c r="X164" s="260">
        <v>351.0</v>
      </c>
      <c r="Y164" s="261">
        <v>248.0</v>
      </c>
      <c r="Z164" s="261">
        <v>250.0</v>
      </c>
      <c r="AA164" s="261">
        <v>-2.0</v>
      </c>
      <c r="AB164" s="72">
        <v>19.41</v>
      </c>
      <c r="AC164" s="54"/>
      <c r="AD164" s="54"/>
    </row>
    <row r="165">
      <c r="A165" s="54"/>
      <c r="B165" s="98">
        <v>45536.0</v>
      </c>
      <c r="C165" s="98"/>
      <c r="D165" s="282"/>
      <c r="E165" s="283">
        <v>1917480.0</v>
      </c>
      <c r="F165" s="283">
        <f>E165-E163</f>
        <v>941</v>
      </c>
      <c r="G165" s="283">
        <v>490.0</v>
      </c>
      <c r="H165" s="148">
        <v>273.0</v>
      </c>
      <c r="I165" s="148">
        <v>280.0</v>
      </c>
      <c r="J165" s="148">
        <f t="shared" ref="J165:J190" si="20">H165-I165</f>
        <v>-7</v>
      </c>
      <c r="K165" s="284">
        <f t="shared" ref="K165:K190" si="21">I165/F165*100</f>
        <v>29.75557917</v>
      </c>
      <c r="L165" s="54"/>
      <c r="M165" s="82" t="str">
        <f>"тотал"&amp;" "&amp;B164</f>
        <v>тотал СЕНТЯБРЬ</v>
      </c>
      <c r="N165" s="75"/>
      <c r="O165" s="76"/>
      <c r="P165" s="86"/>
      <c r="Q165" s="54"/>
      <c r="R165" s="249"/>
      <c r="T165" s="262">
        <v>45630.0</v>
      </c>
      <c r="U165" s="263" t="s">
        <v>161</v>
      </c>
      <c r="V165" s="263">
        <v>1772065.0</v>
      </c>
      <c r="W165" s="263">
        <v>499.0</v>
      </c>
      <c r="X165" s="263">
        <v>420.0</v>
      </c>
      <c r="Y165" s="264">
        <v>251.0</v>
      </c>
      <c r="Z165" s="264">
        <v>250.0</v>
      </c>
      <c r="AA165" s="264">
        <v>1.0</v>
      </c>
      <c r="AB165" s="72">
        <v>50.1</v>
      </c>
      <c r="AC165" s="54"/>
      <c r="AD165" s="54"/>
    </row>
    <row r="166">
      <c r="A166" s="54"/>
      <c r="B166" s="98">
        <v>45537.0</v>
      </c>
      <c r="C166" s="98"/>
      <c r="D166" s="282"/>
      <c r="E166" s="283">
        <v>1918214.0</v>
      </c>
      <c r="F166" s="283">
        <f t="shared" ref="F166:F190" si="22">E166-E165</f>
        <v>734</v>
      </c>
      <c r="G166" s="283">
        <v>487.0</v>
      </c>
      <c r="H166" s="148">
        <v>203.0</v>
      </c>
      <c r="I166" s="148">
        <v>204.79</v>
      </c>
      <c r="J166" s="148">
        <f t="shared" si="20"/>
        <v>-1.79</v>
      </c>
      <c r="K166" s="284">
        <f t="shared" si="21"/>
        <v>27.90054496</v>
      </c>
      <c r="L166" s="54"/>
      <c r="M166" s="83" t="s">
        <v>70</v>
      </c>
      <c r="N166" s="83" t="s">
        <v>71</v>
      </c>
      <c r="O166" s="83" t="s">
        <v>27</v>
      </c>
      <c r="P166" s="86"/>
      <c r="Q166" s="54"/>
      <c r="R166" s="249"/>
      <c r="T166" s="262">
        <v>45631.0</v>
      </c>
      <c r="U166" s="263" t="s">
        <v>161</v>
      </c>
      <c r="V166" s="263">
        <v>1773377.0</v>
      </c>
      <c r="W166" s="263">
        <v>1312.0</v>
      </c>
      <c r="X166" s="263">
        <v>510.0</v>
      </c>
      <c r="Y166" s="264">
        <v>503.0</v>
      </c>
      <c r="Z166" s="264">
        <v>496.71</v>
      </c>
      <c r="AA166" s="264">
        <v>6.29</v>
      </c>
      <c r="AB166" s="72">
        <v>37.86</v>
      </c>
      <c r="AC166" s="54"/>
      <c r="AD166" s="54"/>
    </row>
    <row r="167">
      <c r="A167" s="54"/>
      <c r="B167" s="98">
        <v>45538.0</v>
      </c>
      <c r="C167" s="98"/>
      <c r="D167" s="99"/>
      <c r="E167" s="100">
        <v>1918974.0</v>
      </c>
      <c r="F167" s="283">
        <f t="shared" si="22"/>
        <v>760</v>
      </c>
      <c r="G167" s="100">
        <v>481.0</v>
      </c>
      <c r="H167" s="101">
        <v>206.0</v>
      </c>
      <c r="I167" s="101">
        <v>210.0</v>
      </c>
      <c r="J167" s="148">
        <f t="shared" si="20"/>
        <v>-4</v>
      </c>
      <c r="K167" s="284">
        <f t="shared" si="21"/>
        <v>27.63157895</v>
      </c>
      <c r="L167" s="54"/>
      <c r="M167" s="84">
        <f>SUM(F165:F190)</f>
        <v>19633</v>
      </c>
      <c r="N167" s="84">
        <f>SUM(I165:I190)</f>
        <v>5632.19</v>
      </c>
      <c r="O167" s="85">
        <f>N167/M167*100</f>
        <v>28.68736311</v>
      </c>
      <c r="P167" s="86"/>
      <c r="Q167" s="54"/>
      <c r="R167" s="249"/>
      <c r="T167" s="262">
        <v>45633.0</v>
      </c>
      <c r="U167" s="263" t="s">
        <v>161</v>
      </c>
      <c r="V167" s="263">
        <v>1774912.0</v>
      </c>
      <c r="W167" s="263">
        <v>1535.0</v>
      </c>
      <c r="X167" s="263">
        <v>510.0</v>
      </c>
      <c r="Y167" s="264">
        <v>526.0</v>
      </c>
      <c r="Z167" s="264">
        <v>523.27</v>
      </c>
      <c r="AA167" s="264">
        <v>2.73</v>
      </c>
      <c r="AB167" s="72">
        <v>34.09</v>
      </c>
      <c r="AC167" s="54"/>
      <c r="AD167" s="54"/>
    </row>
    <row r="168">
      <c r="A168" s="54"/>
      <c r="B168" s="98">
        <v>45539.0</v>
      </c>
      <c r="C168" s="98"/>
      <c r="D168" s="99"/>
      <c r="E168" s="100">
        <v>1919708.0</v>
      </c>
      <c r="F168" s="283">
        <f t="shared" si="22"/>
        <v>734</v>
      </c>
      <c r="G168" s="100">
        <v>488.0</v>
      </c>
      <c r="H168" s="101">
        <v>208.0</v>
      </c>
      <c r="I168" s="101">
        <v>209.78</v>
      </c>
      <c r="J168" s="148">
        <f t="shared" si="20"/>
        <v>-1.78</v>
      </c>
      <c r="K168" s="284">
        <f t="shared" si="21"/>
        <v>28.58038147</v>
      </c>
      <c r="L168" s="54"/>
      <c r="M168" s="54"/>
      <c r="N168" s="54"/>
      <c r="O168" s="54"/>
      <c r="P168" s="86"/>
      <c r="Q168" s="54"/>
      <c r="R168" s="249"/>
      <c r="T168" s="262">
        <v>45635.0</v>
      </c>
      <c r="U168" s="263" t="s">
        <v>161</v>
      </c>
      <c r="V168" s="263">
        <v>1776112.0</v>
      </c>
      <c r="W168" s="263">
        <v>1200.0</v>
      </c>
      <c r="X168" s="263">
        <v>337.0</v>
      </c>
      <c r="Y168" s="264">
        <v>249.0</v>
      </c>
      <c r="Z168" s="264">
        <v>250.0</v>
      </c>
      <c r="AA168" s="264">
        <v>-1.0</v>
      </c>
      <c r="AB168" s="72">
        <v>20.83</v>
      </c>
      <c r="AC168" s="54"/>
      <c r="AD168" s="54"/>
    </row>
    <row r="169">
      <c r="A169" s="54"/>
      <c r="B169" s="98">
        <v>45540.0</v>
      </c>
      <c r="C169" s="98"/>
      <c r="D169" s="99"/>
      <c r="E169" s="104">
        <v>1920468.0</v>
      </c>
      <c r="F169" s="283">
        <f t="shared" si="22"/>
        <v>760</v>
      </c>
      <c r="G169" s="100">
        <v>477.0</v>
      </c>
      <c r="H169" s="101">
        <v>209.0</v>
      </c>
      <c r="I169" s="101">
        <v>210.0</v>
      </c>
      <c r="J169" s="148">
        <f t="shared" si="20"/>
        <v>-1</v>
      </c>
      <c r="K169" s="284">
        <f t="shared" si="21"/>
        <v>27.63157895</v>
      </c>
      <c r="L169" s="54"/>
      <c r="M169" s="54"/>
      <c r="N169" s="54"/>
      <c r="O169" s="54"/>
      <c r="P169" s="86"/>
      <c r="Q169" s="54"/>
      <c r="R169" s="249"/>
      <c r="T169" s="285">
        <v>45636.0</v>
      </c>
      <c r="U169" s="263" t="s">
        <v>161</v>
      </c>
      <c r="V169" s="263">
        <v>1776645.0</v>
      </c>
      <c r="W169" s="263">
        <v>533.0</v>
      </c>
      <c r="X169" s="263">
        <v>510.0</v>
      </c>
      <c r="Y169" s="264">
        <v>346.0</v>
      </c>
      <c r="Z169" s="264">
        <v>346.4</v>
      </c>
      <c r="AA169" s="264">
        <v>-0.4</v>
      </c>
      <c r="AB169" s="72">
        <v>64.99</v>
      </c>
      <c r="AC169" s="54"/>
      <c r="AD169" s="54"/>
    </row>
    <row r="170">
      <c r="A170" s="54"/>
      <c r="B170" s="98">
        <v>45541.0</v>
      </c>
      <c r="C170" s="98"/>
      <c r="D170" s="99"/>
      <c r="E170" s="100">
        <v>1921203.0</v>
      </c>
      <c r="F170" s="283">
        <f t="shared" si="22"/>
        <v>735</v>
      </c>
      <c r="G170" s="100">
        <v>494.0</v>
      </c>
      <c r="H170" s="101">
        <v>224.0</v>
      </c>
      <c r="I170" s="101">
        <v>219.78</v>
      </c>
      <c r="J170" s="148">
        <f t="shared" si="20"/>
        <v>4.22</v>
      </c>
      <c r="K170" s="284">
        <f t="shared" si="21"/>
        <v>29.90204082</v>
      </c>
      <c r="L170" s="54"/>
      <c r="M170" s="54"/>
      <c r="N170" s="54"/>
      <c r="O170" s="54"/>
      <c r="P170" s="86"/>
      <c r="Q170" s="54"/>
      <c r="R170" s="249"/>
      <c r="T170" s="285">
        <v>45638.0</v>
      </c>
      <c r="U170" s="263" t="s">
        <v>161</v>
      </c>
      <c r="V170" s="263">
        <v>1778185.0</v>
      </c>
      <c r="W170" s="263">
        <v>1540.0</v>
      </c>
      <c r="X170" s="263">
        <v>510.0</v>
      </c>
      <c r="Y170" s="264">
        <v>531.0</v>
      </c>
      <c r="Z170" s="264">
        <v>525.08</v>
      </c>
      <c r="AA170" s="264">
        <v>5.92</v>
      </c>
      <c r="AB170" s="72">
        <v>34.1</v>
      </c>
      <c r="AC170" s="54"/>
      <c r="AD170" s="54"/>
    </row>
    <row r="171">
      <c r="A171" s="54"/>
      <c r="B171" s="98">
        <v>45543.0</v>
      </c>
      <c r="C171" s="98"/>
      <c r="D171" s="99"/>
      <c r="E171" s="104">
        <v>1921963.0</v>
      </c>
      <c r="F171" s="283">
        <f t="shared" si="22"/>
        <v>760</v>
      </c>
      <c r="G171" s="100">
        <v>477.0</v>
      </c>
      <c r="H171" s="101">
        <v>204.0</v>
      </c>
      <c r="I171" s="101">
        <v>210.0</v>
      </c>
      <c r="J171" s="148">
        <f t="shared" si="20"/>
        <v>-6</v>
      </c>
      <c r="K171" s="284">
        <f t="shared" si="21"/>
        <v>27.63157895</v>
      </c>
      <c r="L171" s="54"/>
      <c r="M171" s="54"/>
      <c r="N171" s="54"/>
      <c r="O171" s="54"/>
      <c r="P171" s="86"/>
      <c r="Q171" s="54"/>
      <c r="R171" s="249"/>
      <c r="T171" s="285">
        <v>45642.0</v>
      </c>
      <c r="U171" s="263" t="s">
        <v>161</v>
      </c>
      <c r="V171" s="263">
        <v>1781001.0</v>
      </c>
      <c r="W171" s="263">
        <v>1280.0</v>
      </c>
      <c r="X171" s="263">
        <v>420.0</v>
      </c>
      <c r="Y171" s="264">
        <v>315.0</v>
      </c>
      <c r="Z171" s="264">
        <v>300.0</v>
      </c>
      <c r="AA171" s="264">
        <v>15.0</v>
      </c>
      <c r="AB171" s="72">
        <v>23.44</v>
      </c>
      <c r="AC171" s="54"/>
      <c r="AD171" s="54"/>
    </row>
    <row r="172">
      <c r="A172" s="54"/>
      <c r="B172" s="98">
        <v>45544.0</v>
      </c>
      <c r="C172" s="98"/>
      <c r="D172" s="99"/>
      <c r="E172" s="100">
        <v>1922698.0</v>
      </c>
      <c r="F172" s="283">
        <f t="shared" si="22"/>
        <v>735</v>
      </c>
      <c r="G172" s="100">
        <v>487.0</v>
      </c>
      <c r="H172" s="101">
        <v>219.0</v>
      </c>
      <c r="I172" s="101">
        <v>219.78</v>
      </c>
      <c r="J172" s="148">
        <f t="shared" si="20"/>
        <v>-0.78</v>
      </c>
      <c r="K172" s="284">
        <f t="shared" si="21"/>
        <v>29.90204082</v>
      </c>
      <c r="L172" s="54"/>
      <c r="M172" s="54"/>
      <c r="N172" s="54"/>
      <c r="O172" s="54"/>
      <c r="P172" s="86"/>
      <c r="Q172" s="54"/>
      <c r="R172" s="249"/>
      <c r="T172" s="285">
        <v>45643.0</v>
      </c>
      <c r="U172" s="263" t="s">
        <v>161</v>
      </c>
      <c r="V172" s="263">
        <v>1781262.0</v>
      </c>
      <c r="W172" s="263">
        <v>261.0</v>
      </c>
      <c r="X172" s="263">
        <v>510.0</v>
      </c>
      <c r="Y172" s="264">
        <v>177.0</v>
      </c>
      <c r="Z172" s="264">
        <v>186.03</v>
      </c>
      <c r="AA172" s="264">
        <v>-9.03</v>
      </c>
      <c r="AB172" s="72">
        <v>71.28</v>
      </c>
      <c r="AC172" s="54"/>
      <c r="AD172" s="54"/>
    </row>
    <row r="173">
      <c r="A173" s="54"/>
      <c r="B173" s="98">
        <v>45545.0</v>
      </c>
      <c r="C173" s="98"/>
      <c r="D173" s="99"/>
      <c r="E173" s="100">
        <v>1923460.0</v>
      </c>
      <c r="F173" s="283">
        <f t="shared" si="22"/>
        <v>762</v>
      </c>
      <c r="G173" s="100">
        <v>478.0</v>
      </c>
      <c r="H173" s="101">
        <v>209.0</v>
      </c>
      <c r="I173" s="101">
        <v>210.0</v>
      </c>
      <c r="J173" s="148">
        <f t="shared" si="20"/>
        <v>-1</v>
      </c>
      <c r="K173" s="284">
        <f t="shared" si="21"/>
        <v>27.55905512</v>
      </c>
      <c r="L173" s="54"/>
      <c r="M173" s="54"/>
      <c r="N173" s="54"/>
      <c r="O173" s="54"/>
      <c r="P173" s="86"/>
      <c r="Q173" s="54"/>
      <c r="R173" s="249"/>
      <c r="T173" s="285">
        <v>45645.0</v>
      </c>
      <c r="U173" s="263" t="s">
        <v>161</v>
      </c>
      <c r="V173" s="263">
        <v>1782833.0</v>
      </c>
      <c r="W173" s="263">
        <v>1571.0</v>
      </c>
      <c r="X173" s="263">
        <v>502.0</v>
      </c>
      <c r="Y173" s="264">
        <v>538.0</v>
      </c>
      <c r="Z173" s="264">
        <v>528.56</v>
      </c>
      <c r="AA173" s="264">
        <v>9.44</v>
      </c>
      <c r="AB173" s="72">
        <v>33.64</v>
      </c>
      <c r="AC173" s="54"/>
      <c r="AD173" s="54"/>
    </row>
    <row r="174">
      <c r="A174" s="54"/>
      <c r="B174" s="98">
        <v>45546.0</v>
      </c>
      <c r="C174" s="98"/>
      <c r="D174" s="99"/>
      <c r="E174" s="104">
        <v>1924199.0</v>
      </c>
      <c r="F174" s="283">
        <f t="shared" si="22"/>
        <v>739</v>
      </c>
      <c r="G174" s="100">
        <v>486.0</v>
      </c>
      <c r="H174" s="101">
        <v>212.0</v>
      </c>
      <c r="I174" s="101">
        <v>214.78</v>
      </c>
      <c r="J174" s="148">
        <f t="shared" si="20"/>
        <v>-2.78</v>
      </c>
      <c r="K174" s="284">
        <f t="shared" si="21"/>
        <v>29.06359946</v>
      </c>
      <c r="L174" s="54"/>
      <c r="M174" s="54"/>
      <c r="N174" s="54"/>
      <c r="O174" s="54"/>
      <c r="P174" s="86"/>
      <c r="Q174" s="54"/>
      <c r="R174" s="249"/>
      <c r="T174" s="285">
        <v>45647.0</v>
      </c>
      <c r="U174" s="263" t="s">
        <v>161</v>
      </c>
      <c r="V174" s="263">
        <v>1784338.0</v>
      </c>
      <c r="W174" s="263">
        <v>1505.0</v>
      </c>
      <c r="X174" s="263">
        <v>502.0</v>
      </c>
      <c r="Y174" s="264">
        <v>395.0</v>
      </c>
      <c r="Z174" s="264">
        <v>395.59</v>
      </c>
      <c r="AA174" s="264">
        <v>-0.59</v>
      </c>
      <c r="AB174" s="72">
        <v>26.29</v>
      </c>
      <c r="AC174" s="54"/>
      <c r="AD174" s="54"/>
    </row>
    <row r="175">
      <c r="A175" s="54"/>
      <c r="B175" s="98">
        <v>45547.0</v>
      </c>
      <c r="C175" s="98"/>
      <c r="D175" s="99"/>
      <c r="E175" s="100">
        <v>1924959.0</v>
      </c>
      <c r="F175" s="283">
        <f t="shared" si="22"/>
        <v>760</v>
      </c>
      <c r="G175" s="100">
        <v>476.0</v>
      </c>
      <c r="H175" s="101">
        <v>209.0</v>
      </c>
      <c r="I175" s="101">
        <v>210.0</v>
      </c>
      <c r="J175" s="148">
        <f t="shared" si="20"/>
        <v>-1</v>
      </c>
      <c r="K175" s="284">
        <f t="shared" si="21"/>
        <v>27.63157895</v>
      </c>
      <c r="L175" s="54"/>
      <c r="M175" s="54"/>
      <c r="N175" s="54"/>
      <c r="O175" s="54"/>
      <c r="P175" s="86"/>
      <c r="Q175" s="54"/>
      <c r="R175" s="249"/>
      <c r="T175" s="285">
        <v>45649.0</v>
      </c>
      <c r="U175" s="263" t="s">
        <v>161</v>
      </c>
      <c r="V175" s="263">
        <v>1785562.0</v>
      </c>
      <c r="W175" s="263">
        <v>1224.0</v>
      </c>
      <c r="X175" s="263">
        <v>407.0</v>
      </c>
      <c r="Y175" s="264">
        <v>301.0</v>
      </c>
      <c r="Z175" s="264">
        <v>300.0</v>
      </c>
      <c r="AA175" s="264">
        <v>1.0</v>
      </c>
      <c r="AB175" s="72">
        <v>24.51</v>
      </c>
      <c r="AC175" s="54"/>
      <c r="AD175" s="54"/>
    </row>
    <row r="176">
      <c r="A176" s="54"/>
      <c r="B176" s="98">
        <v>45548.0</v>
      </c>
      <c r="C176" s="98"/>
      <c r="D176" s="99"/>
      <c r="E176" s="100">
        <v>1925693.0</v>
      </c>
      <c r="F176" s="283">
        <f t="shared" si="22"/>
        <v>734</v>
      </c>
      <c r="G176" s="100">
        <v>488.0</v>
      </c>
      <c r="H176" s="101">
        <v>209.0</v>
      </c>
      <c r="I176" s="101">
        <v>209.78</v>
      </c>
      <c r="J176" s="148">
        <f t="shared" si="20"/>
        <v>-0.78</v>
      </c>
      <c r="K176" s="284">
        <f t="shared" si="21"/>
        <v>28.58038147</v>
      </c>
      <c r="L176" s="54"/>
      <c r="M176" s="54"/>
      <c r="N176" s="54"/>
      <c r="O176" s="54"/>
      <c r="P176" s="86"/>
      <c r="Q176" s="54"/>
      <c r="R176" s="249"/>
      <c r="T176" s="285">
        <v>45651.0</v>
      </c>
      <c r="U176" s="263" t="s">
        <v>161</v>
      </c>
      <c r="V176" s="263">
        <v>1786001.0</v>
      </c>
      <c r="W176" s="263">
        <v>439.0</v>
      </c>
      <c r="X176" s="263">
        <v>500.0</v>
      </c>
      <c r="Y176" s="264">
        <v>210.0</v>
      </c>
      <c r="Z176" s="264">
        <v>216.55</v>
      </c>
      <c r="AA176" s="264">
        <v>-6.55</v>
      </c>
      <c r="AB176" s="72">
        <v>49.33</v>
      </c>
      <c r="AC176" s="54"/>
      <c r="AD176" s="54"/>
    </row>
    <row r="177">
      <c r="A177" s="54"/>
      <c r="B177" s="98">
        <v>45550.0</v>
      </c>
      <c r="C177" s="98"/>
      <c r="D177" s="99"/>
      <c r="E177" s="100">
        <v>1926453.0</v>
      </c>
      <c r="F177" s="283">
        <f t="shared" si="22"/>
        <v>760</v>
      </c>
      <c r="G177" s="100">
        <v>479.0</v>
      </c>
      <c r="H177" s="101">
        <v>207.0</v>
      </c>
      <c r="I177" s="101">
        <v>210.0</v>
      </c>
      <c r="J177" s="148">
        <f t="shared" si="20"/>
        <v>-3</v>
      </c>
      <c r="K177" s="284">
        <f t="shared" si="21"/>
        <v>27.63157895</v>
      </c>
      <c r="L177" s="54"/>
      <c r="M177" s="54"/>
      <c r="N177" s="54"/>
      <c r="O177" s="54"/>
      <c r="P177" s="86"/>
      <c r="Q177" s="54"/>
      <c r="R177" s="249"/>
      <c r="T177" s="285">
        <v>45653.0</v>
      </c>
      <c r="U177" s="263" t="s">
        <v>161</v>
      </c>
      <c r="V177" s="263">
        <v>1786185.0</v>
      </c>
      <c r="W177" s="263">
        <v>184.0</v>
      </c>
      <c r="X177" s="263">
        <v>501.0</v>
      </c>
      <c r="Y177" s="264">
        <v>149.0</v>
      </c>
      <c r="Z177" s="264">
        <v>145.0</v>
      </c>
      <c r="AA177" s="264">
        <v>4.0</v>
      </c>
      <c r="AB177" s="72">
        <v>78.8</v>
      </c>
      <c r="AC177" s="54"/>
      <c r="AD177" s="54"/>
    </row>
    <row r="178">
      <c r="A178" s="54"/>
      <c r="B178" s="98">
        <v>45551.0</v>
      </c>
      <c r="C178" s="98"/>
      <c r="D178" s="99"/>
      <c r="E178" s="100">
        <v>1927189.0</v>
      </c>
      <c r="F178" s="283">
        <f t="shared" si="22"/>
        <v>736</v>
      </c>
      <c r="G178" s="100">
        <v>489.0</v>
      </c>
      <c r="H178" s="101">
        <v>217.0</v>
      </c>
      <c r="I178" s="101">
        <v>219.78</v>
      </c>
      <c r="J178" s="148">
        <f t="shared" si="20"/>
        <v>-2.78</v>
      </c>
      <c r="K178" s="284">
        <f t="shared" si="21"/>
        <v>29.86141304</v>
      </c>
      <c r="L178" s="54"/>
      <c r="M178" s="54"/>
      <c r="N178" s="54"/>
      <c r="O178" s="54"/>
      <c r="P178" s="86"/>
      <c r="Q178" s="54"/>
      <c r="R178" s="249"/>
      <c r="T178" s="285">
        <v>45654.0</v>
      </c>
      <c r="U178" s="263" t="s">
        <v>161</v>
      </c>
      <c r="V178" s="263">
        <v>1787716.0</v>
      </c>
      <c r="W178" s="263">
        <v>1531.0</v>
      </c>
      <c r="X178" s="263">
        <v>505.0</v>
      </c>
      <c r="Y178" s="264">
        <v>420.0</v>
      </c>
      <c r="Z178" s="264">
        <v>422.23</v>
      </c>
      <c r="AA178" s="264">
        <v>-2.23</v>
      </c>
      <c r="AB178" s="72">
        <v>27.58</v>
      </c>
      <c r="AC178" s="54"/>
      <c r="AD178" s="54"/>
    </row>
    <row r="179">
      <c r="A179" s="54"/>
      <c r="B179" s="98">
        <v>45552.0</v>
      </c>
      <c r="C179" s="98"/>
      <c r="D179" s="99"/>
      <c r="E179" s="100">
        <v>1927950.0</v>
      </c>
      <c r="F179" s="283">
        <f t="shared" si="22"/>
        <v>761</v>
      </c>
      <c r="G179" s="100">
        <v>477.0</v>
      </c>
      <c r="H179" s="101">
        <v>210.0</v>
      </c>
      <c r="I179" s="101">
        <v>210.0</v>
      </c>
      <c r="J179" s="148">
        <f t="shared" si="20"/>
        <v>0</v>
      </c>
      <c r="K179" s="284">
        <f t="shared" si="21"/>
        <v>27.59526938</v>
      </c>
      <c r="L179" s="54"/>
      <c r="M179" s="54"/>
      <c r="N179" s="54"/>
      <c r="O179" s="54"/>
      <c r="P179" s="86"/>
      <c r="Q179" s="54"/>
      <c r="R179" s="249"/>
      <c r="T179" s="285">
        <v>45656.0</v>
      </c>
      <c r="U179" s="263" t="s">
        <v>161</v>
      </c>
      <c r="V179" s="263">
        <v>1788909.0</v>
      </c>
      <c r="W179" s="263">
        <v>1193.0</v>
      </c>
      <c r="X179" s="263">
        <v>486.0</v>
      </c>
      <c r="Y179" s="264">
        <v>496.0</v>
      </c>
      <c r="Z179" s="264">
        <v>485.0</v>
      </c>
      <c r="AA179" s="264">
        <v>11.0</v>
      </c>
      <c r="AB179" s="72">
        <v>40.65</v>
      </c>
      <c r="AC179" s="54"/>
      <c r="AD179" s="54"/>
    </row>
    <row r="180">
      <c r="A180" s="54"/>
      <c r="B180" s="98">
        <v>45553.0</v>
      </c>
      <c r="C180" s="98"/>
      <c r="D180" s="99"/>
      <c r="E180" s="104">
        <v>1928684.0</v>
      </c>
      <c r="F180" s="283">
        <f t="shared" si="22"/>
        <v>734</v>
      </c>
      <c r="G180" s="100">
        <v>483.0</v>
      </c>
      <c r="H180" s="101">
        <v>217.0</v>
      </c>
      <c r="I180" s="101">
        <v>219.78</v>
      </c>
      <c r="J180" s="148">
        <f t="shared" si="20"/>
        <v>-2.78</v>
      </c>
      <c r="K180" s="284">
        <f t="shared" si="21"/>
        <v>29.94277929</v>
      </c>
      <c r="L180" s="54"/>
      <c r="M180" s="54"/>
      <c r="N180" s="54"/>
      <c r="O180" s="54"/>
      <c r="P180" s="86"/>
      <c r="Q180" s="54"/>
      <c r="R180" s="249"/>
      <c r="T180" s="285">
        <v>45656.0</v>
      </c>
      <c r="U180" s="263" t="s">
        <v>161</v>
      </c>
      <c r="V180" s="263">
        <v>1789170.0</v>
      </c>
      <c r="W180" s="263"/>
      <c r="X180" s="263" t="s">
        <v>265</v>
      </c>
      <c r="Y180" s="286"/>
      <c r="Z180" s="264"/>
      <c r="AA180" s="264">
        <v>-10.0</v>
      </c>
      <c r="AB180" s="72">
        <v>3.83</v>
      </c>
      <c r="AC180" s="54"/>
      <c r="AD180" s="54"/>
    </row>
    <row r="181">
      <c r="A181" s="54"/>
      <c r="B181" s="98">
        <v>45554.0</v>
      </c>
      <c r="C181" s="98"/>
      <c r="D181" s="99"/>
      <c r="E181" s="100">
        <v>1929445.0</v>
      </c>
      <c r="F181" s="283">
        <f t="shared" si="22"/>
        <v>761</v>
      </c>
      <c r="G181" s="100">
        <v>262.0</v>
      </c>
      <c r="H181" s="101">
        <v>214.0</v>
      </c>
      <c r="I181" s="101">
        <v>215.0</v>
      </c>
      <c r="J181" s="148">
        <f t="shared" si="20"/>
        <v>-1</v>
      </c>
      <c r="K181" s="284">
        <f t="shared" si="21"/>
        <v>28.25229961</v>
      </c>
      <c r="L181" s="54"/>
      <c r="M181" s="54"/>
      <c r="N181" s="54"/>
      <c r="O181" s="54"/>
      <c r="P181" s="86"/>
      <c r="Q181" s="54"/>
      <c r="R181" s="249"/>
      <c r="T181" s="54"/>
      <c r="U181" s="54"/>
      <c r="V181" s="54"/>
      <c r="W181" s="54"/>
      <c r="X181" s="54"/>
      <c r="Y181" s="54"/>
      <c r="Z181" s="54"/>
      <c r="AA181" s="54"/>
      <c r="AB181" s="287"/>
      <c r="AC181" s="54"/>
      <c r="AD181" s="54"/>
    </row>
    <row r="182">
      <c r="A182" s="54"/>
      <c r="B182" s="98">
        <v>45555.0</v>
      </c>
      <c r="C182" s="98"/>
      <c r="D182" s="99"/>
      <c r="E182" s="104">
        <v>1930180.0</v>
      </c>
      <c r="F182" s="283">
        <f t="shared" si="22"/>
        <v>735</v>
      </c>
      <c r="G182" s="100">
        <v>266.0</v>
      </c>
      <c r="H182" s="101">
        <v>221.0</v>
      </c>
      <c r="I182" s="101">
        <v>219.78</v>
      </c>
      <c r="J182" s="148">
        <f t="shared" si="20"/>
        <v>1.22</v>
      </c>
      <c r="K182" s="284">
        <f t="shared" si="21"/>
        <v>29.90204082</v>
      </c>
      <c r="L182" s="54"/>
      <c r="M182" s="54"/>
      <c r="N182" s="54"/>
      <c r="O182" s="54"/>
      <c r="P182" s="86"/>
      <c r="Q182" s="54"/>
      <c r="R182" s="249"/>
      <c r="T182" s="54"/>
      <c r="U182" s="54"/>
      <c r="V182" s="54"/>
      <c r="W182" s="54"/>
      <c r="X182" s="54"/>
      <c r="Y182" s="54"/>
      <c r="Z182" s="54"/>
      <c r="AA182" s="54"/>
      <c r="AB182" s="287"/>
      <c r="AC182" s="54"/>
      <c r="AD182" s="54"/>
    </row>
    <row r="183">
      <c r="A183" s="54"/>
      <c r="B183" s="98">
        <v>45557.0</v>
      </c>
      <c r="C183" s="98"/>
      <c r="D183" s="99"/>
      <c r="E183" s="100">
        <v>1930942.0</v>
      </c>
      <c r="F183" s="283">
        <f t="shared" si="22"/>
        <v>762</v>
      </c>
      <c r="G183" s="100">
        <v>274.0</v>
      </c>
      <c r="H183" s="101">
        <v>208.0</v>
      </c>
      <c r="I183" s="101">
        <v>210.0</v>
      </c>
      <c r="J183" s="148">
        <f t="shared" si="20"/>
        <v>-2</v>
      </c>
      <c r="K183" s="284">
        <f t="shared" si="21"/>
        <v>27.55905512</v>
      </c>
      <c r="L183" s="54"/>
      <c r="M183" s="54"/>
      <c r="N183" s="54"/>
      <c r="O183" s="54"/>
      <c r="P183" s="86"/>
      <c r="Q183" s="54"/>
      <c r="R183" s="249"/>
      <c r="T183" s="54"/>
      <c r="U183" s="54"/>
      <c r="V183" s="54"/>
      <c r="W183" s="54"/>
      <c r="X183" s="54"/>
      <c r="Y183" s="54"/>
      <c r="Z183" s="54"/>
      <c r="AA183" s="54"/>
      <c r="AB183" s="287"/>
      <c r="AC183" s="54"/>
      <c r="AD183" s="54"/>
    </row>
    <row r="184">
      <c r="A184" s="54"/>
      <c r="B184" s="98">
        <v>45558.0</v>
      </c>
      <c r="C184" s="98"/>
      <c r="D184" s="99"/>
      <c r="E184" s="100">
        <v>1931677.0</v>
      </c>
      <c r="F184" s="283">
        <f t="shared" si="22"/>
        <v>735</v>
      </c>
      <c r="G184" s="100">
        <v>262.0</v>
      </c>
      <c r="H184" s="101">
        <v>225.0</v>
      </c>
      <c r="I184" s="101">
        <v>224.79</v>
      </c>
      <c r="J184" s="148">
        <f t="shared" si="20"/>
        <v>0.21</v>
      </c>
      <c r="K184" s="284">
        <f t="shared" si="21"/>
        <v>30.58367347</v>
      </c>
      <c r="L184" s="54"/>
      <c r="M184" s="54"/>
      <c r="N184" s="54"/>
      <c r="O184" s="54"/>
      <c r="P184" s="86"/>
      <c r="Q184" s="54"/>
      <c r="R184" s="249"/>
      <c r="T184" s="54"/>
      <c r="U184" s="54"/>
      <c r="V184" s="54"/>
      <c r="W184" s="54"/>
      <c r="X184" s="54"/>
      <c r="Y184" s="54"/>
      <c r="Z184" s="54"/>
      <c r="AA184" s="54"/>
      <c r="AB184" s="287"/>
      <c r="AC184" s="54"/>
      <c r="AD184" s="54"/>
    </row>
    <row r="185">
      <c r="A185" s="54"/>
      <c r="B185" s="98">
        <v>45559.0</v>
      </c>
      <c r="C185" s="98"/>
      <c r="D185" s="99"/>
      <c r="E185" s="100">
        <v>1932438.0</v>
      </c>
      <c r="F185" s="283">
        <f t="shared" si="22"/>
        <v>761</v>
      </c>
      <c r="G185" s="100">
        <v>264.0</v>
      </c>
      <c r="H185" s="101">
        <v>221.0</v>
      </c>
      <c r="I185" s="101">
        <v>215.0</v>
      </c>
      <c r="J185" s="148">
        <f t="shared" si="20"/>
        <v>6</v>
      </c>
      <c r="K185" s="284">
        <f t="shared" si="21"/>
        <v>28.25229961</v>
      </c>
      <c r="L185" s="54"/>
      <c r="M185" s="54"/>
      <c r="N185" s="54"/>
      <c r="O185" s="54"/>
      <c r="P185" s="86"/>
      <c r="Q185" s="54"/>
      <c r="R185" s="249"/>
      <c r="T185" s="54"/>
      <c r="U185" s="54"/>
      <c r="V185" s="54"/>
      <c r="W185" s="54"/>
      <c r="X185" s="54"/>
      <c r="Y185" s="54"/>
      <c r="Z185" s="54"/>
      <c r="AA185" s="54"/>
      <c r="AB185" s="287"/>
      <c r="AC185" s="54"/>
      <c r="AD185" s="54"/>
    </row>
    <row r="186">
      <c r="A186" s="54"/>
      <c r="B186" s="98">
        <v>45560.0</v>
      </c>
      <c r="C186" s="98"/>
      <c r="D186" s="99"/>
      <c r="E186" s="104">
        <v>1933172.0</v>
      </c>
      <c r="F186" s="283">
        <f t="shared" si="22"/>
        <v>734</v>
      </c>
      <c r="G186" s="100">
        <v>281.0</v>
      </c>
      <c r="H186" s="101">
        <v>209.0</v>
      </c>
      <c r="I186" s="101">
        <v>209.81</v>
      </c>
      <c r="J186" s="148">
        <f t="shared" si="20"/>
        <v>-0.81</v>
      </c>
      <c r="K186" s="284">
        <f t="shared" si="21"/>
        <v>28.58446866</v>
      </c>
      <c r="L186" s="54"/>
      <c r="M186" s="54"/>
      <c r="N186" s="54"/>
      <c r="O186" s="54"/>
      <c r="P186" s="86"/>
      <c r="Q186" s="54"/>
      <c r="R186" s="249"/>
      <c r="T186" s="54"/>
      <c r="U186" s="54"/>
      <c r="V186" s="54"/>
      <c r="W186" s="54"/>
      <c r="X186" s="54"/>
      <c r="Y186" s="54"/>
      <c r="Z186" s="54"/>
      <c r="AA186" s="54"/>
      <c r="AB186" s="287"/>
      <c r="AC186" s="54"/>
      <c r="AD186" s="54"/>
    </row>
    <row r="187">
      <c r="A187" s="54"/>
      <c r="B187" s="98">
        <v>45561.0</v>
      </c>
      <c r="C187" s="98"/>
      <c r="D187" s="99"/>
      <c r="E187" s="100">
        <v>1933933.0</v>
      </c>
      <c r="F187" s="283">
        <f t="shared" si="22"/>
        <v>761</v>
      </c>
      <c r="G187" s="100">
        <v>272.0</v>
      </c>
      <c r="H187" s="101">
        <v>214.0</v>
      </c>
      <c r="I187" s="101">
        <v>215.0</v>
      </c>
      <c r="J187" s="148">
        <f t="shared" si="20"/>
        <v>-1</v>
      </c>
      <c r="K187" s="284">
        <f t="shared" si="21"/>
        <v>28.25229961</v>
      </c>
      <c r="L187" s="54"/>
      <c r="M187" s="54"/>
      <c r="N187" s="54"/>
      <c r="O187" s="54"/>
      <c r="P187" s="86"/>
      <c r="Q187" s="54"/>
      <c r="R187" s="249"/>
      <c r="T187" s="54"/>
      <c r="U187" s="54"/>
      <c r="V187" s="54"/>
      <c r="W187" s="54"/>
      <c r="X187" s="54"/>
      <c r="Y187" s="54"/>
      <c r="Z187" s="54"/>
      <c r="AA187" s="54"/>
      <c r="AB187" s="287"/>
      <c r="AC187" s="54"/>
      <c r="AD187" s="54"/>
    </row>
    <row r="188">
      <c r="A188" s="54"/>
      <c r="B188" s="98">
        <v>45562.0</v>
      </c>
      <c r="C188" s="98"/>
      <c r="D188" s="99"/>
      <c r="E188" s="100">
        <v>1934669.0</v>
      </c>
      <c r="F188" s="283">
        <f t="shared" si="22"/>
        <v>736</v>
      </c>
      <c r="G188" s="100">
        <v>491.0</v>
      </c>
      <c r="H188" s="101">
        <v>208.0</v>
      </c>
      <c r="I188" s="101">
        <v>209.78</v>
      </c>
      <c r="J188" s="148">
        <f t="shared" si="20"/>
        <v>-1.78</v>
      </c>
      <c r="K188" s="284">
        <f t="shared" si="21"/>
        <v>28.50271739</v>
      </c>
      <c r="L188" s="54"/>
      <c r="M188" s="54"/>
      <c r="N188" s="54"/>
      <c r="O188" s="54"/>
      <c r="P188" s="86"/>
      <c r="Q188" s="54"/>
      <c r="R188" s="249"/>
      <c r="T188" s="54"/>
      <c r="U188" s="54"/>
      <c r="V188" s="54"/>
      <c r="W188" s="54"/>
      <c r="X188" s="54"/>
      <c r="Y188" s="54"/>
      <c r="Z188" s="54"/>
      <c r="AA188" s="54"/>
      <c r="AB188" s="287"/>
      <c r="AC188" s="54"/>
      <c r="AD188" s="54"/>
    </row>
    <row r="189">
      <c r="A189" s="54"/>
      <c r="B189" s="98">
        <v>45564.0</v>
      </c>
      <c r="C189" s="98"/>
      <c r="D189" s="99"/>
      <c r="E189" s="100">
        <v>1935430.0</v>
      </c>
      <c r="F189" s="283">
        <f t="shared" si="22"/>
        <v>761</v>
      </c>
      <c r="G189" s="100">
        <v>478.0</v>
      </c>
      <c r="H189" s="101">
        <v>213.0</v>
      </c>
      <c r="I189" s="101">
        <v>215.0</v>
      </c>
      <c r="J189" s="148">
        <f t="shared" si="20"/>
        <v>-2</v>
      </c>
      <c r="K189" s="284">
        <f t="shared" si="21"/>
        <v>28.25229961</v>
      </c>
      <c r="L189" s="54"/>
      <c r="M189" s="54"/>
      <c r="N189" s="54"/>
      <c r="O189" s="54"/>
      <c r="P189" s="86"/>
      <c r="Q189" s="54"/>
      <c r="R189" s="249"/>
      <c r="T189" s="54"/>
      <c r="U189" s="54"/>
      <c r="V189" s="54"/>
      <c r="W189" s="54"/>
      <c r="X189" s="54"/>
      <c r="Y189" s="54"/>
      <c r="Z189" s="54"/>
      <c r="AA189" s="54"/>
      <c r="AB189" s="287"/>
      <c r="AC189" s="54"/>
      <c r="AD189" s="54"/>
    </row>
    <row r="190">
      <c r="A190" s="54"/>
      <c r="B190" s="98">
        <v>45565.0</v>
      </c>
      <c r="C190" s="98"/>
      <c r="D190" s="99"/>
      <c r="E190" s="100">
        <v>1936172.0</v>
      </c>
      <c r="F190" s="283">
        <f t="shared" si="22"/>
        <v>742</v>
      </c>
      <c r="G190" s="100">
        <v>486.0</v>
      </c>
      <c r="H190" s="101">
        <v>230.0</v>
      </c>
      <c r="I190" s="101">
        <v>229.78</v>
      </c>
      <c r="J190" s="148">
        <f t="shared" si="20"/>
        <v>0.22</v>
      </c>
      <c r="K190" s="284">
        <f t="shared" si="21"/>
        <v>30.96765499</v>
      </c>
      <c r="L190" s="54"/>
      <c r="M190" s="54"/>
      <c r="N190" s="54"/>
      <c r="O190" s="54"/>
      <c r="P190" s="86"/>
      <c r="Q190" s="54"/>
      <c r="R190" s="249"/>
      <c r="T190" s="54"/>
      <c r="U190" s="54"/>
      <c r="V190" s="54"/>
      <c r="W190" s="54"/>
      <c r="X190" s="54"/>
      <c r="Y190" s="54"/>
      <c r="Z190" s="54"/>
      <c r="AA190" s="54"/>
      <c r="AB190" s="287"/>
      <c r="AC190" s="54"/>
      <c r="AD190" s="54"/>
    </row>
    <row r="191">
      <c r="A191" s="68"/>
      <c r="B191" s="203" t="str">
        <f>IF(L191=4,"АПРЕЛЬ",IF(L191=5,"МАЙ",IF(L191=1,"ЯНВАРЬ",IF(L191=2,"ФЕВРАЛЬ",IF(L191=3,"МАРТ",IF(L191=6,"ИЮНЬ",IF(L191=7,"ИЮЛЬ",IF(L191=8,"АВГУСТ",IF(L191=9,"СЕНТЯБРЬ",IF(L191=10,"ОКТЯБРЬ",IF(L191=11,"НОЯБРЬ",IF(L191=12,"ДЕКАБРЬ"))))))))))))</f>
        <v>ОКТЯБРЬ</v>
      </c>
      <c r="J191" s="88"/>
      <c r="K191" s="88"/>
      <c r="L191" s="91">
        <f>MONTH(B192)</f>
        <v>10</v>
      </c>
      <c r="M191" s="66"/>
      <c r="N191" s="66"/>
      <c r="O191" s="66"/>
      <c r="P191" s="113"/>
      <c r="Q191" s="66"/>
      <c r="R191" s="249"/>
      <c r="T191" s="288"/>
      <c r="U191" s="289"/>
      <c r="V191" s="289"/>
      <c r="W191" s="289"/>
      <c r="X191" s="289"/>
      <c r="Y191" s="290"/>
      <c r="Z191" s="290"/>
      <c r="AA191" s="290"/>
      <c r="AB191" s="290"/>
      <c r="AC191" s="54"/>
      <c r="AD191" s="54"/>
    </row>
    <row r="192">
      <c r="A192" s="54"/>
      <c r="B192" s="98">
        <v>45566.0</v>
      </c>
      <c r="C192" s="98"/>
      <c r="D192" s="99"/>
      <c r="E192" s="206">
        <v>1936932.0</v>
      </c>
      <c r="F192" s="99">
        <f>E192-E190</f>
        <v>760</v>
      </c>
      <c r="G192" s="100">
        <v>479.0</v>
      </c>
      <c r="H192" s="101">
        <v>215.0</v>
      </c>
      <c r="I192" s="101">
        <v>215.0</v>
      </c>
      <c r="J192" s="102">
        <f t="shared" ref="J192:J213" si="23">H192-I192</f>
        <v>0</v>
      </c>
      <c r="K192" s="103">
        <f t="shared" ref="K192:K213" si="24">I192/F192*100</f>
        <v>28.28947368</v>
      </c>
      <c r="L192" s="54"/>
      <c r="M192" s="82" t="str">
        <f>"тотал"&amp;" "&amp;B191&amp;" "&amp;RIGHT(YEAR(B192),2)</f>
        <v>тотал ОКТЯБРЬ 24</v>
      </c>
      <c r="N192" s="75"/>
      <c r="O192" s="75"/>
      <c r="P192" s="75"/>
      <c r="Q192" s="76"/>
      <c r="R192" s="249"/>
      <c r="T192" s="54"/>
      <c r="U192" s="54"/>
      <c r="V192" s="54"/>
      <c r="W192" s="54"/>
      <c r="X192" s="54"/>
      <c r="Y192" s="54"/>
      <c r="Z192" s="54"/>
      <c r="AA192" s="54"/>
      <c r="AB192" s="287"/>
      <c r="AC192" s="54"/>
      <c r="AD192" s="54"/>
    </row>
    <row r="193">
      <c r="A193" s="54"/>
      <c r="B193" s="98">
        <v>45567.0</v>
      </c>
      <c r="C193" s="98"/>
      <c r="D193" s="99"/>
      <c r="E193" s="100">
        <v>1937668.0</v>
      </c>
      <c r="F193" s="99">
        <f t="shared" ref="F193:F213" si="25">E193-E192</f>
        <v>736</v>
      </c>
      <c r="G193" s="100">
        <v>485.0</v>
      </c>
      <c r="H193" s="101">
        <v>221.0</v>
      </c>
      <c r="I193" s="101">
        <v>219.78</v>
      </c>
      <c r="J193" s="102">
        <f t="shared" si="23"/>
        <v>1.22</v>
      </c>
      <c r="K193" s="103">
        <f t="shared" si="24"/>
        <v>29.86141304</v>
      </c>
      <c r="L193" s="54"/>
      <c r="M193" s="83" t="s">
        <v>70</v>
      </c>
      <c r="N193" s="83" t="s">
        <v>71</v>
      </c>
      <c r="O193" s="83" t="s">
        <v>27</v>
      </c>
      <c r="P193" s="77" t="s">
        <v>28</v>
      </c>
      <c r="Q193" s="12" t="s">
        <v>78</v>
      </c>
      <c r="R193" s="249"/>
      <c r="T193" s="54"/>
      <c r="U193" s="54"/>
      <c r="V193" s="54"/>
      <c r="W193" s="54"/>
      <c r="X193" s="54"/>
      <c r="Y193" s="54"/>
      <c r="Z193" s="54"/>
      <c r="AA193" s="54"/>
      <c r="AB193" s="287"/>
      <c r="AC193" s="54"/>
      <c r="AD193" s="54"/>
    </row>
    <row r="194">
      <c r="A194" s="54"/>
      <c r="B194" s="98">
        <v>45568.0</v>
      </c>
      <c r="C194" s="98"/>
      <c r="D194" s="99"/>
      <c r="E194" s="100">
        <v>1938428.0</v>
      </c>
      <c r="F194" s="99">
        <f t="shared" si="25"/>
        <v>760</v>
      </c>
      <c r="G194" s="100">
        <v>482.0</v>
      </c>
      <c r="H194" s="101">
        <v>214.0</v>
      </c>
      <c r="I194" s="101">
        <v>215.0</v>
      </c>
      <c r="J194" s="102">
        <f t="shared" si="23"/>
        <v>-1</v>
      </c>
      <c r="K194" s="103">
        <f t="shared" si="24"/>
        <v>28.28947368</v>
      </c>
      <c r="L194" s="54"/>
      <c r="M194" s="84">
        <f>SUM(F192:F217)</f>
        <v>18790</v>
      </c>
      <c r="N194" s="84">
        <f>SUM(I192:I217)</f>
        <v>5636.44</v>
      </c>
      <c r="O194" s="85">
        <f>N194/M194*100</f>
        <v>29.99701969</v>
      </c>
      <c r="P194" s="79">
        <f>(M194/100)*(O194-Q194)</f>
        <v>375.24</v>
      </c>
      <c r="Q194" s="78">
        <v>28.0</v>
      </c>
      <c r="R194" s="249"/>
      <c r="T194" s="54"/>
      <c r="U194" s="54"/>
      <c r="V194" s="54"/>
      <c r="W194" s="54"/>
      <c r="X194" s="54"/>
      <c r="Y194" s="54"/>
      <c r="Z194" s="54"/>
      <c r="AA194" s="54"/>
      <c r="AB194" s="287"/>
      <c r="AC194" s="54"/>
      <c r="AD194" s="54"/>
    </row>
    <row r="195">
      <c r="A195" s="54"/>
      <c r="B195" s="98">
        <v>45569.0</v>
      </c>
      <c r="C195" s="98"/>
      <c r="D195" s="99"/>
      <c r="E195" s="100">
        <v>1939164.0</v>
      </c>
      <c r="F195" s="99">
        <f t="shared" si="25"/>
        <v>736</v>
      </c>
      <c r="G195" s="100">
        <v>495.0</v>
      </c>
      <c r="H195" s="101">
        <v>231.0</v>
      </c>
      <c r="I195" s="101">
        <v>229.78</v>
      </c>
      <c r="J195" s="102">
        <f t="shared" si="23"/>
        <v>1.22</v>
      </c>
      <c r="K195" s="103">
        <f t="shared" si="24"/>
        <v>31.2201087</v>
      </c>
      <c r="L195" s="54"/>
      <c r="M195" s="54"/>
      <c r="N195" s="54"/>
      <c r="O195" s="54"/>
      <c r="P195" s="86"/>
      <c r="Q195" s="54"/>
      <c r="R195" s="249"/>
      <c r="T195" s="54"/>
      <c r="U195" s="54"/>
      <c r="V195" s="54"/>
      <c r="W195" s="54"/>
      <c r="X195" s="54"/>
      <c r="Y195" s="54"/>
      <c r="Z195" s="54"/>
      <c r="AA195" s="54"/>
      <c r="AB195" s="287"/>
      <c r="AC195" s="54"/>
      <c r="AD195" s="54"/>
    </row>
    <row r="196">
      <c r="A196" s="54"/>
      <c r="B196" s="98">
        <v>45571.0</v>
      </c>
      <c r="C196" s="98"/>
      <c r="D196" s="99"/>
      <c r="E196" s="100">
        <v>1939930.0</v>
      </c>
      <c r="F196" s="99">
        <f t="shared" si="25"/>
        <v>766</v>
      </c>
      <c r="G196" s="100">
        <v>496.0</v>
      </c>
      <c r="H196" s="101">
        <v>209.0</v>
      </c>
      <c r="I196" s="101">
        <v>215.0</v>
      </c>
      <c r="J196" s="102">
        <f t="shared" si="23"/>
        <v>-6</v>
      </c>
      <c r="K196" s="103">
        <f t="shared" si="24"/>
        <v>28.06788512</v>
      </c>
      <c r="L196" s="54"/>
      <c r="M196" s="54"/>
      <c r="N196" s="54"/>
      <c r="O196" s="54"/>
      <c r="P196" s="86"/>
      <c r="Q196" s="54"/>
      <c r="R196" s="249"/>
      <c r="T196" s="54"/>
      <c r="U196" s="54"/>
      <c r="V196" s="54"/>
      <c r="W196" s="54"/>
      <c r="X196" s="54"/>
      <c r="Y196" s="54"/>
      <c r="Z196" s="54"/>
      <c r="AA196" s="54"/>
      <c r="AB196" s="287"/>
      <c r="AC196" s="54"/>
      <c r="AD196" s="54"/>
    </row>
    <row r="197">
      <c r="A197" s="54"/>
      <c r="B197" s="98">
        <v>45572.0</v>
      </c>
      <c r="C197" s="98"/>
      <c r="D197" s="99"/>
      <c r="E197" s="100">
        <v>1940666.0</v>
      </c>
      <c r="F197" s="99">
        <f t="shared" si="25"/>
        <v>736</v>
      </c>
      <c r="G197" s="100">
        <v>493.0</v>
      </c>
      <c r="H197" s="101">
        <v>229.0</v>
      </c>
      <c r="I197" s="101">
        <v>224.78</v>
      </c>
      <c r="J197" s="102">
        <f t="shared" si="23"/>
        <v>4.22</v>
      </c>
      <c r="K197" s="103">
        <f t="shared" si="24"/>
        <v>30.54076087</v>
      </c>
      <c r="L197" s="54"/>
      <c r="M197" s="54"/>
      <c r="N197" s="54"/>
      <c r="O197" s="54"/>
      <c r="P197" s="86"/>
      <c r="Q197" s="54"/>
      <c r="R197" s="249"/>
      <c r="T197" s="54"/>
      <c r="U197" s="54"/>
      <c r="V197" s="54"/>
      <c r="W197" s="54"/>
      <c r="X197" s="54"/>
      <c r="Y197" s="54"/>
      <c r="Z197" s="54"/>
      <c r="AA197" s="54"/>
      <c r="AB197" s="287"/>
      <c r="AC197" s="54"/>
      <c r="AD197" s="54"/>
    </row>
    <row r="198">
      <c r="A198" s="54"/>
      <c r="B198" s="98">
        <v>45573.0</v>
      </c>
      <c r="C198" s="98"/>
      <c r="D198" s="99"/>
      <c r="E198" s="100">
        <v>1941425.0</v>
      </c>
      <c r="F198" s="99">
        <f t="shared" si="25"/>
        <v>759</v>
      </c>
      <c r="G198" s="100">
        <v>478.0</v>
      </c>
      <c r="H198" s="101">
        <v>214.0</v>
      </c>
      <c r="I198" s="101">
        <v>215.0</v>
      </c>
      <c r="J198" s="102">
        <f t="shared" si="23"/>
        <v>-1</v>
      </c>
      <c r="K198" s="103">
        <f t="shared" si="24"/>
        <v>28.32674572</v>
      </c>
      <c r="L198" s="54"/>
      <c r="M198" s="54"/>
      <c r="N198" s="54"/>
      <c r="O198" s="54"/>
      <c r="P198" s="86"/>
      <c r="Q198" s="54"/>
      <c r="R198" s="249"/>
      <c r="T198" s="54"/>
      <c r="U198" s="54"/>
      <c r="V198" s="54"/>
      <c r="W198" s="54"/>
      <c r="X198" s="54"/>
      <c r="Y198" s="54"/>
      <c r="Z198" s="54"/>
      <c r="AA198" s="54"/>
      <c r="AB198" s="287"/>
      <c r="AC198" s="54"/>
      <c r="AD198" s="54"/>
    </row>
    <row r="199">
      <c r="A199" s="54"/>
      <c r="B199" s="98">
        <v>45574.0</v>
      </c>
      <c r="C199" s="98"/>
      <c r="D199" s="99"/>
      <c r="E199" s="100">
        <v>1942164.0</v>
      </c>
      <c r="F199" s="99">
        <f t="shared" si="25"/>
        <v>739</v>
      </c>
      <c r="G199" s="100">
        <v>489.0</v>
      </c>
      <c r="H199" s="101">
        <v>227.0</v>
      </c>
      <c r="I199" s="101">
        <v>229.78</v>
      </c>
      <c r="J199" s="102">
        <f t="shared" si="23"/>
        <v>-2.78</v>
      </c>
      <c r="K199" s="103">
        <f t="shared" si="24"/>
        <v>31.09336942</v>
      </c>
      <c r="L199" s="54"/>
      <c r="M199" s="54"/>
      <c r="N199" s="54"/>
      <c r="O199" s="54"/>
      <c r="P199" s="86"/>
      <c r="Q199" s="54"/>
      <c r="R199" s="249"/>
      <c r="T199" s="54"/>
      <c r="U199" s="54"/>
      <c r="V199" s="54"/>
      <c r="W199" s="54"/>
      <c r="X199" s="54"/>
      <c r="Y199" s="54"/>
      <c r="Z199" s="54"/>
      <c r="AA199" s="54"/>
      <c r="AB199" s="287"/>
      <c r="AC199" s="54"/>
      <c r="AD199" s="54"/>
    </row>
    <row r="200">
      <c r="A200" s="54"/>
      <c r="B200" s="98">
        <v>45575.0</v>
      </c>
      <c r="C200" s="98"/>
      <c r="D200" s="99"/>
      <c r="E200" s="100">
        <v>1942911.0</v>
      </c>
      <c r="F200" s="99">
        <f t="shared" si="25"/>
        <v>747</v>
      </c>
      <c r="G200" s="100">
        <v>468.0</v>
      </c>
      <c r="H200" s="101">
        <v>220.0</v>
      </c>
      <c r="I200" s="101">
        <v>215.0</v>
      </c>
      <c r="J200" s="102">
        <f t="shared" si="23"/>
        <v>5</v>
      </c>
      <c r="K200" s="103">
        <f t="shared" si="24"/>
        <v>28.78179384</v>
      </c>
      <c r="L200" s="54"/>
      <c r="M200" s="54"/>
      <c r="N200" s="54"/>
      <c r="O200" s="54"/>
      <c r="P200" s="86"/>
      <c r="Q200" s="54"/>
      <c r="R200" s="249"/>
      <c r="T200" s="54"/>
      <c r="U200" s="54"/>
      <c r="V200" s="54"/>
      <c r="W200" s="54"/>
      <c r="X200" s="54"/>
      <c r="Y200" s="54"/>
      <c r="Z200" s="54"/>
      <c r="AA200" s="54"/>
      <c r="AB200" s="287"/>
      <c r="AC200" s="54"/>
      <c r="AD200" s="54"/>
    </row>
    <row r="201">
      <c r="A201" s="54"/>
      <c r="B201" s="98">
        <v>45576.0</v>
      </c>
      <c r="C201" s="98"/>
      <c r="D201" s="99"/>
      <c r="E201" s="100">
        <v>1943662.0</v>
      </c>
      <c r="F201" s="99">
        <f t="shared" si="25"/>
        <v>751</v>
      </c>
      <c r="G201" s="100">
        <v>483.0</v>
      </c>
      <c r="H201" s="101">
        <v>232.0</v>
      </c>
      <c r="I201" s="101">
        <v>229.78</v>
      </c>
      <c r="J201" s="102">
        <f t="shared" si="23"/>
        <v>2.22</v>
      </c>
      <c r="K201" s="103">
        <f t="shared" si="24"/>
        <v>30.59653795</v>
      </c>
      <c r="L201" s="54"/>
      <c r="M201" s="54"/>
      <c r="N201" s="54"/>
      <c r="O201" s="54"/>
      <c r="P201" s="86"/>
      <c r="Q201" s="54"/>
      <c r="R201" s="249"/>
      <c r="T201" s="54"/>
      <c r="U201" s="54"/>
      <c r="V201" s="54"/>
      <c r="W201" s="54"/>
      <c r="X201" s="54"/>
      <c r="Y201" s="54"/>
      <c r="Z201" s="54"/>
      <c r="AA201" s="54"/>
      <c r="AB201" s="287"/>
      <c r="AC201" s="54"/>
      <c r="AD201" s="54"/>
    </row>
    <row r="202">
      <c r="A202" s="54"/>
      <c r="B202" s="98">
        <v>45578.0</v>
      </c>
      <c r="C202" s="98"/>
      <c r="D202" s="99"/>
      <c r="E202" s="100">
        <v>1944416.0</v>
      </c>
      <c r="F202" s="99">
        <f t="shared" si="25"/>
        <v>754</v>
      </c>
      <c r="G202" s="100">
        <v>470.0</v>
      </c>
      <c r="H202" s="101">
        <v>221.0</v>
      </c>
      <c r="I202" s="101">
        <v>220.0</v>
      </c>
      <c r="J202" s="102">
        <f t="shared" si="23"/>
        <v>1</v>
      </c>
      <c r="K202" s="103">
        <f t="shared" si="24"/>
        <v>29.17771883</v>
      </c>
      <c r="L202" s="54"/>
      <c r="M202" s="54"/>
      <c r="N202" s="54"/>
      <c r="O202" s="54"/>
      <c r="P202" s="86"/>
      <c r="Q202" s="54"/>
      <c r="R202" s="249"/>
      <c r="T202" s="54"/>
      <c r="U202" s="54"/>
      <c r="V202" s="54"/>
      <c r="W202" s="54"/>
      <c r="X202" s="54"/>
      <c r="Y202" s="54"/>
      <c r="Z202" s="54"/>
      <c r="AA202" s="54"/>
      <c r="AB202" s="287"/>
      <c r="AC202" s="54"/>
      <c r="AD202" s="54"/>
    </row>
    <row r="203">
      <c r="A203" s="54"/>
      <c r="B203" s="98">
        <v>45579.0</v>
      </c>
      <c r="C203" s="98"/>
      <c r="D203" s="99"/>
      <c r="E203" s="100">
        <v>1945165.0</v>
      </c>
      <c r="F203" s="99">
        <f t="shared" si="25"/>
        <v>749</v>
      </c>
      <c r="G203" s="100">
        <v>498.0</v>
      </c>
      <c r="H203" s="101">
        <v>255.0</v>
      </c>
      <c r="I203" s="101">
        <v>249.45</v>
      </c>
      <c r="J203" s="102">
        <f t="shared" si="23"/>
        <v>5.55</v>
      </c>
      <c r="K203" s="103">
        <f t="shared" si="24"/>
        <v>33.30440587</v>
      </c>
      <c r="L203" s="54"/>
      <c r="M203" s="54"/>
      <c r="N203" s="54"/>
      <c r="O203" s="54"/>
      <c r="P203" s="86"/>
      <c r="Q203" s="54"/>
      <c r="R203" s="249"/>
      <c r="T203" s="54"/>
      <c r="U203" s="54"/>
      <c r="V203" s="54"/>
      <c r="W203" s="54"/>
      <c r="X203" s="54"/>
      <c r="Y203" s="54"/>
      <c r="Z203" s="54"/>
      <c r="AA203" s="54"/>
      <c r="AB203" s="287"/>
      <c r="AC203" s="54"/>
      <c r="AD203" s="54"/>
    </row>
    <row r="204">
      <c r="A204" s="54"/>
      <c r="B204" s="98">
        <v>45580.0</v>
      </c>
      <c r="C204" s="98"/>
      <c r="D204" s="99"/>
      <c r="E204" s="100">
        <v>1945930.0</v>
      </c>
      <c r="F204" s="99">
        <f t="shared" si="25"/>
        <v>765</v>
      </c>
      <c r="G204" s="100">
        <v>470.0</v>
      </c>
      <c r="H204" s="101">
        <v>234.0</v>
      </c>
      <c r="I204" s="101">
        <v>230.0</v>
      </c>
      <c r="J204" s="102">
        <f t="shared" si="23"/>
        <v>4</v>
      </c>
      <c r="K204" s="103">
        <f t="shared" si="24"/>
        <v>30.06535948</v>
      </c>
      <c r="L204" s="54"/>
      <c r="M204" s="54"/>
      <c r="N204" s="54"/>
      <c r="O204" s="54"/>
      <c r="P204" s="86"/>
      <c r="Q204" s="54"/>
      <c r="R204" s="249"/>
      <c r="T204" s="54"/>
      <c r="U204" s="54"/>
      <c r="V204" s="54"/>
      <c r="W204" s="54"/>
      <c r="X204" s="54"/>
      <c r="Y204" s="54"/>
      <c r="Z204" s="54"/>
      <c r="AA204" s="54"/>
      <c r="AB204" s="287"/>
      <c r="AC204" s="54"/>
      <c r="AD204" s="54"/>
    </row>
    <row r="205">
      <c r="A205" s="54"/>
      <c r="B205" s="98">
        <v>45581.0</v>
      </c>
      <c r="C205" s="98"/>
      <c r="D205" s="99"/>
      <c r="E205" s="100">
        <v>1946670.0</v>
      </c>
      <c r="F205" s="99">
        <f t="shared" si="25"/>
        <v>740</v>
      </c>
      <c r="G205" s="100">
        <v>483.0</v>
      </c>
      <c r="H205" s="101">
        <v>250.0</v>
      </c>
      <c r="I205" s="101">
        <v>249.44</v>
      </c>
      <c r="J205" s="102">
        <f t="shared" si="23"/>
        <v>0.56</v>
      </c>
      <c r="K205" s="103">
        <f t="shared" si="24"/>
        <v>33.70810811</v>
      </c>
      <c r="L205" s="54"/>
      <c r="M205" s="54"/>
      <c r="N205" s="54"/>
      <c r="O205" s="54"/>
      <c r="P205" s="86"/>
      <c r="Q205" s="54"/>
      <c r="R205" s="249"/>
      <c r="T205" s="54"/>
      <c r="U205" s="54"/>
      <c r="V205" s="54"/>
      <c r="W205" s="54"/>
      <c r="X205" s="54"/>
      <c r="Y205" s="54"/>
      <c r="Z205" s="54"/>
      <c r="AA205" s="54"/>
      <c r="AB205" s="287"/>
      <c r="AC205" s="54"/>
      <c r="AD205" s="54"/>
    </row>
    <row r="206">
      <c r="A206" s="54"/>
      <c r="B206" s="98">
        <v>45582.0</v>
      </c>
      <c r="C206" s="98"/>
      <c r="D206" s="99"/>
      <c r="E206" s="100">
        <v>1947429.0</v>
      </c>
      <c r="F206" s="99">
        <f t="shared" si="25"/>
        <v>759</v>
      </c>
      <c r="G206" s="100">
        <v>486.0</v>
      </c>
      <c r="H206" s="101">
        <v>222.0</v>
      </c>
      <c r="I206" s="101">
        <v>220.0</v>
      </c>
      <c r="J206" s="102">
        <f t="shared" si="23"/>
        <v>2</v>
      </c>
      <c r="K206" s="103">
        <f t="shared" si="24"/>
        <v>28.98550725</v>
      </c>
      <c r="L206" s="54"/>
      <c r="M206" s="54"/>
      <c r="N206" s="54"/>
      <c r="O206" s="54"/>
      <c r="P206" s="86"/>
      <c r="Q206" s="54"/>
      <c r="R206" s="249"/>
      <c r="T206" s="54"/>
      <c r="U206" s="54"/>
      <c r="V206" s="54"/>
      <c r="W206" s="54"/>
      <c r="X206" s="54"/>
      <c r="Y206" s="54"/>
      <c r="Z206" s="54"/>
      <c r="AA206" s="54"/>
      <c r="AB206" s="287"/>
      <c r="AC206" s="54"/>
      <c r="AD206" s="54"/>
    </row>
    <row r="207">
      <c r="A207" s="54"/>
      <c r="B207" s="98">
        <v>45583.0</v>
      </c>
      <c r="C207" s="98"/>
      <c r="D207" s="99"/>
      <c r="E207" s="100">
        <v>1948168.0</v>
      </c>
      <c r="F207" s="99">
        <f t="shared" si="25"/>
        <v>739</v>
      </c>
      <c r="G207" s="100">
        <v>486.0</v>
      </c>
      <c r="H207" s="101">
        <v>220.0</v>
      </c>
      <c r="I207" s="101">
        <v>219.44</v>
      </c>
      <c r="J207" s="102">
        <f t="shared" si="23"/>
        <v>0.56</v>
      </c>
      <c r="K207" s="103">
        <f t="shared" si="24"/>
        <v>29.69418133</v>
      </c>
      <c r="L207" s="54"/>
      <c r="M207" s="54"/>
      <c r="N207" s="54"/>
      <c r="O207" s="54"/>
      <c r="P207" s="86"/>
      <c r="Q207" s="54"/>
      <c r="R207" s="249"/>
      <c r="T207" s="54"/>
      <c r="U207" s="54"/>
      <c r="V207" s="54"/>
      <c r="W207" s="54"/>
      <c r="X207" s="54"/>
      <c r="Y207" s="54"/>
      <c r="Z207" s="54"/>
      <c r="AA207" s="54"/>
      <c r="AB207" s="287"/>
      <c r="AC207" s="54"/>
      <c r="AD207" s="54"/>
    </row>
    <row r="208">
      <c r="A208" s="54"/>
      <c r="B208" s="98">
        <v>45585.0</v>
      </c>
      <c r="C208" s="98"/>
      <c r="D208" s="99"/>
      <c r="E208" s="100">
        <v>1949034.0</v>
      </c>
      <c r="F208" s="99">
        <f t="shared" si="25"/>
        <v>866</v>
      </c>
      <c r="G208" s="100">
        <v>508.0</v>
      </c>
      <c r="H208" s="101">
        <v>290.0</v>
      </c>
      <c r="I208" s="101">
        <v>300.0</v>
      </c>
      <c r="J208" s="102">
        <f t="shared" si="23"/>
        <v>-10</v>
      </c>
      <c r="K208" s="103">
        <f t="shared" si="24"/>
        <v>34.64203233</v>
      </c>
      <c r="L208" s="54"/>
      <c r="M208" s="54"/>
      <c r="N208" s="54"/>
      <c r="O208" s="54"/>
      <c r="P208" s="86"/>
      <c r="Q208" s="54"/>
      <c r="R208" s="249"/>
      <c r="T208" s="54"/>
      <c r="U208" s="54"/>
      <c r="V208" s="54"/>
      <c r="W208" s="54"/>
      <c r="X208" s="54"/>
      <c r="Y208" s="54"/>
      <c r="Z208" s="54"/>
      <c r="AA208" s="54"/>
      <c r="AB208" s="287"/>
      <c r="AC208" s="54"/>
      <c r="AD208" s="54"/>
    </row>
    <row r="209">
      <c r="A209" s="54"/>
      <c r="B209" s="98">
        <v>45586.0</v>
      </c>
      <c r="C209" s="98"/>
      <c r="D209" s="99"/>
      <c r="E209" s="100">
        <v>1949788.0</v>
      </c>
      <c r="F209" s="99">
        <f t="shared" si="25"/>
        <v>754</v>
      </c>
      <c r="G209" s="100">
        <v>490.0</v>
      </c>
      <c r="H209" s="101">
        <v>211.0</v>
      </c>
      <c r="I209" s="101">
        <v>209.45</v>
      </c>
      <c r="J209" s="102">
        <f t="shared" si="23"/>
        <v>1.55</v>
      </c>
      <c r="K209" s="103">
        <f t="shared" si="24"/>
        <v>27.77851459</v>
      </c>
      <c r="L209" s="54"/>
      <c r="M209" s="217"/>
      <c r="N209" s="54"/>
      <c r="O209" s="54"/>
      <c r="P209" s="86"/>
      <c r="Q209" s="54"/>
      <c r="R209" s="249"/>
      <c r="T209" s="54"/>
      <c r="U209" s="54"/>
      <c r="V209" s="54"/>
      <c r="W209" s="54"/>
      <c r="X209" s="54"/>
      <c r="Y209" s="54"/>
      <c r="Z209" s="54"/>
      <c r="AA209" s="54"/>
      <c r="AB209" s="287"/>
      <c r="AC209" s="54"/>
      <c r="AD209" s="54"/>
    </row>
    <row r="210">
      <c r="A210" s="54"/>
      <c r="B210" s="98">
        <v>45587.0</v>
      </c>
      <c r="C210" s="98"/>
      <c r="D210" s="99"/>
      <c r="E210" s="111">
        <v>1950547.0</v>
      </c>
      <c r="F210" s="99">
        <f t="shared" si="25"/>
        <v>759</v>
      </c>
      <c r="G210" s="100">
        <v>487.0</v>
      </c>
      <c r="H210" s="101">
        <v>217.0</v>
      </c>
      <c r="I210" s="101">
        <v>220.0</v>
      </c>
      <c r="J210" s="102">
        <f t="shared" si="23"/>
        <v>-3</v>
      </c>
      <c r="K210" s="103">
        <f t="shared" si="24"/>
        <v>28.98550725</v>
      </c>
      <c r="L210" s="54"/>
      <c r="M210" s="54"/>
      <c r="N210" s="54"/>
      <c r="O210" s="54"/>
      <c r="P210" s="86"/>
      <c r="Q210" s="54"/>
      <c r="R210" s="249"/>
      <c r="T210" s="54"/>
      <c r="U210" s="54"/>
      <c r="V210" s="54"/>
      <c r="W210" s="54"/>
      <c r="X210" s="54"/>
      <c r="Y210" s="54"/>
      <c r="Z210" s="54"/>
      <c r="AA210" s="54"/>
      <c r="AB210" s="287"/>
      <c r="AC210" s="54"/>
      <c r="AD210" s="54"/>
    </row>
    <row r="211">
      <c r="A211" s="54"/>
      <c r="B211" s="98">
        <v>45588.0</v>
      </c>
      <c r="C211" s="98"/>
      <c r="D211" s="99"/>
      <c r="E211" s="291">
        <v>1951287.0</v>
      </c>
      <c r="F211" s="99">
        <f t="shared" si="25"/>
        <v>740</v>
      </c>
      <c r="G211" s="100">
        <v>484.0</v>
      </c>
      <c r="H211" s="101">
        <v>221.0</v>
      </c>
      <c r="I211" s="101">
        <v>219.44</v>
      </c>
      <c r="J211" s="102">
        <f t="shared" si="23"/>
        <v>1.56</v>
      </c>
      <c r="K211" s="103">
        <f t="shared" si="24"/>
        <v>29.65405405</v>
      </c>
      <c r="L211" s="54"/>
      <c r="M211" s="279" t="s">
        <v>266</v>
      </c>
      <c r="R211" s="249"/>
      <c r="T211" s="54"/>
      <c r="U211" s="54"/>
      <c r="V211" s="54"/>
      <c r="W211" s="54"/>
      <c r="X211" s="54"/>
      <c r="Y211" s="54"/>
      <c r="Z211" s="54"/>
      <c r="AA211" s="54"/>
      <c r="AB211" s="287"/>
      <c r="AC211" s="54"/>
      <c r="AD211" s="54"/>
    </row>
    <row r="212">
      <c r="A212" s="54"/>
      <c r="B212" s="98">
        <v>45589.0</v>
      </c>
      <c r="C212" s="98"/>
      <c r="D212" s="99"/>
      <c r="E212" s="100">
        <v>1952051.0</v>
      </c>
      <c r="F212" s="99">
        <f t="shared" si="25"/>
        <v>764</v>
      </c>
      <c r="G212" s="100">
        <v>496.0</v>
      </c>
      <c r="H212" s="101">
        <v>222.0</v>
      </c>
      <c r="I212" s="101">
        <v>220.0</v>
      </c>
      <c r="J212" s="102">
        <f t="shared" si="23"/>
        <v>2</v>
      </c>
      <c r="K212" s="103">
        <f t="shared" si="24"/>
        <v>28.79581152</v>
      </c>
      <c r="L212" s="54"/>
      <c r="R212" s="249"/>
      <c r="T212" s="54"/>
      <c r="U212" s="54"/>
      <c r="V212" s="54"/>
      <c r="W212" s="54"/>
      <c r="X212" s="54"/>
      <c r="Y212" s="54"/>
      <c r="Z212" s="54"/>
      <c r="AA212" s="54"/>
      <c r="AB212" s="287"/>
      <c r="AC212" s="54"/>
      <c r="AD212" s="54"/>
    </row>
    <row r="213">
      <c r="A213" s="54"/>
      <c r="B213" s="98">
        <v>45590.0</v>
      </c>
      <c r="C213" s="98"/>
      <c r="D213" s="99"/>
      <c r="E213" s="100">
        <v>1952791.0</v>
      </c>
      <c r="F213" s="99">
        <f t="shared" si="25"/>
        <v>740</v>
      </c>
      <c r="G213" s="100">
        <v>488.0</v>
      </c>
      <c r="H213" s="101">
        <v>230.0</v>
      </c>
      <c r="I213" s="101">
        <v>229.44</v>
      </c>
      <c r="J213" s="102">
        <f t="shared" si="23"/>
        <v>0.56</v>
      </c>
      <c r="K213" s="103">
        <f t="shared" si="24"/>
        <v>31.00540541</v>
      </c>
      <c r="L213" s="54"/>
      <c r="R213" s="249"/>
      <c r="T213" s="54"/>
      <c r="U213" s="54"/>
      <c r="V213" s="54"/>
      <c r="W213" s="54"/>
      <c r="X213" s="54"/>
      <c r="Y213" s="54"/>
      <c r="Z213" s="54"/>
      <c r="AA213" s="54"/>
      <c r="AB213" s="287"/>
      <c r="AC213" s="54"/>
      <c r="AD213" s="54"/>
    </row>
    <row r="214">
      <c r="A214" s="68"/>
      <c r="B214" s="203" t="str">
        <f>IF(L214=4,"АПРЕЛЬ",IF(L214=5,"МАЙ",IF(L214=1,"ЯНВАРЬ",IF(L214=2,"ФЕВРАЛЬ",IF(L214=3,"МАРТ",IF(L214=6,"ИЮНЬ",IF(L214=7,"ИЮЛЬ",IF(L214=8,"АВГУСТ",IF(L214=9,"СЕНТЯБРЬ",IF(L214=10,"ОКТЯБРЬ",IF(L214=11,"НОЯБРЬ",IF(L214=12,"ДЕКАБРЬ"))))))))))))</f>
        <v>НОЯБРЬ</v>
      </c>
      <c r="J214" s="88"/>
      <c r="K214" s="88"/>
      <c r="L214" s="91">
        <f>MONTH(B215)</f>
        <v>11</v>
      </c>
      <c r="M214" s="66"/>
      <c r="N214" s="66"/>
      <c r="O214" s="66"/>
      <c r="P214" s="113"/>
      <c r="Q214" s="66"/>
      <c r="R214" s="249"/>
      <c r="T214" s="288"/>
      <c r="U214" s="289"/>
      <c r="V214" s="289"/>
      <c r="W214" s="289"/>
      <c r="X214" s="289"/>
      <c r="Y214" s="290"/>
      <c r="Z214" s="290"/>
      <c r="AA214" s="290"/>
      <c r="AB214" s="290"/>
      <c r="AC214" s="54"/>
      <c r="AD214" s="54"/>
    </row>
    <row r="215">
      <c r="A215" s="60">
        <v>3468.0</v>
      </c>
      <c r="B215" s="98">
        <v>45604.0</v>
      </c>
      <c r="C215" s="98"/>
      <c r="D215" s="100" t="s">
        <v>267</v>
      </c>
      <c r="E215" s="100">
        <v>1953702.0</v>
      </c>
      <c r="F215" s="99">
        <f>E215-E213</f>
        <v>911</v>
      </c>
      <c r="G215" s="100">
        <v>500.0</v>
      </c>
      <c r="H215" s="178">
        <v>286.0</v>
      </c>
      <c r="I215" s="101">
        <v>275.83</v>
      </c>
      <c r="J215" s="102">
        <f t="shared" ref="J215:J226" si="26">H215-I215</f>
        <v>10.17</v>
      </c>
      <c r="K215" s="103">
        <f t="shared" ref="K215:K226" si="27">I215/F215*100</f>
        <v>30.27771679</v>
      </c>
      <c r="L215" s="54"/>
      <c r="M215" s="82" t="str">
        <f>"тотал"&amp;" "&amp;B214&amp;" "&amp;RIGHT(YEAR(B215),2)</f>
        <v>тотал НОЯБРЬ 24</v>
      </c>
      <c r="N215" s="75"/>
      <c r="O215" s="75"/>
      <c r="P215" s="75"/>
      <c r="Q215" s="76"/>
      <c r="R215" s="249"/>
      <c r="T215" s="54"/>
      <c r="U215" s="54"/>
      <c r="V215" s="54"/>
      <c r="W215" s="54"/>
      <c r="X215" s="54"/>
      <c r="Y215" s="54"/>
      <c r="Z215" s="54"/>
      <c r="AA215" s="54"/>
      <c r="AB215" s="287"/>
      <c r="AC215" s="54"/>
      <c r="AD215" s="54"/>
    </row>
    <row r="216">
      <c r="A216" s="60">
        <v>3468.0</v>
      </c>
      <c r="B216" s="98">
        <v>45605.0</v>
      </c>
      <c r="C216" s="98"/>
      <c r="D216" s="99"/>
      <c r="E216" s="100">
        <v>1954089.0</v>
      </c>
      <c r="F216" s="99">
        <f t="shared" ref="F216:F226" si="28">E216-E215</f>
        <v>387</v>
      </c>
      <c r="G216" s="100">
        <v>490.0</v>
      </c>
      <c r="H216" s="178">
        <v>167.0</v>
      </c>
      <c r="I216" s="101">
        <v>165.05</v>
      </c>
      <c r="J216" s="102">
        <f t="shared" si="26"/>
        <v>1.95</v>
      </c>
      <c r="K216" s="103">
        <f t="shared" si="27"/>
        <v>42.64857881</v>
      </c>
      <c r="L216" s="54"/>
      <c r="M216" s="83" t="s">
        <v>70</v>
      </c>
      <c r="N216" s="83" t="s">
        <v>71</v>
      </c>
      <c r="O216" s="83" t="s">
        <v>27</v>
      </c>
      <c r="P216" s="77" t="s">
        <v>28</v>
      </c>
      <c r="Q216" s="12" t="s">
        <v>78</v>
      </c>
      <c r="R216" s="249"/>
      <c r="T216" s="54"/>
      <c r="U216" s="54"/>
      <c r="V216" s="54"/>
      <c r="W216" s="54"/>
      <c r="X216" s="54"/>
      <c r="Y216" s="54"/>
      <c r="Z216" s="54"/>
      <c r="AA216" s="54"/>
      <c r="AB216" s="287"/>
      <c r="AC216" s="54"/>
      <c r="AD216" s="54"/>
    </row>
    <row r="217">
      <c r="A217" s="60">
        <v>3468.0</v>
      </c>
      <c r="B217" s="292">
        <v>45606.0</v>
      </c>
      <c r="C217" s="292"/>
      <c r="D217" s="293"/>
      <c r="E217" s="294">
        <v>1954962.0</v>
      </c>
      <c r="F217" s="99">
        <f t="shared" si="28"/>
        <v>873</v>
      </c>
      <c r="G217" s="294">
        <v>478.0</v>
      </c>
      <c r="H217" s="295">
        <v>203.0</v>
      </c>
      <c r="I217" s="295">
        <v>200.0</v>
      </c>
      <c r="J217" s="102">
        <f t="shared" si="26"/>
        <v>3</v>
      </c>
      <c r="K217" s="103">
        <f t="shared" si="27"/>
        <v>22.90950745</v>
      </c>
      <c r="L217" s="296"/>
      <c r="M217" s="84">
        <f>SUM(F215:F226)</f>
        <v>10280</v>
      </c>
      <c r="N217" s="84">
        <f>SUM(I215:I226)</f>
        <v>3274.77</v>
      </c>
      <c r="O217" s="85">
        <f>N217/M217*100</f>
        <v>31.8557393</v>
      </c>
      <c r="P217" s="79">
        <f>(M217/100)*(O217-Q217)</f>
        <v>118.81</v>
      </c>
      <c r="Q217" s="78">
        <v>30.7</v>
      </c>
      <c r="R217" s="249"/>
      <c r="T217" s="54"/>
      <c r="U217" s="54"/>
      <c r="V217" s="54"/>
      <c r="W217" s="54"/>
      <c r="X217" s="54"/>
      <c r="Y217" s="54"/>
      <c r="Z217" s="54"/>
      <c r="AA217" s="54"/>
      <c r="AB217" s="287"/>
      <c r="AC217" s="54"/>
      <c r="AD217" s="54"/>
    </row>
    <row r="218">
      <c r="A218" s="60">
        <v>3468.0</v>
      </c>
      <c r="B218" s="292">
        <v>45608.0</v>
      </c>
      <c r="C218" s="292"/>
      <c r="D218" s="297"/>
      <c r="E218" s="298">
        <v>1955869.0</v>
      </c>
      <c r="F218" s="99">
        <f t="shared" si="28"/>
        <v>907</v>
      </c>
      <c r="G218" s="298">
        <v>504.0</v>
      </c>
      <c r="H218" s="176">
        <v>296.0</v>
      </c>
      <c r="I218" s="186">
        <v>300.0</v>
      </c>
      <c r="J218" s="102">
        <f t="shared" si="26"/>
        <v>-4</v>
      </c>
      <c r="K218" s="103">
        <f t="shared" si="27"/>
        <v>33.07607497</v>
      </c>
      <c r="L218" s="54"/>
      <c r="M218" s="54"/>
      <c r="N218" s="54"/>
      <c r="O218" s="54"/>
      <c r="P218" s="86"/>
      <c r="Q218" s="54"/>
      <c r="R218" s="249"/>
      <c r="T218" s="54"/>
      <c r="U218" s="54"/>
      <c r="V218" s="54"/>
      <c r="W218" s="54"/>
      <c r="X218" s="54"/>
      <c r="Y218" s="54"/>
      <c r="Z218" s="54"/>
      <c r="AA218" s="54"/>
      <c r="AB218" s="287"/>
      <c r="AC218" s="54"/>
      <c r="AD218" s="54"/>
    </row>
    <row r="219">
      <c r="A219" s="60">
        <v>3468.0</v>
      </c>
      <c r="B219" s="292">
        <v>45610.0</v>
      </c>
      <c r="C219" s="292"/>
      <c r="D219" s="297"/>
      <c r="E219" s="298">
        <v>1956932.0</v>
      </c>
      <c r="F219" s="99">
        <f t="shared" si="28"/>
        <v>1063</v>
      </c>
      <c r="G219" s="298">
        <v>506.0</v>
      </c>
      <c r="H219" s="176">
        <v>340.0</v>
      </c>
      <c r="I219" s="186">
        <v>333.38</v>
      </c>
      <c r="J219" s="102">
        <f t="shared" si="26"/>
        <v>6.62</v>
      </c>
      <c r="K219" s="103">
        <f t="shared" si="27"/>
        <v>31.3621825</v>
      </c>
      <c r="L219" s="54"/>
      <c r="M219" s="54"/>
      <c r="N219" s="54"/>
      <c r="O219" s="54"/>
      <c r="P219" s="86"/>
      <c r="Q219" s="54"/>
      <c r="R219" s="249"/>
      <c r="T219" s="54"/>
      <c r="U219" s="54"/>
      <c r="V219" s="54"/>
      <c r="W219" s="54"/>
      <c r="X219" s="54"/>
      <c r="Y219" s="54"/>
      <c r="Z219" s="54"/>
      <c r="AA219" s="54"/>
      <c r="AB219" s="287"/>
      <c r="AC219" s="54"/>
      <c r="AD219" s="54"/>
    </row>
    <row r="220">
      <c r="A220" s="60">
        <v>3468.0</v>
      </c>
      <c r="B220" s="292">
        <v>45611.0</v>
      </c>
      <c r="C220" s="292"/>
      <c r="D220" s="297"/>
      <c r="E220" s="298">
        <v>1957770.0</v>
      </c>
      <c r="F220" s="99">
        <f t="shared" si="28"/>
        <v>838</v>
      </c>
      <c r="G220" s="298">
        <v>499.0</v>
      </c>
      <c r="H220" s="176">
        <v>258.0</v>
      </c>
      <c r="I220" s="186">
        <v>254.92</v>
      </c>
      <c r="J220" s="102">
        <f t="shared" si="26"/>
        <v>3.08</v>
      </c>
      <c r="K220" s="103">
        <f t="shared" si="27"/>
        <v>30.42004773</v>
      </c>
      <c r="L220" s="54"/>
      <c r="M220" s="54"/>
      <c r="N220" s="54"/>
      <c r="O220" s="54"/>
      <c r="P220" s="86"/>
      <c r="Q220" s="54"/>
      <c r="R220" s="249"/>
      <c r="T220" s="54"/>
      <c r="U220" s="54"/>
      <c r="V220" s="54"/>
      <c r="W220" s="54"/>
      <c r="X220" s="54"/>
      <c r="Y220" s="54"/>
      <c r="Z220" s="54"/>
      <c r="AA220" s="54"/>
      <c r="AB220" s="287"/>
      <c r="AC220" s="54"/>
      <c r="AD220" s="54"/>
    </row>
    <row r="221">
      <c r="A221" s="60">
        <v>3468.0</v>
      </c>
      <c r="B221" s="292">
        <v>45612.0</v>
      </c>
      <c r="C221" s="292"/>
      <c r="D221" s="297"/>
      <c r="E221" s="298">
        <v>1958628.0</v>
      </c>
      <c r="F221" s="99">
        <f t="shared" si="28"/>
        <v>858</v>
      </c>
      <c r="G221" s="298">
        <v>499.0</v>
      </c>
      <c r="H221" s="176">
        <v>279.0</v>
      </c>
      <c r="I221" s="186">
        <v>279.98</v>
      </c>
      <c r="J221" s="102">
        <f t="shared" si="26"/>
        <v>-0.98</v>
      </c>
      <c r="K221" s="103">
        <f t="shared" si="27"/>
        <v>32.63170163</v>
      </c>
      <c r="L221" s="54"/>
      <c r="M221" s="54"/>
      <c r="N221" s="54"/>
      <c r="O221" s="54"/>
      <c r="P221" s="86"/>
      <c r="Q221" s="54"/>
      <c r="R221" s="249"/>
      <c r="T221" s="54"/>
      <c r="U221" s="54"/>
      <c r="V221" s="54"/>
      <c r="W221" s="54"/>
      <c r="X221" s="54"/>
      <c r="Y221" s="54"/>
      <c r="Z221" s="54"/>
      <c r="AA221" s="54"/>
      <c r="AB221" s="287"/>
      <c r="AC221" s="54"/>
      <c r="AD221" s="54"/>
    </row>
    <row r="222">
      <c r="A222" s="60">
        <v>3468.0</v>
      </c>
      <c r="B222" s="292">
        <v>45613.0</v>
      </c>
      <c r="C222" s="292"/>
      <c r="D222" s="297"/>
      <c r="E222" s="298">
        <v>1959028.0</v>
      </c>
      <c r="F222" s="99">
        <f t="shared" si="28"/>
        <v>400</v>
      </c>
      <c r="G222" s="298">
        <v>500.0</v>
      </c>
      <c r="H222" s="176">
        <v>125.0</v>
      </c>
      <c r="I222" s="186">
        <v>124.18</v>
      </c>
      <c r="J222" s="102">
        <f t="shared" si="26"/>
        <v>0.82</v>
      </c>
      <c r="K222" s="103">
        <f t="shared" si="27"/>
        <v>31.045</v>
      </c>
      <c r="L222" s="54"/>
      <c r="M222" s="54"/>
      <c r="N222" s="54"/>
      <c r="O222" s="54"/>
      <c r="P222" s="86"/>
      <c r="Q222" s="54"/>
      <c r="R222" s="249"/>
      <c r="T222" s="54"/>
      <c r="U222" s="54"/>
      <c r="V222" s="54"/>
      <c r="W222" s="54"/>
      <c r="X222" s="54"/>
      <c r="Y222" s="54"/>
      <c r="Z222" s="54"/>
      <c r="AA222" s="54"/>
      <c r="AB222" s="287"/>
      <c r="AC222" s="54"/>
      <c r="AD222" s="54"/>
    </row>
    <row r="223">
      <c r="A223" s="60">
        <v>3468.0</v>
      </c>
      <c r="B223" s="292">
        <v>45616.0</v>
      </c>
      <c r="C223" s="292"/>
      <c r="D223" s="99"/>
      <c r="E223" s="100">
        <v>1960182.0</v>
      </c>
      <c r="F223" s="99">
        <f t="shared" si="28"/>
        <v>1154</v>
      </c>
      <c r="G223" s="100">
        <v>484.0</v>
      </c>
      <c r="H223" s="101">
        <v>385.0</v>
      </c>
      <c r="I223" s="101">
        <v>400.0</v>
      </c>
      <c r="J223" s="102">
        <f t="shared" si="26"/>
        <v>-15</v>
      </c>
      <c r="K223" s="103">
        <f t="shared" si="27"/>
        <v>34.66204506</v>
      </c>
      <c r="L223" s="54"/>
      <c r="M223" s="54"/>
      <c r="N223" s="54"/>
      <c r="O223" s="54"/>
      <c r="P223" s="86"/>
      <c r="Q223" s="54"/>
      <c r="R223" s="249"/>
      <c r="T223" s="54"/>
      <c r="U223" s="54"/>
      <c r="V223" s="54"/>
      <c r="W223" s="54"/>
      <c r="X223" s="54"/>
      <c r="Y223" s="54"/>
      <c r="Z223" s="54"/>
      <c r="AA223" s="54"/>
      <c r="AB223" s="287"/>
      <c r="AC223" s="54"/>
      <c r="AD223" s="54"/>
    </row>
    <row r="224">
      <c r="A224" s="60">
        <v>4004.0</v>
      </c>
      <c r="B224" s="292">
        <v>45621.0</v>
      </c>
      <c r="C224" s="292"/>
      <c r="D224" s="99"/>
      <c r="E224" s="100">
        <v>1961072.0</v>
      </c>
      <c r="F224" s="99">
        <f t="shared" si="28"/>
        <v>890</v>
      </c>
      <c r="G224" s="100">
        <v>495.0</v>
      </c>
      <c r="H224" s="101">
        <v>331.0</v>
      </c>
      <c r="I224" s="101">
        <v>341.43</v>
      </c>
      <c r="J224" s="102">
        <f t="shared" si="26"/>
        <v>-10.43</v>
      </c>
      <c r="K224" s="103">
        <f t="shared" si="27"/>
        <v>38.36292135</v>
      </c>
      <c r="L224" s="54"/>
      <c r="M224" s="54"/>
      <c r="N224" s="54"/>
      <c r="O224" s="54"/>
      <c r="P224" s="86"/>
      <c r="Q224" s="54"/>
      <c r="R224" s="249"/>
      <c r="T224" s="54"/>
      <c r="U224" s="54"/>
      <c r="V224" s="54"/>
      <c r="W224" s="54"/>
      <c r="X224" s="54"/>
      <c r="Y224" s="54"/>
      <c r="Z224" s="54"/>
      <c r="AA224" s="54"/>
      <c r="AB224" s="287"/>
      <c r="AC224" s="54"/>
      <c r="AD224" s="54"/>
    </row>
    <row r="225">
      <c r="A225" s="60">
        <v>3468.0</v>
      </c>
      <c r="B225" s="292">
        <v>45622.0</v>
      </c>
      <c r="C225" s="292"/>
      <c r="D225" s="99"/>
      <c r="E225" s="100">
        <v>1962130.0</v>
      </c>
      <c r="F225" s="99">
        <f t="shared" si="28"/>
        <v>1058</v>
      </c>
      <c r="G225" s="100">
        <v>460.0</v>
      </c>
      <c r="H225" s="101">
        <v>297.0</v>
      </c>
      <c r="I225" s="101">
        <v>300.0</v>
      </c>
      <c r="J225" s="102">
        <f t="shared" si="26"/>
        <v>-3</v>
      </c>
      <c r="K225" s="103">
        <f t="shared" si="27"/>
        <v>28.35538752</v>
      </c>
      <c r="L225" s="54"/>
      <c r="M225" s="54"/>
      <c r="N225" s="54"/>
      <c r="O225" s="54"/>
      <c r="P225" s="86"/>
      <c r="Q225" s="54"/>
      <c r="R225" s="249"/>
      <c r="T225" s="54"/>
      <c r="U225" s="54"/>
      <c r="V225" s="54"/>
      <c r="W225" s="54"/>
      <c r="X225" s="54"/>
      <c r="Y225" s="54"/>
      <c r="Z225" s="54"/>
      <c r="AA225" s="54"/>
      <c r="AB225" s="287"/>
      <c r="AC225" s="54"/>
      <c r="AD225" s="54"/>
    </row>
    <row r="226">
      <c r="A226" s="54"/>
      <c r="B226" s="292">
        <v>45624.0</v>
      </c>
      <c r="C226" s="292"/>
      <c r="D226" s="99"/>
      <c r="E226" s="206">
        <v>1963071.0</v>
      </c>
      <c r="F226" s="99">
        <f t="shared" si="28"/>
        <v>941</v>
      </c>
      <c r="G226" s="100">
        <v>428.0</v>
      </c>
      <c r="H226" s="101">
        <v>292.0</v>
      </c>
      <c r="I226" s="101">
        <v>300.0</v>
      </c>
      <c r="J226" s="102">
        <f t="shared" si="26"/>
        <v>-8</v>
      </c>
      <c r="K226" s="103">
        <f t="shared" si="27"/>
        <v>31.88097768</v>
      </c>
      <c r="L226" s="54"/>
      <c r="M226" s="54"/>
      <c r="N226" s="54"/>
      <c r="O226" s="54"/>
      <c r="P226" s="86"/>
      <c r="Q226" s="54"/>
      <c r="R226" s="249"/>
      <c r="T226" s="54"/>
      <c r="U226" s="54"/>
      <c r="V226" s="54"/>
      <c r="W226" s="54"/>
      <c r="X226" s="54"/>
      <c r="Y226" s="54"/>
      <c r="Z226" s="54"/>
      <c r="AA226" s="54"/>
      <c r="AB226" s="287"/>
      <c r="AC226" s="54"/>
      <c r="AD226" s="54"/>
    </row>
    <row r="227">
      <c r="A227" s="68"/>
      <c r="B227" s="203" t="str">
        <f>IF(L227=4,"АПРЕЛЬ",IF(L227=5,"МАЙ",IF(L227=1,"ЯНВАРЬ",IF(L227=2,"ФЕВРАЛЬ",IF(L227=3,"МАРТ",IF(L227=6,"ИЮНЬ",IF(L227=7,"ИЮЛЬ",IF(L227=8,"АВГУСТ",IF(L227=9,"СЕНТЯБРЬ",IF(L227=10,"ОКТЯБРЬ",IF(L227=11,"НОЯБРЬ",IF(L227=12,"ДЕКАБРЬ"))))))))))))</f>
        <v>ДЕКАБРЬ</v>
      </c>
      <c r="J227" s="88"/>
      <c r="K227" s="88"/>
      <c r="L227" s="91">
        <f>MONTH(B228)</f>
        <v>12</v>
      </c>
      <c r="M227" s="66"/>
      <c r="N227" s="66"/>
      <c r="O227" s="66"/>
      <c r="P227" s="113"/>
      <c r="Q227" s="66"/>
      <c r="R227" s="249"/>
      <c r="T227" s="288"/>
      <c r="U227" s="289"/>
      <c r="V227" s="289"/>
      <c r="W227" s="289"/>
      <c r="X227" s="289"/>
      <c r="Y227" s="290"/>
      <c r="Z227" s="290"/>
      <c r="AA227" s="290"/>
      <c r="AB227" s="290"/>
      <c r="AC227" s="54"/>
      <c r="AD227" s="54"/>
    </row>
    <row r="228">
      <c r="A228" s="60"/>
      <c r="B228" s="292">
        <v>45628.0</v>
      </c>
      <c r="C228" s="292"/>
      <c r="D228" s="99"/>
      <c r="E228" s="100">
        <v>1963711.0</v>
      </c>
      <c r="F228" s="99">
        <f>E228-E226</f>
        <v>640</v>
      </c>
      <c r="G228" s="100">
        <v>476.0</v>
      </c>
      <c r="H228" s="101">
        <v>290.0</v>
      </c>
      <c r="I228" s="101">
        <v>300.0</v>
      </c>
      <c r="J228" s="102">
        <f t="shared" ref="J228:J233" si="29">H228-I228</f>
        <v>-10</v>
      </c>
      <c r="K228" s="103">
        <f t="shared" ref="K228:K233" si="30">I228/F228*100</f>
        <v>46.875</v>
      </c>
      <c r="L228" s="54"/>
      <c r="M228" s="82" t="str">
        <f>"тотал"&amp;" "&amp;B227&amp;" "&amp;RIGHT(YEAR(B228),2)</f>
        <v>тотал ДЕКАБРЬ 24</v>
      </c>
      <c r="N228" s="75"/>
      <c r="O228" s="75"/>
      <c r="P228" s="75"/>
      <c r="Q228" s="76"/>
      <c r="R228" s="249"/>
      <c r="T228" s="54"/>
      <c r="U228" s="54"/>
      <c r="V228" s="54"/>
      <c r="W228" s="54"/>
      <c r="X228" s="54"/>
      <c r="Y228" s="54"/>
      <c r="Z228" s="54"/>
      <c r="AA228" s="54"/>
      <c r="AB228" s="287"/>
      <c r="AC228" s="54"/>
      <c r="AD228" s="54"/>
    </row>
    <row r="229">
      <c r="A229" s="54"/>
      <c r="B229" s="292">
        <v>45632.0</v>
      </c>
      <c r="C229" s="292"/>
      <c r="D229" s="99"/>
      <c r="E229" s="100">
        <v>1964401.0</v>
      </c>
      <c r="F229" s="99">
        <f t="shared" ref="F229:F233" si="31">E229-E228</f>
        <v>690</v>
      </c>
      <c r="G229" s="100">
        <v>498.0</v>
      </c>
      <c r="H229" s="101">
        <v>249.0</v>
      </c>
      <c r="I229" s="101">
        <v>246.79</v>
      </c>
      <c r="J229" s="102">
        <f t="shared" si="29"/>
        <v>2.21</v>
      </c>
      <c r="K229" s="103">
        <f t="shared" si="30"/>
        <v>35.76666667</v>
      </c>
      <c r="L229" s="60"/>
      <c r="M229" s="83" t="s">
        <v>70</v>
      </c>
      <c r="N229" s="83" t="s">
        <v>71</v>
      </c>
      <c r="O229" s="83" t="s">
        <v>27</v>
      </c>
      <c r="P229" s="77" t="s">
        <v>28</v>
      </c>
      <c r="Q229" s="12" t="s">
        <v>78</v>
      </c>
      <c r="R229" s="249"/>
      <c r="T229" s="54"/>
      <c r="U229" s="54"/>
      <c r="V229" s="54"/>
      <c r="W229" s="54"/>
      <c r="X229" s="54"/>
      <c r="Y229" s="54"/>
      <c r="Z229" s="54"/>
      <c r="AA229" s="54"/>
      <c r="AB229" s="287"/>
      <c r="AC229" s="54"/>
      <c r="AD229" s="54"/>
    </row>
    <row r="230">
      <c r="A230" s="54"/>
      <c r="B230" s="292">
        <v>45633.0</v>
      </c>
      <c r="C230" s="292"/>
      <c r="D230" s="99"/>
      <c r="E230" s="100">
        <v>1965492.0</v>
      </c>
      <c r="F230" s="99">
        <f t="shared" si="31"/>
        <v>1091</v>
      </c>
      <c r="G230" s="100">
        <v>498.0</v>
      </c>
      <c r="H230" s="101">
        <v>338.0</v>
      </c>
      <c r="I230" s="101">
        <v>337.31</v>
      </c>
      <c r="J230" s="102">
        <f t="shared" si="29"/>
        <v>0.69</v>
      </c>
      <c r="K230" s="103">
        <f t="shared" si="30"/>
        <v>30.91750687</v>
      </c>
      <c r="L230" s="54"/>
      <c r="M230" s="84">
        <f>SUM(F228:F239)</f>
        <v>7188</v>
      </c>
      <c r="N230" s="84">
        <f>SUM(I228:I239)</f>
        <v>2783.79</v>
      </c>
      <c r="O230" s="85">
        <f>N230/M230*100</f>
        <v>38.72829716</v>
      </c>
      <c r="P230" s="79">
        <f>(M230/100)*(O230-Q230)</f>
        <v>591.45</v>
      </c>
      <c r="Q230" s="78">
        <v>30.5</v>
      </c>
      <c r="R230" s="249"/>
      <c r="T230" s="54"/>
      <c r="U230" s="54"/>
      <c r="V230" s="54"/>
      <c r="W230" s="54"/>
      <c r="X230" s="54"/>
      <c r="Y230" s="54"/>
      <c r="Z230" s="54"/>
      <c r="AA230" s="54"/>
      <c r="AB230" s="287"/>
      <c r="AC230" s="54"/>
      <c r="AD230" s="54"/>
    </row>
    <row r="231">
      <c r="A231" s="54"/>
      <c r="B231" s="292">
        <v>45638.0</v>
      </c>
      <c r="C231" s="292"/>
      <c r="D231" s="99"/>
      <c r="E231" s="100">
        <v>1966175.0</v>
      </c>
      <c r="F231" s="99">
        <f t="shared" si="31"/>
        <v>683</v>
      </c>
      <c r="G231" s="100">
        <v>477.0</v>
      </c>
      <c r="H231" s="101">
        <v>247.0</v>
      </c>
      <c r="I231" s="101">
        <v>300.0</v>
      </c>
      <c r="J231" s="102">
        <f t="shared" si="29"/>
        <v>-53</v>
      </c>
      <c r="K231" s="103">
        <f t="shared" si="30"/>
        <v>43.9238653</v>
      </c>
      <c r="L231" s="54"/>
      <c r="M231" s="54"/>
      <c r="N231" s="54"/>
      <c r="O231" s="54"/>
      <c r="P231" s="86"/>
      <c r="Q231" s="54"/>
      <c r="R231" s="249"/>
      <c r="T231" s="54"/>
      <c r="U231" s="54"/>
      <c r="V231" s="54"/>
      <c r="W231" s="54"/>
      <c r="X231" s="54"/>
      <c r="Y231" s="54"/>
      <c r="Z231" s="54"/>
      <c r="AA231" s="54"/>
      <c r="AB231" s="287"/>
      <c r="AC231" s="54"/>
      <c r="AD231" s="54"/>
    </row>
    <row r="232">
      <c r="A232" s="54"/>
      <c r="B232" s="292">
        <v>45642.0</v>
      </c>
      <c r="C232" s="292"/>
      <c r="D232" s="99"/>
      <c r="E232" s="100">
        <v>1967061.0</v>
      </c>
      <c r="F232" s="99">
        <f t="shared" si="31"/>
        <v>886</v>
      </c>
      <c r="G232" s="100">
        <v>497.0</v>
      </c>
      <c r="H232" s="101">
        <v>381.0</v>
      </c>
      <c r="I232" s="101">
        <v>400.0</v>
      </c>
      <c r="J232" s="102">
        <f t="shared" si="29"/>
        <v>-19</v>
      </c>
      <c r="K232" s="103">
        <f t="shared" si="30"/>
        <v>45.14672686</v>
      </c>
      <c r="L232" s="54"/>
      <c r="M232" s="54"/>
      <c r="N232" s="54"/>
      <c r="O232" s="54"/>
      <c r="P232" s="86"/>
      <c r="Q232" s="54"/>
      <c r="R232" s="249"/>
      <c r="T232" s="54"/>
      <c r="U232" s="54"/>
      <c r="V232" s="54"/>
      <c r="W232" s="54"/>
      <c r="X232" s="54"/>
      <c r="Y232" s="54"/>
      <c r="Z232" s="54"/>
      <c r="AA232" s="54"/>
      <c r="AB232" s="287"/>
      <c r="AC232" s="54"/>
      <c r="AD232" s="54"/>
    </row>
    <row r="233">
      <c r="A233" s="54"/>
      <c r="B233" s="292">
        <v>45651.0</v>
      </c>
      <c r="C233" s="292"/>
      <c r="D233" s="99"/>
      <c r="E233" s="100">
        <v>1967931.0</v>
      </c>
      <c r="F233" s="99">
        <f t="shared" si="31"/>
        <v>870</v>
      </c>
      <c r="G233" s="100">
        <v>500.0</v>
      </c>
      <c r="H233" s="101">
        <v>324.0</v>
      </c>
      <c r="I233" s="101">
        <v>361.65</v>
      </c>
      <c r="J233" s="102">
        <f t="shared" si="29"/>
        <v>-37.65</v>
      </c>
      <c r="K233" s="103">
        <f t="shared" si="30"/>
        <v>41.56896552</v>
      </c>
      <c r="L233" s="54"/>
      <c r="M233" s="54"/>
      <c r="N233" s="54"/>
      <c r="O233" s="54"/>
      <c r="P233" s="86"/>
      <c r="Q233" s="54"/>
      <c r="R233" s="249"/>
      <c r="T233" s="54"/>
      <c r="U233" s="54"/>
      <c r="V233" s="54"/>
      <c r="W233" s="54"/>
      <c r="X233" s="54"/>
      <c r="Y233" s="54"/>
      <c r="Z233" s="54"/>
      <c r="AA233" s="54"/>
      <c r="AB233" s="287"/>
      <c r="AC233" s="54"/>
      <c r="AD233" s="54"/>
    </row>
    <row r="234">
      <c r="A234" s="68"/>
      <c r="B234" s="134">
        <v>2025.0</v>
      </c>
      <c r="J234" s="88"/>
      <c r="K234" s="88"/>
      <c r="L234" s="299"/>
      <c r="M234" s="66"/>
      <c r="N234" s="66"/>
      <c r="O234" s="66"/>
      <c r="P234" s="113"/>
      <c r="Q234" s="66"/>
      <c r="R234" s="249"/>
      <c r="T234" s="288"/>
      <c r="U234" s="289"/>
      <c r="V234" s="289"/>
      <c r="W234" s="289"/>
      <c r="X234" s="289"/>
      <c r="Y234" s="290"/>
      <c r="Z234" s="290"/>
      <c r="AA234" s="290"/>
      <c r="AB234" s="290"/>
      <c r="AC234" s="54"/>
      <c r="AD234" s="54"/>
    </row>
    <row r="235">
      <c r="A235" s="89"/>
      <c r="B235" s="203" t="str">
        <f>IF(L235=4,"АПРЕЛЬ",IF(L235=5,"МАЙ",IF(L235=1,"ЯНВАРЬ",IF(L235=2,"ФЕВРАЛЬ",IF(L235=3,"МАРТ",IF(L235=6,"ИЮНЬ",IF(L235=7,"ИЮЛЬ",IF(L235=8,"АВГУСТ",IF(L235=9,"СЕНТЯБРЬ",IF(L235=10,"ОКТЯБРЬ",IF(L235=11,"НОЯБРЬ",IF(L235=12,"ДЕКАБРЬ"))))))))))))</f>
        <v>ЯНВАРЬ</v>
      </c>
      <c r="J235" s="89"/>
      <c r="K235" s="90"/>
      <c r="L235" s="91">
        <f>MONTH(B236)</f>
        <v>1</v>
      </c>
      <c r="M235" s="82" t="str">
        <f>"тотал"&amp;" "&amp;B235&amp;" "&amp;RIGHT(YEAR(B236),2)</f>
        <v>тотал ЯНВАРЬ 25</v>
      </c>
      <c r="N235" s="75"/>
      <c r="O235" s="75"/>
      <c r="P235" s="75"/>
      <c r="Q235" s="76"/>
      <c r="R235" s="241"/>
      <c r="S235" s="56"/>
      <c r="T235" s="300"/>
      <c r="U235" s="56"/>
      <c r="V235" s="56"/>
      <c r="W235" s="56"/>
      <c r="X235" s="56"/>
      <c r="Y235" s="56"/>
      <c r="Z235" s="56"/>
      <c r="AA235" s="56"/>
      <c r="AB235" s="301"/>
      <c r="AC235" s="56"/>
      <c r="AD235" s="56"/>
    </row>
    <row r="236">
      <c r="A236" s="54"/>
      <c r="B236" s="292">
        <v>45666.0</v>
      </c>
      <c r="C236" s="292"/>
      <c r="D236" s="99"/>
      <c r="E236" s="100">
        <v>1968676.0</v>
      </c>
      <c r="F236" s="99">
        <f>E236-E233</f>
        <v>745</v>
      </c>
      <c r="G236" s="100">
        <v>493.0</v>
      </c>
      <c r="H236" s="101">
        <v>273.0</v>
      </c>
      <c r="I236" s="101">
        <v>284.1</v>
      </c>
      <c r="J236" s="102">
        <f t="shared" ref="J236:J237" si="32">H236-I236</f>
        <v>-11.1</v>
      </c>
      <c r="K236" s="103">
        <f t="shared" ref="K236:K237" si="33">I236/F236*100</f>
        <v>38.13422819</v>
      </c>
      <c r="L236" s="54"/>
      <c r="M236" s="83" t="s">
        <v>70</v>
      </c>
      <c r="N236" s="83" t="s">
        <v>71</v>
      </c>
      <c r="O236" s="83" t="s">
        <v>27</v>
      </c>
      <c r="P236" s="77" t="s">
        <v>28</v>
      </c>
      <c r="Q236" s="12" t="s">
        <v>78</v>
      </c>
      <c r="R236" s="249"/>
      <c r="T236" s="54"/>
      <c r="U236" s="54"/>
      <c r="V236" s="54"/>
      <c r="W236" s="54"/>
      <c r="X236" s="54"/>
      <c r="Y236" s="54"/>
      <c r="Z236" s="54"/>
      <c r="AA236" s="54"/>
      <c r="AB236" s="287"/>
      <c r="AC236" s="54"/>
      <c r="AD236" s="54"/>
    </row>
    <row r="237">
      <c r="A237" s="54"/>
      <c r="B237" s="292">
        <v>45669.0</v>
      </c>
      <c r="C237" s="292"/>
      <c r="D237" s="99"/>
      <c r="E237" s="100">
        <v>1969637.0</v>
      </c>
      <c r="F237" s="99">
        <f>E237-E236</f>
        <v>961</v>
      </c>
      <c r="G237" s="100">
        <v>489.0</v>
      </c>
      <c r="H237" s="101">
        <v>284.0</v>
      </c>
      <c r="I237" s="101">
        <v>293.51</v>
      </c>
      <c r="J237" s="102">
        <f t="shared" si="32"/>
        <v>-9.51</v>
      </c>
      <c r="K237" s="103">
        <f t="shared" si="33"/>
        <v>30.5421436</v>
      </c>
      <c r="L237" s="54"/>
      <c r="M237" s="84">
        <f>SUM(F236:F237)</f>
        <v>1706</v>
      </c>
      <c r="N237" s="84">
        <f>SUM(I236:I237)</f>
        <v>577.61</v>
      </c>
      <c r="O237" s="85">
        <f>N237/M237*100</f>
        <v>33.85756155</v>
      </c>
      <c r="P237" s="79">
        <f>(M237/100)*(O237-Q237)</f>
        <v>57.28</v>
      </c>
      <c r="Q237" s="78">
        <v>30.5</v>
      </c>
      <c r="R237" s="249"/>
      <c r="T237" s="54"/>
      <c r="U237" s="54"/>
      <c r="V237" s="54"/>
      <c r="W237" s="54"/>
      <c r="X237" s="54"/>
      <c r="Y237" s="54"/>
      <c r="Z237" s="54"/>
      <c r="AA237" s="54"/>
      <c r="AB237" s="287"/>
      <c r="AC237" s="54"/>
      <c r="AD237" s="54"/>
    </row>
    <row r="238">
      <c r="A238" s="89"/>
      <c r="B238" s="203" t="str">
        <f>IF(L238=4,"АПРЕЛЬ",IF(L238=5,"МАЙ",IF(L238=1,"ЯНВАРЬ",IF(L238=2,"ФЕВРАЛЬ",IF(L238=3,"МАРТ",IF(L238=6,"ИЮНЬ",IF(L238=7,"ИЮЛЬ",IF(L238=8,"АВГУСТ",IF(L238=9,"СЕНТЯБРЬ",IF(L238=10,"ОКТЯБРЬ",IF(L238=11,"НОЯБРЬ",IF(L238=12,"ДЕКАБРЬ"))))))))))))</f>
        <v>ФЕВРАЛЬ</v>
      </c>
      <c r="J238" s="89"/>
      <c r="K238" s="90"/>
      <c r="L238" s="91">
        <f>MONTH(B239)</f>
        <v>2</v>
      </c>
      <c r="M238" s="302" t="s">
        <v>268</v>
      </c>
      <c r="P238" s="113"/>
      <c r="Q238" s="66"/>
      <c r="R238" s="249"/>
      <c r="T238" s="54"/>
      <c r="U238" s="54"/>
      <c r="V238" s="54"/>
      <c r="W238" s="54"/>
      <c r="X238" s="54"/>
      <c r="Y238" s="54"/>
      <c r="Z238" s="54"/>
      <c r="AA238" s="54"/>
      <c r="AB238" s="287"/>
      <c r="AC238" s="54"/>
      <c r="AD238" s="54"/>
    </row>
    <row r="239">
      <c r="A239" s="54"/>
      <c r="B239" s="292">
        <v>45690.0</v>
      </c>
      <c r="C239" s="292"/>
      <c r="D239" s="99"/>
      <c r="E239" s="100">
        <v>1970259.0</v>
      </c>
      <c r="F239" s="99">
        <f>E239-E237</f>
        <v>622</v>
      </c>
      <c r="G239" s="100">
        <v>499.0</v>
      </c>
      <c r="H239" s="101">
        <v>248.0</v>
      </c>
      <c r="I239" s="101">
        <v>260.43</v>
      </c>
      <c r="J239" s="102">
        <f t="shared" ref="J239:J246" si="34">H239-I239</f>
        <v>-12.43</v>
      </c>
      <c r="K239" s="103">
        <f t="shared" ref="K239:K246" si="35">I239/F239*100</f>
        <v>41.86977492</v>
      </c>
      <c r="L239" s="54"/>
      <c r="M239" s="82" t="str">
        <f>"тотал"&amp;" "&amp;B238&amp;" "&amp;RIGHT(YEAR(B239),2)</f>
        <v>тотал ФЕВРАЛЬ 25</v>
      </c>
      <c r="N239" s="75"/>
      <c r="O239" s="75"/>
      <c r="P239" s="75"/>
      <c r="Q239" s="76"/>
      <c r="R239" s="249"/>
      <c r="T239" s="54"/>
      <c r="U239" s="54"/>
      <c r="V239" s="54"/>
      <c r="W239" s="54"/>
      <c r="X239" s="54"/>
      <c r="Y239" s="54"/>
      <c r="Z239" s="54"/>
      <c r="AA239" s="54"/>
      <c r="AB239" s="287"/>
      <c r="AC239" s="54"/>
      <c r="AD239" s="54"/>
    </row>
    <row r="240">
      <c r="A240" s="54"/>
      <c r="B240" s="292">
        <v>45695.0</v>
      </c>
      <c r="C240" s="292"/>
      <c r="D240" s="99"/>
      <c r="E240" s="100">
        <v>1970994.0</v>
      </c>
      <c r="F240" s="99">
        <f t="shared" ref="F240:F246" si="36">E240-E239</f>
        <v>735</v>
      </c>
      <c r="G240" s="100">
        <v>493.0</v>
      </c>
      <c r="H240" s="101">
        <v>257.0</v>
      </c>
      <c r="I240" s="101">
        <v>271.3</v>
      </c>
      <c r="J240" s="102">
        <f t="shared" si="34"/>
        <v>-14.3</v>
      </c>
      <c r="K240" s="103">
        <f t="shared" si="35"/>
        <v>36.91156463</v>
      </c>
      <c r="L240" s="54"/>
      <c r="M240" s="83" t="s">
        <v>70</v>
      </c>
      <c r="N240" s="83" t="s">
        <v>71</v>
      </c>
      <c r="O240" s="83" t="s">
        <v>27</v>
      </c>
      <c r="P240" s="77" t="s">
        <v>28</v>
      </c>
      <c r="Q240" s="12" t="s">
        <v>78</v>
      </c>
      <c r="R240" s="249"/>
      <c r="T240" s="54"/>
      <c r="U240" s="54"/>
      <c r="V240" s="54"/>
      <c r="W240" s="54"/>
      <c r="X240" s="54"/>
      <c r="Y240" s="54"/>
      <c r="Z240" s="54"/>
      <c r="AA240" s="54"/>
      <c r="AB240" s="287"/>
      <c r="AC240" s="54"/>
      <c r="AD240" s="54"/>
    </row>
    <row r="241">
      <c r="A241" s="54"/>
      <c r="B241" s="292">
        <v>45700.0</v>
      </c>
      <c r="C241" s="292"/>
      <c r="D241" s="99"/>
      <c r="E241" s="100">
        <v>1971737.0</v>
      </c>
      <c r="F241" s="99">
        <f t="shared" si="36"/>
        <v>743</v>
      </c>
      <c r="G241" s="100">
        <v>494.0</v>
      </c>
      <c r="H241" s="101">
        <v>289.0</v>
      </c>
      <c r="I241" s="101">
        <v>300.0</v>
      </c>
      <c r="J241" s="102">
        <f t="shared" si="34"/>
        <v>-11</v>
      </c>
      <c r="K241" s="103">
        <f t="shared" si="35"/>
        <v>40.37685061</v>
      </c>
      <c r="L241" s="54"/>
      <c r="M241" s="84">
        <f>SUM(F239:F251)</f>
        <v>8643</v>
      </c>
      <c r="N241" s="84">
        <f>SUM(I239:I251)</f>
        <v>3083.17</v>
      </c>
      <c r="O241" s="85">
        <f>N241/M241*100</f>
        <v>35.6724517</v>
      </c>
      <c r="P241" s="79">
        <f>(M241/100)*(O241-Q241)</f>
        <v>403.84</v>
      </c>
      <c r="Q241" s="78">
        <v>31.0</v>
      </c>
      <c r="R241" s="249"/>
      <c r="T241" s="54"/>
      <c r="U241" s="54"/>
      <c r="V241" s="54"/>
      <c r="W241" s="54"/>
      <c r="X241" s="54"/>
      <c r="Y241" s="54"/>
      <c r="Z241" s="54"/>
      <c r="AA241" s="54"/>
      <c r="AB241" s="287"/>
      <c r="AC241" s="54"/>
      <c r="AD241" s="54"/>
    </row>
    <row r="242">
      <c r="A242" s="54"/>
      <c r="B242" s="292">
        <v>45703.0</v>
      </c>
      <c r="C242" s="292"/>
      <c r="D242" s="99"/>
      <c r="E242" s="100">
        <v>1972419.0</v>
      </c>
      <c r="F242" s="99">
        <f t="shared" si="36"/>
        <v>682</v>
      </c>
      <c r="G242" s="100">
        <v>449.0</v>
      </c>
      <c r="H242" s="101">
        <v>241.0</v>
      </c>
      <c r="I242" s="101">
        <v>258.28</v>
      </c>
      <c r="J242" s="102">
        <f t="shared" si="34"/>
        <v>-17.28</v>
      </c>
      <c r="K242" s="103">
        <f t="shared" si="35"/>
        <v>37.87096774</v>
      </c>
      <c r="L242" s="54"/>
      <c r="P242" s="86"/>
      <c r="Q242" s="54"/>
      <c r="R242" s="249"/>
      <c r="T242" s="54"/>
      <c r="U242" s="54"/>
      <c r="V242" s="54"/>
      <c r="W242" s="54"/>
      <c r="X242" s="54"/>
      <c r="Y242" s="54"/>
      <c r="Z242" s="54"/>
      <c r="AA242" s="54"/>
      <c r="AB242" s="287"/>
      <c r="AC242" s="54"/>
      <c r="AD242" s="54"/>
    </row>
    <row r="243">
      <c r="A243" s="54"/>
      <c r="B243" s="292">
        <v>45707.0</v>
      </c>
      <c r="C243" s="292"/>
      <c r="D243" s="99"/>
      <c r="E243" s="100">
        <v>1972973.0</v>
      </c>
      <c r="F243" s="99">
        <f t="shared" si="36"/>
        <v>554</v>
      </c>
      <c r="G243" s="100">
        <v>498.0</v>
      </c>
      <c r="H243" s="101">
        <v>262.0</v>
      </c>
      <c r="I243" s="101">
        <v>268.03</v>
      </c>
      <c r="J243" s="102">
        <f t="shared" si="34"/>
        <v>-6.03</v>
      </c>
      <c r="K243" s="103">
        <f t="shared" si="35"/>
        <v>48.38086643</v>
      </c>
      <c r="L243" s="54"/>
      <c r="P243" s="86"/>
      <c r="Q243" s="54"/>
      <c r="R243" s="249"/>
      <c r="T243" s="54"/>
      <c r="U243" s="54"/>
      <c r="V243" s="54"/>
      <c r="W243" s="54"/>
      <c r="X243" s="54"/>
      <c r="Y243" s="54"/>
      <c r="Z243" s="54"/>
      <c r="AA243" s="54"/>
      <c r="AB243" s="287"/>
      <c r="AC243" s="54"/>
      <c r="AD243" s="54"/>
    </row>
    <row r="244">
      <c r="A244" s="54"/>
      <c r="B244" s="292">
        <v>45712.0</v>
      </c>
      <c r="C244" s="292"/>
      <c r="D244" s="99"/>
      <c r="E244" s="100">
        <v>1973777.0</v>
      </c>
      <c r="F244" s="99">
        <f t="shared" si="36"/>
        <v>804</v>
      </c>
      <c r="G244" s="100">
        <v>483.0</v>
      </c>
      <c r="H244" s="101">
        <v>297.0</v>
      </c>
      <c r="I244" s="101">
        <v>300.0</v>
      </c>
      <c r="J244" s="102">
        <f t="shared" si="34"/>
        <v>-3</v>
      </c>
      <c r="K244" s="103">
        <f t="shared" si="35"/>
        <v>37.31343284</v>
      </c>
      <c r="L244" s="54"/>
      <c r="M244" s="54"/>
      <c r="N244" s="54"/>
      <c r="O244" s="54"/>
      <c r="P244" s="86"/>
      <c r="Q244" s="54"/>
      <c r="R244" s="249"/>
      <c r="T244" s="54"/>
      <c r="U244" s="54"/>
      <c r="V244" s="54"/>
      <c r="W244" s="54"/>
      <c r="X244" s="54"/>
      <c r="Y244" s="54"/>
      <c r="Z244" s="54"/>
      <c r="AA244" s="54"/>
      <c r="AB244" s="287"/>
      <c r="AC244" s="54"/>
      <c r="AD244" s="54"/>
    </row>
    <row r="245">
      <c r="A245" s="54"/>
      <c r="B245" s="292">
        <v>45712.0</v>
      </c>
      <c r="C245" s="292"/>
      <c r="D245" s="99"/>
      <c r="E245" s="100">
        <v>1974213.0</v>
      </c>
      <c r="F245" s="99">
        <f t="shared" si="36"/>
        <v>436</v>
      </c>
      <c r="G245" s="100">
        <v>495.0</v>
      </c>
      <c r="H245" s="101">
        <v>144.0</v>
      </c>
      <c r="I245" s="101">
        <v>139.48</v>
      </c>
      <c r="J245" s="102">
        <f t="shared" si="34"/>
        <v>4.52</v>
      </c>
      <c r="K245" s="103">
        <f t="shared" si="35"/>
        <v>31.99082569</v>
      </c>
      <c r="L245" s="54"/>
      <c r="M245" s="54"/>
      <c r="N245" s="54"/>
      <c r="O245" s="54"/>
      <c r="P245" s="86"/>
      <c r="Q245" s="54"/>
      <c r="R245" s="249"/>
      <c r="T245" s="54"/>
      <c r="U245" s="54"/>
      <c r="V245" s="54"/>
      <c r="W245" s="54"/>
      <c r="X245" s="54"/>
      <c r="Y245" s="54"/>
      <c r="Z245" s="54"/>
      <c r="AA245" s="54"/>
      <c r="AB245" s="287"/>
      <c r="AC245" s="54"/>
      <c r="AD245" s="54"/>
    </row>
    <row r="246">
      <c r="A246" s="54"/>
      <c r="B246" s="292">
        <v>45713.0</v>
      </c>
      <c r="C246" s="292"/>
      <c r="D246" s="99"/>
      <c r="E246" s="100">
        <v>1975176.0</v>
      </c>
      <c r="F246" s="99">
        <f t="shared" si="36"/>
        <v>963</v>
      </c>
      <c r="G246" s="100">
        <v>495.0</v>
      </c>
      <c r="H246" s="101">
        <v>287.0</v>
      </c>
      <c r="I246" s="101">
        <v>294.4</v>
      </c>
      <c r="J246" s="102">
        <f t="shared" si="34"/>
        <v>-7.4</v>
      </c>
      <c r="K246" s="103">
        <f t="shared" si="35"/>
        <v>30.57113188</v>
      </c>
      <c r="L246" s="54"/>
      <c r="M246" s="54"/>
      <c r="N246" s="54"/>
      <c r="O246" s="54"/>
      <c r="P246" s="86"/>
      <c r="Q246" s="54"/>
      <c r="R246" s="249"/>
      <c r="T246" s="54"/>
      <c r="U246" s="54"/>
      <c r="V246" s="54"/>
      <c r="W246" s="54"/>
      <c r="X246" s="54"/>
      <c r="Y246" s="54"/>
      <c r="Z246" s="54"/>
      <c r="AA246" s="54"/>
      <c r="AB246" s="287"/>
      <c r="AC246" s="54"/>
      <c r="AD246" s="54"/>
    </row>
    <row r="247">
      <c r="A247" s="89"/>
      <c r="B247" s="203" t="str">
        <f>IF(L247=4,"АПРЕЛЬ",IF(L247=5,"МАЙ",IF(L247=1,"ЯНВАРЬ",IF(L247=2,"ФЕВРАЛЬ",IF(L247=3,"МАРТ",IF(L247=6,"ИЮНЬ",IF(L247=7,"ИЮЛЬ",IF(L247=8,"АВГУСТ",IF(L247=9,"СЕНТЯБРЬ",IF(L247=10,"ОКТЯБРЬ",IF(L247=11,"НОЯБРЬ",IF(L247=12,"ДЕКАБРЬ"))))))))))))</f>
        <v>МАРТ</v>
      </c>
      <c r="J247" s="89"/>
      <c r="K247" s="90"/>
      <c r="L247" s="91">
        <f>MONTH(B248)</f>
        <v>3</v>
      </c>
      <c r="M247" s="66"/>
      <c r="N247" s="66"/>
      <c r="O247" s="66"/>
      <c r="P247" s="113"/>
      <c r="Q247" s="66"/>
      <c r="R247" s="249"/>
      <c r="T247" s="54"/>
      <c r="U247" s="54"/>
      <c r="V247" s="54"/>
      <c r="W247" s="54"/>
      <c r="X247" s="54"/>
      <c r="Y247" s="54"/>
      <c r="Z247" s="54"/>
      <c r="AA247" s="54"/>
      <c r="AB247" s="287"/>
      <c r="AC247" s="54"/>
      <c r="AD247" s="54"/>
    </row>
    <row r="248">
      <c r="A248" s="54"/>
      <c r="B248" s="292">
        <v>45720.0</v>
      </c>
      <c r="C248" s="292"/>
      <c r="D248" s="99"/>
      <c r="E248" s="100">
        <v>1975700.0</v>
      </c>
      <c r="F248" s="99">
        <f>E248-E246</f>
        <v>524</v>
      </c>
      <c r="G248" s="100">
        <v>492.0</v>
      </c>
      <c r="H248" s="101">
        <v>182.0</v>
      </c>
      <c r="I248" s="101">
        <v>186.36</v>
      </c>
      <c r="J248" s="102">
        <f t="shared" ref="J248:J268" si="37">H248-I248</f>
        <v>-4.36</v>
      </c>
      <c r="K248" s="103">
        <f t="shared" ref="K248:K268" si="38">I248/F248*100</f>
        <v>35.5648855</v>
      </c>
      <c r="L248" s="54"/>
      <c r="M248" s="82" t="str">
        <f>"тотал"&amp;" "&amp;B247&amp;" "&amp;RIGHT(YEAR(B248),2)</f>
        <v>тотал МАРТ 25</v>
      </c>
      <c r="N248" s="75"/>
      <c r="O248" s="75"/>
      <c r="P248" s="75"/>
      <c r="Q248" s="76"/>
      <c r="R248" s="249"/>
      <c r="T248" s="54"/>
      <c r="U248" s="54"/>
      <c r="V248" s="54"/>
      <c r="W248" s="54"/>
      <c r="X248" s="54"/>
      <c r="Y248" s="54"/>
      <c r="Z248" s="54"/>
      <c r="AA248" s="54"/>
      <c r="AB248" s="287"/>
      <c r="AC248" s="54"/>
      <c r="AD248" s="54"/>
    </row>
    <row r="249">
      <c r="A249" s="54"/>
      <c r="B249" s="292">
        <v>45721.0</v>
      </c>
      <c r="C249" s="292"/>
      <c r="D249" s="99"/>
      <c r="E249" s="100">
        <v>1976632.0</v>
      </c>
      <c r="F249" s="99">
        <f t="shared" ref="F249:F268" si="39">E249-E248</f>
        <v>932</v>
      </c>
      <c r="G249" s="100">
        <v>499.0</v>
      </c>
      <c r="H249" s="101">
        <v>302.0</v>
      </c>
      <c r="I249" s="101">
        <v>300.06</v>
      </c>
      <c r="J249" s="102">
        <f t="shared" si="37"/>
        <v>1.94</v>
      </c>
      <c r="K249" s="103">
        <f t="shared" si="38"/>
        <v>32.19527897</v>
      </c>
      <c r="L249" s="54"/>
      <c r="M249" s="83" t="s">
        <v>70</v>
      </c>
      <c r="N249" s="83" t="s">
        <v>71</v>
      </c>
      <c r="O249" s="83" t="s">
        <v>27</v>
      </c>
      <c r="P249" s="77" t="s">
        <v>28</v>
      </c>
      <c r="Q249" s="12" t="s">
        <v>78</v>
      </c>
      <c r="R249" s="249"/>
      <c r="T249" s="54"/>
      <c r="U249" s="54"/>
      <c r="V249" s="54"/>
      <c r="W249" s="54"/>
      <c r="X249" s="54"/>
      <c r="Y249" s="54"/>
      <c r="Z249" s="54"/>
      <c r="AA249" s="54"/>
      <c r="AB249" s="287"/>
      <c r="AC249" s="54"/>
      <c r="AD249" s="54"/>
    </row>
    <row r="250">
      <c r="A250" s="54"/>
      <c r="B250" s="292">
        <v>45722.0</v>
      </c>
      <c r="C250" s="292"/>
      <c r="D250" s="99"/>
      <c r="E250" s="100">
        <v>1977348.0</v>
      </c>
      <c r="F250" s="99">
        <f t="shared" si="39"/>
        <v>716</v>
      </c>
      <c r="G250" s="100">
        <v>501.0</v>
      </c>
      <c r="H250" s="101">
        <v>213.0</v>
      </c>
      <c r="I250" s="101">
        <v>214.79</v>
      </c>
      <c r="J250" s="102">
        <f t="shared" si="37"/>
        <v>-1.79</v>
      </c>
      <c r="K250" s="103">
        <f t="shared" si="38"/>
        <v>29.99860335</v>
      </c>
      <c r="L250" s="54"/>
      <c r="M250" s="84">
        <f>SUM(F248:F268)</f>
        <v>17363</v>
      </c>
      <c r="N250" s="84">
        <f>SUM(I248:I268)</f>
        <v>5469.51</v>
      </c>
      <c r="O250" s="85">
        <f>N250/M250*100</f>
        <v>31.5009503</v>
      </c>
      <c r="P250" s="79">
        <f>(M250/100)*(O250-Q250)</f>
        <v>607.87</v>
      </c>
      <c r="Q250" s="78">
        <v>28.0</v>
      </c>
      <c r="R250" s="249"/>
      <c r="T250" s="54"/>
      <c r="U250" s="54"/>
      <c r="V250" s="54"/>
      <c r="W250" s="54"/>
      <c r="X250" s="54"/>
      <c r="Y250" s="54"/>
      <c r="Z250" s="54"/>
      <c r="AA250" s="54"/>
      <c r="AB250" s="287"/>
      <c r="AC250" s="54"/>
      <c r="AD250" s="54"/>
    </row>
    <row r="251">
      <c r="A251" s="54"/>
      <c r="B251" s="292">
        <v>45723.0</v>
      </c>
      <c r="C251" s="292"/>
      <c r="D251" s="99"/>
      <c r="E251" s="100">
        <v>1978280.0</v>
      </c>
      <c r="F251" s="99">
        <f t="shared" si="39"/>
        <v>932</v>
      </c>
      <c r="G251" s="100">
        <v>495.0</v>
      </c>
      <c r="H251" s="101">
        <v>288.0</v>
      </c>
      <c r="I251" s="101">
        <v>290.04</v>
      </c>
      <c r="J251" s="102">
        <f t="shared" si="37"/>
        <v>-2.04</v>
      </c>
      <c r="K251" s="103">
        <f t="shared" si="38"/>
        <v>31.12017167</v>
      </c>
      <c r="L251" s="54"/>
      <c r="M251" s="54"/>
      <c r="N251" s="54"/>
      <c r="O251" s="54"/>
      <c r="P251" s="86"/>
      <c r="Q251" s="54"/>
      <c r="R251" s="249"/>
      <c r="T251" s="54"/>
      <c r="U251" s="54"/>
      <c r="V251" s="54"/>
      <c r="W251" s="54"/>
      <c r="X251" s="54"/>
      <c r="Y251" s="54"/>
      <c r="Z251" s="54"/>
      <c r="AA251" s="54"/>
      <c r="AB251" s="287"/>
      <c r="AC251" s="54"/>
      <c r="AD251" s="54"/>
    </row>
    <row r="252">
      <c r="A252" s="54"/>
      <c r="B252" s="292">
        <v>45725.0</v>
      </c>
      <c r="C252" s="292"/>
      <c r="D252" s="99"/>
      <c r="E252" s="100">
        <v>1979001.0</v>
      </c>
      <c r="F252" s="99">
        <f t="shared" si="39"/>
        <v>721</v>
      </c>
      <c r="G252" s="100">
        <v>497.0</v>
      </c>
      <c r="H252" s="101">
        <v>229.0</v>
      </c>
      <c r="I252" s="101">
        <v>230.01</v>
      </c>
      <c r="J252" s="102">
        <f t="shared" si="37"/>
        <v>-1.01</v>
      </c>
      <c r="K252" s="103">
        <f t="shared" si="38"/>
        <v>31.90152566</v>
      </c>
      <c r="L252" s="54"/>
      <c r="M252" s="54"/>
      <c r="N252" s="54"/>
      <c r="O252" s="54"/>
      <c r="P252" s="86"/>
      <c r="Q252" s="54"/>
      <c r="R252" s="249"/>
      <c r="T252" s="54"/>
      <c r="U252" s="54"/>
      <c r="V252" s="54"/>
      <c r="W252" s="54"/>
      <c r="X252" s="54"/>
      <c r="Y252" s="54"/>
      <c r="Z252" s="54"/>
      <c r="AA252" s="54"/>
      <c r="AB252" s="287"/>
      <c r="AC252" s="54"/>
      <c r="AD252" s="54"/>
    </row>
    <row r="253">
      <c r="A253" s="54"/>
      <c r="B253" s="292">
        <v>45726.0</v>
      </c>
      <c r="C253" s="292"/>
      <c r="D253" s="99"/>
      <c r="E253" s="100">
        <v>1979932.0</v>
      </c>
      <c r="F253" s="99">
        <f t="shared" si="39"/>
        <v>931</v>
      </c>
      <c r="G253" s="100">
        <v>503.0</v>
      </c>
      <c r="H253" s="101">
        <v>292.0</v>
      </c>
      <c r="I253" s="101">
        <v>285.14</v>
      </c>
      <c r="J253" s="102">
        <f t="shared" si="37"/>
        <v>6.86</v>
      </c>
      <c r="K253" s="103">
        <f t="shared" si="38"/>
        <v>30.62728249</v>
      </c>
      <c r="L253" s="54"/>
      <c r="M253" s="54"/>
      <c r="N253" s="54"/>
      <c r="O253" s="54"/>
      <c r="P253" s="86"/>
      <c r="Q253" s="54"/>
      <c r="R253" s="249"/>
      <c r="T253" s="54"/>
      <c r="U253" s="54"/>
      <c r="V253" s="54"/>
      <c r="W253" s="54"/>
      <c r="X253" s="54"/>
      <c r="Y253" s="54"/>
      <c r="Z253" s="54"/>
      <c r="AA253" s="54"/>
      <c r="AB253" s="287"/>
      <c r="AC253" s="54"/>
      <c r="AD253" s="54"/>
    </row>
    <row r="254">
      <c r="A254" s="54"/>
      <c r="B254" s="292">
        <v>45727.0</v>
      </c>
      <c r="C254" s="292"/>
      <c r="D254" s="99"/>
      <c r="E254" s="100">
        <v>1980644.0</v>
      </c>
      <c r="F254" s="99">
        <f t="shared" si="39"/>
        <v>712</v>
      </c>
      <c r="G254" s="100">
        <v>498.0</v>
      </c>
      <c r="H254" s="101">
        <v>207.0</v>
      </c>
      <c r="I254" s="101">
        <v>209.49</v>
      </c>
      <c r="J254" s="102">
        <f t="shared" si="37"/>
        <v>-2.49</v>
      </c>
      <c r="K254" s="103">
        <f t="shared" si="38"/>
        <v>29.42275281</v>
      </c>
      <c r="L254" s="54"/>
      <c r="M254" s="54"/>
      <c r="N254" s="54"/>
      <c r="O254" s="54"/>
      <c r="P254" s="86"/>
      <c r="Q254" s="54"/>
      <c r="R254" s="249"/>
      <c r="T254" s="54"/>
      <c r="U254" s="54"/>
      <c r="V254" s="54"/>
      <c r="W254" s="54"/>
      <c r="X254" s="54"/>
      <c r="Y254" s="54"/>
      <c r="Z254" s="54"/>
      <c r="AA254" s="54"/>
      <c r="AB254" s="287"/>
      <c r="AC254" s="54"/>
      <c r="AD254" s="54"/>
    </row>
    <row r="255">
      <c r="A255" s="54"/>
      <c r="B255" s="292">
        <v>45729.0</v>
      </c>
      <c r="C255" s="292"/>
      <c r="D255" s="99"/>
      <c r="E255" s="100">
        <v>1981780.0</v>
      </c>
      <c r="F255" s="99">
        <f t="shared" si="39"/>
        <v>1136</v>
      </c>
      <c r="G255" s="100">
        <v>496.0</v>
      </c>
      <c r="H255" s="101">
        <v>346.0</v>
      </c>
      <c r="I255" s="101">
        <v>350.0</v>
      </c>
      <c r="J255" s="102">
        <f t="shared" si="37"/>
        <v>-4</v>
      </c>
      <c r="K255" s="103">
        <f t="shared" si="38"/>
        <v>30.80985915</v>
      </c>
      <c r="L255" s="54"/>
      <c r="M255" s="54"/>
      <c r="N255" s="54"/>
      <c r="O255" s="54"/>
      <c r="P255" s="86"/>
      <c r="Q255" s="54"/>
      <c r="R255" s="249"/>
      <c r="T255" s="54"/>
      <c r="U255" s="54"/>
      <c r="V255" s="54"/>
      <c r="W255" s="54"/>
      <c r="X255" s="54"/>
      <c r="Y255" s="54"/>
      <c r="Z255" s="54"/>
      <c r="AA255" s="54"/>
      <c r="AB255" s="287"/>
      <c r="AC255" s="54"/>
      <c r="AD255" s="54"/>
    </row>
    <row r="256">
      <c r="A256" s="54"/>
      <c r="B256" s="292">
        <v>45729.0</v>
      </c>
      <c r="C256" s="292"/>
      <c r="D256" s="99"/>
      <c r="E256" s="100">
        <v>1982287.0</v>
      </c>
      <c r="F256" s="99">
        <f t="shared" si="39"/>
        <v>507</v>
      </c>
      <c r="G256" s="100">
        <v>494.0</v>
      </c>
      <c r="H256" s="101">
        <v>151.0</v>
      </c>
      <c r="I256" s="101">
        <v>154.9</v>
      </c>
      <c r="J256" s="102">
        <f t="shared" si="37"/>
        <v>-3.9</v>
      </c>
      <c r="K256" s="103">
        <f t="shared" si="38"/>
        <v>30.55226824</v>
      </c>
      <c r="L256" s="54"/>
      <c r="M256" s="54"/>
      <c r="N256" s="54"/>
      <c r="O256" s="54"/>
      <c r="P256" s="86"/>
      <c r="Q256" s="54"/>
      <c r="R256" s="249"/>
      <c r="T256" s="54"/>
      <c r="U256" s="54"/>
      <c r="V256" s="54"/>
      <c r="W256" s="54"/>
      <c r="X256" s="54"/>
      <c r="Y256" s="54"/>
      <c r="Z256" s="54"/>
      <c r="AA256" s="54"/>
      <c r="AB256" s="287"/>
      <c r="AC256" s="54"/>
      <c r="AD256" s="54"/>
    </row>
    <row r="257">
      <c r="A257" s="54"/>
      <c r="B257" s="292">
        <v>45731.0</v>
      </c>
      <c r="C257" s="292"/>
      <c r="D257" s="99"/>
      <c r="E257" s="100">
        <v>1983424.0</v>
      </c>
      <c r="F257" s="99">
        <f t="shared" si="39"/>
        <v>1137</v>
      </c>
      <c r="G257" s="100">
        <v>497.0</v>
      </c>
      <c r="H257" s="101">
        <v>379.0</v>
      </c>
      <c r="I257" s="101">
        <v>380.05</v>
      </c>
      <c r="J257" s="102">
        <f t="shared" si="37"/>
        <v>-1.05</v>
      </c>
      <c r="K257" s="103">
        <f t="shared" si="38"/>
        <v>33.42568162</v>
      </c>
      <c r="L257" s="54"/>
      <c r="M257" s="54"/>
      <c r="N257" s="54"/>
      <c r="O257" s="54"/>
      <c r="P257" s="86"/>
      <c r="Q257" s="54"/>
      <c r="R257" s="249"/>
      <c r="T257" s="54"/>
      <c r="U257" s="54"/>
      <c r="V257" s="54"/>
      <c r="W257" s="54"/>
      <c r="X257" s="54"/>
      <c r="Y257" s="54"/>
      <c r="Z257" s="54"/>
      <c r="AA257" s="54"/>
      <c r="AB257" s="287"/>
      <c r="AC257" s="54"/>
      <c r="AD257" s="54"/>
    </row>
    <row r="258">
      <c r="A258" s="54"/>
      <c r="B258" s="292">
        <v>45732.0</v>
      </c>
      <c r="C258" s="292"/>
      <c r="D258" s="99"/>
      <c r="E258" s="100">
        <v>1984075.0</v>
      </c>
      <c r="F258" s="99">
        <f t="shared" si="39"/>
        <v>651</v>
      </c>
      <c r="G258" s="100">
        <v>493.0</v>
      </c>
      <c r="H258" s="101">
        <v>212.0</v>
      </c>
      <c r="I258" s="101">
        <v>215.17</v>
      </c>
      <c r="J258" s="102">
        <f t="shared" si="37"/>
        <v>-3.17</v>
      </c>
      <c r="K258" s="103">
        <f t="shared" si="38"/>
        <v>33.05222734</v>
      </c>
      <c r="L258" s="54"/>
      <c r="M258" s="54"/>
      <c r="N258" s="54"/>
      <c r="O258" s="54"/>
      <c r="P258" s="86"/>
      <c r="Q258" s="54"/>
      <c r="R258" s="249"/>
      <c r="T258" s="54"/>
      <c r="U258" s="54"/>
      <c r="V258" s="54"/>
      <c r="W258" s="54"/>
      <c r="X258" s="54"/>
      <c r="Y258" s="54"/>
      <c r="Z258" s="54"/>
      <c r="AA258" s="54"/>
      <c r="AB258" s="287"/>
      <c r="AC258" s="54"/>
      <c r="AD258" s="54"/>
    </row>
    <row r="259">
      <c r="A259" s="54"/>
      <c r="B259" s="292">
        <v>45734.0</v>
      </c>
      <c r="C259" s="292"/>
      <c r="D259" s="99"/>
      <c r="E259" s="100">
        <v>1985253.0</v>
      </c>
      <c r="F259" s="99">
        <f t="shared" si="39"/>
        <v>1178</v>
      </c>
      <c r="G259" s="100">
        <v>492.0</v>
      </c>
      <c r="H259" s="101">
        <v>352.0</v>
      </c>
      <c r="I259" s="101">
        <v>354.69</v>
      </c>
      <c r="J259" s="102">
        <f t="shared" si="37"/>
        <v>-2.69</v>
      </c>
      <c r="K259" s="103">
        <f t="shared" si="38"/>
        <v>30.10950764</v>
      </c>
      <c r="L259" s="54"/>
      <c r="M259" s="54"/>
      <c r="N259" s="54"/>
      <c r="O259" s="54"/>
      <c r="P259" s="86"/>
      <c r="Q259" s="54"/>
      <c r="R259" s="249"/>
      <c r="T259" s="54"/>
      <c r="U259" s="54"/>
      <c r="V259" s="54"/>
      <c r="W259" s="54"/>
      <c r="X259" s="54"/>
      <c r="Y259" s="54"/>
      <c r="Z259" s="54"/>
      <c r="AA259" s="54"/>
      <c r="AB259" s="287"/>
      <c r="AC259" s="54"/>
      <c r="AD259" s="54"/>
    </row>
    <row r="260">
      <c r="A260" s="54"/>
      <c r="B260" s="292">
        <v>45735.0</v>
      </c>
      <c r="C260" s="292"/>
      <c r="D260" s="99"/>
      <c r="E260" s="100">
        <v>1985771.0</v>
      </c>
      <c r="F260" s="99">
        <f t="shared" si="39"/>
        <v>518</v>
      </c>
      <c r="G260" s="100">
        <v>492.0</v>
      </c>
      <c r="H260" s="101">
        <v>169.0</v>
      </c>
      <c r="I260" s="101">
        <v>170.03</v>
      </c>
      <c r="J260" s="102">
        <f t="shared" si="37"/>
        <v>-1.03</v>
      </c>
      <c r="K260" s="103">
        <f t="shared" si="38"/>
        <v>32.82432432</v>
      </c>
      <c r="L260" s="54"/>
      <c r="M260" s="54"/>
      <c r="N260" s="54"/>
      <c r="O260" s="54"/>
      <c r="P260" s="86"/>
      <c r="Q260" s="54"/>
      <c r="R260" s="249"/>
      <c r="T260" s="54"/>
      <c r="U260" s="54"/>
      <c r="V260" s="54"/>
      <c r="W260" s="54"/>
      <c r="X260" s="54"/>
      <c r="Y260" s="54"/>
      <c r="Z260" s="54"/>
      <c r="AA260" s="54"/>
      <c r="AB260" s="287"/>
      <c r="AC260" s="54"/>
      <c r="AD260" s="54"/>
    </row>
    <row r="261">
      <c r="A261" s="54"/>
      <c r="B261" s="292">
        <v>45735.0</v>
      </c>
      <c r="C261" s="292"/>
      <c r="D261" s="99"/>
      <c r="E261" s="100">
        <v>1986423.0</v>
      </c>
      <c r="F261" s="99">
        <f t="shared" si="39"/>
        <v>652</v>
      </c>
      <c r="G261" s="100">
        <v>489.0</v>
      </c>
      <c r="H261" s="101">
        <v>203.0</v>
      </c>
      <c r="I261" s="101">
        <v>207.55</v>
      </c>
      <c r="J261" s="102">
        <f t="shared" si="37"/>
        <v>-4.55</v>
      </c>
      <c r="K261" s="103">
        <f t="shared" si="38"/>
        <v>31.83282209</v>
      </c>
      <c r="L261" s="54"/>
      <c r="M261" s="54"/>
      <c r="N261" s="54"/>
      <c r="O261" s="54"/>
      <c r="P261" s="86"/>
      <c r="Q261" s="54"/>
      <c r="R261" s="249"/>
      <c r="T261" s="54"/>
      <c r="U261" s="54"/>
      <c r="V261" s="54"/>
      <c r="W261" s="54"/>
      <c r="X261" s="54"/>
      <c r="Y261" s="54"/>
      <c r="Z261" s="54"/>
      <c r="AA261" s="54"/>
      <c r="AB261" s="287"/>
      <c r="AC261" s="54"/>
      <c r="AD261" s="54"/>
    </row>
    <row r="262">
      <c r="A262" s="54"/>
      <c r="B262" s="292">
        <v>45737.0</v>
      </c>
      <c r="C262" s="292"/>
      <c r="D262" s="99"/>
      <c r="E262" s="100">
        <v>1987243.0</v>
      </c>
      <c r="F262" s="99">
        <f t="shared" si="39"/>
        <v>820</v>
      </c>
      <c r="G262" s="100">
        <v>488.0</v>
      </c>
      <c r="H262" s="101">
        <v>249.0</v>
      </c>
      <c r="I262" s="101">
        <v>250.0</v>
      </c>
      <c r="J262" s="102">
        <f t="shared" si="37"/>
        <v>-1</v>
      </c>
      <c r="K262" s="103">
        <f t="shared" si="38"/>
        <v>30.48780488</v>
      </c>
      <c r="L262" s="54"/>
      <c r="M262" s="54"/>
      <c r="N262" s="54"/>
      <c r="O262" s="54"/>
      <c r="P262" s="86"/>
      <c r="Q262" s="54"/>
      <c r="R262" s="249"/>
      <c r="T262" s="54"/>
      <c r="U262" s="54"/>
      <c r="V262" s="54"/>
      <c r="W262" s="54"/>
      <c r="X262" s="54"/>
      <c r="Y262" s="54"/>
      <c r="Z262" s="54"/>
      <c r="AA262" s="54"/>
      <c r="AB262" s="287"/>
      <c r="AC262" s="54"/>
      <c r="AD262" s="54"/>
    </row>
    <row r="263">
      <c r="A263" s="54"/>
      <c r="B263" s="292">
        <v>45737.0</v>
      </c>
      <c r="C263" s="292"/>
      <c r="D263" s="99"/>
      <c r="E263" s="100">
        <v>1987894.0</v>
      </c>
      <c r="F263" s="99">
        <f t="shared" si="39"/>
        <v>651</v>
      </c>
      <c r="G263" s="100">
        <v>491.0</v>
      </c>
      <c r="H263" s="101">
        <v>195.0</v>
      </c>
      <c r="I263" s="101">
        <v>200.0</v>
      </c>
      <c r="J263" s="102">
        <f t="shared" si="37"/>
        <v>-5</v>
      </c>
      <c r="K263" s="103">
        <f t="shared" si="38"/>
        <v>30.72196621</v>
      </c>
      <c r="L263" s="54"/>
      <c r="M263" s="54"/>
      <c r="N263" s="54"/>
      <c r="O263" s="54"/>
      <c r="P263" s="86"/>
      <c r="Q263" s="54"/>
      <c r="R263" s="249"/>
      <c r="T263" s="54"/>
      <c r="U263" s="54"/>
      <c r="V263" s="54"/>
      <c r="W263" s="54"/>
      <c r="X263" s="54"/>
      <c r="Y263" s="54"/>
      <c r="Z263" s="54"/>
      <c r="AA263" s="54"/>
      <c r="AB263" s="287"/>
      <c r="AC263" s="54"/>
      <c r="AD263" s="54"/>
    </row>
    <row r="264">
      <c r="A264" s="54"/>
      <c r="B264" s="292">
        <v>45739.0</v>
      </c>
      <c r="C264" s="292"/>
      <c r="D264" s="99"/>
      <c r="E264" s="100">
        <v>1988900.0</v>
      </c>
      <c r="F264" s="99">
        <f t="shared" si="39"/>
        <v>1006</v>
      </c>
      <c r="G264" s="100">
        <v>491.0</v>
      </c>
      <c r="H264" s="101">
        <v>299.0</v>
      </c>
      <c r="I264" s="101">
        <v>300.0</v>
      </c>
      <c r="J264" s="102">
        <f t="shared" si="37"/>
        <v>-1</v>
      </c>
      <c r="K264" s="103">
        <f t="shared" si="38"/>
        <v>29.82107356</v>
      </c>
      <c r="L264" s="54"/>
      <c r="M264" s="54"/>
      <c r="N264" s="54"/>
      <c r="O264" s="54"/>
      <c r="P264" s="86"/>
      <c r="Q264" s="54"/>
      <c r="R264" s="249"/>
      <c r="T264" s="54"/>
      <c r="U264" s="54"/>
      <c r="V264" s="54"/>
      <c r="W264" s="54"/>
      <c r="X264" s="54"/>
      <c r="Y264" s="54"/>
      <c r="Z264" s="54"/>
      <c r="AA264" s="54"/>
      <c r="AB264" s="287"/>
      <c r="AC264" s="54"/>
      <c r="AD264" s="54"/>
    </row>
    <row r="265">
      <c r="A265" s="54"/>
      <c r="B265" s="292">
        <v>45741.0</v>
      </c>
      <c r="C265" s="292"/>
      <c r="D265" s="99"/>
      <c r="E265" s="100">
        <v>1990037.0</v>
      </c>
      <c r="F265" s="99">
        <f t="shared" si="39"/>
        <v>1137</v>
      </c>
      <c r="G265" s="100">
        <v>422.0</v>
      </c>
      <c r="H265" s="101">
        <v>297.0</v>
      </c>
      <c r="I265" s="101">
        <v>295.0</v>
      </c>
      <c r="J265" s="102">
        <f t="shared" si="37"/>
        <v>2</v>
      </c>
      <c r="K265" s="103">
        <f t="shared" si="38"/>
        <v>25.94547054</v>
      </c>
      <c r="L265" s="54"/>
      <c r="M265" s="54"/>
      <c r="N265" s="54"/>
      <c r="O265" s="54"/>
      <c r="P265" s="86"/>
      <c r="Q265" s="54"/>
      <c r="R265" s="249"/>
      <c r="T265" s="54"/>
      <c r="U265" s="54"/>
      <c r="V265" s="54"/>
      <c r="W265" s="54"/>
      <c r="X265" s="54"/>
      <c r="Y265" s="54"/>
      <c r="Z265" s="54"/>
      <c r="AA265" s="54"/>
      <c r="AB265" s="287"/>
      <c r="AC265" s="54"/>
      <c r="AD265" s="54"/>
    </row>
    <row r="266">
      <c r="A266" s="54"/>
      <c r="B266" s="292">
        <v>45741.0</v>
      </c>
      <c r="C266" s="292"/>
      <c r="D266" s="99"/>
      <c r="E266" s="100">
        <v>1990728.0</v>
      </c>
      <c r="F266" s="99">
        <f t="shared" si="39"/>
        <v>691</v>
      </c>
      <c r="G266" s="100">
        <v>496.0</v>
      </c>
      <c r="H266" s="101">
        <v>289.0</v>
      </c>
      <c r="I266" s="101">
        <v>290.05</v>
      </c>
      <c r="J266" s="102">
        <f t="shared" si="37"/>
        <v>-1.05</v>
      </c>
      <c r="K266" s="103">
        <f t="shared" si="38"/>
        <v>41.97539797</v>
      </c>
      <c r="L266" s="54"/>
      <c r="M266" s="54"/>
      <c r="N266" s="54"/>
      <c r="O266" s="54"/>
      <c r="P266" s="86"/>
      <c r="Q266" s="54"/>
      <c r="R266" s="249"/>
      <c r="T266" s="54"/>
      <c r="U266" s="54"/>
      <c r="V266" s="54"/>
      <c r="W266" s="54"/>
      <c r="X266" s="54"/>
      <c r="Y266" s="54"/>
      <c r="Z266" s="54"/>
      <c r="AA266" s="54"/>
      <c r="AB266" s="287"/>
      <c r="AC266" s="54"/>
      <c r="AD266" s="54"/>
    </row>
    <row r="267">
      <c r="A267" s="54"/>
      <c r="B267" s="292">
        <v>45744.0</v>
      </c>
      <c r="C267" s="292"/>
      <c r="D267" s="99"/>
      <c r="E267" s="100">
        <v>1991520.0</v>
      </c>
      <c r="F267" s="99">
        <f t="shared" si="39"/>
        <v>792</v>
      </c>
      <c r="G267" s="100">
        <v>494.0</v>
      </c>
      <c r="H267" s="101">
        <v>249.0</v>
      </c>
      <c r="I267" s="101">
        <v>250.03</v>
      </c>
      <c r="J267" s="102">
        <f t="shared" si="37"/>
        <v>-1.03</v>
      </c>
      <c r="K267" s="103">
        <f t="shared" si="38"/>
        <v>31.56944444</v>
      </c>
      <c r="L267" s="54"/>
      <c r="M267" s="54"/>
      <c r="N267" s="54"/>
      <c r="O267" s="54"/>
      <c r="P267" s="86"/>
      <c r="Q267" s="54"/>
      <c r="R267" s="249"/>
      <c r="T267" s="54"/>
      <c r="U267" s="54"/>
      <c r="V267" s="54"/>
      <c r="W267" s="54"/>
      <c r="X267" s="54"/>
      <c r="Y267" s="54"/>
      <c r="Z267" s="54"/>
      <c r="AA267" s="54"/>
      <c r="AB267" s="287"/>
      <c r="AC267" s="54"/>
      <c r="AD267" s="54"/>
    </row>
    <row r="268">
      <c r="A268" s="54"/>
      <c r="B268" s="292">
        <v>45746.0</v>
      </c>
      <c r="C268" s="292"/>
      <c r="D268" s="99"/>
      <c r="E268" s="100">
        <v>1992539.0</v>
      </c>
      <c r="F268" s="99">
        <f t="shared" si="39"/>
        <v>1019</v>
      </c>
      <c r="G268" s="100">
        <v>498.0</v>
      </c>
      <c r="H268" s="101">
        <v>337.0</v>
      </c>
      <c r="I268" s="101">
        <v>336.15</v>
      </c>
      <c r="J268" s="102">
        <f t="shared" si="37"/>
        <v>0.85</v>
      </c>
      <c r="K268" s="103">
        <f t="shared" si="38"/>
        <v>32.98822375</v>
      </c>
      <c r="L268" s="54"/>
      <c r="M268" s="54"/>
      <c r="N268" s="54"/>
      <c r="O268" s="54"/>
      <c r="P268" s="86"/>
      <c r="Q268" s="54"/>
      <c r="R268" s="249"/>
      <c r="T268" s="54"/>
      <c r="U268" s="54"/>
      <c r="V268" s="54"/>
      <c r="W268" s="54"/>
      <c r="X268" s="54"/>
      <c r="Y268" s="54"/>
      <c r="Z268" s="54"/>
      <c r="AA268" s="54"/>
      <c r="AB268" s="287"/>
      <c r="AC268" s="54"/>
      <c r="AD268" s="54"/>
    </row>
    <row r="269">
      <c r="A269" s="89"/>
      <c r="B269" s="203" t="str">
        <f>IF(L269=4,"АПРЕЛЬ",IF(L269=5,"МАЙ",IF(L269=1,"ЯНВАРЬ",IF(L269=2,"ФЕВРАЛЬ",IF(L269=3,"МАРТ",IF(L269=6,"ИЮНЬ",IF(L269=7,"ИЮЛЬ",IF(L269=8,"АВГУСТ",IF(L269=9,"СЕНТЯБРЬ",IF(L269=10,"ОКТЯБРЬ",IF(L269=11,"НОЯБРЬ",IF(L269=12,"ДЕКАБРЬ"))))))))))))</f>
        <v>АПРЕЛЬ</v>
      </c>
      <c r="J269" s="89"/>
      <c r="K269" s="90"/>
      <c r="L269" s="91">
        <f>MONTH(B270)</f>
        <v>4</v>
      </c>
      <c r="M269" s="66"/>
      <c r="N269" s="66"/>
      <c r="O269" s="66"/>
      <c r="P269" s="113"/>
      <c r="Q269" s="66"/>
      <c r="R269" s="249"/>
      <c r="T269" s="54"/>
      <c r="U269" s="54"/>
      <c r="V269" s="54"/>
      <c r="W269" s="54"/>
      <c r="X269" s="54"/>
      <c r="Y269" s="54"/>
      <c r="Z269" s="54"/>
      <c r="AA269" s="54"/>
      <c r="AB269" s="287"/>
      <c r="AC269" s="54"/>
      <c r="AD269" s="54"/>
    </row>
    <row r="270">
      <c r="A270" s="54"/>
      <c r="B270" s="292">
        <v>45748.0</v>
      </c>
      <c r="C270" s="292"/>
      <c r="D270" s="99"/>
      <c r="E270" s="100">
        <v>1993496.0</v>
      </c>
      <c r="F270" s="99">
        <f>E270-E268</f>
        <v>957</v>
      </c>
      <c r="G270" s="100">
        <v>507.0</v>
      </c>
      <c r="H270" s="101">
        <v>292.0</v>
      </c>
      <c r="I270" s="101">
        <v>288.15</v>
      </c>
      <c r="J270" s="102">
        <f t="shared" ref="J270:J281" si="40">H270-I270</f>
        <v>3.85</v>
      </c>
      <c r="K270" s="103">
        <f t="shared" ref="K270:K281" si="41">I270/F270*100</f>
        <v>30.10971787</v>
      </c>
      <c r="L270" s="54"/>
      <c r="M270" s="82" t="str">
        <f>"тотал"&amp;" "&amp;B269&amp;" "&amp;RIGHT(YEAR(B270),2)</f>
        <v>тотал АПРЕЛЬ 25</v>
      </c>
      <c r="N270" s="75"/>
      <c r="O270" s="75"/>
      <c r="P270" s="75"/>
      <c r="Q270" s="76"/>
      <c r="R270" s="249"/>
      <c r="T270" s="54"/>
      <c r="U270" s="54"/>
      <c r="V270" s="54"/>
      <c r="W270" s="54"/>
      <c r="X270" s="54"/>
      <c r="Y270" s="54"/>
      <c r="Z270" s="54"/>
      <c r="AA270" s="54"/>
      <c r="AB270" s="287"/>
      <c r="AC270" s="54"/>
      <c r="AD270" s="54"/>
    </row>
    <row r="271">
      <c r="A271" s="54"/>
      <c r="B271" s="292">
        <v>45749.0</v>
      </c>
      <c r="C271" s="292"/>
      <c r="D271" s="99"/>
      <c r="E271" s="100">
        <v>1993971.0</v>
      </c>
      <c r="F271" s="99">
        <f t="shared" ref="F271:F281" si="42">E271-E270</f>
        <v>475</v>
      </c>
      <c r="G271" s="100">
        <v>505.0</v>
      </c>
      <c r="H271" s="101">
        <v>149.0</v>
      </c>
      <c r="I271" s="101">
        <v>150.0</v>
      </c>
      <c r="J271" s="102">
        <f t="shared" si="40"/>
        <v>-1</v>
      </c>
      <c r="K271" s="103">
        <f t="shared" si="41"/>
        <v>31.57894737</v>
      </c>
      <c r="L271" s="54"/>
      <c r="M271" s="83" t="s">
        <v>70</v>
      </c>
      <c r="N271" s="83" t="s">
        <v>71</v>
      </c>
      <c r="O271" s="83" t="s">
        <v>27</v>
      </c>
      <c r="P271" s="77" t="s">
        <v>28</v>
      </c>
      <c r="Q271" s="12" t="s">
        <v>78</v>
      </c>
      <c r="R271" s="249"/>
      <c r="T271" s="54"/>
      <c r="U271" s="54"/>
      <c r="V271" s="54"/>
      <c r="W271" s="54"/>
      <c r="X271" s="54"/>
      <c r="Y271" s="54"/>
      <c r="Z271" s="54"/>
      <c r="AA271" s="54"/>
      <c r="AB271" s="287"/>
      <c r="AC271" s="54"/>
      <c r="AD271" s="54"/>
    </row>
    <row r="272">
      <c r="A272" s="54"/>
      <c r="B272" s="292">
        <v>45751.0</v>
      </c>
      <c r="C272" s="292"/>
      <c r="D272" s="99"/>
      <c r="E272" s="100">
        <v>1994642.0</v>
      </c>
      <c r="F272" s="99">
        <f t="shared" si="42"/>
        <v>671</v>
      </c>
      <c r="G272" s="100">
        <v>482.0</v>
      </c>
      <c r="H272" s="101">
        <v>172.0</v>
      </c>
      <c r="I272" s="101">
        <v>180.0</v>
      </c>
      <c r="J272" s="102">
        <f t="shared" si="40"/>
        <v>-8</v>
      </c>
      <c r="K272" s="103">
        <f t="shared" si="41"/>
        <v>26.82563338</v>
      </c>
      <c r="L272" s="54"/>
      <c r="M272" s="84">
        <f>SUM(F270:F281)</f>
        <v>9205</v>
      </c>
      <c r="N272" s="84">
        <f>SUM(I270:I281)</f>
        <v>2989.57</v>
      </c>
      <c r="O272" s="85">
        <f>N272/M272*100</f>
        <v>32.47767518</v>
      </c>
      <c r="P272" s="79">
        <f>(M272/100)*(O272-Q272)</f>
        <v>412.17</v>
      </c>
      <c r="Q272" s="78">
        <v>28.0</v>
      </c>
      <c r="R272" s="249"/>
      <c r="T272" s="54"/>
      <c r="U272" s="54"/>
      <c r="V272" s="54"/>
      <c r="W272" s="54"/>
      <c r="X272" s="54"/>
      <c r="Y272" s="54"/>
      <c r="Z272" s="54"/>
      <c r="AA272" s="54"/>
      <c r="AB272" s="287"/>
      <c r="AC272" s="54"/>
      <c r="AD272" s="54"/>
    </row>
    <row r="273">
      <c r="A273" s="54"/>
      <c r="B273" s="292">
        <v>45752.0</v>
      </c>
      <c r="C273" s="292"/>
      <c r="D273" s="99"/>
      <c r="E273" s="100">
        <v>1995092.0</v>
      </c>
      <c r="F273" s="99">
        <f t="shared" si="42"/>
        <v>450</v>
      </c>
      <c r="G273" s="100">
        <v>503.0</v>
      </c>
      <c r="H273" s="101">
        <v>213.0</v>
      </c>
      <c r="I273" s="101">
        <v>220.0</v>
      </c>
      <c r="J273" s="102">
        <f t="shared" si="40"/>
        <v>-7</v>
      </c>
      <c r="K273" s="103">
        <f t="shared" si="41"/>
        <v>48.88888889</v>
      </c>
      <c r="L273" s="54"/>
      <c r="M273" s="54"/>
      <c r="N273" s="54"/>
      <c r="O273" s="54"/>
      <c r="P273" s="86"/>
      <c r="Q273" s="54"/>
      <c r="R273" s="249"/>
      <c r="T273" s="54"/>
      <c r="U273" s="54"/>
      <c r="V273" s="54"/>
      <c r="W273" s="54"/>
      <c r="X273" s="54"/>
      <c r="Y273" s="54"/>
      <c r="Z273" s="54"/>
      <c r="AA273" s="54"/>
      <c r="AB273" s="287"/>
      <c r="AC273" s="54"/>
      <c r="AD273" s="54"/>
    </row>
    <row r="274">
      <c r="A274" s="54"/>
      <c r="B274" s="292">
        <v>45753.0</v>
      </c>
      <c r="C274" s="292"/>
      <c r="D274" s="99"/>
      <c r="E274" s="100">
        <v>1995969.0</v>
      </c>
      <c r="F274" s="99">
        <f t="shared" si="42"/>
        <v>877</v>
      </c>
      <c r="G274" s="100">
        <v>509.0</v>
      </c>
      <c r="H274" s="101">
        <v>325.0</v>
      </c>
      <c r="I274" s="101">
        <v>320.03</v>
      </c>
      <c r="J274" s="102">
        <f t="shared" si="40"/>
        <v>4.97</v>
      </c>
      <c r="K274" s="103">
        <f t="shared" si="41"/>
        <v>36.49144812</v>
      </c>
      <c r="L274" s="54"/>
      <c r="M274" s="54"/>
      <c r="N274" s="54"/>
      <c r="O274" s="54"/>
      <c r="P274" s="86"/>
      <c r="Q274" s="54"/>
      <c r="R274" s="249"/>
      <c r="T274" s="54"/>
      <c r="U274" s="54"/>
      <c r="V274" s="54"/>
      <c r="W274" s="54"/>
      <c r="X274" s="54"/>
      <c r="Y274" s="54"/>
      <c r="Z274" s="54"/>
      <c r="AA274" s="54"/>
      <c r="AB274" s="287"/>
      <c r="AC274" s="54"/>
      <c r="AD274" s="54"/>
    </row>
    <row r="275">
      <c r="A275" s="54"/>
      <c r="B275" s="292">
        <v>45770.0</v>
      </c>
      <c r="C275" s="292"/>
      <c r="D275" s="99"/>
      <c r="E275" s="100">
        <v>1996760.0</v>
      </c>
      <c r="F275" s="99">
        <f t="shared" si="42"/>
        <v>791</v>
      </c>
      <c r="G275" s="100">
        <v>501.0</v>
      </c>
      <c r="H275" s="101">
        <v>248.0</v>
      </c>
      <c r="I275" s="101">
        <v>246.04</v>
      </c>
      <c r="J275" s="102">
        <f t="shared" si="40"/>
        <v>1.96</v>
      </c>
      <c r="K275" s="103">
        <f t="shared" si="41"/>
        <v>31.10493047</v>
      </c>
      <c r="L275" s="54"/>
      <c r="M275" s="54"/>
      <c r="N275" s="54"/>
      <c r="O275" s="54"/>
      <c r="P275" s="86"/>
      <c r="Q275" s="54"/>
      <c r="R275" s="249"/>
      <c r="T275" s="54"/>
      <c r="U275" s="54"/>
      <c r="V275" s="54"/>
      <c r="W275" s="54"/>
      <c r="X275" s="54"/>
      <c r="Y275" s="54"/>
      <c r="Z275" s="54"/>
      <c r="AA275" s="54"/>
      <c r="AB275" s="287"/>
      <c r="AC275" s="54"/>
      <c r="AD275" s="54"/>
    </row>
    <row r="276">
      <c r="A276" s="54"/>
      <c r="B276" s="292">
        <v>45771.0</v>
      </c>
      <c r="C276" s="292"/>
      <c r="D276" s="99"/>
      <c r="E276" s="100">
        <v>1997952.0</v>
      </c>
      <c r="F276" s="99">
        <f t="shared" si="42"/>
        <v>1192</v>
      </c>
      <c r="G276" s="100">
        <v>440.0</v>
      </c>
      <c r="H276" s="101">
        <v>303.0</v>
      </c>
      <c r="I276" s="101">
        <v>300.0</v>
      </c>
      <c r="J276" s="102">
        <f t="shared" si="40"/>
        <v>3</v>
      </c>
      <c r="K276" s="103">
        <f t="shared" si="41"/>
        <v>25.16778523</v>
      </c>
      <c r="L276" s="54"/>
      <c r="M276" s="54"/>
      <c r="N276" s="54"/>
      <c r="O276" s="54"/>
      <c r="P276" s="86"/>
      <c r="Q276" s="54"/>
      <c r="R276" s="249"/>
      <c r="T276" s="54"/>
      <c r="U276" s="54"/>
      <c r="V276" s="54"/>
      <c r="W276" s="54"/>
      <c r="X276" s="54"/>
      <c r="Y276" s="54"/>
      <c r="Z276" s="54"/>
      <c r="AA276" s="54"/>
      <c r="AB276" s="287"/>
      <c r="AC276" s="54"/>
      <c r="AD276" s="54"/>
    </row>
    <row r="277">
      <c r="A277" s="54"/>
      <c r="B277" s="292">
        <v>45771.0</v>
      </c>
      <c r="C277" s="292"/>
      <c r="D277" s="99"/>
      <c r="E277" s="100">
        <v>1998417.0</v>
      </c>
      <c r="F277" s="99">
        <f t="shared" si="42"/>
        <v>465</v>
      </c>
      <c r="G277" s="100">
        <v>499.0</v>
      </c>
      <c r="H277" s="101">
        <v>194.0</v>
      </c>
      <c r="I277" s="101">
        <v>191.53</v>
      </c>
      <c r="J277" s="102">
        <f t="shared" si="40"/>
        <v>2.47</v>
      </c>
      <c r="K277" s="103">
        <f t="shared" si="41"/>
        <v>41.18924731</v>
      </c>
      <c r="L277" s="54"/>
      <c r="M277" s="54"/>
      <c r="N277" s="54"/>
      <c r="O277" s="54"/>
      <c r="P277" s="86"/>
      <c r="Q277" s="54"/>
      <c r="R277" s="249"/>
      <c r="T277" s="54"/>
      <c r="U277" s="54"/>
      <c r="V277" s="54"/>
      <c r="W277" s="54"/>
      <c r="X277" s="54"/>
      <c r="Y277" s="54"/>
      <c r="Z277" s="54"/>
      <c r="AA277" s="54"/>
      <c r="AB277" s="287"/>
      <c r="AC277" s="54"/>
      <c r="AD277" s="54"/>
    </row>
    <row r="278">
      <c r="A278" s="54"/>
      <c r="B278" s="292">
        <v>45773.0</v>
      </c>
      <c r="C278" s="292"/>
      <c r="D278" s="99"/>
      <c r="E278" s="100">
        <v>1999609.0</v>
      </c>
      <c r="F278" s="99">
        <f t="shared" si="42"/>
        <v>1192</v>
      </c>
      <c r="G278" s="100">
        <v>450.0</v>
      </c>
      <c r="H278" s="101">
        <v>312.0</v>
      </c>
      <c r="I278" s="101">
        <v>300.0</v>
      </c>
      <c r="J278" s="102">
        <f t="shared" si="40"/>
        <v>12</v>
      </c>
      <c r="K278" s="103">
        <f t="shared" si="41"/>
        <v>25.16778523</v>
      </c>
      <c r="L278" s="54"/>
      <c r="M278" s="54"/>
      <c r="N278" s="54"/>
      <c r="O278" s="54"/>
      <c r="P278" s="86"/>
      <c r="Q278" s="54"/>
      <c r="R278" s="249"/>
      <c r="T278" s="54"/>
      <c r="U278" s="54"/>
      <c r="V278" s="54"/>
      <c r="W278" s="54"/>
      <c r="X278" s="54"/>
      <c r="Y278" s="54"/>
      <c r="Z278" s="54"/>
      <c r="AA278" s="54"/>
      <c r="AB278" s="287"/>
      <c r="AC278" s="54"/>
      <c r="AD278" s="54"/>
    </row>
    <row r="279">
      <c r="A279" s="54"/>
      <c r="B279" s="292">
        <v>45774.0</v>
      </c>
      <c r="C279" s="292"/>
      <c r="D279" s="99"/>
      <c r="E279" s="100">
        <v>2000085.0</v>
      </c>
      <c r="F279" s="99">
        <f t="shared" si="42"/>
        <v>476</v>
      </c>
      <c r="G279" s="100">
        <v>504.0</v>
      </c>
      <c r="H279" s="101">
        <v>251.0</v>
      </c>
      <c r="I279" s="101">
        <v>250.0</v>
      </c>
      <c r="J279" s="102">
        <f t="shared" si="40"/>
        <v>1</v>
      </c>
      <c r="K279" s="103">
        <f t="shared" si="41"/>
        <v>52.5210084</v>
      </c>
      <c r="L279" s="54"/>
      <c r="M279" s="54"/>
      <c r="N279" s="54"/>
      <c r="O279" s="54"/>
      <c r="P279" s="86"/>
      <c r="Q279" s="54"/>
      <c r="R279" s="249"/>
      <c r="T279" s="54"/>
      <c r="U279" s="54"/>
      <c r="V279" s="54"/>
      <c r="W279" s="54"/>
      <c r="X279" s="54"/>
      <c r="Y279" s="54"/>
      <c r="Z279" s="54"/>
      <c r="AA279" s="54"/>
      <c r="AB279" s="287"/>
      <c r="AC279" s="54"/>
      <c r="AD279" s="54"/>
    </row>
    <row r="280">
      <c r="A280" s="54"/>
      <c r="B280" s="292">
        <v>45775.0</v>
      </c>
      <c r="C280" s="292"/>
      <c r="D280" s="99"/>
      <c r="E280" s="100">
        <v>2001032.0</v>
      </c>
      <c r="F280" s="99">
        <f t="shared" si="42"/>
        <v>947</v>
      </c>
      <c r="G280" s="100">
        <v>487.0</v>
      </c>
      <c r="H280" s="101">
        <v>297.0</v>
      </c>
      <c r="I280" s="101">
        <v>296.11</v>
      </c>
      <c r="J280" s="102">
        <f t="shared" si="40"/>
        <v>0.89</v>
      </c>
      <c r="K280" s="103">
        <f t="shared" si="41"/>
        <v>31.26821542</v>
      </c>
      <c r="L280" s="54"/>
      <c r="M280" s="54"/>
      <c r="N280" s="54"/>
      <c r="O280" s="54"/>
      <c r="P280" s="86"/>
      <c r="Q280" s="54"/>
      <c r="R280" s="249"/>
      <c r="T280" s="54"/>
      <c r="U280" s="54"/>
      <c r="V280" s="54"/>
      <c r="W280" s="54"/>
      <c r="X280" s="54"/>
      <c r="Y280" s="54"/>
      <c r="Z280" s="54"/>
      <c r="AA280" s="54"/>
      <c r="AB280" s="287"/>
      <c r="AC280" s="54"/>
      <c r="AD280" s="54"/>
    </row>
    <row r="281">
      <c r="A281" s="54"/>
      <c r="B281" s="292">
        <v>45776.0</v>
      </c>
      <c r="C281" s="292"/>
      <c r="D281" s="99"/>
      <c r="E281" s="100">
        <v>2001744.0</v>
      </c>
      <c r="F281" s="99">
        <f t="shared" si="42"/>
        <v>712</v>
      </c>
      <c r="G281" s="100">
        <v>507.0</v>
      </c>
      <c r="H281" s="101">
        <v>254.0</v>
      </c>
      <c r="I281" s="101">
        <v>247.71</v>
      </c>
      <c r="J281" s="102">
        <f t="shared" si="40"/>
        <v>6.29</v>
      </c>
      <c r="K281" s="103">
        <f t="shared" si="41"/>
        <v>34.79073034</v>
      </c>
      <c r="L281" s="54"/>
      <c r="M281" s="54"/>
      <c r="N281" s="54"/>
      <c r="O281" s="54"/>
      <c r="P281" s="86"/>
      <c r="Q281" s="54"/>
      <c r="R281" s="249"/>
      <c r="T281" s="54"/>
      <c r="U281" s="54"/>
      <c r="V281" s="54"/>
      <c r="W281" s="54"/>
      <c r="X281" s="54"/>
      <c r="Y281" s="54"/>
      <c r="Z281" s="54"/>
      <c r="AA281" s="54"/>
      <c r="AB281" s="287"/>
      <c r="AC281" s="54"/>
      <c r="AD281" s="54"/>
    </row>
    <row r="282">
      <c r="A282" s="89"/>
      <c r="B282" s="203" t="str">
        <f>IF(L282=4,"АПРЕЛЬ",IF(L282=5,"МАЙ",IF(L282=1,"ЯНВАРЬ",IF(L282=2,"ФЕВРАЛЬ",IF(L282=3,"МАРТ",IF(L282=6,"ИЮНЬ",IF(L282=7,"ИЮЛЬ",IF(L282=8,"АВГУСТ",IF(L282=9,"СЕНТЯБРЬ",IF(L282=10,"ОКТЯБРЬ",IF(L282=11,"НОЯБРЬ",IF(L282=12,"ДЕКАБРЬ"))))))))))))</f>
        <v>МАЙ</v>
      </c>
      <c r="J282" s="89"/>
      <c r="K282" s="90"/>
      <c r="L282" s="91">
        <f>MONTH(B283)</f>
        <v>5</v>
      </c>
      <c r="M282" s="66"/>
      <c r="N282" s="66"/>
      <c r="O282" s="66"/>
      <c r="P282" s="113"/>
      <c r="Q282" s="66"/>
      <c r="R282" s="249"/>
      <c r="T282" s="54"/>
      <c r="U282" s="54"/>
      <c r="V282" s="54"/>
      <c r="W282" s="54"/>
      <c r="X282" s="54"/>
      <c r="Y282" s="54"/>
      <c r="Z282" s="54"/>
      <c r="AA282" s="54"/>
      <c r="AB282" s="287"/>
      <c r="AC282" s="54"/>
      <c r="AD282" s="54"/>
    </row>
    <row r="283">
      <c r="A283" s="54"/>
      <c r="B283" s="292">
        <v>45778.0</v>
      </c>
      <c r="C283" s="292"/>
      <c r="D283" s="99"/>
      <c r="E283" s="100">
        <v>2002941.0</v>
      </c>
      <c r="F283" s="99">
        <f>E283-E281</f>
        <v>1197</v>
      </c>
      <c r="G283" s="100">
        <v>435.0</v>
      </c>
      <c r="H283" s="101">
        <v>307.0</v>
      </c>
      <c r="I283" s="101">
        <v>300.0</v>
      </c>
      <c r="J283" s="102">
        <f t="shared" ref="J283:J300" si="43">H283-I283</f>
        <v>7</v>
      </c>
      <c r="K283" s="103">
        <f t="shared" ref="K283:K300" si="44">I283/F283*100</f>
        <v>25.06265664</v>
      </c>
      <c r="L283" s="54"/>
      <c r="M283" s="82" t="str">
        <f>"тотал"&amp;" "&amp;B282&amp;" "&amp;RIGHT(YEAR(B283),2)</f>
        <v>тотал МАЙ 25</v>
      </c>
      <c r="N283" s="75"/>
      <c r="O283" s="75"/>
      <c r="P283" s="75"/>
      <c r="Q283" s="76"/>
      <c r="R283" s="249"/>
      <c r="T283" s="54"/>
      <c r="U283" s="54"/>
      <c r="V283" s="54"/>
      <c r="W283" s="54"/>
      <c r="X283" s="54"/>
      <c r="Y283" s="54"/>
      <c r="Z283" s="54"/>
      <c r="AA283" s="54"/>
      <c r="AB283" s="287"/>
      <c r="AC283" s="54"/>
      <c r="AD283" s="54"/>
    </row>
    <row r="284">
      <c r="A284" s="54"/>
      <c r="B284" s="292">
        <v>45778.0</v>
      </c>
      <c r="C284" s="292"/>
      <c r="D284" s="99"/>
      <c r="E284" s="100">
        <v>2003402.0</v>
      </c>
      <c r="F284" s="99">
        <f t="shared" ref="F284:F300" si="45">E284-E283</f>
        <v>461</v>
      </c>
      <c r="G284" s="100">
        <v>471.0</v>
      </c>
      <c r="H284" s="101">
        <v>198.0</v>
      </c>
      <c r="I284" s="101">
        <v>196.2</v>
      </c>
      <c r="J284" s="102">
        <f t="shared" si="43"/>
        <v>1.8</v>
      </c>
      <c r="K284" s="103">
        <f t="shared" si="44"/>
        <v>42.55965293</v>
      </c>
      <c r="L284" s="54"/>
      <c r="M284" s="83" t="s">
        <v>70</v>
      </c>
      <c r="N284" s="83" t="s">
        <v>71</v>
      </c>
      <c r="O284" s="83" t="s">
        <v>27</v>
      </c>
      <c r="P284" s="77" t="s">
        <v>28</v>
      </c>
      <c r="Q284" s="12" t="s">
        <v>78</v>
      </c>
      <c r="R284" s="249"/>
      <c r="T284" s="54"/>
      <c r="U284" s="54"/>
      <c r="V284" s="54"/>
      <c r="W284" s="54"/>
      <c r="X284" s="54"/>
      <c r="Y284" s="54"/>
      <c r="Z284" s="54"/>
      <c r="AA284" s="54"/>
      <c r="AB284" s="287"/>
      <c r="AC284" s="54"/>
      <c r="AD284" s="54"/>
    </row>
    <row r="285">
      <c r="A285" s="54"/>
      <c r="B285" s="292">
        <v>45779.0</v>
      </c>
      <c r="C285" s="292"/>
      <c r="D285" s="99"/>
      <c r="E285" s="100">
        <v>2004187.0</v>
      </c>
      <c r="F285" s="99">
        <f t="shared" si="45"/>
        <v>785</v>
      </c>
      <c r="G285" s="100">
        <v>485.0</v>
      </c>
      <c r="H285" s="101">
        <v>312.0</v>
      </c>
      <c r="I285" s="101">
        <v>300.0</v>
      </c>
      <c r="J285" s="102">
        <f t="shared" si="43"/>
        <v>12</v>
      </c>
      <c r="K285" s="103">
        <f t="shared" si="44"/>
        <v>38.21656051</v>
      </c>
      <c r="L285" s="54"/>
      <c r="M285" s="84">
        <f>SUM(F283:F300)</f>
        <v>15271</v>
      </c>
      <c r="N285" s="84">
        <f>SUM(I283:I300)</f>
        <v>4737.4</v>
      </c>
      <c r="O285" s="85">
        <f>N285/M285*100</f>
        <v>31.02219894</v>
      </c>
      <c r="P285" s="79">
        <f>(M285/100)*(O285-Q285)</f>
        <v>461.52</v>
      </c>
      <c r="Q285" s="78">
        <v>28.0</v>
      </c>
      <c r="R285" s="249"/>
      <c r="T285" s="54"/>
      <c r="U285" s="54"/>
      <c r="V285" s="54"/>
      <c r="W285" s="54"/>
      <c r="X285" s="54"/>
      <c r="Y285" s="54"/>
      <c r="Z285" s="54"/>
      <c r="AA285" s="54"/>
      <c r="AB285" s="287"/>
      <c r="AC285" s="54"/>
      <c r="AD285" s="54"/>
    </row>
    <row r="286">
      <c r="A286" s="54"/>
      <c r="B286" s="292">
        <v>45781.0</v>
      </c>
      <c r="C286" s="292"/>
      <c r="D286" s="99"/>
      <c r="E286" s="100">
        <v>2005078.0</v>
      </c>
      <c r="F286" s="99">
        <f t="shared" si="45"/>
        <v>891</v>
      </c>
      <c r="G286" s="100">
        <v>500.0</v>
      </c>
      <c r="H286" s="101">
        <v>323.0</v>
      </c>
      <c r="I286" s="101">
        <v>319.66</v>
      </c>
      <c r="J286" s="102">
        <f t="shared" si="43"/>
        <v>3.34</v>
      </c>
      <c r="K286" s="103">
        <f t="shared" si="44"/>
        <v>35.87654321</v>
      </c>
      <c r="L286" s="54"/>
      <c r="M286" s="54"/>
      <c r="N286" s="54"/>
      <c r="O286" s="54"/>
      <c r="P286" s="86"/>
      <c r="Q286" s="54"/>
      <c r="R286" s="249"/>
      <c r="T286" s="54"/>
      <c r="U286" s="54"/>
      <c r="V286" s="54"/>
      <c r="W286" s="54"/>
      <c r="X286" s="54"/>
      <c r="Y286" s="54"/>
      <c r="Z286" s="54"/>
      <c r="AA286" s="54"/>
      <c r="AB286" s="287"/>
      <c r="AC286" s="54"/>
      <c r="AD286" s="54"/>
    </row>
    <row r="287">
      <c r="A287" s="54"/>
      <c r="B287" s="292">
        <v>45783.0</v>
      </c>
      <c r="C287" s="292"/>
      <c r="D287" s="99"/>
      <c r="E287" s="100">
        <v>2006276.0</v>
      </c>
      <c r="F287" s="99">
        <f t="shared" si="45"/>
        <v>1198</v>
      </c>
      <c r="G287" s="100">
        <v>508.0</v>
      </c>
      <c r="H287" s="101">
        <v>357.0</v>
      </c>
      <c r="I287" s="101">
        <v>350.0</v>
      </c>
      <c r="J287" s="102">
        <f t="shared" si="43"/>
        <v>7</v>
      </c>
      <c r="K287" s="103">
        <f t="shared" si="44"/>
        <v>29.21535893</v>
      </c>
      <c r="L287" s="54"/>
      <c r="M287" s="54"/>
      <c r="N287" s="54"/>
      <c r="O287" s="54"/>
      <c r="P287" s="86"/>
      <c r="Q287" s="54"/>
      <c r="R287" s="249"/>
      <c r="T287" s="54"/>
      <c r="U287" s="54"/>
      <c r="V287" s="54"/>
      <c r="W287" s="54"/>
      <c r="X287" s="54"/>
      <c r="Y287" s="54"/>
      <c r="Z287" s="54"/>
      <c r="AA287" s="54"/>
      <c r="AB287" s="287"/>
      <c r="AC287" s="54"/>
      <c r="AD287" s="54"/>
    </row>
    <row r="288">
      <c r="A288" s="54"/>
      <c r="B288" s="292">
        <v>45784.0</v>
      </c>
      <c r="C288" s="292"/>
      <c r="D288" s="99"/>
      <c r="E288" s="100">
        <v>2007060.0</v>
      </c>
      <c r="F288" s="99">
        <f t="shared" si="45"/>
        <v>784</v>
      </c>
      <c r="G288" s="100">
        <v>472.0</v>
      </c>
      <c r="H288" s="101">
        <v>204.0</v>
      </c>
      <c r="I288" s="101">
        <v>200.0</v>
      </c>
      <c r="J288" s="102">
        <f t="shared" si="43"/>
        <v>4</v>
      </c>
      <c r="K288" s="103">
        <f t="shared" si="44"/>
        <v>25.51020408</v>
      </c>
      <c r="L288" s="54"/>
      <c r="M288" s="54"/>
      <c r="N288" s="54"/>
      <c r="O288" s="54"/>
      <c r="P288" s="86"/>
      <c r="Q288" s="54"/>
      <c r="R288" s="249"/>
      <c r="T288" s="54"/>
      <c r="U288" s="54"/>
      <c r="V288" s="54"/>
      <c r="W288" s="54"/>
      <c r="X288" s="54"/>
      <c r="Y288" s="54"/>
      <c r="Z288" s="54"/>
      <c r="AA288" s="54"/>
      <c r="AB288" s="287"/>
      <c r="AC288" s="54"/>
      <c r="AD288" s="54"/>
    </row>
    <row r="289">
      <c r="A289" s="54"/>
      <c r="B289" s="292">
        <v>45785.0</v>
      </c>
      <c r="C289" s="292"/>
      <c r="D289" s="99"/>
      <c r="E289" s="100">
        <v>2007933.0</v>
      </c>
      <c r="F289" s="99">
        <f t="shared" si="45"/>
        <v>873</v>
      </c>
      <c r="G289" s="100">
        <v>460.0</v>
      </c>
      <c r="H289" s="101">
        <v>259.0</v>
      </c>
      <c r="I289" s="101">
        <v>250.0</v>
      </c>
      <c r="J289" s="102">
        <f t="shared" si="43"/>
        <v>9</v>
      </c>
      <c r="K289" s="103">
        <f t="shared" si="44"/>
        <v>28.63688431</v>
      </c>
      <c r="L289" s="54"/>
      <c r="M289" s="54"/>
      <c r="N289" s="54"/>
      <c r="O289" s="54"/>
      <c r="P289" s="86"/>
      <c r="Q289" s="54"/>
      <c r="R289" s="249"/>
      <c r="T289" s="54"/>
      <c r="U289" s="54"/>
      <c r="V289" s="54"/>
      <c r="W289" s="54"/>
      <c r="X289" s="54"/>
      <c r="Y289" s="54"/>
      <c r="Z289" s="54"/>
      <c r="AA289" s="54"/>
      <c r="AB289" s="287"/>
      <c r="AC289" s="54"/>
      <c r="AD289" s="54"/>
    </row>
    <row r="290">
      <c r="A290" s="54"/>
      <c r="B290" s="292">
        <v>45788.0</v>
      </c>
      <c r="C290" s="292"/>
      <c r="D290" s="99"/>
      <c r="E290" s="100">
        <v>2008882.0</v>
      </c>
      <c r="F290" s="99">
        <f t="shared" si="45"/>
        <v>949</v>
      </c>
      <c r="G290" s="100">
        <v>406.0</v>
      </c>
      <c r="H290" s="101">
        <v>302.0</v>
      </c>
      <c r="I290" s="101">
        <v>300.0</v>
      </c>
      <c r="J290" s="102">
        <f t="shared" si="43"/>
        <v>2</v>
      </c>
      <c r="K290" s="103">
        <f t="shared" si="44"/>
        <v>31.61222339</v>
      </c>
      <c r="L290" s="54"/>
      <c r="M290" s="54"/>
      <c r="N290" s="54"/>
      <c r="O290" s="54"/>
      <c r="P290" s="86"/>
      <c r="Q290" s="54"/>
      <c r="R290" s="249"/>
      <c r="T290" s="54"/>
      <c r="U290" s="54"/>
      <c r="V290" s="54"/>
      <c r="W290" s="54"/>
      <c r="X290" s="54"/>
      <c r="Y290" s="54"/>
      <c r="Z290" s="54"/>
      <c r="AA290" s="54"/>
      <c r="AB290" s="287"/>
      <c r="AC290" s="54"/>
      <c r="AD290" s="54"/>
    </row>
    <row r="291">
      <c r="A291" s="54"/>
      <c r="B291" s="292">
        <v>45789.0</v>
      </c>
      <c r="C291" s="292"/>
      <c r="D291" s="99"/>
      <c r="E291" s="100">
        <v>2009608.0</v>
      </c>
      <c r="F291" s="99">
        <f t="shared" si="45"/>
        <v>726</v>
      </c>
      <c r="G291" s="100">
        <v>490.0</v>
      </c>
      <c r="H291" s="101">
        <v>302.0</v>
      </c>
      <c r="I291" s="101">
        <v>300.0</v>
      </c>
      <c r="J291" s="102">
        <f t="shared" si="43"/>
        <v>2</v>
      </c>
      <c r="K291" s="103">
        <f t="shared" si="44"/>
        <v>41.32231405</v>
      </c>
      <c r="L291" s="54"/>
      <c r="M291" s="54"/>
      <c r="N291" s="54"/>
      <c r="O291" s="54"/>
      <c r="P291" s="86"/>
      <c r="Q291" s="54"/>
      <c r="R291" s="249"/>
      <c r="T291" s="54"/>
      <c r="U291" s="54"/>
      <c r="V291" s="54"/>
      <c r="W291" s="54"/>
      <c r="X291" s="54"/>
      <c r="Y291" s="54"/>
      <c r="Z291" s="54"/>
      <c r="AA291" s="54"/>
      <c r="AB291" s="287"/>
      <c r="AC291" s="54"/>
      <c r="AD291" s="54"/>
    </row>
    <row r="292">
      <c r="A292" s="54"/>
      <c r="B292" s="292">
        <v>45793.0</v>
      </c>
      <c r="C292" s="100" t="s">
        <v>269</v>
      </c>
      <c r="D292" s="100" t="s">
        <v>270</v>
      </c>
      <c r="E292" s="100">
        <v>2010798.0</v>
      </c>
      <c r="F292" s="99">
        <f t="shared" si="45"/>
        <v>1190</v>
      </c>
      <c r="G292" s="100">
        <v>424.0</v>
      </c>
      <c r="H292" s="101">
        <v>311.0</v>
      </c>
      <c r="I292" s="101">
        <v>300.0</v>
      </c>
      <c r="J292" s="102">
        <f t="shared" si="43"/>
        <v>11</v>
      </c>
      <c r="K292" s="103">
        <f t="shared" si="44"/>
        <v>25.21008403</v>
      </c>
      <c r="L292" s="54"/>
      <c r="M292" s="54"/>
      <c r="N292" s="54"/>
      <c r="O292" s="54"/>
      <c r="P292" s="86"/>
      <c r="Q292" s="54"/>
      <c r="R292" s="249"/>
      <c r="T292" s="54"/>
      <c r="U292" s="54"/>
      <c r="V292" s="54"/>
      <c r="W292" s="54"/>
      <c r="X292" s="54"/>
      <c r="Y292" s="54"/>
      <c r="Z292" s="54"/>
      <c r="AA292" s="54"/>
      <c r="AB292" s="287"/>
      <c r="AC292" s="54"/>
      <c r="AD292" s="54"/>
    </row>
    <row r="293">
      <c r="A293" s="54"/>
      <c r="B293" s="292">
        <v>45794.0</v>
      </c>
      <c r="C293" s="100" t="s">
        <v>269</v>
      </c>
      <c r="D293" s="100" t="s">
        <v>270</v>
      </c>
      <c r="E293" s="100">
        <v>2011458.0</v>
      </c>
      <c r="F293" s="99">
        <f t="shared" si="45"/>
        <v>660</v>
      </c>
      <c r="G293" s="100">
        <v>494.0</v>
      </c>
      <c r="H293" s="101">
        <v>257.0</v>
      </c>
      <c r="I293" s="101">
        <v>250.0</v>
      </c>
      <c r="J293" s="102">
        <f t="shared" si="43"/>
        <v>7</v>
      </c>
      <c r="K293" s="103">
        <f t="shared" si="44"/>
        <v>37.87878788</v>
      </c>
      <c r="L293" s="54"/>
      <c r="M293" s="54"/>
      <c r="N293" s="54"/>
      <c r="O293" s="54"/>
      <c r="P293" s="86"/>
      <c r="Q293" s="54"/>
      <c r="R293" s="249"/>
      <c r="T293" s="54"/>
      <c r="U293" s="54"/>
      <c r="V293" s="54"/>
      <c r="W293" s="54"/>
      <c r="X293" s="54"/>
      <c r="Y293" s="54"/>
      <c r="Z293" s="54"/>
      <c r="AA293" s="54"/>
      <c r="AB293" s="287"/>
      <c r="AC293" s="54"/>
      <c r="AD293" s="54"/>
    </row>
    <row r="294">
      <c r="A294" s="54"/>
      <c r="B294" s="292">
        <v>45796.0</v>
      </c>
      <c r="C294" s="100" t="s">
        <v>269</v>
      </c>
      <c r="D294" s="100" t="s">
        <v>270</v>
      </c>
      <c r="E294" s="100">
        <v>2012038.0</v>
      </c>
      <c r="F294" s="99">
        <f t="shared" si="45"/>
        <v>580</v>
      </c>
      <c r="G294" s="100">
        <v>491.0</v>
      </c>
      <c r="H294" s="101">
        <v>200.0</v>
      </c>
      <c r="I294" s="101">
        <v>200.0</v>
      </c>
      <c r="J294" s="102">
        <f t="shared" si="43"/>
        <v>0</v>
      </c>
      <c r="K294" s="103">
        <f t="shared" si="44"/>
        <v>34.48275862</v>
      </c>
      <c r="L294" s="54"/>
      <c r="M294" s="54"/>
      <c r="N294" s="54"/>
      <c r="O294" s="54"/>
      <c r="P294" s="86"/>
      <c r="Q294" s="54"/>
      <c r="R294" s="249"/>
      <c r="T294" s="54"/>
      <c r="U294" s="54"/>
      <c r="V294" s="54"/>
      <c r="W294" s="54"/>
      <c r="X294" s="54"/>
      <c r="Y294" s="54"/>
      <c r="Z294" s="54"/>
      <c r="AA294" s="54"/>
      <c r="AB294" s="287"/>
      <c r="AC294" s="54"/>
      <c r="AD294" s="54"/>
    </row>
    <row r="295">
      <c r="A295" s="54"/>
      <c r="B295" s="292">
        <v>45802.0</v>
      </c>
      <c r="C295" s="100" t="s">
        <v>127</v>
      </c>
      <c r="D295" s="100" t="s">
        <v>271</v>
      </c>
      <c r="E295" s="100">
        <v>2012743.0</v>
      </c>
      <c r="F295" s="99">
        <f t="shared" si="45"/>
        <v>705</v>
      </c>
      <c r="G295" s="100">
        <v>482.0</v>
      </c>
      <c r="H295" s="101">
        <v>229.0</v>
      </c>
      <c r="I295" s="101">
        <v>221.45</v>
      </c>
      <c r="J295" s="102">
        <f t="shared" si="43"/>
        <v>7.55</v>
      </c>
      <c r="K295" s="103">
        <f t="shared" si="44"/>
        <v>31.41134752</v>
      </c>
      <c r="L295" s="54"/>
      <c r="M295" s="54"/>
      <c r="N295" s="54"/>
      <c r="O295" s="54"/>
      <c r="P295" s="86"/>
      <c r="Q295" s="54"/>
      <c r="R295" s="249"/>
      <c r="T295" s="54"/>
      <c r="U295" s="54"/>
      <c r="V295" s="54"/>
      <c r="W295" s="54"/>
      <c r="X295" s="54"/>
      <c r="Y295" s="54"/>
      <c r="Z295" s="54"/>
      <c r="AA295" s="54"/>
      <c r="AB295" s="287"/>
      <c r="AC295" s="54"/>
      <c r="AD295" s="54"/>
    </row>
    <row r="296">
      <c r="A296" s="54"/>
      <c r="B296" s="292">
        <v>45803.0</v>
      </c>
      <c r="C296" s="100" t="s">
        <v>127</v>
      </c>
      <c r="D296" s="100" t="s">
        <v>271</v>
      </c>
      <c r="E296" s="100">
        <v>2013690.0</v>
      </c>
      <c r="F296" s="99">
        <f t="shared" si="45"/>
        <v>947</v>
      </c>
      <c r="G296" s="100">
        <v>495.0</v>
      </c>
      <c r="H296" s="101">
        <v>317.0</v>
      </c>
      <c r="I296" s="101">
        <v>314.0</v>
      </c>
      <c r="J296" s="102">
        <f t="shared" si="43"/>
        <v>3</v>
      </c>
      <c r="K296" s="103">
        <f t="shared" si="44"/>
        <v>33.15733897</v>
      </c>
      <c r="L296" s="54"/>
      <c r="M296" s="54"/>
      <c r="N296" s="54"/>
      <c r="O296" s="54"/>
      <c r="P296" s="86"/>
      <c r="Q296" s="54"/>
      <c r="R296" s="249"/>
      <c r="T296" s="54"/>
      <c r="U296" s="54"/>
      <c r="V296" s="54"/>
      <c r="W296" s="54"/>
      <c r="X296" s="54"/>
      <c r="Y296" s="54"/>
      <c r="Z296" s="54"/>
      <c r="AA296" s="54"/>
      <c r="AB296" s="287"/>
      <c r="AC296" s="54"/>
      <c r="AD296" s="54"/>
    </row>
    <row r="297">
      <c r="A297" s="54"/>
      <c r="B297" s="292">
        <v>45804.0</v>
      </c>
      <c r="C297" s="100" t="s">
        <v>127</v>
      </c>
      <c r="D297" s="100" t="s">
        <v>271</v>
      </c>
      <c r="E297" s="100">
        <v>2014406.0</v>
      </c>
      <c r="F297" s="99">
        <f t="shared" si="45"/>
        <v>716</v>
      </c>
      <c r="G297" s="100">
        <v>493.0</v>
      </c>
      <c r="H297" s="101">
        <v>202.0</v>
      </c>
      <c r="I297" s="101">
        <v>204.98</v>
      </c>
      <c r="J297" s="102">
        <f t="shared" si="43"/>
        <v>-2.98</v>
      </c>
      <c r="K297" s="103">
        <f t="shared" si="44"/>
        <v>28.62849162</v>
      </c>
      <c r="L297" s="54"/>
      <c r="M297" s="54"/>
      <c r="N297" s="54"/>
      <c r="O297" s="54"/>
      <c r="P297" s="86"/>
      <c r="Q297" s="54"/>
      <c r="R297" s="249"/>
      <c r="T297" s="54"/>
      <c r="U297" s="54"/>
      <c r="V297" s="54"/>
      <c r="W297" s="54"/>
      <c r="X297" s="54"/>
      <c r="Y297" s="54"/>
      <c r="Z297" s="54"/>
      <c r="AA297" s="54"/>
      <c r="AB297" s="287"/>
      <c r="AC297" s="54"/>
      <c r="AD297" s="54"/>
    </row>
    <row r="298">
      <c r="A298" s="54"/>
      <c r="B298" s="292">
        <v>45806.0</v>
      </c>
      <c r="C298" s="100" t="s">
        <v>127</v>
      </c>
      <c r="D298" s="100" t="s">
        <v>271</v>
      </c>
      <c r="E298" s="100">
        <v>2015490.0</v>
      </c>
      <c r="F298" s="99">
        <f t="shared" si="45"/>
        <v>1084</v>
      </c>
      <c r="G298" s="100">
        <v>483.0</v>
      </c>
      <c r="H298" s="101">
        <v>305.0</v>
      </c>
      <c r="I298" s="101">
        <v>300.0</v>
      </c>
      <c r="J298" s="102">
        <f t="shared" si="43"/>
        <v>5</v>
      </c>
      <c r="K298" s="103">
        <f t="shared" si="44"/>
        <v>27.67527675</v>
      </c>
      <c r="L298" s="54"/>
      <c r="M298" s="54"/>
      <c r="N298" s="54"/>
      <c r="O298" s="54"/>
      <c r="P298" s="86"/>
      <c r="Q298" s="54"/>
      <c r="R298" s="249"/>
      <c r="T298" s="54"/>
      <c r="U298" s="54"/>
      <c r="V298" s="54"/>
      <c r="W298" s="54"/>
      <c r="X298" s="54"/>
      <c r="Y298" s="54"/>
      <c r="Z298" s="54"/>
      <c r="AA298" s="54"/>
      <c r="AB298" s="287"/>
      <c r="AC298" s="54"/>
      <c r="AD298" s="54"/>
    </row>
    <row r="299">
      <c r="A299" s="54"/>
      <c r="B299" s="292">
        <v>45806.0</v>
      </c>
      <c r="C299" s="100" t="s">
        <v>127</v>
      </c>
      <c r="D299" s="100" t="s">
        <v>271</v>
      </c>
      <c r="E299" s="100">
        <v>2016069.0</v>
      </c>
      <c r="F299" s="99">
        <f t="shared" si="45"/>
        <v>579</v>
      </c>
      <c r="G299" s="100">
        <v>494.0</v>
      </c>
      <c r="H299" s="101">
        <v>186.0</v>
      </c>
      <c r="I299" s="101">
        <v>181.11</v>
      </c>
      <c r="J299" s="102">
        <f t="shared" si="43"/>
        <v>4.89</v>
      </c>
      <c r="K299" s="103">
        <f t="shared" si="44"/>
        <v>31.27979275</v>
      </c>
      <c r="L299" s="54"/>
      <c r="M299" s="54"/>
      <c r="N299" s="54"/>
      <c r="O299" s="54"/>
      <c r="P299" s="86"/>
      <c r="Q299" s="54"/>
      <c r="R299" s="249"/>
      <c r="T299" s="54"/>
      <c r="U299" s="54"/>
      <c r="V299" s="54"/>
      <c r="W299" s="54"/>
      <c r="X299" s="54"/>
      <c r="Y299" s="54"/>
      <c r="Z299" s="54"/>
      <c r="AA299" s="54"/>
      <c r="AB299" s="287"/>
      <c r="AC299" s="54"/>
      <c r="AD299" s="54"/>
    </row>
    <row r="300">
      <c r="A300" s="54"/>
      <c r="B300" s="292">
        <v>45808.0</v>
      </c>
      <c r="C300" s="100" t="s">
        <v>127</v>
      </c>
      <c r="D300" s="100" t="s">
        <v>271</v>
      </c>
      <c r="E300" s="100">
        <v>2017015.0</v>
      </c>
      <c r="F300" s="99">
        <f t="shared" si="45"/>
        <v>946</v>
      </c>
      <c r="G300" s="100">
        <v>457.0</v>
      </c>
      <c r="H300" s="101">
        <v>256.0</v>
      </c>
      <c r="I300" s="101">
        <v>250.0</v>
      </c>
      <c r="J300" s="102">
        <f t="shared" si="43"/>
        <v>6</v>
      </c>
      <c r="K300" s="103">
        <f t="shared" si="44"/>
        <v>26.42706131</v>
      </c>
      <c r="L300" s="54"/>
      <c r="M300" s="54"/>
      <c r="N300" s="54"/>
      <c r="O300" s="54"/>
      <c r="P300" s="86"/>
      <c r="Q300" s="54"/>
      <c r="R300" s="249"/>
      <c r="T300" s="54"/>
      <c r="U300" s="54"/>
      <c r="V300" s="54"/>
      <c r="W300" s="54"/>
      <c r="X300" s="54"/>
      <c r="Y300" s="54"/>
      <c r="Z300" s="54"/>
      <c r="AA300" s="54"/>
      <c r="AB300" s="287"/>
      <c r="AC300" s="54"/>
      <c r="AD300" s="54"/>
    </row>
    <row r="301">
      <c r="A301" s="89"/>
      <c r="B301" s="203" t="str">
        <f>IF(L301=4,"АПРЕЛЬ",IF(L301=5,"МАЙ",IF(L301=1,"ЯНВАРЬ",IF(L301=2,"ФЕВРАЛЬ",IF(L301=3,"МАРТ",IF(L301=6,"ИЮНЬ",IF(L301=7,"ИЮЛЬ",IF(L301=8,"АВГУСТ",IF(L301=9,"СЕНТЯБРЬ",IF(L301=10,"ОКТЯБРЬ",IF(L301=11,"НОЯБРЬ",IF(L301=12,"ДЕКАБРЬ"))))))))))))</f>
        <v>ИЮНЬ</v>
      </c>
      <c r="J301" s="89"/>
      <c r="K301" s="90"/>
      <c r="L301" s="91">
        <f>MONTH(B302)</f>
        <v>6</v>
      </c>
      <c r="M301" s="66"/>
      <c r="N301" s="66"/>
      <c r="O301" s="66"/>
      <c r="P301" s="113"/>
      <c r="Q301" s="66"/>
      <c r="R301" s="249"/>
      <c r="T301" s="54"/>
      <c r="U301" s="54"/>
      <c r="V301" s="54"/>
      <c r="W301" s="54"/>
      <c r="X301" s="54"/>
      <c r="Y301" s="54"/>
      <c r="Z301" s="54"/>
      <c r="AA301" s="54"/>
      <c r="AB301" s="287"/>
      <c r="AC301" s="54"/>
      <c r="AD301" s="54"/>
    </row>
    <row r="302">
      <c r="A302" s="54"/>
      <c r="B302" s="292">
        <v>45823.0</v>
      </c>
      <c r="C302" s="100" t="s">
        <v>127</v>
      </c>
      <c r="D302" s="100" t="s">
        <v>270</v>
      </c>
      <c r="E302" s="100">
        <v>2018020.0</v>
      </c>
      <c r="F302" s="99">
        <f>E302-E300</f>
        <v>1005</v>
      </c>
      <c r="G302" s="100">
        <v>499.0</v>
      </c>
      <c r="H302" s="101">
        <v>337.0</v>
      </c>
      <c r="I302" s="101">
        <v>334.21</v>
      </c>
      <c r="J302" s="102">
        <f t="shared" ref="J302:J315" si="46">H302-I302</f>
        <v>2.79</v>
      </c>
      <c r="K302" s="103">
        <f t="shared" ref="K302:K315" si="47">I302/F302*100</f>
        <v>33.25472637</v>
      </c>
      <c r="L302" s="54"/>
      <c r="M302" s="82" t="str">
        <f>"тотал"&amp;" "&amp;B301&amp;" "&amp;RIGHT(YEAR(B302),2)</f>
        <v>тотал ИЮНЬ 25</v>
      </c>
      <c r="N302" s="75"/>
      <c r="O302" s="75"/>
      <c r="P302" s="75"/>
      <c r="Q302" s="76"/>
      <c r="R302" s="249"/>
      <c r="T302" s="54"/>
      <c r="U302" s="54"/>
      <c r="V302" s="54"/>
      <c r="W302" s="54"/>
      <c r="X302" s="54"/>
      <c r="Y302" s="54"/>
      <c r="Z302" s="54"/>
      <c r="AA302" s="54"/>
      <c r="AB302" s="287"/>
      <c r="AC302" s="54"/>
      <c r="AD302" s="54"/>
    </row>
    <row r="303">
      <c r="A303" s="54"/>
      <c r="B303" s="292">
        <v>45825.0</v>
      </c>
      <c r="C303" s="100" t="s">
        <v>127</v>
      </c>
      <c r="D303" s="100" t="s">
        <v>270</v>
      </c>
      <c r="E303" s="100">
        <v>2018941.0</v>
      </c>
      <c r="F303" s="99">
        <f t="shared" ref="F303:F307" si="48">E303-E302</f>
        <v>921</v>
      </c>
      <c r="G303" s="100">
        <v>460.0</v>
      </c>
      <c r="H303" s="101">
        <v>298.0</v>
      </c>
      <c r="I303" s="101">
        <v>299.5</v>
      </c>
      <c r="J303" s="102">
        <f t="shared" si="46"/>
        <v>-1.5</v>
      </c>
      <c r="K303" s="103">
        <f t="shared" si="47"/>
        <v>32.51900109</v>
      </c>
      <c r="L303" s="54"/>
      <c r="M303" s="83" t="s">
        <v>70</v>
      </c>
      <c r="N303" s="83" t="s">
        <v>71</v>
      </c>
      <c r="O303" s="83" t="s">
        <v>27</v>
      </c>
      <c r="P303" s="77" t="s">
        <v>28</v>
      </c>
      <c r="Q303" s="12" t="s">
        <v>78</v>
      </c>
      <c r="R303" s="249"/>
      <c r="T303" s="54"/>
      <c r="U303" s="54"/>
      <c r="V303" s="54"/>
      <c r="W303" s="54"/>
      <c r="X303" s="54"/>
      <c r="Y303" s="54"/>
      <c r="Z303" s="54"/>
      <c r="AA303" s="54"/>
      <c r="AB303" s="287"/>
      <c r="AC303" s="54"/>
      <c r="AD303" s="54"/>
    </row>
    <row r="304">
      <c r="A304" s="54"/>
      <c r="B304" s="292">
        <v>45825.0</v>
      </c>
      <c r="C304" s="100" t="s">
        <v>127</v>
      </c>
      <c r="D304" s="100" t="s">
        <v>270</v>
      </c>
      <c r="E304" s="100">
        <v>2019607.0</v>
      </c>
      <c r="F304" s="99">
        <f t="shared" si="48"/>
        <v>666</v>
      </c>
      <c r="G304" s="100">
        <v>498.0</v>
      </c>
      <c r="H304" s="101">
        <v>159.0</v>
      </c>
      <c r="I304" s="101">
        <v>160.0</v>
      </c>
      <c r="J304" s="102">
        <f t="shared" si="46"/>
        <v>-1</v>
      </c>
      <c r="K304" s="103">
        <f t="shared" si="47"/>
        <v>24.02402402</v>
      </c>
      <c r="L304" s="54"/>
      <c r="M304" s="84">
        <f>SUM(F302:F315)</f>
        <v>11590</v>
      </c>
      <c r="N304" s="84">
        <f>SUM(I302:I315)</f>
        <v>3433.83</v>
      </c>
      <c r="O304" s="85">
        <f>N304/M304*100</f>
        <v>29.62752373</v>
      </c>
      <c r="P304" s="79">
        <f>(M304/100)*(O304-Q304)</f>
        <v>188.63</v>
      </c>
      <c r="Q304" s="78">
        <v>28.0</v>
      </c>
      <c r="R304" s="249"/>
      <c r="T304" s="54"/>
      <c r="U304" s="54"/>
      <c r="V304" s="54"/>
      <c r="W304" s="54"/>
      <c r="X304" s="54"/>
      <c r="Y304" s="54"/>
      <c r="Z304" s="54"/>
      <c r="AA304" s="54"/>
      <c r="AB304" s="287"/>
      <c r="AC304" s="54"/>
      <c r="AD304" s="54"/>
    </row>
    <row r="305">
      <c r="A305" s="54"/>
      <c r="B305" s="292">
        <v>45827.0</v>
      </c>
      <c r="C305" s="100" t="s">
        <v>127</v>
      </c>
      <c r="D305" s="100" t="s">
        <v>270</v>
      </c>
      <c r="E305" s="100">
        <v>2020309.0</v>
      </c>
      <c r="F305" s="99">
        <f t="shared" si="48"/>
        <v>702</v>
      </c>
      <c r="G305" s="100">
        <v>442.0</v>
      </c>
      <c r="H305" s="101">
        <v>304.0</v>
      </c>
      <c r="I305" s="101">
        <v>300.0</v>
      </c>
      <c r="J305" s="102">
        <f t="shared" si="46"/>
        <v>4</v>
      </c>
      <c r="K305" s="103">
        <f t="shared" si="47"/>
        <v>42.73504274</v>
      </c>
      <c r="L305" s="54"/>
      <c r="M305" s="54"/>
      <c r="N305" s="54"/>
      <c r="O305" s="54"/>
      <c r="P305" s="86"/>
      <c r="Q305" s="54"/>
      <c r="R305" s="249"/>
      <c r="T305" s="54"/>
      <c r="U305" s="54"/>
      <c r="V305" s="54"/>
      <c r="W305" s="54"/>
      <c r="X305" s="54"/>
      <c r="Y305" s="54"/>
      <c r="Z305" s="54"/>
      <c r="AA305" s="54"/>
      <c r="AB305" s="287"/>
      <c r="AC305" s="54"/>
      <c r="AD305" s="54"/>
    </row>
    <row r="306">
      <c r="A306" s="54"/>
      <c r="B306" s="292">
        <v>45827.0</v>
      </c>
      <c r="C306" s="100" t="s">
        <v>127</v>
      </c>
      <c r="D306" s="100" t="s">
        <v>270</v>
      </c>
      <c r="E306" s="100">
        <v>2021267.0</v>
      </c>
      <c r="F306" s="99">
        <f t="shared" si="48"/>
        <v>958</v>
      </c>
      <c r="G306" s="100">
        <v>458.0</v>
      </c>
      <c r="H306" s="101">
        <v>156.0</v>
      </c>
      <c r="I306" s="101">
        <v>160.0</v>
      </c>
      <c r="J306" s="102">
        <f t="shared" si="46"/>
        <v>-4</v>
      </c>
      <c r="K306" s="103">
        <f t="shared" si="47"/>
        <v>16.70146138</v>
      </c>
      <c r="L306" s="54"/>
      <c r="M306" s="54"/>
      <c r="N306" s="54"/>
      <c r="O306" s="54"/>
      <c r="P306" s="86"/>
      <c r="Q306" s="54"/>
      <c r="R306" s="249"/>
      <c r="T306" s="54"/>
      <c r="U306" s="54"/>
      <c r="V306" s="54"/>
      <c r="W306" s="54"/>
      <c r="X306" s="54"/>
      <c r="Y306" s="54"/>
      <c r="Z306" s="54"/>
      <c r="AA306" s="54"/>
      <c r="AB306" s="287"/>
      <c r="AC306" s="54"/>
      <c r="AD306" s="54"/>
    </row>
    <row r="307">
      <c r="A307" s="54"/>
      <c r="B307" s="292">
        <v>45828.0</v>
      </c>
      <c r="C307" s="100" t="s">
        <v>127</v>
      </c>
      <c r="D307" s="100" t="s">
        <v>270</v>
      </c>
      <c r="E307" s="100">
        <v>2022223.0</v>
      </c>
      <c r="F307" s="99">
        <f t="shared" si="48"/>
        <v>956</v>
      </c>
      <c r="G307" s="100">
        <v>480.0</v>
      </c>
      <c r="H307" s="101">
        <v>301.0</v>
      </c>
      <c r="I307" s="101">
        <v>300.0</v>
      </c>
      <c r="J307" s="102">
        <f t="shared" si="46"/>
        <v>1</v>
      </c>
      <c r="K307" s="103">
        <f t="shared" si="47"/>
        <v>31.38075314</v>
      </c>
      <c r="L307" s="54"/>
      <c r="M307" s="54"/>
      <c r="N307" s="54"/>
      <c r="O307" s="54"/>
      <c r="P307" s="86"/>
      <c r="Q307" s="54"/>
      <c r="R307" s="249"/>
      <c r="T307" s="54"/>
      <c r="U307" s="54"/>
      <c r="V307" s="54"/>
      <c r="W307" s="54"/>
      <c r="X307" s="54"/>
      <c r="Y307" s="54"/>
      <c r="Z307" s="54"/>
      <c r="AA307" s="54"/>
      <c r="AB307" s="287"/>
      <c r="AC307" s="54"/>
      <c r="AD307" s="54"/>
    </row>
    <row r="308">
      <c r="A308" s="54"/>
      <c r="B308" s="292">
        <v>45830.0</v>
      </c>
      <c r="C308" s="100" t="s">
        <v>127</v>
      </c>
      <c r="D308" s="100" t="s">
        <v>270</v>
      </c>
      <c r="E308" s="100">
        <v>2022223.0</v>
      </c>
      <c r="F308" s="303">
        <f>(E309-E308)/2</f>
        <v>945</v>
      </c>
      <c r="G308" s="100">
        <v>491.0</v>
      </c>
      <c r="H308" s="101">
        <v>307.0</v>
      </c>
      <c r="I308" s="101">
        <v>300.0</v>
      </c>
      <c r="J308" s="102">
        <f t="shared" si="46"/>
        <v>7</v>
      </c>
      <c r="K308" s="103">
        <f t="shared" si="47"/>
        <v>31.74603175</v>
      </c>
      <c r="L308" s="54"/>
      <c r="M308" s="54"/>
      <c r="N308" s="54"/>
      <c r="O308" s="54"/>
      <c r="P308" s="86"/>
      <c r="Q308" s="54"/>
      <c r="R308" s="249"/>
      <c r="T308" s="54"/>
      <c r="U308" s="54"/>
      <c r="V308" s="54"/>
      <c r="W308" s="54"/>
      <c r="X308" s="54"/>
      <c r="Y308" s="54"/>
      <c r="Z308" s="54"/>
      <c r="AA308" s="54"/>
      <c r="AB308" s="287"/>
      <c r="AC308" s="54"/>
      <c r="AD308" s="54"/>
    </row>
    <row r="309">
      <c r="A309" s="54"/>
      <c r="B309" s="292">
        <v>45832.0</v>
      </c>
      <c r="C309" s="100" t="s">
        <v>127</v>
      </c>
      <c r="D309" s="100" t="s">
        <v>270</v>
      </c>
      <c r="E309" s="100">
        <v>2024113.0</v>
      </c>
      <c r="F309" s="303">
        <f>(E309-E308)/2</f>
        <v>945</v>
      </c>
      <c r="G309" s="100">
        <v>429.0</v>
      </c>
      <c r="H309" s="101">
        <v>306.0</v>
      </c>
      <c r="I309" s="101">
        <v>300.0</v>
      </c>
      <c r="J309" s="102">
        <f t="shared" si="46"/>
        <v>6</v>
      </c>
      <c r="K309" s="103">
        <f t="shared" si="47"/>
        <v>31.74603175</v>
      </c>
      <c r="L309" s="54"/>
      <c r="M309" s="54"/>
      <c r="N309" s="54"/>
      <c r="O309" s="54"/>
      <c r="P309" s="86"/>
      <c r="Q309" s="54"/>
      <c r="R309" s="249"/>
      <c r="T309" s="54"/>
      <c r="U309" s="54"/>
      <c r="V309" s="54"/>
      <c r="W309" s="54"/>
      <c r="X309" s="54"/>
      <c r="Y309" s="54"/>
      <c r="Z309" s="54"/>
      <c r="AA309" s="54"/>
      <c r="AB309" s="287"/>
      <c r="AC309" s="54"/>
      <c r="AD309" s="54"/>
    </row>
    <row r="310">
      <c r="A310" s="54"/>
      <c r="B310" s="292">
        <v>45832.0</v>
      </c>
      <c r="C310" s="100" t="s">
        <v>127</v>
      </c>
      <c r="D310" s="100" t="s">
        <v>270</v>
      </c>
      <c r="E310" s="100">
        <v>2024851.0</v>
      </c>
      <c r="F310" s="99">
        <f t="shared" ref="F310:F315" si="49">E310-E309</f>
        <v>738</v>
      </c>
      <c r="G310" s="100">
        <v>489.0</v>
      </c>
      <c r="H310" s="101">
        <v>197.0</v>
      </c>
      <c r="I310" s="101">
        <v>200.12</v>
      </c>
      <c r="J310" s="102">
        <f t="shared" si="46"/>
        <v>-3.12</v>
      </c>
      <c r="K310" s="103">
        <f t="shared" si="47"/>
        <v>27.11653117</v>
      </c>
      <c r="L310" s="54"/>
      <c r="M310" s="54"/>
      <c r="N310" s="54"/>
      <c r="O310" s="54"/>
      <c r="P310" s="86"/>
      <c r="Q310" s="54"/>
      <c r="R310" s="249"/>
      <c r="T310" s="54"/>
      <c r="U310" s="54"/>
      <c r="V310" s="54"/>
      <c r="W310" s="54"/>
      <c r="X310" s="54"/>
      <c r="Y310" s="54"/>
      <c r="Z310" s="54"/>
      <c r="AA310" s="54"/>
      <c r="AB310" s="287"/>
      <c r="AC310" s="54"/>
      <c r="AD310" s="54"/>
    </row>
    <row r="311">
      <c r="A311" s="54"/>
      <c r="B311" s="292">
        <v>45834.0</v>
      </c>
      <c r="C311" s="100" t="s">
        <v>127</v>
      </c>
      <c r="D311" s="100" t="s">
        <v>270</v>
      </c>
      <c r="E311" s="100">
        <v>2025705.0</v>
      </c>
      <c r="F311" s="99">
        <f t="shared" si="49"/>
        <v>854</v>
      </c>
      <c r="G311" s="100">
        <v>454.0</v>
      </c>
      <c r="H311" s="101">
        <v>304.0</v>
      </c>
      <c r="I311" s="101">
        <v>300.0</v>
      </c>
      <c r="J311" s="102">
        <f t="shared" si="46"/>
        <v>4</v>
      </c>
      <c r="K311" s="103">
        <f t="shared" si="47"/>
        <v>35.12880562</v>
      </c>
      <c r="L311" s="54"/>
      <c r="M311" s="54"/>
      <c r="N311" s="54"/>
      <c r="O311" s="54"/>
      <c r="P311" s="86"/>
      <c r="Q311" s="54"/>
      <c r="R311" s="249"/>
      <c r="T311" s="54"/>
      <c r="U311" s="54"/>
      <c r="V311" s="54"/>
      <c r="W311" s="54"/>
      <c r="X311" s="54"/>
      <c r="Y311" s="54"/>
      <c r="Z311" s="54"/>
      <c r="AA311" s="54"/>
      <c r="AB311" s="287"/>
      <c r="AC311" s="54"/>
      <c r="AD311" s="54"/>
    </row>
    <row r="312">
      <c r="A312" s="54"/>
      <c r="B312" s="292">
        <v>45834.0</v>
      </c>
      <c r="C312" s="100" t="s">
        <v>127</v>
      </c>
      <c r="D312" s="100" t="s">
        <v>270</v>
      </c>
      <c r="E312" s="100">
        <v>2026613.0</v>
      </c>
      <c r="F312" s="99">
        <f t="shared" si="49"/>
        <v>908</v>
      </c>
      <c r="G312" s="100">
        <v>470.0</v>
      </c>
      <c r="H312" s="101">
        <v>149.0</v>
      </c>
      <c r="I312" s="101">
        <v>150.0</v>
      </c>
      <c r="J312" s="102">
        <f t="shared" si="46"/>
        <v>-1</v>
      </c>
      <c r="K312" s="103">
        <f t="shared" si="47"/>
        <v>16.51982379</v>
      </c>
      <c r="L312" s="54"/>
      <c r="M312" s="54"/>
      <c r="N312" s="54"/>
      <c r="O312" s="54"/>
      <c r="P312" s="86"/>
      <c r="Q312" s="54"/>
      <c r="R312" s="249"/>
      <c r="T312" s="54"/>
      <c r="U312" s="54"/>
      <c r="V312" s="54"/>
      <c r="W312" s="54"/>
      <c r="X312" s="54"/>
      <c r="Y312" s="54"/>
      <c r="Z312" s="54"/>
      <c r="AA312" s="54"/>
      <c r="AB312" s="287"/>
      <c r="AC312" s="54"/>
      <c r="AD312" s="54"/>
    </row>
    <row r="313">
      <c r="A313" s="54"/>
      <c r="B313" s="292">
        <v>45835.0</v>
      </c>
      <c r="C313" s="100" t="s">
        <v>127</v>
      </c>
      <c r="D313" s="100" t="s">
        <v>270</v>
      </c>
      <c r="E313" s="100">
        <v>2026937.0</v>
      </c>
      <c r="F313" s="99">
        <f t="shared" si="49"/>
        <v>324</v>
      </c>
      <c r="G313" s="100">
        <v>485.0</v>
      </c>
      <c r="H313" s="101">
        <v>103.0</v>
      </c>
      <c r="I313" s="101">
        <v>100.0</v>
      </c>
      <c r="J313" s="102">
        <f t="shared" si="46"/>
        <v>3</v>
      </c>
      <c r="K313" s="103">
        <f t="shared" si="47"/>
        <v>30.86419753</v>
      </c>
      <c r="L313" s="54"/>
      <c r="M313" s="54"/>
      <c r="N313" s="54"/>
      <c r="O313" s="54"/>
      <c r="P313" s="86"/>
      <c r="Q313" s="54"/>
      <c r="R313" s="249"/>
      <c r="T313" s="54"/>
      <c r="U313" s="54"/>
      <c r="V313" s="54"/>
      <c r="W313" s="54"/>
      <c r="X313" s="54"/>
      <c r="Y313" s="54"/>
      <c r="Z313" s="54"/>
      <c r="AA313" s="54"/>
      <c r="AB313" s="287"/>
      <c r="AC313" s="54"/>
      <c r="AD313" s="54"/>
    </row>
    <row r="314">
      <c r="A314" s="54"/>
      <c r="B314" s="292">
        <v>45836.0</v>
      </c>
      <c r="C314" s="100" t="s">
        <v>127</v>
      </c>
      <c r="D314" s="100" t="s">
        <v>270</v>
      </c>
      <c r="E314" s="100">
        <v>2027807.0</v>
      </c>
      <c r="F314" s="99">
        <f t="shared" si="49"/>
        <v>870</v>
      </c>
      <c r="G314" s="100">
        <v>490.0</v>
      </c>
      <c r="H314" s="101">
        <v>276.0</v>
      </c>
      <c r="I314" s="101">
        <v>280.0</v>
      </c>
      <c r="J314" s="102">
        <f t="shared" si="46"/>
        <v>-4</v>
      </c>
      <c r="K314" s="103">
        <f t="shared" si="47"/>
        <v>32.18390805</v>
      </c>
      <c r="L314" s="54"/>
      <c r="M314" s="54"/>
      <c r="N314" s="54"/>
      <c r="O314" s="54"/>
      <c r="P314" s="86"/>
      <c r="Q314" s="54"/>
      <c r="R314" s="249"/>
      <c r="T314" s="54"/>
      <c r="U314" s="54"/>
      <c r="V314" s="54"/>
      <c r="W314" s="54"/>
      <c r="X314" s="54"/>
      <c r="Y314" s="54"/>
      <c r="Z314" s="54"/>
      <c r="AA314" s="54"/>
      <c r="AB314" s="287"/>
      <c r="AC314" s="54"/>
      <c r="AD314" s="54"/>
    </row>
    <row r="315">
      <c r="A315" s="54"/>
      <c r="B315" s="292">
        <v>45837.0</v>
      </c>
      <c r="C315" s="100" t="s">
        <v>127</v>
      </c>
      <c r="D315" s="100" t="s">
        <v>270</v>
      </c>
      <c r="E315" s="100">
        <v>2028605.0</v>
      </c>
      <c r="F315" s="99">
        <f t="shared" si="49"/>
        <v>798</v>
      </c>
      <c r="G315" s="100">
        <v>501.0</v>
      </c>
      <c r="H315" s="101">
        <v>256.0</v>
      </c>
      <c r="I315" s="101">
        <v>250.0</v>
      </c>
      <c r="J315" s="102">
        <f t="shared" si="46"/>
        <v>6</v>
      </c>
      <c r="K315" s="103">
        <f t="shared" si="47"/>
        <v>31.3283208</v>
      </c>
      <c r="L315" s="54"/>
      <c r="M315" s="54"/>
      <c r="N315" s="54"/>
      <c r="O315" s="54"/>
      <c r="P315" s="86"/>
      <c r="Q315" s="54"/>
      <c r="R315" s="249"/>
      <c r="T315" s="54"/>
      <c r="U315" s="54"/>
      <c r="V315" s="54"/>
      <c r="W315" s="54"/>
      <c r="X315" s="54"/>
      <c r="Y315" s="54"/>
      <c r="Z315" s="54"/>
      <c r="AA315" s="54"/>
      <c r="AB315" s="287"/>
      <c r="AC315" s="54"/>
      <c r="AD315" s="54"/>
    </row>
    <row r="316">
      <c r="A316" s="89"/>
      <c r="B316" s="203" t="str">
        <f>IF(L316=4,"АПРЕЛЬ",IF(L316=5,"МАЙ",IF(L316=1,"ЯНВАРЬ",IF(L316=2,"ФЕВРАЛЬ",IF(L316=3,"МАРТ",IF(L316=6,"ИЮНЬ",IF(L316=7,"ИЮЛЬ",IF(L316=8,"АВГУСТ",IF(L316=9,"СЕНТЯБРЬ",IF(L316=10,"ОКТЯБРЬ",IF(L316=11,"НОЯБРЬ",IF(L316=12,"ДЕКАБРЬ"))))))))))))</f>
        <v>ИЮЛЬ</v>
      </c>
      <c r="J316" s="89"/>
      <c r="K316" s="90"/>
      <c r="L316" s="91">
        <f>MONTH(B317)</f>
        <v>7</v>
      </c>
      <c r="M316" s="66"/>
      <c r="N316" s="66"/>
      <c r="O316" s="66"/>
      <c r="P316" s="113"/>
      <c r="Q316" s="66"/>
      <c r="R316" s="249"/>
      <c r="T316" s="54"/>
      <c r="U316" s="54"/>
      <c r="V316" s="54"/>
      <c r="W316" s="54"/>
      <c r="X316" s="54"/>
      <c r="Y316" s="54"/>
      <c r="Z316" s="54"/>
      <c r="AA316" s="54"/>
      <c r="AB316" s="287"/>
      <c r="AC316" s="54"/>
      <c r="AD316" s="54"/>
    </row>
    <row r="317">
      <c r="A317" s="54"/>
      <c r="B317" s="304">
        <v>45839.0</v>
      </c>
      <c r="C317" s="100" t="s">
        <v>127</v>
      </c>
      <c r="D317" s="100" t="s">
        <v>270</v>
      </c>
      <c r="E317" s="305">
        <v>2029858.0</v>
      </c>
      <c r="F317" s="306">
        <f>E317-E315</f>
        <v>1253</v>
      </c>
      <c r="G317" s="305">
        <v>329.0</v>
      </c>
      <c r="H317" s="307">
        <v>203.0</v>
      </c>
      <c r="I317" s="307">
        <v>200.0</v>
      </c>
      <c r="J317" s="308">
        <f t="shared" ref="J317:J341" si="50">H317-I317</f>
        <v>3</v>
      </c>
      <c r="K317" s="169">
        <f t="shared" ref="K317:K341" si="51">I317/F317*100</f>
        <v>15.96169194</v>
      </c>
      <c r="L317" s="54"/>
      <c r="M317" s="82" t="str">
        <f>"тотал"&amp;" "&amp;B316&amp;" "&amp;RIGHT(YEAR(B317),2)</f>
        <v>тотал ИЮЛЬ 25</v>
      </c>
      <c r="N317" s="75"/>
      <c r="O317" s="75"/>
      <c r="P317" s="75"/>
      <c r="Q317" s="76"/>
      <c r="R317" s="249"/>
      <c r="T317" s="54"/>
      <c r="U317" s="54"/>
      <c r="V317" s="54"/>
      <c r="W317" s="54"/>
      <c r="X317" s="54"/>
      <c r="Y317" s="54"/>
      <c r="Z317" s="54"/>
      <c r="AA317" s="54"/>
      <c r="AB317" s="287"/>
      <c r="AC317" s="54"/>
      <c r="AD317" s="54"/>
    </row>
    <row r="318">
      <c r="A318" s="54"/>
      <c r="B318" s="292">
        <v>45839.0</v>
      </c>
      <c r="C318" s="100" t="s">
        <v>127</v>
      </c>
      <c r="D318" s="100" t="s">
        <v>270</v>
      </c>
      <c r="E318" s="100">
        <v>2030052.0</v>
      </c>
      <c r="F318" s="99">
        <f t="shared" ref="F318:F341" si="52">E318-E317</f>
        <v>194</v>
      </c>
      <c r="G318" s="100">
        <v>478.0</v>
      </c>
      <c r="H318" s="101">
        <v>202.0</v>
      </c>
      <c r="I318" s="101">
        <v>200.0</v>
      </c>
      <c r="J318" s="308">
        <f t="shared" si="50"/>
        <v>2</v>
      </c>
      <c r="K318" s="169">
        <f t="shared" si="51"/>
        <v>103.0927835</v>
      </c>
      <c r="L318" s="54"/>
      <c r="M318" s="83" t="s">
        <v>70</v>
      </c>
      <c r="N318" s="83" t="s">
        <v>71</v>
      </c>
      <c r="O318" s="83" t="s">
        <v>27</v>
      </c>
      <c r="P318" s="77" t="s">
        <v>28</v>
      </c>
      <c r="Q318" s="12" t="s">
        <v>78</v>
      </c>
      <c r="R318" s="249"/>
      <c r="T318" s="54"/>
      <c r="U318" s="54"/>
      <c r="V318" s="54"/>
      <c r="W318" s="54"/>
      <c r="X318" s="54"/>
      <c r="Y318" s="54"/>
      <c r="Z318" s="54"/>
      <c r="AA318" s="54"/>
      <c r="AB318" s="287"/>
      <c r="AC318" s="54"/>
      <c r="AD318" s="54"/>
    </row>
    <row r="319">
      <c r="A319" s="54"/>
      <c r="B319" s="292">
        <v>45840.0</v>
      </c>
      <c r="C319" s="100" t="s">
        <v>127</v>
      </c>
      <c r="D319" s="100" t="s">
        <v>270</v>
      </c>
      <c r="E319" s="100">
        <v>2030602.0</v>
      </c>
      <c r="F319" s="99">
        <f t="shared" si="52"/>
        <v>550</v>
      </c>
      <c r="G319" s="100">
        <v>494.0</v>
      </c>
      <c r="H319" s="101">
        <v>151.0</v>
      </c>
      <c r="I319" s="101">
        <v>150.0</v>
      </c>
      <c r="J319" s="308">
        <f t="shared" si="50"/>
        <v>1</v>
      </c>
      <c r="K319" s="169">
        <f t="shared" si="51"/>
        <v>27.27272727</v>
      </c>
      <c r="L319" s="54"/>
      <c r="M319" s="84">
        <f>SUM(F317:F341)</f>
        <v>21707</v>
      </c>
      <c r="N319" s="84">
        <f>SUM(I317:I341)</f>
        <v>6236.55</v>
      </c>
      <c r="O319" s="85">
        <f>N319/M319*100</f>
        <v>28.73059382</v>
      </c>
      <c r="P319" s="79">
        <f>(M319/100)*(O319-Q319)</f>
        <v>158.59</v>
      </c>
      <c r="Q319" s="78">
        <v>28.0</v>
      </c>
      <c r="R319" s="249"/>
      <c r="T319" s="54"/>
      <c r="U319" s="54"/>
      <c r="V319" s="54"/>
      <c r="W319" s="54"/>
      <c r="X319" s="54"/>
      <c r="Y319" s="54"/>
      <c r="Z319" s="54"/>
      <c r="AA319" s="54"/>
      <c r="AB319" s="287"/>
      <c r="AC319" s="54"/>
      <c r="AD319" s="54"/>
    </row>
    <row r="320">
      <c r="A320" s="54"/>
      <c r="B320" s="292">
        <v>45842.0</v>
      </c>
      <c r="C320" s="100" t="s">
        <v>127</v>
      </c>
      <c r="D320" s="100" t="s">
        <v>270</v>
      </c>
      <c r="E320" s="100">
        <v>2031803.0</v>
      </c>
      <c r="F320" s="99">
        <f t="shared" si="52"/>
        <v>1201</v>
      </c>
      <c r="G320" s="100">
        <v>442.0</v>
      </c>
      <c r="H320" s="101">
        <v>305.0</v>
      </c>
      <c r="I320" s="101">
        <v>300.0</v>
      </c>
      <c r="J320" s="308">
        <f t="shared" si="50"/>
        <v>5</v>
      </c>
      <c r="K320" s="169">
        <f t="shared" si="51"/>
        <v>24.97918401</v>
      </c>
      <c r="L320" s="54"/>
      <c r="M320" s="54"/>
      <c r="N320" s="54"/>
      <c r="O320" s="54"/>
      <c r="P320" s="86"/>
      <c r="Q320" s="54"/>
      <c r="R320" s="249"/>
      <c r="T320" s="54"/>
      <c r="U320" s="54"/>
      <c r="V320" s="54"/>
      <c r="W320" s="54"/>
      <c r="X320" s="54"/>
      <c r="Y320" s="54"/>
      <c r="Z320" s="54"/>
      <c r="AA320" s="54"/>
      <c r="AB320" s="287"/>
      <c r="AC320" s="54"/>
      <c r="AD320" s="54"/>
    </row>
    <row r="321">
      <c r="A321" s="54"/>
      <c r="B321" s="292">
        <v>45842.0</v>
      </c>
      <c r="C321" s="100" t="s">
        <v>127</v>
      </c>
      <c r="D321" s="100" t="s">
        <v>270</v>
      </c>
      <c r="E321" s="100">
        <v>2032262.0</v>
      </c>
      <c r="F321" s="99">
        <f t="shared" si="52"/>
        <v>459</v>
      </c>
      <c r="G321" s="100">
        <v>500.0</v>
      </c>
      <c r="H321" s="101">
        <v>191.0</v>
      </c>
      <c r="I321" s="101">
        <v>186.36</v>
      </c>
      <c r="J321" s="308">
        <f t="shared" si="50"/>
        <v>4.64</v>
      </c>
      <c r="K321" s="169">
        <f t="shared" si="51"/>
        <v>40.60130719</v>
      </c>
      <c r="L321" s="54"/>
      <c r="M321" s="54"/>
      <c r="N321" s="54"/>
      <c r="O321" s="54"/>
      <c r="P321" s="86"/>
      <c r="Q321" s="54"/>
      <c r="R321" s="249"/>
      <c r="T321" s="54"/>
      <c r="U321" s="54"/>
      <c r="V321" s="54"/>
      <c r="W321" s="54"/>
      <c r="X321" s="54"/>
      <c r="Y321" s="54"/>
      <c r="Z321" s="54"/>
      <c r="AA321" s="54"/>
      <c r="AB321" s="287"/>
      <c r="AC321" s="54"/>
      <c r="AD321" s="54"/>
    </row>
    <row r="322">
      <c r="A322" s="54"/>
      <c r="B322" s="292">
        <v>45844.0</v>
      </c>
      <c r="C322" s="100" t="s">
        <v>127</v>
      </c>
      <c r="D322" s="100" t="s">
        <v>270</v>
      </c>
      <c r="E322" s="100">
        <v>2033463.0</v>
      </c>
      <c r="F322" s="99">
        <f t="shared" si="52"/>
        <v>1201</v>
      </c>
      <c r="G322" s="100">
        <v>495.0</v>
      </c>
      <c r="H322" s="101">
        <v>357.0</v>
      </c>
      <c r="I322" s="101">
        <v>350.0</v>
      </c>
      <c r="J322" s="308">
        <f t="shared" si="50"/>
        <v>7</v>
      </c>
      <c r="K322" s="169">
        <f t="shared" si="51"/>
        <v>29.14238135</v>
      </c>
      <c r="L322" s="54"/>
      <c r="M322" s="54"/>
      <c r="N322" s="54"/>
      <c r="O322" s="54"/>
      <c r="P322" s="86"/>
      <c r="Q322" s="54"/>
      <c r="R322" s="249"/>
      <c r="T322" s="54"/>
      <c r="U322" s="54"/>
      <c r="V322" s="54"/>
      <c r="W322" s="54"/>
      <c r="X322" s="54"/>
      <c r="Y322" s="54"/>
      <c r="Z322" s="54"/>
      <c r="AA322" s="54"/>
      <c r="AB322" s="287"/>
      <c r="AC322" s="54"/>
      <c r="AD322" s="54"/>
    </row>
    <row r="323">
      <c r="A323" s="54"/>
      <c r="B323" s="292">
        <v>45845.0</v>
      </c>
      <c r="C323" s="100" t="s">
        <v>272</v>
      </c>
      <c r="D323" s="100" t="s">
        <v>270</v>
      </c>
      <c r="E323" s="100">
        <v>2034648.0</v>
      </c>
      <c r="F323" s="99">
        <f t="shared" si="52"/>
        <v>1185</v>
      </c>
      <c r="G323" s="100">
        <v>505.0</v>
      </c>
      <c r="H323" s="101">
        <v>339.0</v>
      </c>
      <c r="I323" s="101">
        <v>330.02</v>
      </c>
      <c r="J323" s="308">
        <f t="shared" si="50"/>
        <v>8.98</v>
      </c>
      <c r="K323" s="169">
        <f t="shared" si="51"/>
        <v>27.84978903</v>
      </c>
      <c r="L323" s="54"/>
      <c r="M323" s="54"/>
      <c r="N323" s="54"/>
      <c r="O323" s="54"/>
      <c r="P323" s="86"/>
      <c r="Q323" s="54"/>
      <c r="R323" s="249"/>
      <c r="T323" s="54"/>
      <c r="U323" s="54"/>
      <c r="V323" s="54"/>
      <c r="W323" s="54"/>
      <c r="X323" s="54"/>
      <c r="Y323" s="54"/>
      <c r="Z323" s="54"/>
      <c r="AA323" s="54"/>
      <c r="AB323" s="287"/>
      <c r="AC323" s="54"/>
      <c r="AD323" s="54"/>
    </row>
    <row r="324">
      <c r="A324" s="54"/>
      <c r="B324" s="292">
        <v>45846.0</v>
      </c>
      <c r="C324" s="100" t="s">
        <v>272</v>
      </c>
      <c r="D324" s="100" t="s">
        <v>270</v>
      </c>
      <c r="E324" s="100">
        <v>2035753.0</v>
      </c>
      <c r="F324" s="99">
        <f t="shared" si="52"/>
        <v>1105</v>
      </c>
      <c r="G324" s="100">
        <v>498.0</v>
      </c>
      <c r="H324" s="101">
        <v>308.0</v>
      </c>
      <c r="I324" s="102">
        <f>350-43.1</f>
        <v>306.9</v>
      </c>
      <c r="J324" s="308">
        <f t="shared" si="50"/>
        <v>1.1</v>
      </c>
      <c r="K324" s="169">
        <f t="shared" si="51"/>
        <v>27.77375566</v>
      </c>
      <c r="L324" s="54"/>
      <c r="M324" s="54"/>
      <c r="N324" s="54"/>
      <c r="O324" s="54"/>
      <c r="P324" s="86"/>
      <c r="Q324" s="54"/>
      <c r="R324" s="249"/>
      <c r="T324" s="54"/>
      <c r="U324" s="54"/>
      <c r="V324" s="54"/>
      <c r="W324" s="54"/>
      <c r="X324" s="54"/>
      <c r="Y324" s="54"/>
      <c r="Z324" s="54"/>
      <c r="AA324" s="54"/>
      <c r="AB324" s="287"/>
      <c r="AC324" s="54"/>
      <c r="AD324" s="54"/>
    </row>
    <row r="325">
      <c r="A325" s="54"/>
      <c r="B325" s="292">
        <v>45847.0</v>
      </c>
      <c r="C325" s="100" t="s">
        <v>272</v>
      </c>
      <c r="D325" s="100" t="s">
        <v>270</v>
      </c>
      <c r="E325" s="100">
        <v>2036534.0</v>
      </c>
      <c r="F325" s="99">
        <f t="shared" si="52"/>
        <v>781</v>
      </c>
      <c r="G325" s="100">
        <v>495.0</v>
      </c>
      <c r="H325" s="101">
        <v>227.0</v>
      </c>
      <c r="I325" s="101">
        <v>220.07</v>
      </c>
      <c r="J325" s="308">
        <f t="shared" si="50"/>
        <v>6.93</v>
      </c>
      <c r="K325" s="169">
        <f t="shared" si="51"/>
        <v>28.17797695</v>
      </c>
      <c r="L325" s="54"/>
      <c r="M325" s="54"/>
      <c r="N325" s="54"/>
      <c r="O325" s="54"/>
      <c r="P325" s="86"/>
      <c r="Q325" s="54"/>
      <c r="R325" s="249"/>
      <c r="T325" s="54"/>
      <c r="U325" s="54"/>
      <c r="V325" s="54"/>
      <c r="W325" s="54"/>
      <c r="X325" s="54"/>
      <c r="Y325" s="54"/>
      <c r="Z325" s="54"/>
      <c r="AA325" s="54"/>
      <c r="AB325" s="287"/>
      <c r="AC325" s="54"/>
      <c r="AD325" s="54"/>
    </row>
    <row r="326">
      <c r="A326" s="54"/>
      <c r="B326" s="292">
        <v>45848.0</v>
      </c>
      <c r="C326" s="100" t="s">
        <v>272</v>
      </c>
      <c r="D326" s="100" t="s">
        <v>270</v>
      </c>
      <c r="E326" s="100">
        <v>2037730.0</v>
      </c>
      <c r="F326" s="99">
        <f t="shared" si="52"/>
        <v>1196</v>
      </c>
      <c r="G326" s="100">
        <v>414.0</v>
      </c>
      <c r="H326" s="101">
        <v>279.0</v>
      </c>
      <c r="I326" s="101">
        <f>138.88*2</f>
        <v>277.76</v>
      </c>
      <c r="J326" s="308">
        <f t="shared" si="50"/>
        <v>1.24</v>
      </c>
      <c r="K326" s="169">
        <f t="shared" si="51"/>
        <v>23.22408027</v>
      </c>
      <c r="L326" s="54"/>
      <c r="M326" s="54"/>
      <c r="N326" s="54"/>
      <c r="O326" s="54"/>
      <c r="P326" s="86"/>
      <c r="Q326" s="54"/>
      <c r="R326" s="249"/>
      <c r="T326" s="54"/>
      <c r="U326" s="54"/>
      <c r="V326" s="54"/>
      <c r="W326" s="54"/>
      <c r="X326" s="54"/>
      <c r="Y326" s="54"/>
      <c r="Z326" s="54"/>
      <c r="AA326" s="54"/>
      <c r="AB326" s="287"/>
      <c r="AC326" s="54"/>
      <c r="AD326" s="54"/>
    </row>
    <row r="327">
      <c r="A327" s="54"/>
      <c r="B327" s="292">
        <v>45849.0</v>
      </c>
      <c r="C327" s="100" t="s">
        <v>272</v>
      </c>
      <c r="D327" s="100" t="s">
        <v>270</v>
      </c>
      <c r="E327" s="100">
        <v>2038437.0</v>
      </c>
      <c r="F327" s="99">
        <f t="shared" si="52"/>
        <v>707</v>
      </c>
      <c r="G327" s="100">
        <v>502.0</v>
      </c>
      <c r="H327" s="101">
        <v>298.0</v>
      </c>
      <c r="I327" s="101">
        <v>290.0</v>
      </c>
      <c r="J327" s="308">
        <f t="shared" si="50"/>
        <v>8</v>
      </c>
      <c r="K327" s="169">
        <f t="shared" si="51"/>
        <v>41.01838755</v>
      </c>
      <c r="L327" s="54"/>
      <c r="M327" s="54"/>
      <c r="N327" s="54"/>
      <c r="O327" s="54"/>
      <c r="P327" s="86"/>
      <c r="Q327" s="54"/>
      <c r="R327" s="249"/>
      <c r="T327" s="54"/>
      <c r="U327" s="54"/>
      <c r="V327" s="54"/>
      <c r="W327" s="54"/>
      <c r="X327" s="54"/>
      <c r="Y327" s="54"/>
      <c r="Z327" s="54"/>
      <c r="AA327" s="54"/>
      <c r="AB327" s="287"/>
      <c r="AC327" s="54"/>
      <c r="AD327" s="54"/>
    </row>
    <row r="328">
      <c r="A328" s="54"/>
      <c r="B328" s="292">
        <v>45850.0</v>
      </c>
      <c r="C328" s="100" t="s">
        <v>272</v>
      </c>
      <c r="D328" s="100" t="s">
        <v>270</v>
      </c>
      <c r="E328" s="100">
        <v>2039559.0</v>
      </c>
      <c r="F328" s="99">
        <f t="shared" si="52"/>
        <v>1122</v>
      </c>
      <c r="G328" s="100">
        <v>469.0</v>
      </c>
      <c r="H328" s="101">
        <v>305.0</v>
      </c>
      <c r="I328" s="101">
        <v>300.0</v>
      </c>
      <c r="J328" s="308">
        <f t="shared" si="50"/>
        <v>5</v>
      </c>
      <c r="K328" s="169">
        <f t="shared" si="51"/>
        <v>26.73796791</v>
      </c>
      <c r="L328" s="54"/>
      <c r="M328" s="54"/>
      <c r="N328" s="54"/>
      <c r="O328" s="54"/>
      <c r="P328" s="86"/>
      <c r="Q328" s="54"/>
      <c r="R328" s="249"/>
      <c r="T328" s="54"/>
      <c r="U328" s="54"/>
      <c r="V328" s="54"/>
      <c r="W328" s="54"/>
      <c r="X328" s="54"/>
      <c r="Y328" s="54"/>
      <c r="Z328" s="54"/>
      <c r="AA328" s="54"/>
      <c r="AB328" s="287"/>
      <c r="AC328" s="54"/>
      <c r="AD328" s="54"/>
    </row>
    <row r="329">
      <c r="A329" s="54"/>
      <c r="B329" s="292">
        <v>45851.0</v>
      </c>
      <c r="C329" s="100" t="s">
        <v>272</v>
      </c>
      <c r="D329" s="100" t="s">
        <v>270</v>
      </c>
      <c r="E329" s="100">
        <v>2040355.0</v>
      </c>
      <c r="F329" s="99">
        <f t="shared" si="52"/>
        <v>796</v>
      </c>
      <c r="G329" s="100">
        <v>486.0</v>
      </c>
      <c r="H329" s="101">
        <v>254.0</v>
      </c>
      <c r="I329" s="101">
        <v>250.0</v>
      </c>
      <c r="J329" s="308">
        <f t="shared" si="50"/>
        <v>4</v>
      </c>
      <c r="K329" s="169">
        <f t="shared" si="51"/>
        <v>31.40703518</v>
      </c>
      <c r="L329" s="54"/>
      <c r="M329" s="54"/>
      <c r="N329" s="54"/>
      <c r="O329" s="54"/>
      <c r="P329" s="86"/>
      <c r="Q329" s="54"/>
      <c r="R329" s="249"/>
      <c r="T329" s="54"/>
      <c r="U329" s="54"/>
      <c r="V329" s="54"/>
      <c r="W329" s="54"/>
      <c r="X329" s="54"/>
      <c r="Y329" s="54"/>
      <c r="Z329" s="54"/>
      <c r="AA329" s="54"/>
      <c r="AB329" s="287"/>
      <c r="AC329" s="54"/>
      <c r="AD329" s="54"/>
    </row>
    <row r="330">
      <c r="A330" s="54"/>
      <c r="B330" s="292">
        <v>45852.0</v>
      </c>
      <c r="C330" s="100" t="s">
        <v>272</v>
      </c>
      <c r="D330" s="100" t="s">
        <v>270</v>
      </c>
      <c r="E330" s="100">
        <v>2041491.0</v>
      </c>
      <c r="F330" s="99">
        <f t="shared" si="52"/>
        <v>1136</v>
      </c>
      <c r="G330" s="100">
        <v>462.0</v>
      </c>
      <c r="H330" s="101">
        <v>307.0</v>
      </c>
      <c r="I330" s="101">
        <v>300.0</v>
      </c>
      <c r="J330" s="308">
        <f t="shared" si="50"/>
        <v>7</v>
      </c>
      <c r="K330" s="169">
        <f t="shared" si="51"/>
        <v>26.4084507</v>
      </c>
      <c r="L330" s="54"/>
      <c r="M330" s="54"/>
      <c r="N330" s="54"/>
      <c r="O330" s="54"/>
      <c r="P330" s="86"/>
      <c r="Q330" s="54"/>
      <c r="R330" s="249"/>
      <c r="T330" s="54"/>
      <c r="U330" s="54"/>
      <c r="V330" s="54"/>
      <c r="W330" s="54"/>
      <c r="X330" s="54"/>
      <c r="Y330" s="54"/>
      <c r="Z330" s="54"/>
      <c r="AA330" s="54"/>
      <c r="AB330" s="287"/>
      <c r="AC330" s="54"/>
      <c r="AD330" s="54"/>
    </row>
    <row r="331">
      <c r="A331" s="54"/>
      <c r="B331" s="292">
        <v>45853.0</v>
      </c>
      <c r="C331" s="100" t="s">
        <v>272</v>
      </c>
      <c r="D331" s="100" t="s">
        <v>270</v>
      </c>
      <c r="E331" s="100">
        <v>2042260.0</v>
      </c>
      <c r="F331" s="99">
        <f t="shared" si="52"/>
        <v>769</v>
      </c>
      <c r="G331" s="100">
        <v>499.0</v>
      </c>
      <c r="H331" s="101">
        <v>256.0</v>
      </c>
      <c r="I331" s="101">
        <v>250.0</v>
      </c>
      <c r="J331" s="308">
        <f t="shared" si="50"/>
        <v>6</v>
      </c>
      <c r="K331" s="169">
        <f t="shared" si="51"/>
        <v>32.50975293</v>
      </c>
      <c r="L331" s="54"/>
      <c r="M331" s="54"/>
      <c r="N331" s="54"/>
      <c r="O331" s="54"/>
      <c r="P331" s="86"/>
      <c r="Q331" s="54"/>
      <c r="R331" s="249"/>
      <c r="T331" s="54"/>
      <c r="U331" s="54"/>
      <c r="V331" s="54"/>
      <c r="W331" s="54"/>
      <c r="X331" s="54"/>
      <c r="Y331" s="54"/>
      <c r="Z331" s="54"/>
      <c r="AA331" s="54"/>
      <c r="AB331" s="287"/>
      <c r="AC331" s="54"/>
      <c r="AD331" s="54"/>
    </row>
    <row r="332">
      <c r="A332" s="54"/>
      <c r="B332" s="292">
        <v>45854.0</v>
      </c>
      <c r="C332" s="100" t="s">
        <v>272</v>
      </c>
      <c r="D332" s="100" t="s">
        <v>270</v>
      </c>
      <c r="E332" s="100">
        <v>2043383.0</v>
      </c>
      <c r="F332" s="99">
        <f t="shared" si="52"/>
        <v>1123</v>
      </c>
      <c r="G332" s="100">
        <v>465.0</v>
      </c>
      <c r="H332" s="101">
        <v>307.0</v>
      </c>
      <c r="I332" s="101">
        <v>300.0</v>
      </c>
      <c r="J332" s="308">
        <f t="shared" si="50"/>
        <v>7</v>
      </c>
      <c r="K332" s="169">
        <f t="shared" si="51"/>
        <v>26.7141585</v>
      </c>
      <c r="L332" s="54"/>
      <c r="M332" s="54"/>
      <c r="N332" s="54"/>
      <c r="O332" s="54"/>
      <c r="P332" s="86"/>
      <c r="Q332" s="54"/>
      <c r="R332" s="249"/>
      <c r="T332" s="54"/>
      <c r="U332" s="54"/>
      <c r="V332" s="54"/>
      <c r="W332" s="54"/>
      <c r="X332" s="54"/>
      <c r="Y332" s="54"/>
      <c r="Z332" s="54"/>
      <c r="AA332" s="54"/>
      <c r="AB332" s="287"/>
      <c r="AC332" s="54"/>
      <c r="AD332" s="54"/>
    </row>
    <row r="333">
      <c r="A333" s="54"/>
      <c r="B333" s="292">
        <v>45856.0</v>
      </c>
      <c r="C333" s="100" t="s">
        <v>272</v>
      </c>
      <c r="D333" s="100" t="s">
        <v>270</v>
      </c>
      <c r="E333" s="100">
        <v>2044426.0</v>
      </c>
      <c r="F333" s="99">
        <f t="shared" si="52"/>
        <v>1043</v>
      </c>
      <c r="G333" s="100">
        <v>497.0</v>
      </c>
      <c r="H333" s="101">
        <v>338.0</v>
      </c>
      <c r="I333" s="101">
        <v>331.52</v>
      </c>
      <c r="J333" s="308">
        <f t="shared" si="50"/>
        <v>6.48</v>
      </c>
      <c r="K333" s="169">
        <f t="shared" si="51"/>
        <v>31.7852349</v>
      </c>
      <c r="L333" s="54"/>
      <c r="M333" s="54"/>
      <c r="N333" s="54"/>
      <c r="O333" s="54"/>
      <c r="P333" s="86"/>
      <c r="Q333" s="54"/>
      <c r="R333" s="249"/>
      <c r="T333" s="54"/>
      <c r="U333" s="54"/>
      <c r="V333" s="54"/>
      <c r="W333" s="54"/>
      <c r="X333" s="54"/>
      <c r="Y333" s="54"/>
      <c r="Z333" s="54"/>
      <c r="AA333" s="54"/>
      <c r="AB333" s="287"/>
      <c r="AC333" s="54"/>
      <c r="AD333" s="54"/>
    </row>
    <row r="334">
      <c r="A334" s="54"/>
      <c r="B334" s="292">
        <v>45857.0</v>
      </c>
      <c r="C334" s="100" t="s">
        <v>272</v>
      </c>
      <c r="D334" s="100" t="s">
        <v>270</v>
      </c>
      <c r="E334" s="100">
        <v>2045572.0</v>
      </c>
      <c r="F334" s="99">
        <f t="shared" si="52"/>
        <v>1146</v>
      </c>
      <c r="G334" s="100">
        <v>500.0</v>
      </c>
      <c r="H334" s="101">
        <v>348.0</v>
      </c>
      <c r="I334" s="101">
        <v>350.0</v>
      </c>
      <c r="J334" s="308">
        <f t="shared" si="50"/>
        <v>-2</v>
      </c>
      <c r="K334" s="169">
        <f t="shared" si="51"/>
        <v>30.54101222</v>
      </c>
      <c r="L334" s="54"/>
      <c r="M334" s="54"/>
      <c r="N334" s="54"/>
      <c r="O334" s="54"/>
      <c r="P334" s="86"/>
      <c r="Q334" s="54"/>
      <c r="R334" s="249"/>
      <c r="T334" s="54"/>
      <c r="U334" s="54"/>
      <c r="V334" s="54"/>
      <c r="W334" s="54"/>
      <c r="X334" s="54"/>
      <c r="Y334" s="54"/>
      <c r="Z334" s="54"/>
      <c r="AA334" s="54"/>
      <c r="AB334" s="287"/>
      <c r="AC334" s="54"/>
      <c r="AD334" s="54"/>
    </row>
    <row r="335">
      <c r="A335" s="54"/>
      <c r="B335" s="292">
        <v>45859.0</v>
      </c>
      <c r="C335" s="100" t="s">
        <v>123</v>
      </c>
      <c r="D335" s="100" t="s">
        <v>270</v>
      </c>
      <c r="E335" s="100">
        <v>2046355.0</v>
      </c>
      <c r="F335" s="99">
        <f t="shared" si="52"/>
        <v>783</v>
      </c>
      <c r="G335" s="100">
        <v>481.0</v>
      </c>
      <c r="H335" s="101">
        <v>200.0</v>
      </c>
      <c r="I335" s="101">
        <v>200.0</v>
      </c>
      <c r="J335" s="308">
        <f t="shared" si="50"/>
        <v>0</v>
      </c>
      <c r="K335" s="169">
        <f t="shared" si="51"/>
        <v>25.54278416</v>
      </c>
      <c r="L335" s="54"/>
      <c r="M335" s="54"/>
      <c r="N335" s="54"/>
      <c r="O335" s="54"/>
      <c r="P335" s="86"/>
      <c r="Q335" s="54"/>
      <c r="R335" s="249"/>
      <c r="T335" s="54"/>
      <c r="U335" s="54"/>
      <c r="V335" s="54"/>
      <c r="W335" s="54"/>
      <c r="X335" s="54"/>
      <c r="Y335" s="54"/>
      <c r="Z335" s="54"/>
      <c r="AA335" s="54"/>
      <c r="AB335" s="287"/>
      <c r="AC335" s="54"/>
      <c r="AD335" s="54"/>
    </row>
    <row r="336">
      <c r="A336" s="54"/>
      <c r="B336" s="292">
        <v>45860.0</v>
      </c>
      <c r="C336" s="100" t="s">
        <v>123</v>
      </c>
      <c r="D336" s="100" t="s">
        <v>270</v>
      </c>
      <c r="E336" s="100">
        <v>2046789.0</v>
      </c>
      <c r="F336" s="99">
        <f t="shared" si="52"/>
        <v>434</v>
      </c>
      <c r="G336" s="100">
        <v>494.0</v>
      </c>
      <c r="H336" s="101">
        <v>141.0</v>
      </c>
      <c r="I336" s="101">
        <v>138.53</v>
      </c>
      <c r="J336" s="308">
        <f t="shared" si="50"/>
        <v>2.47</v>
      </c>
      <c r="K336" s="169">
        <f t="shared" si="51"/>
        <v>31.91935484</v>
      </c>
      <c r="L336" s="54"/>
      <c r="M336" s="54"/>
      <c r="N336" s="54"/>
      <c r="O336" s="54"/>
      <c r="P336" s="86"/>
      <c r="Q336" s="54"/>
      <c r="R336" s="249"/>
      <c r="T336" s="54"/>
      <c r="U336" s="54"/>
      <c r="V336" s="54"/>
      <c r="W336" s="54"/>
      <c r="X336" s="54"/>
      <c r="Y336" s="54"/>
      <c r="Z336" s="54"/>
      <c r="AA336" s="54"/>
      <c r="AB336" s="287"/>
      <c r="AC336" s="54"/>
      <c r="AD336" s="54"/>
    </row>
    <row r="337">
      <c r="A337" s="54"/>
      <c r="B337" s="292">
        <v>45861.0</v>
      </c>
      <c r="C337" s="100" t="s">
        <v>123</v>
      </c>
      <c r="D337" s="100" t="s">
        <v>270</v>
      </c>
      <c r="E337" s="100">
        <v>2047828.0</v>
      </c>
      <c r="F337" s="99">
        <f t="shared" si="52"/>
        <v>1039</v>
      </c>
      <c r="G337" s="100">
        <v>494.0</v>
      </c>
      <c r="H337" s="101">
        <v>300.0</v>
      </c>
      <c r="I337" s="101">
        <v>300.0</v>
      </c>
      <c r="J337" s="308">
        <f t="shared" si="50"/>
        <v>0</v>
      </c>
      <c r="K337" s="169">
        <f t="shared" si="51"/>
        <v>28.87391723</v>
      </c>
      <c r="L337" s="54"/>
      <c r="M337" s="54"/>
      <c r="N337" s="54"/>
      <c r="O337" s="54"/>
      <c r="P337" s="86"/>
      <c r="Q337" s="54"/>
      <c r="R337" s="249"/>
      <c r="T337" s="54"/>
      <c r="U337" s="54"/>
      <c r="V337" s="54"/>
      <c r="W337" s="54"/>
      <c r="X337" s="54"/>
      <c r="Y337" s="54"/>
      <c r="Z337" s="54"/>
      <c r="AA337" s="54"/>
      <c r="AB337" s="287"/>
      <c r="AC337" s="54"/>
      <c r="AD337" s="54"/>
    </row>
    <row r="338">
      <c r="A338" s="54"/>
      <c r="B338" s="292">
        <v>45862.0</v>
      </c>
      <c r="C338" s="100" t="s">
        <v>123</v>
      </c>
      <c r="D338" s="100" t="s">
        <v>270</v>
      </c>
      <c r="E338" s="100">
        <v>2048680.0</v>
      </c>
      <c r="F338" s="99">
        <f t="shared" si="52"/>
        <v>852</v>
      </c>
      <c r="G338" s="100">
        <v>467.0</v>
      </c>
      <c r="H338" s="101">
        <v>209.0</v>
      </c>
      <c r="I338" s="101">
        <v>200.0</v>
      </c>
      <c r="J338" s="308">
        <f t="shared" si="50"/>
        <v>9</v>
      </c>
      <c r="K338" s="169">
        <f t="shared" si="51"/>
        <v>23.4741784</v>
      </c>
      <c r="L338" s="54"/>
      <c r="M338" s="54"/>
      <c r="N338" s="54"/>
      <c r="O338" s="54"/>
      <c r="P338" s="86"/>
      <c r="Q338" s="54"/>
      <c r="R338" s="249"/>
      <c r="T338" s="54"/>
      <c r="U338" s="54"/>
      <c r="V338" s="54"/>
      <c r="W338" s="54"/>
      <c r="X338" s="54"/>
      <c r="Y338" s="54"/>
      <c r="Z338" s="54"/>
      <c r="AA338" s="54"/>
      <c r="AB338" s="287"/>
      <c r="AC338" s="54"/>
      <c r="AD338" s="54"/>
    </row>
    <row r="339">
      <c r="A339" s="54"/>
      <c r="B339" s="292">
        <v>45863.0</v>
      </c>
      <c r="C339" s="100" t="s">
        <v>123</v>
      </c>
      <c r="D339" s="100" t="s">
        <v>270</v>
      </c>
      <c r="E339" s="100">
        <v>2049268.0</v>
      </c>
      <c r="F339" s="99">
        <f t="shared" si="52"/>
        <v>588</v>
      </c>
      <c r="G339" s="100">
        <v>496.0</v>
      </c>
      <c r="H339" s="101">
        <v>207.0</v>
      </c>
      <c r="I339" s="101">
        <v>200.0</v>
      </c>
      <c r="J339" s="308">
        <f t="shared" si="50"/>
        <v>7</v>
      </c>
      <c r="K339" s="169">
        <f t="shared" si="51"/>
        <v>34.01360544</v>
      </c>
      <c r="L339" s="54"/>
      <c r="M339" s="54"/>
      <c r="N339" s="54"/>
      <c r="O339" s="54"/>
      <c r="P339" s="86"/>
      <c r="Q339" s="54"/>
      <c r="R339" s="249"/>
      <c r="T339" s="54"/>
      <c r="U339" s="54"/>
      <c r="V339" s="54"/>
      <c r="W339" s="54"/>
      <c r="X339" s="54"/>
      <c r="Y339" s="54"/>
      <c r="Z339" s="54"/>
      <c r="AA339" s="54"/>
      <c r="AB339" s="287"/>
      <c r="AC339" s="54"/>
      <c r="AD339" s="54"/>
    </row>
    <row r="340">
      <c r="A340" s="54"/>
      <c r="B340" s="292">
        <v>45864.0</v>
      </c>
      <c r="C340" s="100" t="s">
        <v>123</v>
      </c>
      <c r="D340" s="100" t="s">
        <v>270</v>
      </c>
      <c r="E340" s="100">
        <v>2050005.0</v>
      </c>
      <c r="F340" s="99">
        <f t="shared" si="52"/>
        <v>737</v>
      </c>
      <c r="G340" s="100">
        <v>467.0</v>
      </c>
      <c r="H340" s="101">
        <v>206.0</v>
      </c>
      <c r="I340" s="101">
        <v>200.0</v>
      </c>
      <c r="J340" s="308">
        <f t="shared" si="50"/>
        <v>6</v>
      </c>
      <c r="K340" s="169">
        <f t="shared" si="51"/>
        <v>27.13704206</v>
      </c>
      <c r="L340" s="54"/>
      <c r="M340" s="54"/>
      <c r="N340" s="54"/>
      <c r="O340" s="54"/>
      <c r="P340" s="86"/>
      <c r="Q340" s="54"/>
      <c r="R340" s="249"/>
      <c r="T340" s="54"/>
      <c r="U340" s="54"/>
      <c r="V340" s="54"/>
      <c r="W340" s="54"/>
      <c r="X340" s="54"/>
      <c r="Y340" s="54"/>
      <c r="Z340" s="54"/>
      <c r="AA340" s="54"/>
      <c r="AB340" s="287"/>
      <c r="AC340" s="54"/>
      <c r="AD340" s="54"/>
    </row>
    <row r="341">
      <c r="A341" s="54"/>
      <c r="B341" s="292">
        <v>45866.0</v>
      </c>
      <c r="C341" s="100" t="s">
        <v>99</v>
      </c>
      <c r="D341" s="100" t="s">
        <v>100</v>
      </c>
      <c r="E341" s="100">
        <v>2050312.0</v>
      </c>
      <c r="F341" s="99">
        <f t="shared" si="52"/>
        <v>307</v>
      </c>
      <c r="G341" s="100">
        <v>502.0</v>
      </c>
      <c r="H341" s="101">
        <v>107.0</v>
      </c>
      <c r="I341" s="101">
        <v>105.39</v>
      </c>
      <c r="J341" s="308">
        <f t="shared" si="50"/>
        <v>1.61</v>
      </c>
      <c r="K341" s="169">
        <f t="shared" si="51"/>
        <v>34.32899023</v>
      </c>
      <c r="L341" s="54"/>
      <c r="M341" s="54"/>
      <c r="N341" s="54"/>
      <c r="O341" s="54"/>
      <c r="P341" s="86"/>
      <c r="Q341" s="54"/>
      <c r="R341" s="249"/>
      <c r="T341" s="54"/>
      <c r="U341" s="54"/>
      <c r="V341" s="54"/>
      <c r="W341" s="54"/>
      <c r="X341" s="54"/>
      <c r="Y341" s="54"/>
      <c r="Z341" s="54"/>
      <c r="AA341" s="54"/>
      <c r="AB341" s="287"/>
      <c r="AC341" s="54"/>
      <c r="AD341" s="54"/>
    </row>
    <row r="342">
      <c r="A342" s="89"/>
      <c r="B342" s="203" t="str">
        <f>IF(L342=4,"АПРЕЛЬ",IF(L342=5,"МАЙ",IF(L342=1,"ЯНВАРЬ",IF(L342=2,"ФЕВРАЛЬ",IF(L342=3,"МАРТ",IF(L342=6,"ИЮНЬ",IF(L342=7,"ИЮЛЬ",IF(L342=8,"АВГУСТ",IF(L342=9,"СЕНТЯБРЬ",IF(L342=10,"ОКТЯБРЬ",IF(L342=11,"НОЯБРЬ",IF(L342=12,"ДЕКАБРЬ"))))))))))))</f>
        <v>АВГУСТ</v>
      </c>
      <c r="J342" s="89"/>
      <c r="K342" s="90"/>
      <c r="L342" s="91">
        <f>MONTH(B343)</f>
        <v>8</v>
      </c>
      <c r="M342" s="66"/>
      <c r="N342" s="66"/>
      <c r="O342" s="66"/>
      <c r="P342" s="113"/>
      <c r="Q342" s="66"/>
      <c r="R342" s="249"/>
      <c r="T342" s="54"/>
      <c r="U342" s="54"/>
      <c r="V342" s="54"/>
      <c r="W342" s="54"/>
      <c r="X342" s="54"/>
      <c r="Y342" s="54"/>
      <c r="Z342" s="54"/>
      <c r="AA342" s="54"/>
      <c r="AB342" s="287"/>
      <c r="AC342" s="54"/>
      <c r="AD342" s="54"/>
    </row>
    <row r="343">
      <c r="A343" s="54"/>
      <c r="B343" s="292">
        <v>45871.0</v>
      </c>
      <c r="C343" s="100" t="s">
        <v>99</v>
      </c>
      <c r="D343" s="100" t="s">
        <v>100</v>
      </c>
      <c r="E343" s="100">
        <v>2051203.0</v>
      </c>
      <c r="F343" s="99">
        <f>E343-E341</f>
        <v>891</v>
      </c>
      <c r="G343" s="100">
        <v>507.0</v>
      </c>
      <c r="H343" s="101">
        <v>305.0</v>
      </c>
      <c r="I343" s="101">
        <v>300.0</v>
      </c>
      <c r="J343" s="102">
        <f t="shared" ref="J343:J349" si="53">H343-I343</f>
        <v>5</v>
      </c>
      <c r="K343" s="103">
        <f t="shared" ref="K343:K349" si="54">I343/F343*100</f>
        <v>33.67003367</v>
      </c>
      <c r="L343" s="54"/>
      <c r="M343" s="82" t="str">
        <f>"тотал"&amp;" "&amp;B342&amp;" "&amp;RIGHT(YEAR(B343),2)</f>
        <v>тотал АВГУСТ 25</v>
      </c>
      <c r="N343" s="75"/>
      <c r="O343" s="75"/>
      <c r="P343" s="75"/>
      <c r="Q343" s="76"/>
      <c r="R343" s="249"/>
      <c r="T343" s="54"/>
      <c r="U343" s="54"/>
      <c r="V343" s="54"/>
      <c r="W343" s="54"/>
      <c r="X343" s="54"/>
      <c r="Y343" s="54"/>
      <c r="Z343" s="54"/>
      <c r="AA343" s="54"/>
      <c r="AB343" s="287"/>
      <c r="AC343" s="54"/>
      <c r="AD343" s="54"/>
    </row>
    <row r="344">
      <c r="A344" s="54"/>
      <c r="B344" s="292">
        <v>45876.0</v>
      </c>
      <c r="C344" s="100" t="s">
        <v>99</v>
      </c>
      <c r="D344" s="100" t="s">
        <v>100</v>
      </c>
      <c r="E344" s="100">
        <v>2051831.0</v>
      </c>
      <c r="F344" s="99">
        <f t="shared" ref="F344:F349" si="55">E344-E343</f>
        <v>628</v>
      </c>
      <c r="G344" s="100">
        <v>459.0</v>
      </c>
      <c r="H344" s="101">
        <v>306.0</v>
      </c>
      <c r="I344" s="101">
        <v>300.0</v>
      </c>
      <c r="J344" s="102">
        <f t="shared" si="53"/>
        <v>6</v>
      </c>
      <c r="K344" s="103">
        <f t="shared" si="54"/>
        <v>47.77070064</v>
      </c>
      <c r="L344" s="54"/>
      <c r="M344" s="83" t="s">
        <v>70</v>
      </c>
      <c r="N344" s="83" t="s">
        <v>71</v>
      </c>
      <c r="O344" s="83" t="s">
        <v>27</v>
      </c>
      <c r="P344" s="77" t="s">
        <v>28</v>
      </c>
      <c r="Q344" s="12" t="s">
        <v>78</v>
      </c>
      <c r="R344" s="249"/>
      <c r="T344" s="54"/>
      <c r="U344" s="54"/>
      <c r="V344" s="54"/>
      <c r="W344" s="54"/>
      <c r="X344" s="54"/>
      <c r="Y344" s="54"/>
      <c r="Z344" s="54"/>
      <c r="AA344" s="54"/>
      <c r="AB344" s="287"/>
      <c r="AC344" s="54"/>
      <c r="AD344" s="54"/>
    </row>
    <row r="345">
      <c r="A345" s="54"/>
      <c r="B345" s="292">
        <v>45879.0</v>
      </c>
      <c r="C345" s="100" t="s">
        <v>99</v>
      </c>
      <c r="D345" s="100" t="s">
        <v>100</v>
      </c>
      <c r="E345" s="100">
        <v>2053195.0</v>
      </c>
      <c r="F345" s="99">
        <f t="shared" si="55"/>
        <v>1364</v>
      </c>
      <c r="G345" s="100">
        <v>502.0</v>
      </c>
      <c r="H345" s="101">
        <v>284.0</v>
      </c>
      <c r="I345" s="101">
        <v>280.01</v>
      </c>
      <c r="J345" s="102">
        <f t="shared" si="53"/>
        <v>3.99</v>
      </c>
      <c r="K345" s="103">
        <f t="shared" si="54"/>
        <v>20.52859238</v>
      </c>
      <c r="L345" s="54"/>
      <c r="M345" s="84">
        <f>SUM(F343:F349)</f>
        <v>6387</v>
      </c>
      <c r="N345" s="84">
        <f>SUM(I343:I349)</f>
        <v>1924.58</v>
      </c>
      <c r="O345" s="85">
        <f>N345/M345*100</f>
        <v>30.13276969</v>
      </c>
      <c r="P345" s="214">
        <f>(M345/100)*(O345-Q345)</f>
        <v>-0.4618</v>
      </c>
      <c r="Q345" s="78">
        <v>30.14</v>
      </c>
      <c r="R345" s="249"/>
      <c r="T345" s="54"/>
      <c r="U345" s="54"/>
      <c r="V345" s="54"/>
      <c r="W345" s="54"/>
      <c r="X345" s="54"/>
      <c r="Y345" s="54"/>
      <c r="Z345" s="54"/>
      <c r="AA345" s="54"/>
      <c r="AB345" s="287"/>
      <c r="AC345" s="54"/>
      <c r="AD345" s="54"/>
    </row>
    <row r="346">
      <c r="A346" s="54"/>
      <c r="B346" s="292">
        <v>45886.0</v>
      </c>
      <c r="C346" s="100" t="s">
        <v>127</v>
      </c>
      <c r="D346" s="100" t="s">
        <v>273</v>
      </c>
      <c r="E346" s="100">
        <v>2054271.0</v>
      </c>
      <c r="F346" s="99">
        <f t="shared" si="55"/>
        <v>1076</v>
      </c>
      <c r="G346" s="100">
        <v>483.0</v>
      </c>
      <c r="H346" s="101">
        <v>326.0</v>
      </c>
      <c r="I346" s="101">
        <v>316.6</v>
      </c>
      <c r="J346" s="102">
        <f t="shared" si="53"/>
        <v>9.4</v>
      </c>
      <c r="K346" s="103">
        <f t="shared" si="54"/>
        <v>29.42379182</v>
      </c>
      <c r="L346" s="54"/>
      <c r="M346" s="54"/>
      <c r="N346" s="54"/>
      <c r="O346" s="54"/>
      <c r="P346" s="86"/>
      <c r="Q346" s="54"/>
      <c r="R346" s="249"/>
      <c r="T346" s="54"/>
      <c r="U346" s="54"/>
      <c r="V346" s="54"/>
      <c r="W346" s="54"/>
      <c r="X346" s="54"/>
      <c r="Y346" s="54"/>
      <c r="Z346" s="54"/>
      <c r="AA346" s="54"/>
      <c r="AB346" s="287"/>
      <c r="AC346" s="54"/>
      <c r="AD346" s="54"/>
    </row>
    <row r="347">
      <c r="A347" s="54"/>
      <c r="B347" s="292">
        <v>45888.0</v>
      </c>
      <c r="C347" s="100" t="s">
        <v>127</v>
      </c>
      <c r="D347" s="100" t="s">
        <v>273</v>
      </c>
      <c r="E347" s="100">
        <v>2055351.0</v>
      </c>
      <c r="F347" s="99">
        <f t="shared" si="55"/>
        <v>1080</v>
      </c>
      <c r="G347" s="100">
        <v>480.0</v>
      </c>
      <c r="H347" s="101">
        <v>303.0</v>
      </c>
      <c r="I347" s="101">
        <v>299.74</v>
      </c>
      <c r="J347" s="102">
        <f t="shared" si="53"/>
        <v>3.26</v>
      </c>
      <c r="K347" s="103">
        <f t="shared" si="54"/>
        <v>27.7537037</v>
      </c>
      <c r="L347" s="54"/>
      <c r="M347" s="60"/>
      <c r="N347" s="60"/>
      <c r="O347" s="54"/>
      <c r="P347" s="86"/>
      <c r="Q347" s="54"/>
      <c r="R347" s="249"/>
      <c r="T347" s="54"/>
      <c r="U347" s="54"/>
      <c r="V347" s="54"/>
      <c r="W347" s="54"/>
      <c r="X347" s="54"/>
      <c r="Y347" s="54"/>
      <c r="Z347" s="54"/>
      <c r="AA347" s="54"/>
      <c r="AB347" s="287"/>
      <c r="AC347" s="54"/>
      <c r="AD347" s="54"/>
    </row>
    <row r="348">
      <c r="A348" s="54"/>
      <c r="B348" s="292">
        <v>45896.0</v>
      </c>
      <c r="C348" s="100" t="s">
        <v>99</v>
      </c>
      <c r="D348" s="100" t="s">
        <v>100</v>
      </c>
      <c r="E348" s="100">
        <v>2056139.0</v>
      </c>
      <c r="F348" s="99">
        <f t="shared" si="55"/>
        <v>788</v>
      </c>
      <c r="G348" s="100">
        <v>505.0</v>
      </c>
      <c r="H348" s="101">
        <v>250.0</v>
      </c>
      <c r="I348" s="101">
        <v>244.74</v>
      </c>
      <c r="J348" s="102">
        <f t="shared" si="53"/>
        <v>5.26</v>
      </c>
      <c r="K348" s="103">
        <f t="shared" si="54"/>
        <v>31.05837563</v>
      </c>
      <c r="L348" s="54"/>
      <c r="M348" s="60"/>
      <c r="N348" s="60"/>
      <c r="O348" s="54"/>
      <c r="P348" s="86"/>
      <c r="Q348" s="54"/>
      <c r="R348" s="249"/>
      <c r="T348" s="54"/>
      <c r="U348" s="54"/>
      <c r="V348" s="54"/>
      <c r="W348" s="54"/>
      <c r="X348" s="54"/>
      <c r="Y348" s="54"/>
      <c r="Z348" s="54"/>
      <c r="AA348" s="54"/>
      <c r="AB348" s="287"/>
      <c r="AC348" s="54"/>
      <c r="AD348" s="54"/>
    </row>
    <row r="349">
      <c r="A349" s="54"/>
      <c r="B349" s="292">
        <v>45900.0</v>
      </c>
      <c r="C349" s="100" t="s">
        <v>99</v>
      </c>
      <c r="D349" s="100" t="s">
        <v>100</v>
      </c>
      <c r="E349" s="100">
        <v>2056699.0</v>
      </c>
      <c r="F349" s="99">
        <f t="shared" si="55"/>
        <v>560</v>
      </c>
      <c r="G349" s="100">
        <v>507.0</v>
      </c>
      <c r="H349" s="101">
        <v>189.0</v>
      </c>
      <c r="I349" s="102">
        <f>183.49</f>
        <v>183.49</v>
      </c>
      <c r="J349" s="102">
        <f t="shared" si="53"/>
        <v>5.51</v>
      </c>
      <c r="K349" s="103">
        <f t="shared" si="54"/>
        <v>32.76607143</v>
      </c>
      <c r="L349" s="54"/>
      <c r="M349" s="60"/>
      <c r="N349" s="60"/>
      <c r="O349" s="54"/>
      <c r="P349" s="86"/>
      <c r="Q349" s="54"/>
      <c r="R349" s="249"/>
      <c r="T349" s="54"/>
      <c r="U349" s="54"/>
      <c r="V349" s="54"/>
      <c r="W349" s="54"/>
      <c r="X349" s="54"/>
      <c r="Y349" s="54"/>
      <c r="Z349" s="54"/>
      <c r="AA349" s="54"/>
      <c r="AB349" s="287"/>
      <c r="AC349" s="54"/>
      <c r="AD349" s="54"/>
    </row>
    <row r="350">
      <c r="A350" s="54"/>
      <c r="B350" s="292">
        <v>45900.0</v>
      </c>
      <c r="C350" s="309" t="s">
        <v>145</v>
      </c>
      <c r="D350" s="99"/>
      <c r="E350" s="99"/>
      <c r="F350" s="99"/>
      <c r="G350" s="100"/>
      <c r="H350" s="101">
        <v>100.0</v>
      </c>
      <c r="I350" s="101"/>
      <c r="J350" s="102"/>
      <c r="K350" s="103"/>
      <c r="L350" s="54"/>
      <c r="M350" s="54"/>
      <c r="N350" s="54"/>
      <c r="O350" s="63"/>
      <c r="P350" s="86"/>
      <c r="Q350" s="54"/>
      <c r="R350" s="249"/>
      <c r="T350" s="54"/>
      <c r="U350" s="54"/>
      <c r="V350" s="54"/>
      <c r="W350" s="54"/>
      <c r="X350" s="54"/>
      <c r="Y350" s="54"/>
      <c r="Z350" s="54"/>
      <c r="AA350" s="54"/>
      <c r="AB350" s="287"/>
      <c r="AC350" s="54"/>
      <c r="AD350" s="54"/>
    </row>
    <row r="351">
      <c r="A351" s="89"/>
      <c r="B351" s="203" t="str">
        <f>IF(L351=4,"АПРЕЛЬ",IF(L351=5,"МАЙ",IF(L351=1,"ЯНВАРЬ",IF(L351=2,"ФЕВРАЛЬ",IF(L351=3,"МАРТ",IF(L351=6,"ИЮНЬ",IF(L351=7,"ИЮЛЬ",IF(L351=8,"АВГУСТ",IF(L351=9,"СЕНТЯБРЬ",IF(L351=10,"ОКТЯБРЬ",IF(L351=11,"НОЯБРЬ",IF(L351=12,"ДЕКАБРЬ"))))))))))))</f>
        <v>СЕНТЯБРЬ</v>
      </c>
      <c r="J351" s="89"/>
      <c r="K351" s="90"/>
      <c r="L351" s="91">
        <f>MONTH(B352)</f>
        <v>9</v>
      </c>
      <c r="M351" s="66"/>
      <c r="N351" s="66"/>
      <c r="O351" s="66"/>
      <c r="P351" s="113"/>
      <c r="Q351" s="66"/>
      <c r="R351" s="249"/>
      <c r="T351" s="54"/>
      <c r="U351" s="54"/>
      <c r="V351" s="54"/>
      <c r="W351" s="54"/>
      <c r="X351" s="54"/>
      <c r="Y351" s="54"/>
      <c r="Z351" s="54"/>
      <c r="AA351" s="54"/>
      <c r="AB351" s="287"/>
      <c r="AC351" s="54"/>
      <c r="AD351" s="54"/>
    </row>
    <row r="352">
      <c r="A352" s="54"/>
      <c r="B352" s="292">
        <v>45906.0</v>
      </c>
      <c r="C352" s="100" t="s">
        <v>99</v>
      </c>
      <c r="D352" s="100" t="s">
        <v>100</v>
      </c>
      <c r="E352" s="100">
        <v>2057703.0</v>
      </c>
      <c r="F352" s="99">
        <f>E352-E349</f>
        <v>1004</v>
      </c>
      <c r="G352" s="100">
        <v>447.0</v>
      </c>
      <c r="H352" s="101">
        <v>307.0</v>
      </c>
      <c r="I352" s="101">
        <v>300.0</v>
      </c>
      <c r="J352" s="102">
        <f t="shared" ref="J352:J360" si="56">H352-I352</f>
        <v>7</v>
      </c>
      <c r="K352" s="103">
        <f t="shared" ref="K352:K360" si="57">I352/F352*100</f>
        <v>29.88047809</v>
      </c>
      <c r="L352" s="54"/>
      <c r="M352" s="82" t="str">
        <f>"тотал"&amp;" "&amp;B351&amp;" "&amp;RIGHT(YEAR(B352),2)</f>
        <v>тотал СЕНТЯБРЬ 25</v>
      </c>
      <c r="N352" s="75"/>
      <c r="O352" s="75"/>
      <c r="P352" s="75"/>
      <c r="Q352" s="76"/>
      <c r="R352" s="249"/>
      <c r="T352" s="54"/>
      <c r="U352" s="54"/>
      <c r="V352" s="54"/>
      <c r="W352" s="54"/>
      <c r="X352" s="54"/>
      <c r="Y352" s="54"/>
      <c r="Z352" s="54"/>
      <c r="AA352" s="54"/>
      <c r="AB352" s="287"/>
      <c r="AC352" s="54"/>
      <c r="AD352" s="54"/>
    </row>
    <row r="353">
      <c r="A353" s="54"/>
      <c r="B353" s="292">
        <v>45911.0</v>
      </c>
      <c r="C353" s="100" t="s">
        <v>99</v>
      </c>
      <c r="D353" s="100" t="s">
        <v>100</v>
      </c>
      <c r="E353" s="100">
        <v>2058444.0</v>
      </c>
      <c r="F353" s="99">
        <f t="shared" ref="F353:F360" si="58">E353-E352</f>
        <v>741</v>
      </c>
      <c r="G353" s="100">
        <v>464.0</v>
      </c>
      <c r="H353" s="101">
        <v>256.0</v>
      </c>
      <c r="I353" s="101">
        <v>250.0</v>
      </c>
      <c r="J353" s="102">
        <f t="shared" si="56"/>
        <v>6</v>
      </c>
      <c r="K353" s="103">
        <f t="shared" si="57"/>
        <v>33.73819163</v>
      </c>
      <c r="L353" s="54"/>
      <c r="M353" s="83" t="s">
        <v>70</v>
      </c>
      <c r="N353" s="83" t="s">
        <v>71</v>
      </c>
      <c r="O353" s="83" t="s">
        <v>27</v>
      </c>
      <c r="P353" s="77" t="s">
        <v>28</v>
      </c>
      <c r="Q353" s="12" t="s">
        <v>78</v>
      </c>
      <c r="R353" s="249"/>
      <c r="T353" s="54"/>
      <c r="U353" s="54"/>
      <c r="V353" s="54"/>
      <c r="W353" s="54"/>
      <c r="X353" s="54"/>
      <c r="Y353" s="54"/>
      <c r="Z353" s="54"/>
      <c r="AA353" s="54"/>
      <c r="AB353" s="287"/>
      <c r="AC353" s="54"/>
      <c r="AD353" s="54"/>
    </row>
    <row r="354">
      <c r="A354" s="54"/>
      <c r="B354" s="292">
        <v>45914.0</v>
      </c>
      <c r="C354" s="100" t="s">
        <v>99</v>
      </c>
      <c r="D354" s="100" t="s">
        <v>100</v>
      </c>
      <c r="E354" s="100">
        <v>2058845.0</v>
      </c>
      <c r="F354" s="99">
        <f t="shared" si="58"/>
        <v>401</v>
      </c>
      <c r="G354" s="100">
        <v>492.0</v>
      </c>
      <c r="H354" s="101">
        <v>229.0</v>
      </c>
      <c r="I354" s="102">
        <f>137.14--89.02</f>
        <v>226.16</v>
      </c>
      <c r="J354" s="102">
        <f t="shared" si="56"/>
        <v>2.84</v>
      </c>
      <c r="K354" s="103">
        <f t="shared" si="57"/>
        <v>56.39900249</v>
      </c>
      <c r="L354" s="54"/>
      <c r="M354" s="84">
        <f>SUM(F352:F360)</f>
        <v>6840</v>
      </c>
      <c r="N354" s="84">
        <f>SUM(I352:I360)</f>
        <v>2117.62</v>
      </c>
      <c r="O354" s="85">
        <f>N354/M354*100</f>
        <v>30.95935673</v>
      </c>
      <c r="P354" s="79">
        <f>(M354/100)*(O354-Q354)</f>
        <v>-2.78</v>
      </c>
      <c r="Q354" s="78">
        <v>31.0</v>
      </c>
      <c r="R354" s="249"/>
      <c r="T354" s="54"/>
      <c r="U354" s="54"/>
      <c r="V354" s="54"/>
      <c r="W354" s="54"/>
      <c r="X354" s="54"/>
      <c r="Y354" s="54"/>
      <c r="Z354" s="54"/>
      <c r="AA354" s="54"/>
      <c r="AB354" s="287"/>
      <c r="AC354" s="54"/>
      <c r="AD354" s="54"/>
    </row>
    <row r="355">
      <c r="A355" s="54"/>
      <c r="B355" s="292">
        <v>45916.0</v>
      </c>
      <c r="C355" s="100" t="s">
        <v>123</v>
      </c>
      <c r="D355" s="100" t="s">
        <v>274</v>
      </c>
      <c r="E355" s="100">
        <v>2059915.0</v>
      </c>
      <c r="F355" s="99">
        <f t="shared" si="58"/>
        <v>1070</v>
      </c>
      <c r="G355" s="100">
        <v>497.0</v>
      </c>
      <c r="H355" s="101">
        <v>244.0</v>
      </c>
      <c r="I355" s="101">
        <v>239.87</v>
      </c>
      <c r="J355" s="102">
        <f t="shared" si="56"/>
        <v>4.13</v>
      </c>
      <c r="K355" s="103">
        <f t="shared" si="57"/>
        <v>22.41775701</v>
      </c>
      <c r="L355" s="54"/>
      <c r="M355" s="54"/>
      <c r="N355" s="54"/>
      <c r="O355" s="54"/>
      <c r="P355" s="86"/>
      <c r="Q355" s="54"/>
      <c r="R355" s="249"/>
      <c r="T355" s="54"/>
      <c r="U355" s="54"/>
      <c r="V355" s="54"/>
      <c r="W355" s="54"/>
      <c r="X355" s="54"/>
      <c r="Y355" s="54"/>
      <c r="Z355" s="54"/>
      <c r="AA355" s="54"/>
      <c r="AB355" s="287"/>
      <c r="AC355" s="54"/>
      <c r="AD355" s="54"/>
    </row>
    <row r="356">
      <c r="A356" s="54"/>
      <c r="B356" s="292">
        <v>45917.0</v>
      </c>
      <c r="C356" s="100" t="s">
        <v>123</v>
      </c>
      <c r="D356" s="100" t="s">
        <v>274</v>
      </c>
      <c r="E356" s="100">
        <v>2060447.0</v>
      </c>
      <c r="F356" s="99">
        <f t="shared" si="58"/>
        <v>532</v>
      </c>
      <c r="G356" s="100">
        <v>491.0</v>
      </c>
      <c r="H356" s="101">
        <v>194.0</v>
      </c>
      <c r="I356" s="101">
        <v>189.34</v>
      </c>
      <c r="J356" s="102">
        <f t="shared" si="56"/>
        <v>4.66</v>
      </c>
      <c r="K356" s="103">
        <f t="shared" si="57"/>
        <v>35.59022556</v>
      </c>
      <c r="L356" s="54"/>
      <c r="M356" s="54"/>
      <c r="N356" s="54"/>
      <c r="O356" s="54"/>
      <c r="P356" s="86"/>
      <c r="Q356" s="54"/>
      <c r="R356" s="249"/>
      <c r="T356" s="54"/>
      <c r="U356" s="54"/>
      <c r="V356" s="54"/>
      <c r="W356" s="54"/>
      <c r="X356" s="54"/>
      <c r="Y356" s="54"/>
      <c r="Z356" s="54"/>
      <c r="AA356" s="54"/>
      <c r="AB356" s="287"/>
      <c r="AC356" s="54"/>
      <c r="AD356" s="54"/>
    </row>
    <row r="357">
      <c r="A357" s="54"/>
      <c r="B357" s="292">
        <v>45918.0</v>
      </c>
      <c r="C357" s="100" t="s">
        <v>123</v>
      </c>
      <c r="D357" s="100" t="s">
        <v>274</v>
      </c>
      <c r="E357" s="100">
        <v>2061162.0</v>
      </c>
      <c r="F357" s="99">
        <f t="shared" si="58"/>
        <v>715</v>
      </c>
      <c r="G357" s="100">
        <v>496.0</v>
      </c>
      <c r="H357" s="101">
        <v>248.0</v>
      </c>
      <c r="I357" s="101">
        <v>242.43</v>
      </c>
      <c r="J357" s="102">
        <f t="shared" si="56"/>
        <v>5.57</v>
      </c>
      <c r="K357" s="103">
        <f t="shared" si="57"/>
        <v>33.90629371</v>
      </c>
      <c r="L357" s="54"/>
      <c r="M357" s="54"/>
      <c r="N357" s="54"/>
      <c r="O357" s="54"/>
      <c r="P357" s="86"/>
      <c r="Q357" s="54"/>
      <c r="R357" s="249"/>
      <c r="T357" s="54"/>
      <c r="U357" s="54"/>
      <c r="V357" s="54"/>
      <c r="W357" s="54"/>
      <c r="X357" s="54"/>
      <c r="Y357" s="54"/>
      <c r="Z357" s="54"/>
      <c r="AA357" s="54"/>
      <c r="AB357" s="287"/>
      <c r="AC357" s="54"/>
      <c r="AD357" s="54"/>
    </row>
    <row r="358">
      <c r="A358" s="54"/>
      <c r="B358" s="292">
        <v>45919.0</v>
      </c>
      <c r="C358" s="100" t="s">
        <v>123</v>
      </c>
      <c r="D358" s="100" t="s">
        <v>274</v>
      </c>
      <c r="E358" s="100">
        <v>2062008.0</v>
      </c>
      <c r="F358" s="99">
        <f t="shared" si="58"/>
        <v>846</v>
      </c>
      <c r="G358" s="100">
        <v>496.0</v>
      </c>
      <c r="H358" s="101">
        <v>204.0</v>
      </c>
      <c r="I358" s="101">
        <v>197.06</v>
      </c>
      <c r="J358" s="102">
        <f t="shared" si="56"/>
        <v>6.94</v>
      </c>
      <c r="K358" s="103">
        <f t="shared" si="57"/>
        <v>23.29314421</v>
      </c>
      <c r="L358" s="54"/>
      <c r="M358" s="54"/>
      <c r="N358" s="54"/>
      <c r="O358" s="54"/>
      <c r="P358" s="86"/>
      <c r="Q358" s="54"/>
      <c r="R358" s="249"/>
      <c r="T358" s="54"/>
      <c r="U358" s="54"/>
      <c r="V358" s="54"/>
      <c r="W358" s="54"/>
      <c r="X358" s="54"/>
      <c r="Y358" s="54"/>
      <c r="Z358" s="54"/>
      <c r="AA358" s="54"/>
      <c r="AB358" s="287"/>
      <c r="AC358" s="54"/>
      <c r="AD358" s="54"/>
    </row>
    <row r="359">
      <c r="A359" s="54"/>
      <c r="B359" s="292">
        <v>45920.0</v>
      </c>
      <c r="C359" s="100" t="s">
        <v>123</v>
      </c>
      <c r="D359" s="100" t="s">
        <v>274</v>
      </c>
      <c r="E359" s="100">
        <v>2062850.0</v>
      </c>
      <c r="F359" s="99">
        <f t="shared" si="58"/>
        <v>842</v>
      </c>
      <c r="G359" s="100">
        <v>488.0</v>
      </c>
      <c r="H359" s="101">
        <v>248.0</v>
      </c>
      <c r="I359" s="101">
        <v>244.63</v>
      </c>
      <c r="J359" s="102">
        <f t="shared" si="56"/>
        <v>3.37</v>
      </c>
      <c r="K359" s="103">
        <f t="shared" si="57"/>
        <v>29.05344418</v>
      </c>
      <c r="L359" s="54"/>
      <c r="M359" s="54"/>
      <c r="N359" s="54"/>
      <c r="O359" s="54"/>
      <c r="P359" s="86"/>
      <c r="Q359" s="54"/>
      <c r="R359" s="249"/>
      <c r="T359" s="54"/>
      <c r="U359" s="54"/>
      <c r="V359" s="54"/>
      <c r="W359" s="54"/>
      <c r="X359" s="54"/>
      <c r="Y359" s="54"/>
      <c r="Z359" s="54"/>
      <c r="AA359" s="54"/>
      <c r="AB359" s="287"/>
      <c r="AC359" s="54"/>
      <c r="AD359" s="54"/>
    </row>
    <row r="360">
      <c r="A360" s="54"/>
      <c r="B360" s="292">
        <v>45929.0</v>
      </c>
      <c r="C360" s="100" t="s">
        <v>127</v>
      </c>
      <c r="D360" s="100" t="s">
        <v>275</v>
      </c>
      <c r="E360" s="100">
        <v>2063539.0</v>
      </c>
      <c r="F360" s="99">
        <f t="shared" si="58"/>
        <v>689</v>
      </c>
      <c r="G360" s="100">
        <v>501.0</v>
      </c>
      <c r="H360" s="101">
        <v>237.0</v>
      </c>
      <c r="I360" s="101">
        <v>228.13</v>
      </c>
      <c r="J360" s="102">
        <f t="shared" si="56"/>
        <v>8.87</v>
      </c>
      <c r="K360" s="103">
        <f t="shared" si="57"/>
        <v>33.11030479</v>
      </c>
      <c r="L360" s="54"/>
      <c r="M360" s="54"/>
      <c r="N360" s="54"/>
      <c r="O360" s="54"/>
      <c r="P360" s="86"/>
      <c r="Q360" s="54"/>
      <c r="R360" s="249"/>
      <c r="T360" s="54"/>
      <c r="U360" s="54"/>
      <c r="V360" s="54"/>
      <c r="W360" s="54"/>
      <c r="X360" s="54"/>
      <c r="Y360" s="54"/>
      <c r="Z360" s="54"/>
      <c r="AA360" s="54"/>
      <c r="AB360" s="287"/>
      <c r="AC360" s="54"/>
      <c r="AD360" s="54"/>
    </row>
    <row r="361">
      <c r="A361" s="89"/>
      <c r="B361" s="203" t="str">
        <f>IF(L361=4,"АПРЕЛЬ",IF(L361=5,"МАЙ",IF(L361=1,"ЯНВАРЬ",IF(L361=2,"ФЕВРАЛЬ",IF(L361=3,"МАРТ",IF(L361=6,"ИЮНЬ",IF(L361=7,"ИЮЛЬ",IF(L361=8,"АВГУСТ",IF(L361=9,"СЕНТЯБРЬ",IF(L361=10,"ОКТЯБРЬ",IF(L361=11,"НОЯБРЬ",IF(L361=12,"ДЕКАБРЬ"))))))))))))</f>
        <v>ОКТЯБРЬ</v>
      </c>
      <c r="J361" s="89"/>
      <c r="K361" s="90"/>
      <c r="L361" s="91">
        <f>MONTH(B362)</f>
        <v>10</v>
      </c>
      <c r="M361" s="66"/>
      <c r="N361" s="66"/>
      <c r="O361" s="66"/>
      <c r="P361" s="113"/>
      <c r="Q361" s="66"/>
      <c r="R361" s="249"/>
      <c r="T361" s="54"/>
      <c r="U361" s="54"/>
      <c r="V361" s="54"/>
      <c r="W361" s="54"/>
      <c r="X361" s="54"/>
      <c r="Y361" s="54"/>
      <c r="Z361" s="54"/>
      <c r="AA361" s="54"/>
      <c r="AB361" s="287"/>
      <c r="AC361" s="54"/>
      <c r="AD361" s="54"/>
    </row>
    <row r="362">
      <c r="A362" s="54"/>
      <c r="B362" s="292">
        <v>45931.0</v>
      </c>
      <c r="C362" s="100" t="s">
        <v>127</v>
      </c>
      <c r="D362" s="100" t="s">
        <v>275</v>
      </c>
      <c r="E362" s="100">
        <v>2064566.0</v>
      </c>
      <c r="F362" s="99">
        <f>E362-E360</f>
        <v>1027</v>
      </c>
      <c r="G362" s="100">
        <v>488.0</v>
      </c>
      <c r="H362" s="101">
        <v>307.0</v>
      </c>
      <c r="I362" s="101">
        <v>304.45</v>
      </c>
      <c r="J362" s="102">
        <f t="shared" ref="J362:J370" si="59">H362-I362</f>
        <v>2.55</v>
      </c>
      <c r="K362" s="103">
        <f t="shared" ref="K362:K370" si="60">I362/F362*100</f>
        <v>29.64459591</v>
      </c>
      <c r="L362" s="54"/>
      <c r="M362" s="82" t="str">
        <f>"тотал"&amp;" "&amp;B361&amp;" "&amp;RIGHT(YEAR(B362),2)</f>
        <v>тотал ОКТЯБРЬ 25</v>
      </c>
      <c r="N362" s="75"/>
      <c r="O362" s="75"/>
      <c r="P362" s="75"/>
      <c r="Q362" s="76"/>
      <c r="R362" s="249"/>
      <c r="T362" s="54"/>
      <c r="U362" s="54"/>
      <c r="V362" s="54"/>
      <c r="W362" s="54"/>
      <c r="X362" s="54"/>
      <c r="Y362" s="54"/>
      <c r="Z362" s="54"/>
      <c r="AA362" s="54"/>
      <c r="AB362" s="287"/>
      <c r="AC362" s="54"/>
      <c r="AD362" s="54"/>
    </row>
    <row r="363">
      <c r="A363" s="54"/>
      <c r="B363" s="292">
        <v>45931.0</v>
      </c>
      <c r="C363" s="100" t="s">
        <v>127</v>
      </c>
      <c r="D363" s="100" t="s">
        <v>275</v>
      </c>
      <c r="E363" s="100">
        <v>2065253.0</v>
      </c>
      <c r="F363" s="99">
        <f t="shared" ref="F363:F370" si="61">E363-E362</f>
        <v>687</v>
      </c>
      <c r="G363" s="100">
        <v>496.0</v>
      </c>
      <c r="H363" s="101">
        <v>222.0</v>
      </c>
      <c r="I363" s="101">
        <v>212.53</v>
      </c>
      <c r="J363" s="102">
        <f t="shared" si="59"/>
        <v>9.47</v>
      </c>
      <c r="K363" s="103">
        <f t="shared" si="60"/>
        <v>30.93595342</v>
      </c>
      <c r="L363" s="54"/>
      <c r="M363" s="83" t="s">
        <v>70</v>
      </c>
      <c r="N363" s="83" t="s">
        <v>71</v>
      </c>
      <c r="O363" s="83" t="s">
        <v>27</v>
      </c>
      <c r="P363" s="77" t="s">
        <v>28</v>
      </c>
      <c r="Q363" s="12" t="s">
        <v>78</v>
      </c>
      <c r="R363" s="249"/>
      <c r="T363" s="54"/>
      <c r="U363" s="54"/>
      <c r="V363" s="54"/>
      <c r="W363" s="54"/>
      <c r="X363" s="54"/>
      <c r="Y363" s="54"/>
      <c r="Z363" s="54"/>
      <c r="AA363" s="54"/>
      <c r="AB363" s="287"/>
      <c r="AC363" s="54"/>
      <c r="AD363" s="54"/>
    </row>
    <row r="364">
      <c r="A364" s="54"/>
      <c r="B364" s="292">
        <v>45932.0</v>
      </c>
      <c r="C364" s="100" t="s">
        <v>127</v>
      </c>
      <c r="D364" s="100" t="s">
        <v>275</v>
      </c>
      <c r="E364" s="100">
        <v>2066040.0</v>
      </c>
      <c r="F364" s="99">
        <f t="shared" si="61"/>
        <v>787</v>
      </c>
      <c r="G364" s="100">
        <v>483.0</v>
      </c>
      <c r="H364" s="101">
        <v>303.0</v>
      </c>
      <c r="I364" s="101">
        <v>302.89</v>
      </c>
      <c r="J364" s="102">
        <f t="shared" si="59"/>
        <v>0.11</v>
      </c>
      <c r="K364" s="103">
        <f t="shared" si="60"/>
        <v>38.4866582</v>
      </c>
      <c r="L364" s="54"/>
      <c r="M364" s="84">
        <f>SUM(F362:F370)</f>
        <v>8692</v>
      </c>
      <c r="N364" s="84">
        <f>SUM(I362:I370)</f>
        <v>2779.93</v>
      </c>
      <c r="O364" s="85">
        <f>N364/M364*100</f>
        <v>31.9826277</v>
      </c>
      <c r="P364" s="79">
        <f>(M364/100)*(O364-Q364)</f>
        <v>85.41</v>
      </c>
      <c r="Q364" s="78">
        <v>31.0</v>
      </c>
      <c r="R364" s="249"/>
      <c r="T364" s="54"/>
      <c r="U364" s="54"/>
      <c r="V364" s="54"/>
      <c r="W364" s="54"/>
      <c r="X364" s="54"/>
      <c r="Y364" s="54"/>
      <c r="Z364" s="54"/>
      <c r="AA364" s="54"/>
      <c r="AB364" s="287"/>
      <c r="AC364" s="54"/>
      <c r="AD364" s="54"/>
    </row>
    <row r="365">
      <c r="A365" s="54"/>
      <c r="B365" s="292">
        <v>45933.0</v>
      </c>
      <c r="C365" s="100" t="s">
        <v>127</v>
      </c>
      <c r="D365" s="100" t="s">
        <v>275</v>
      </c>
      <c r="E365" s="100">
        <v>2066872.0</v>
      </c>
      <c r="F365" s="99">
        <f t="shared" si="61"/>
        <v>832</v>
      </c>
      <c r="G365" s="100">
        <v>493.0</v>
      </c>
      <c r="H365" s="101">
        <v>229.0</v>
      </c>
      <c r="I365" s="101">
        <v>222.26</v>
      </c>
      <c r="J365" s="102">
        <f t="shared" si="59"/>
        <v>6.74</v>
      </c>
      <c r="K365" s="103">
        <f t="shared" si="60"/>
        <v>26.71394231</v>
      </c>
      <c r="L365" s="54"/>
      <c r="M365" s="54"/>
      <c r="N365" s="54"/>
      <c r="O365" s="54"/>
      <c r="P365" s="86"/>
      <c r="Q365" s="54"/>
      <c r="R365" s="249"/>
      <c r="T365" s="54"/>
      <c r="U365" s="54"/>
      <c r="V365" s="54"/>
      <c r="W365" s="54"/>
      <c r="X365" s="54"/>
      <c r="Y365" s="54"/>
      <c r="Z365" s="54"/>
      <c r="AA365" s="54"/>
      <c r="AB365" s="287"/>
      <c r="AC365" s="54"/>
      <c r="AD365" s="54"/>
    </row>
    <row r="366">
      <c r="A366" s="54"/>
      <c r="B366" s="292">
        <v>45934.0</v>
      </c>
      <c r="C366" s="100" t="s">
        <v>127</v>
      </c>
      <c r="D366" s="100" t="s">
        <v>275</v>
      </c>
      <c r="E366" s="100">
        <v>2067870.0</v>
      </c>
      <c r="F366" s="99">
        <f t="shared" si="61"/>
        <v>998</v>
      </c>
      <c r="G366" s="100">
        <v>489.0</v>
      </c>
      <c r="H366" s="101">
        <v>304.0</v>
      </c>
      <c r="I366" s="101">
        <v>297.01</v>
      </c>
      <c r="J366" s="102">
        <f t="shared" si="59"/>
        <v>6.99</v>
      </c>
      <c r="K366" s="103">
        <f t="shared" si="60"/>
        <v>29.76052104</v>
      </c>
      <c r="L366" s="54"/>
      <c r="M366" s="54"/>
      <c r="N366" s="54"/>
      <c r="O366" s="54"/>
      <c r="P366" s="86"/>
      <c r="Q366" s="54"/>
      <c r="R366" s="249"/>
      <c r="T366" s="54"/>
      <c r="U366" s="54"/>
      <c r="V366" s="54"/>
      <c r="W366" s="54"/>
      <c r="X366" s="54"/>
      <c r="Y366" s="54"/>
      <c r="Z366" s="54"/>
      <c r="AA366" s="54"/>
      <c r="AB366" s="287"/>
      <c r="AC366" s="54"/>
      <c r="AD366" s="54"/>
    </row>
    <row r="367">
      <c r="A367" s="54"/>
      <c r="B367" s="292">
        <v>45937.0</v>
      </c>
      <c r="C367" s="100" t="s">
        <v>276</v>
      </c>
      <c r="D367" s="100" t="s">
        <v>277</v>
      </c>
      <c r="E367" s="100">
        <v>2068660.0</v>
      </c>
      <c r="F367" s="99">
        <f t="shared" si="61"/>
        <v>790</v>
      </c>
      <c r="G367" s="100">
        <v>501.0</v>
      </c>
      <c r="H367" s="101">
        <v>294.0</v>
      </c>
      <c r="I367" s="101">
        <v>312.14</v>
      </c>
      <c r="J367" s="102">
        <f t="shared" si="59"/>
        <v>-18.14</v>
      </c>
      <c r="K367" s="103">
        <f t="shared" si="60"/>
        <v>39.51139241</v>
      </c>
      <c r="L367" s="54"/>
      <c r="M367" s="54"/>
      <c r="N367" s="54"/>
      <c r="O367" s="54"/>
      <c r="P367" s="86"/>
      <c r="Q367" s="54"/>
      <c r="R367" s="249"/>
      <c r="T367" s="54"/>
      <c r="U367" s="54"/>
      <c r="V367" s="54"/>
      <c r="W367" s="54"/>
      <c r="X367" s="54"/>
      <c r="Y367" s="54"/>
      <c r="Z367" s="54"/>
      <c r="AA367" s="54"/>
      <c r="AB367" s="287"/>
      <c r="AC367" s="54"/>
      <c r="AD367" s="54"/>
    </row>
    <row r="368">
      <c r="A368" s="54"/>
      <c r="B368" s="292">
        <v>45940.0</v>
      </c>
      <c r="C368" s="100" t="s">
        <v>276</v>
      </c>
      <c r="D368" s="100" t="s">
        <v>277</v>
      </c>
      <c r="E368" s="100">
        <v>2069890.0</v>
      </c>
      <c r="F368" s="99">
        <f t="shared" si="61"/>
        <v>1230</v>
      </c>
      <c r="G368" s="100">
        <v>502.0</v>
      </c>
      <c r="H368" s="101">
        <v>385.0</v>
      </c>
      <c r="I368" s="101">
        <v>378.65</v>
      </c>
      <c r="J368" s="102">
        <f t="shared" si="59"/>
        <v>6.35</v>
      </c>
      <c r="K368" s="103">
        <f t="shared" si="60"/>
        <v>30.78455285</v>
      </c>
      <c r="L368" s="54"/>
      <c r="M368" s="54"/>
      <c r="N368" s="54"/>
      <c r="O368" s="54"/>
      <c r="P368" s="86"/>
      <c r="Q368" s="54"/>
      <c r="R368" s="249"/>
      <c r="T368" s="54"/>
      <c r="U368" s="54"/>
      <c r="V368" s="54"/>
      <c r="W368" s="54"/>
      <c r="X368" s="54"/>
      <c r="Y368" s="54"/>
      <c r="Z368" s="54"/>
      <c r="AA368" s="54"/>
      <c r="AB368" s="287"/>
      <c r="AC368" s="54"/>
      <c r="AD368" s="54"/>
    </row>
    <row r="369">
      <c r="A369" s="54"/>
      <c r="B369" s="292">
        <v>45941.0</v>
      </c>
      <c r="C369" s="100" t="s">
        <v>276</v>
      </c>
      <c r="D369" s="100" t="s">
        <v>277</v>
      </c>
      <c r="E369" s="100">
        <v>2071086.0</v>
      </c>
      <c r="F369" s="99">
        <f t="shared" si="61"/>
        <v>1196</v>
      </c>
      <c r="G369" s="100">
        <v>487.0</v>
      </c>
      <c r="H369" s="101">
        <v>356.0</v>
      </c>
      <c r="I369" s="101">
        <v>350.0</v>
      </c>
      <c r="J369" s="102">
        <f t="shared" si="59"/>
        <v>6</v>
      </c>
      <c r="K369" s="103">
        <f t="shared" si="60"/>
        <v>29.26421405</v>
      </c>
      <c r="L369" s="54"/>
      <c r="M369" s="54"/>
      <c r="N369" s="54"/>
      <c r="O369" s="54"/>
      <c r="P369" s="86"/>
      <c r="Q369" s="54"/>
      <c r="R369" s="249"/>
      <c r="T369" s="54"/>
      <c r="U369" s="54"/>
      <c r="V369" s="54"/>
      <c r="W369" s="54"/>
      <c r="X369" s="54"/>
      <c r="Y369" s="54"/>
      <c r="Z369" s="54"/>
      <c r="AA369" s="54"/>
      <c r="AB369" s="287"/>
      <c r="AC369" s="54"/>
      <c r="AD369" s="54"/>
    </row>
    <row r="370">
      <c r="A370" s="54"/>
      <c r="B370" s="292">
        <v>45942.0</v>
      </c>
      <c r="C370" s="100" t="s">
        <v>276</v>
      </c>
      <c r="D370" s="100" t="s">
        <v>277</v>
      </c>
      <c r="E370" s="100">
        <v>2072231.0</v>
      </c>
      <c r="F370" s="99">
        <f t="shared" si="61"/>
        <v>1145</v>
      </c>
      <c r="G370" s="100">
        <v>508.0</v>
      </c>
      <c r="H370" s="101">
        <v>398.0</v>
      </c>
      <c r="I370" s="101">
        <v>400.0</v>
      </c>
      <c r="J370" s="102">
        <f t="shared" si="59"/>
        <v>-2</v>
      </c>
      <c r="K370" s="103">
        <f t="shared" si="60"/>
        <v>34.93449782</v>
      </c>
      <c r="L370" s="54"/>
      <c r="M370" s="54"/>
      <c r="N370" s="54"/>
      <c r="O370" s="54"/>
      <c r="P370" s="86"/>
      <c r="Q370" s="54"/>
      <c r="R370" s="249"/>
      <c r="T370" s="54"/>
      <c r="U370" s="54"/>
      <c r="V370" s="54"/>
      <c r="W370" s="54"/>
      <c r="X370" s="54"/>
      <c r="Y370" s="54"/>
      <c r="Z370" s="54"/>
      <c r="AA370" s="54"/>
      <c r="AB370" s="287"/>
      <c r="AC370" s="54"/>
      <c r="AD370" s="54"/>
    </row>
    <row r="371">
      <c r="A371" s="54"/>
      <c r="B371" s="310"/>
      <c r="C371" s="310"/>
      <c r="D371" s="99"/>
      <c r="E371" s="99"/>
      <c r="F371" s="99"/>
      <c r="G371" s="99"/>
      <c r="H371" s="102"/>
      <c r="I371" s="102"/>
      <c r="J371" s="102"/>
      <c r="K371" s="103"/>
      <c r="L371" s="54"/>
      <c r="M371" s="54"/>
      <c r="N371" s="54"/>
      <c r="O371" s="54"/>
      <c r="P371" s="86"/>
      <c r="Q371" s="54"/>
      <c r="R371" s="249"/>
      <c r="T371" s="54"/>
      <c r="U371" s="54"/>
      <c r="V371" s="54"/>
      <c r="W371" s="54"/>
      <c r="X371" s="54"/>
      <c r="Y371" s="54"/>
      <c r="Z371" s="54"/>
      <c r="AA371" s="54"/>
      <c r="AB371" s="287"/>
      <c r="AC371" s="54"/>
      <c r="AD371" s="54"/>
    </row>
    <row r="372">
      <c r="A372" s="54"/>
      <c r="B372" s="310"/>
      <c r="C372" s="310"/>
      <c r="D372" s="99"/>
      <c r="E372" s="99"/>
      <c r="F372" s="99"/>
      <c r="G372" s="99"/>
      <c r="H372" s="102"/>
      <c r="I372" s="102"/>
      <c r="J372" s="102"/>
      <c r="K372" s="103"/>
      <c r="L372" s="54"/>
      <c r="M372" s="54"/>
      <c r="N372" s="54"/>
      <c r="O372" s="54"/>
      <c r="P372" s="86"/>
      <c r="Q372" s="54"/>
      <c r="R372" s="249"/>
      <c r="T372" s="54"/>
      <c r="U372" s="54"/>
      <c r="V372" s="54"/>
      <c r="W372" s="54"/>
      <c r="X372" s="54"/>
      <c r="Y372" s="54"/>
      <c r="Z372" s="54"/>
      <c r="AA372" s="54"/>
      <c r="AB372" s="287"/>
      <c r="AC372" s="54"/>
      <c r="AD372" s="54"/>
    </row>
    <row r="373">
      <c r="A373" s="54"/>
      <c r="B373" s="310"/>
      <c r="C373" s="310"/>
      <c r="D373" s="99"/>
      <c r="E373" s="99"/>
      <c r="F373" s="99"/>
      <c r="G373" s="99"/>
      <c r="H373" s="102"/>
      <c r="I373" s="102"/>
      <c r="J373" s="102"/>
      <c r="K373" s="103"/>
      <c r="L373" s="54"/>
      <c r="M373" s="54"/>
      <c r="N373" s="54"/>
      <c r="O373" s="54"/>
      <c r="P373" s="86"/>
      <c r="Q373" s="54"/>
      <c r="R373" s="249"/>
      <c r="T373" s="54"/>
      <c r="U373" s="54"/>
      <c r="V373" s="54"/>
      <c r="W373" s="54"/>
      <c r="X373" s="54"/>
      <c r="Y373" s="54"/>
      <c r="Z373" s="54"/>
      <c r="AA373" s="54"/>
      <c r="AB373" s="287"/>
      <c r="AC373" s="54"/>
      <c r="AD373" s="54"/>
    </row>
    <row r="374">
      <c r="A374" s="54"/>
      <c r="B374" s="310"/>
      <c r="C374" s="310"/>
      <c r="D374" s="99"/>
      <c r="E374" s="99"/>
      <c r="F374" s="99"/>
      <c r="G374" s="99"/>
      <c r="H374" s="102"/>
      <c r="I374" s="102"/>
      <c r="J374" s="102"/>
      <c r="K374" s="103"/>
      <c r="L374" s="54"/>
      <c r="M374" s="54"/>
      <c r="N374" s="54"/>
      <c r="O374" s="54"/>
      <c r="P374" s="86"/>
      <c r="Q374" s="54"/>
      <c r="R374" s="249"/>
      <c r="T374" s="54"/>
      <c r="U374" s="54"/>
      <c r="V374" s="54"/>
      <c r="W374" s="54"/>
      <c r="X374" s="54"/>
      <c r="Y374" s="54"/>
      <c r="Z374" s="54"/>
      <c r="AA374" s="54"/>
      <c r="AB374" s="287"/>
      <c r="AC374" s="54"/>
      <c r="AD374" s="54"/>
    </row>
    <row r="375">
      <c r="A375" s="54"/>
      <c r="B375" s="310"/>
      <c r="C375" s="310"/>
      <c r="D375" s="99"/>
      <c r="E375" s="99"/>
      <c r="F375" s="99"/>
      <c r="G375" s="99"/>
      <c r="H375" s="102"/>
      <c r="I375" s="102"/>
      <c r="J375" s="102"/>
      <c r="K375" s="103"/>
      <c r="L375" s="54"/>
      <c r="M375" s="54"/>
      <c r="N375" s="54"/>
      <c r="O375" s="54"/>
      <c r="P375" s="86"/>
      <c r="Q375" s="54"/>
      <c r="R375" s="249"/>
      <c r="T375" s="54"/>
      <c r="U375" s="54"/>
      <c r="V375" s="54"/>
      <c r="W375" s="54"/>
      <c r="X375" s="54"/>
      <c r="Y375" s="54"/>
      <c r="Z375" s="54"/>
      <c r="AA375" s="54"/>
      <c r="AB375" s="287"/>
      <c r="AC375" s="54"/>
      <c r="AD375" s="54"/>
    </row>
    <row r="376">
      <c r="A376" s="54"/>
      <c r="B376" s="310"/>
      <c r="C376" s="310"/>
      <c r="D376" s="99"/>
      <c r="E376" s="99"/>
      <c r="F376" s="99"/>
      <c r="G376" s="99"/>
      <c r="H376" s="102"/>
      <c r="I376" s="102"/>
      <c r="J376" s="102"/>
      <c r="K376" s="103"/>
      <c r="L376" s="54"/>
      <c r="M376" s="54"/>
      <c r="N376" s="54"/>
      <c r="O376" s="54"/>
      <c r="P376" s="86"/>
      <c r="Q376" s="54"/>
      <c r="R376" s="249"/>
      <c r="T376" s="54"/>
      <c r="U376" s="54"/>
      <c r="V376" s="54"/>
      <c r="W376" s="54"/>
      <c r="X376" s="54"/>
      <c r="Y376" s="54"/>
      <c r="Z376" s="54"/>
      <c r="AA376" s="54"/>
      <c r="AB376" s="287"/>
      <c r="AC376" s="54"/>
      <c r="AD376" s="54"/>
    </row>
    <row r="377">
      <c r="A377" s="54"/>
      <c r="B377" s="310"/>
      <c r="C377" s="310"/>
      <c r="D377" s="99"/>
      <c r="E377" s="99"/>
      <c r="F377" s="99"/>
      <c r="G377" s="99"/>
      <c r="H377" s="102"/>
      <c r="I377" s="102"/>
      <c r="J377" s="102"/>
      <c r="K377" s="103"/>
      <c r="L377" s="54"/>
      <c r="M377" s="54"/>
      <c r="N377" s="54"/>
      <c r="O377" s="54"/>
      <c r="P377" s="86"/>
      <c r="Q377" s="54"/>
      <c r="R377" s="249"/>
      <c r="T377" s="54"/>
      <c r="U377" s="54"/>
      <c r="V377" s="54"/>
      <c r="W377" s="54"/>
      <c r="X377" s="54"/>
      <c r="Y377" s="54"/>
      <c r="Z377" s="54"/>
      <c r="AA377" s="54"/>
      <c r="AB377" s="287"/>
      <c r="AC377" s="54"/>
      <c r="AD377" s="54"/>
    </row>
    <row r="378">
      <c r="A378" s="54"/>
      <c r="B378" s="310"/>
      <c r="C378" s="310"/>
      <c r="D378" s="99"/>
      <c r="E378" s="99"/>
      <c r="F378" s="99"/>
      <c r="G378" s="99"/>
      <c r="H378" s="102"/>
      <c r="I378" s="102"/>
      <c r="J378" s="102"/>
      <c r="K378" s="103"/>
      <c r="L378" s="54"/>
      <c r="M378" s="54"/>
      <c r="N378" s="54"/>
      <c r="O378" s="54"/>
      <c r="P378" s="86"/>
      <c r="Q378" s="54"/>
      <c r="R378" s="249"/>
      <c r="T378" s="54"/>
      <c r="U378" s="54"/>
      <c r="V378" s="54"/>
      <c r="W378" s="54"/>
      <c r="X378" s="54"/>
      <c r="Y378" s="54"/>
      <c r="Z378" s="54"/>
      <c r="AA378" s="54"/>
      <c r="AB378" s="287"/>
      <c r="AC378" s="54"/>
      <c r="AD378" s="54"/>
    </row>
    <row r="379">
      <c r="A379" s="54"/>
      <c r="B379" s="310"/>
      <c r="C379" s="310"/>
      <c r="D379" s="99"/>
      <c r="E379" s="99"/>
      <c r="F379" s="99"/>
      <c r="G379" s="99"/>
      <c r="H379" s="102"/>
      <c r="I379" s="102"/>
      <c r="J379" s="102"/>
      <c r="K379" s="103"/>
      <c r="L379" s="54"/>
      <c r="M379" s="54"/>
      <c r="N379" s="54"/>
      <c r="O379" s="54"/>
      <c r="P379" s="86"/>
      <c r="Q379" s="54"/>
      <c r="R379" s="249"/>
      <c r="T379" s="54"/>
      <c r="U379" s="54"/>
      <c r="V379" s="54"/>
      <c r="W379" s="54"/>
      <c r="X379" s="54"/>
      <c r="Y379" s="54"/>
      <c r="Z379" s="54"/>
      <c r="AA379" s="54"/>
      <c r="AB379" s="287"/>
      <c r="AC379" s="54"/>
      <c r="AD379" s="54"/>
    </row>
    <row r="380">
      <c r="A380" s="54"/>
      <c r="B380" s="310"/>
      <c r="C380" s="310"/>
      <c r="D380" s="99"/>
      <c r="E380" s="99"/>
      <c r="F380" s="99"/>
      <c r="G380" s="99"/>
      <c r="H380" s="102"/>
      <c r="I380" s="102"/>
      <c r="J380" s="102"/>
      <c r="K380" s="103"/>
      <c r="L380" s="54"/>
      <c r="M380" s="54"/>
      <c r="N380" s="54"/>
      <c r="O380" s="54"/>
      <c r="P380" s="86"/>
      <c r="Q380" s="54"/>
      <c r="R380" s="249"/>
      <c r="T380" s="54"/>
      <c r="U380" s="54"/>
      <c r="V380" s="54"/>
      <c r="W380" s="54"/>
      <c r="X380" s="54"/>
      <c r="Y380" s="54"/>
      <c r="Z380" s="54"/>
      <c r="AA380" s="54"/>
      <c r="AB380" s="287"/>
      <c r="AC380" s="54"/>
      <c r="AD380" s="54"/>
    </row>
    <row r="381">
      <c r="A381" s="54"/>
      <c r="B381" s="310"/>
      <c r="C381" s="310"/>
      <c r="D381" s="99"/>
      <c r="E381" s="99"/>
      <c r="F381" s="99"/>
      <c r="G381" s="99"/>
      <c r="H381" s="102"/>
      <c r="I381" s="102"/>
      <c r="J381" s="102"/>
      <c r="K381" s="103"/>
      <c r="L381" s="54"/>
      <c r="M381" s="54"/>
      <c r="N381" s="54"/>
      <c r="O381" s="54"/>
      <c r="P381" s="86"/>
      <c r="Q381" s="54"/>
      <c r="R381" s="249"/>
      <c r="T381" s="54"/>
      <c r="U381" s="54"/>
      <c r="V381" s="54"/>
      <c r="W381" s="54"/>
      <c r="X381" s="54"/>
      <c r="Y381" s="54"/>
      <c r="Z381" s="54"/>
      <c r="AA381" s="54"/>
      <c r="AB381" s="287"/>
      <c r="AC381" s="54"/>
      <c r="AD381" s="54"/>
    </row>
    <row r="382">
      <c r="A382" s="54"/>
      <c r="B382" s="310"/>
      <c r="C382" s="310"/>
      <c r="D382" s="99"/>
      <c r="E382" s="99"/>
      <c r="F382" s="99"/>
      <c r="G382" s="99"/>
      <c r="H382" s="102"/>
      <c r="I382" s="102"/>
      <c r="J382" s="102"/>
      <c r="K382" s="103"/>
      <c r="L382" s="54"/>
      <c r="M382" s="54"/>
      <c r="N382" s="54"/>
      <c r="O382" s="54"/>
      <c r="P382" s="86"/>
      <c r="Q382" s="54"/>
      <c r="R382" s="249"/>
      <c r="T382" s="54"/>
      <c r="U382" s="54"/>
      <c r="V382" s="54"/>
      <c r="W382" s="54"/>
      <c r="X382" s="54"/>
      <c r="Y382" s="54"/>
      <c r="Z382" s="54"/>
      <c r="AA382" s="54"/>
      <c r="AB382" s="287"/>
      <c r="AC382" s="54"/>
      <c r="AD382" s="54"/>
    </row>
    <row r="383">
      <c r="A383" s="54"/>
      <c r="B383" s="310"/>
      <c r="C383" s="310"/>
      <c r="D383" s="99"/>
      <c r="E383" s="99"/>
      <c r="F383" s="99"/>
      <c r="G383" s="99"/>
      <c r="H383" s="102"/>
      <c r="I383" s="102"/>
      <c r="J383" s="102"/>
      <c r="K383" s="103"/>
      <c r="L383" s="54"/>
      <c r="M383" s="54"/>
      <c r="N383" s="54"/>
      <c r="O383" s="54"/>
      <c r="P383" s="86"/>
      <c r="Q383" s="54"/>
      <c r="R383" s="249"/>
      <c r="T383" s="54"/>
      <c r="U383" s="54"/>
      <c r="V383" s="54"/>
      <c r="W383" s="54"/>
      <c r="X383" s="54"/>
      <c r="Y383" s="54"/>
      <c r="Z383" s="54"/>
      <c r="AA383" s="54"/>
      <c r="AB383" s="287"/>
      <c r="AC383" s="54"/>
      <c r="AD383" s="54"/>
    </row>
    <row r="384">
      <c r="A384" s="54"/>
      <c r="B384" s="310"/>
      <c r="C384" s="310"/>
      <c r="D384" s="99"/>
      <c r="E384" s="99"/>
      <c r="F384" s="99"/>
      <c r="G384" s="99"/>
      <c r="H384" s="102"/>
      <c r="I384" s="102"/>
      <c r="J384" s="102"/>
      <c r="K384" s="103"/>
      <c r="L384" s="54"/>
      <c r="M384" s="54"/>
      <c r="N384" s="54"/>
      <c r="O384" s="54"/>
      <c r="P384" s="86"/>
      <c r="Q384" s="54"/>
      <c r="R384" s="249"/>
      <c r="T384" s="54"/>
      <c r="U384" s="54"/>
      <c r="V384" s="54"/>
      <c r="W384" s="54"/>
      <c r="X384" s="54"/>
      <c r="Y384" s="54"/>
      <c r="Z384" s="54"/>
      <c r="AA384" s="54"/>
      <c r="AB384" s="287"/>
      <c r="AC384" s="54"/>
      <c r="AD384" s="54"/>
    </row>
    <row r="385">
      <c r="A385" s="54"/>
      <c r="B385" s="310"/>
      <c r="C385" s="310"/>
      <c r="D385" s="99"/>
      <c r="E385" s="99"/>
      <c r="F385" s="99"/>
      <c r="G385" s="99"/>
      <c r="H385" s="102"/>
      <c r="I385" s="102"/>
      <c r="J385" s="102"/>
      <c r="K385" s="103"/>
      <c r="L385" s="54"/>
      <c r="M385" s="54"/>
      <c r="N385" s="54"/>
      <c r="O385" s="54"/>
      <c r="P385" s="86"/>
      <c r="Q385" s="54"/>
      <c r="R385" s="249"/>
      <c r="T385" s="54"/>
      <c r="U385" s="54"/>
      <c r="V385" s="54"/>
      <c r="W385" s="54"/>
      <c r="X385" s="54"/>
      <c r="Y385" s="54"/>
      <c r="Z385" s="54"/>
      <c r="AA385" s="54"/>
      <c r="AB385" s="287"/>
      <c r="AC385" s="54"/>
      <c r="AD385" s="54"/>
    </row>
    <row r="386">
      <c r="A386" s="54"/>
      <c r="B386" s="310"/>
      <c r="C386" s="310"/>
      <c r="D386" s="99"/>
      <c r="E386" s="99"/>
      <c r="F386" s="99"/>
      <c r="G386" s="99"/>
      <c r="H386" s="102"/>
      <c r="I386" s="102"/>
      <c r="J386" s="102"/>
      <c r="K386" s="103"/>
      <c r="L386" s="54"/>
      <c r="M386" s="54"/>
      <c r="N386" s="54"/>
      <c r="O386" s="54"/>
      <c r="P386" s="86"/>
      <c r="Q386" s="54"/>
      <c r="R386" s="249"/>
      <c r="T386" s="54"/>
      <c r="U386" s="54"/>
      <c r="V386" s="54"/>
      <c r="W386" s="54"/>
      <c r="X386" s="54"/>
      <c r="Y386" s="54"/>
      <c r="Z386" s="54"/>
      <c r="AA386" s="54"/>
      <c r="AB386" s="287"/>
      <c r="AC386" s="54"/>
      <c r="AD386" s="54"/>
    </row>
    <row r="387">
      <c r="A387" s="54"/>
      <c r="B387" s="310"/>
      <c r="C387" s="310"/>
      <c r="D387" s="99"/>
      <c r="E387" s="99"/>
      <c r="F387" s="99"/>
      <c r="G387" s="99"/>
      <c r="H387" s="102"/>
      <c r="I387" s="102"/>
      <c r="J387" s="102"/>
      <c r="K387" s="103"/>
      <c r="L387" s="54"/>
      <c r="M387" s="54"/>
      <c r="N387" s="54"/>
      <c r="O387" s="54"/>
      <c r="P387" s="86"/>
      <c r="Q387" s="54"/>
      <c r="R387" s="249"/>
      <c r="T387" s="54"/>
      <c r="U387" s="54"/>
      <c r="V387" s="54"/>
      <c r="W387" s="54"/>
      <c r="X387" s="54"/>
      <c r="Y387" s="54"/>
      <c r="Z387" s="54"/>
      <c r="AA387" s="54"/>
      <c r="AB387" s="287"/>
      <c r="AC387" s="54"/>
      <c r="AD387" s="54"/>
    </row>
    <row r="388">
      <c r="A388" s="54"/>
      <c r="B388" s="310"/>
      <c r="C388" s="310"/>
      <c r="D388" s="99"/>
      <c r="E388" s="99"/>
      <c r="F388" s="99"/>
      <c r="G388" s="99"/>
      <c r="H388" s="102"/>
      <c r="I388" s="102"/>
      <c r="J388" s="102"/>
      <c r="K388" s="103"/>
      <c r="L388" s="54"/>
      <c r="M388" s="54"/>
      <c r="N388" s="54"/>
      <c r="O388" s="54"/>
      <c r="P388" s="86"/>
      <c r="Q388" s="54"/>
      <c r="R388" s="249"/>
      <c r="T388" s="54"/>
      <c r="U388" s="54"/>
      <c r="V388" s="54"/>
      <c r="W388" s="54"/>
      <c r="X388" s="54"/>
      <c r="Y388" s="54"/>
      <c r="Z388" s="54"/>
      <c r="AA388" s="54"/>
      <c r="AB388" s="287"/>
      <c r="AC388" s="54"/>
      <c r="AD388" s="54"/>
    </row>
    <row r="389">
      <c r="A389" s="54"/>
      <c r="B389" s="310"/>
      <c r="C389" s="310"/>
      <c r="D389" s="99"/>
      <c r="E389" s="99"/>
      <c r="F389" s="99"/>
      <c r="G389" s="99"/>
      <c r="H389" s="102"/>
      <c r="I389" s="102"/>
      <c r="J389" s="102"/>
      <c r="K389" s="103"/>
      <c r="L389" s="54"/>
      <c r="M389" s="54"/>
      <c r="N389" s="54"/>
      <c r="O389" s="54"/>
      <c r="P389" s="86"/>
      <c r="Q389" s="54"/>
      <c r="R389" s="249"/>
      <c r="T389" s="54"/>
      <c r="U389" s="54"/>
      <c r="V389" s="54"/>
      <c r="W389" s="54"/>
      <c r="X389" s="54"/>
      <c r="Y389" s="54"/>
      <c r="Z389" s="54"/>
      <c r="AA389" s="54"/>
      <c r="AB389" s="287"/>
      <c r="AC389" s="54"/>
      <c r="AD389" s="54"/>
    </row>
    <row r="390">
      <c r="A390" s="54"/>
      <c r="B390" s="310"/>
      <c r="C390" s="310"/>
      <c r="D390" s="99"/>
      <c r="E390" s="99"/>
      <c r="F390" s="99"/>
      <c r="G390" s="99"/>
      <c r="H390" s="102"/>
      <c r="I390" s="102"/>
      <c r="J390" s="102"/>
      <c r="K390" s="103"/>
      <c r="L390" s="54"/>
      <c r="M390" s="54"/>
      <c r="N390" s="54"/>
      <c r="O390" s="54"/>
      <c r="P390" s="86"/>
      <c r="Q390" s="54"/>
      <c r="R390" s="249"/>
      <c r="T390" s="54"/>
      <c r="U390" s="54"/>
      <c r="V390" s="54"/>
      <c r="W390" s="54"/>
      <c r="X390" s="54"/>
      <c r="Y390" s="54"/>
      <c r="Z390" s="54"/>
      <c r="AA390" s="54"/>
      <c r="AB390" s="287"/>
      <c r="AC390" s="54"/>
      <c r="AD390" s="54"/>
    </row>
    <row r="391">
      <c r="A391" s="54"/>
      <c r="B391" s="310"/>
      <c r="C391" s="310"/>
      <c r="D391" s="99"/>
      <c r="E391" s="99"/>
      <c r="F391" s="99"/>
      <c r="G391" s="99"/>
      <c r="H391" s="102"/>
      <c r="I391" s="102"/>
      <c r="J391" s="102"/>
      <c r="K391" s="103"/>
      <c r="L391" s="54"/>
      <c r="M391" s="54"/>
      <c r="N391" s="54"/>
      <c r="O391" s="54"/>
      <c r="P391" s="86"/>
      <c r="Q391" s="54"/>
      <c r="R391" s="249"/>
      <c r="T391" s="54"/>
      <c r="U391" s="54"/>
      <c r="V391" s="54"/>
      <c r="W391" s="54"/>
      <c r="X391" s="54"/>
      <c r="Y391" s="54"/>
      <c r="Z391" s="54"/>
      <c r="AA391" s="54"/>
      <c r="AB391" s="287"/>
      <c r="AC391" s="54"/>
      <c r="AD391" s="54"/>
    </row>
    <row r="392">
      <c r="A392" s="54"/>
      <c r="B392" s="310"/>
      <c r="C392" s="310"/>
      <c r="D392" s="99"/>
      <c r="E392" s="99"/>
      <c r="F392" s="99"/>
      <c r="G392" s="99"/>
      <c r="H392" s="102"/>
      <c r="I392" s="102"/>
      <c r="J392" s="102"/>
      <c r="K392" s="103"/>
      <c r="L392" s="54"/>
      <c r="M392" s="54"/>
      <c r="N392" s="54"/>
      <c r="O392" s="54"/>
      <c r="P392" s="86"/>
      <c r="Q392" s="54"/>
      <c r="R392" s="249"/>
      <c r="T392" s="54"/>
      <c r="U392" s="54"/>
      <c r="V392" s="54"/>
      <c r="W392" s="54"/>
      <c r="X392" s="54"/>
      <c r="Y392" s="54"/>
      <c r="Z392" s="54"/>
      <c r="AA392" s="54"/>
      <c r="AB392" s="287"/>
      <c r="AC392" s="54"/>
      <c r="AD392" s="54"/>
    </row>
    <row r="393">
      <c r="A393" s="54"/>
      <c r="B393" s="310"/>
      <c r="C393" s="310"/>
      <c r="D393" s="99"/>
      <c r="E393" s="99"/>
      <c r="F393" s="99"/>
      <c r="G393" s="99"/>
      <c r="H393" s="102"/>
      <c r="I393" s="102"/>
      <c r="J393" s="102"/>
      <c r="K393" s="103"/>
      <c r="L393" s="54"/>
      <c r="M393" s="54"/>
      <c r="N393" s="54"/>
      <c r="O393" s="54"/>
      <c r="P393" s="86"/>
      <c r="Q393" s="54"/>
      <c r="R393" s="249"/>
      <c r="T393" s="54"/>
      <c r="U393" s="54"/>
      <c r="V393" s="54"/>
      <c r="W393" s="54"/>
      <c r="X393" s="54"/>
      <c r="Y393" s="54"/>
      <c r="Z393" s="54"/>
      <c r="AA393" s="54"/>
      <c r="AB393" s="287"/>
      <c r="AC393" s="54"/>
      <c r="AD393" s="54"/>
    </row>
    <row r="394">
      <c r="A394" s="54"/>
      <c r="B394" s="310"/>
      <c r="C394" s="310"/>
      <c r="D394" s="99"/>
      <c r="E394" s="99"/>
      <c r="F394" s="99"/>
      <c r="G394" s="99"/>
      <c r="H394" s="102"/>
      <c r="I394" s="102"/>
      <c r="J394" s="102"/>
      <c r="K394" s="103"/>
      <c r="L394" s="54"/>
      <c r="M394" s="54"/>
      <c r="N394" s="54"/>
      <c r="O394" s="54"/>
      <c r="P394" s="86"/>
      <c r="Q394" s="54"/>
      <c r="R394" s="249"/>
      <c r="T394" s="54"/>
      <c r="U394" s="54"/>
      <c r="V394" s="54"/>
      <c r="W394" s="54"/>
      <c r="X394" s="54"/>
      <c r="Y394" s="54"/>
      <c r="Z394" s="54"/>
      <c r="AA394" s="54"/>
      <c r="AB394" s="287"/>
      <c r="AC394" s="54"/>
      <c r="AD394" s="54"/>
    </row>
    <row r="395">
      <c r="A395" s="54"/>
      <c r="B395" s="310"/>
      <c r="C395" s="310"/>
      <c r="D395" s="99"/>
      <c r="E395" s="99"/>
      <c r="F395" s="99"/>
      <c r="G395" s="99"/>
      <c r="H395" s="102"/>
      <c r="I395" s="102"/>
      <c r="J395" s="102"/>
      <c r="K395" s="103"/>
      <c r="L395" s="54"/>
      <c r="M395" s="54"/>
      <c r="N395" s="54"/>
      <c r="O395" s="54"/>
      <c r="P395" s="86"/>
      <c r="Q395" s="54"/>
      <c r="R395" s="249"/>
      <c r="T395" s="54"/>
      <c r="U395" s="54"/>
      <c r="V395" s="54"/>
      <c r="W395" s="54"/>
      <c r="X395" s="54"/>
      <c r="Y395" s="54"/>
      <c r="Z395" s="54"/>
      <c r="AA395" s="54"/>
      <c r="AB395" s="287"/>
      <c r="AC395" s="54"/>
      <c r="AD395" s="54"/>
    </row>
    <row r="396">
      <c r="A396" s="54"/>
      <c r="B396" s="310"/>
      <c r="C396" s="310"/>
      <c r="D396" s="99"/>
      <c r="E396" s="99"/>
      <c r="F396" s="99"/>
      <c r="G396" s="99"/>
      <c r="H396" s="102"/>
      <c r="I396" s="102"/>
      <c r="J396" s="102"/>
      <c r="K396" s="103"/>
      <c r="L396" s="54"/>
      <c r="M396" s="54"/>
      <c r="N396" s="54"/>
      <c r="O396" s="54"/>
      <c r="P396" s="86"/>
      <c r="Q396" s="54"/>
      <c r="R396" s="249"/>
      <c r="T396" s="54"/>
      <c r="U396" s="54"/>
      <c r="V396" s="54"/>
      <c r="W396" s="54"/>
      <c r="X396" s="54"/>
      <c r="Y396" s="54"/>
      <c r="Z396" s="54"/>
      <c r="AA396" s="54"/>
      <c r="AB396" s="287"/>
      <c r="AC396" s="54"/>
      <c r="AD396" s="54"/>
    </row>
    <row r="397">
      <c r="A397" s="54"/>
      <c r="B397" s="310"/>
      <c r="C397" s="310"/>
      <c r="D397" s="99"/>
      <c r="E397" s="99"/>
      <c r="F397" s="99"/>
      <c r="G397" s="99"/>
      <c r="H397" s="102"/>
      <c r="I397" s="102"/>
      <c r="J397" s="102"/>
      <c r="K397" s="103"/>
      <c r="L397" s="54"/>
      <c r="M397" s="54"/>
      <c r="N397" s="54"/>
      <c r="O397" s="54"/>
      <c r="P397" s="86"/>
      <c r="Q397" s="54"/>
      <c r="R397" s="249"/>
      <c r="T397" s="54"/>
      <c r="U397" s="54"/>
      <c r="V397" s="54"/>
      <c r="W397" s="54"/>
      <c r="X397" s="54"/>
      <c r="Y397" s="54"/>
      <c r="Z397" s="54"/>
      <c r="AA397" s="54"/>
      <c r="AB397" s="287"/>
      <c r="AC397" s="54"/>
      <c r="AD397" s="54"/>
    </row>
    <row r="398">
      <c r="A398" s="54"/>
      <c r="B398" s="310"/>
      <c r="C398" s="310"/>
      <c r="D398" s="99"/>
      <c r="E398" s="99"/>
      <c r="F398" s="99"/>
      <c r="G398" s="99"/>
      <c r="H398" s="102"/>
      <c r="I398" s="102"/>
      <c r="J398" s="102"/>
      <c r="K398" s="103"/>
      <c r="L398" s="54"/>
      <c r="M398" s="54"/>
      <c r="N398" s="54"/>
      <c r="O398" s="54"/>
      <c r="P398" s="86"/>
      <c r="Q398" s="54"/>
      <c r="R398" s="249"/>
      <c r="T398" s="54"/>
      <c r="U398" s="54"/>
      <c r="V398" s="54"/>
      <c r="W398" s="54"/>
      <c r="X398" s="54"/>
      <c r="Y398" s="54"/>
      <c r="Z398" s="54"/>
      <c r="AA398" s="54"/>
      <c r="AB398" s="287"/>
      <c r="AC398" s="54"/>
      <c r="AD398" s="54"/>
    </row>
    <row r="399">
      <c r="A399" s="54"/>
      <c r="B399" s="310"/>
      <c r="C399" s="310"/>
      <c r="D399" s="99"/>
      <c r="E399" s="99"/>
      <c r="F399" s="99"/>
      <c r="G399" s="99"/>
      <c r="H399" s="102"/>
      <c r="I399" s="102"/>
      <c r="J399" s="102"/>
      <c r="K399" s="103"/>
      <c r="L399" s="54"/>
      <c r="M399" s="54"/>
      <c r="N399" s="54"/>
      <c r="O399" s="54"/>
      <c r="P399" s="86"/>
      <c r="Q399" s="54"/>
      <c r="R399" s="249"/>
      <c r="T399" s="54"/>
      <c r="U399" s="54"/>
      <c r="V399" s="54"/>
      <c r="W399" s="54"/>
      <c r="X399" s="54"/>
      <c r="Y399" s="54"/>
      <c r="Z399" s="54"/>
      <c r="AA399" s="54"/>
      <c r="AB399" s="287"/>
      <c r="AC399" s="54"/>
      <c r="AD399" s="54"/>
    </row>
    <row r="400">
      <c r="A400" s="54"/>
      <c r="B400" s="310"/>
      <c r="C400" s="310"/>
      <c r="D400" s="99"/>
      <c r="E400" s="99"/>
      <c r="F400" s="99"/>
      <c r="G400" s="99"/>
      <c r="H400" s="102"/>
      <c r="I400" s="102"/>
      <c r="J400" s="102"/>
      <c r="K400" s="103"/>
      <c r="L400" s="54"/>
      <c r="M400" s="54"/>
      <c r="N400" s="54"/>
      <c r="O400" s="54"/>
      <c r="P400" s="86"/>
      <c r="Q400" s="54"/>
      <c r="R400" s="249"/>
      <c r="T400" s="54"/>
      <c r="U400" s="54"/>
      <c r="V400" s="54"/>
      <c r="W400" s="54"/>
      <c r="X400" s="54"/>
      <c r="Y400" s="54"/>
      <c r="Z400" s="54"/>
      <c r="AA400" s="54"/>
      <c r="AB400" s="287"/>
      <c r="AC400" s="54"/>
      <c r="AD400" s="54"/>
    </row>
    <row r="401">
      <c r="A401" s="54"/>
      <c r="B401" s="310"/>
      <c r="C401" s="310"/>
      <c r="D401" s="99"/>
      <c r="E401" s="99"/>
      <c r="F401" s="99"/>
      <c r="G401" s="99"/>
      <c r="H401" s="102"/>
      <c r="I401" s="102"/>
      <c r="J401" s="102"/>
      <c r="K401" s="103"/>
      <c r="L401" s="54"/>
      <c r="M401" s="54"/>
      <c r="N401" s="54"/>
      <c r="O401" s="54"/>
      <c r="P401" s="86"/>
      <c r="Q401" s="54"/>
      <c r="R401" s="249"/>
      <c r="T401" s="54"/>
      <c r="U401" s="54"/>
      <c r="V401" s="54"/>
      <c r="W401" s="54"/>
      <c r="X401" s="54"/>
      <c r="Y401" s="54"/>
      <c r="Z401" s="54"/>
      <c r="AA401" s="54"/>
      <c r="AB401" s="287"/>
      <c r="AC401" s="54"/>
      <c r="AD401" s="54"/>
    </row>
    <row r="402">
      <c r="A402" s="54"/>
      <c r="B402" s="310"/>
      <c r="C402" s="310"/>
      <c r="D402" s="99"/>
      <c r="E402" s="99"/>
      <c r="F402" s="99"/>
      <c r="G402" s="99"/>
      <c r="H402" s="102"/>
      <c r="I402" s="102"/>
      <c r="J402" s="102"/>
      <c r="K402" s="103"/>
      <c r="L402" s="54"/>
      <c r="M402" s="54"/>
      <c r="N402" s="54"/>
      <c r="O402" s="54"/>
      <c r="P402" s="86"/>
      <c r="Q402" s="54"/>
      <c r="R402" s="249"/>
      <c r="T402" s="54"/>
      <c r="U402" s="54"/>
      <c r="V402" s="54"/>
      <c r="W402" s="54"/>
      <c r="X402" s="54"/>
      <c r="Y402" s="54"/>
      <c r="Z402" s="54"/>
      <c r="AA402" s="54"/>
      <c r="AB402" s="287"/>
      <c r="AC402" s="54"/>
      <c r="AD402" s="54"/>
    </row>
    <row r="403">
      <c r="A403" s="54"/>
      <c r="B403" s="310"/>
      <c r="C403" s="310"/>
      <c r="D403" s="99"/>
      <c r="E403" s="99"/>
      <c r="F403" s="99"/>
      <c r="G403" s="99"/>
      <c r="H403" s="102"/>
      <c r="I403" s="102"/>
      <c r="J403" s="102"/>
      <c r="K403" s="103"/>
      <c r="L403" s="54"/>
      <c r="M403" s="54"/>
      <c r="N403" s="54"/>
      <c r="O403" s="54"/>
      <c r="P403" s="86"/>
      <c r="Q403" s="54"/>
      <c r="R403" s="249"/>
      <c r="T403" s="54"/>
      <c r="U403" s="54"/>
      <c r="V403" s="54"/>
      <c r="W403" s="54"/>
      <c r="X403" s="54"/>
      <c r="Y403" s="54"/>
      <c r="Z403" s="54"/>
      <c r="AA403" s="54"/>
      <c r="AB403" s="287"/>
      <c r="AC403" s="54"/>
      <c r="AD403" s="54"/>
    </row>
    <row r="404">
      <c r="A404" s="54"/>
      <c r="B404" s="310"/>
      <c r="C404" s="310"/>
      <c r="D404" s="99"/>
      <c r="E404" s="99"/>
      <c r="F404" s="99"/>
      <c r="G404" s="99"/>
      <c r="H404" s="102"/>
      <c r="I404" s="102"/>
      <c r="J404" s="102"/>
      <c r="K404" s="103"/>
      <c r="L404" s="54"/>
      <c r="M404" s="54"/>
      <c r="N404" s="54"/>
      <c r="O404" s="54"/>
      <c r="P404" s="86"/>
      <c r="Q404" s="54"/>
      <c r="R404" s="249"/>
      <c r="T404" s="54"/>
      <c r="U404" s="54"/>
      <c r="V404" s="54"/>
      <c r="W404" s="54"/>
      <c r="X404" s="54"/>
      <c r="Y404" s="54"/>
      <c r="Z404" s="54"/>
      <c r="AA404" s="54"/>
      <c r="AB404" s="287"/>
      <c r="AC404" s="54"/>
      <c r="AD404" s="54"/>
    </row>
    <row r="405">
      <c r="A405" s="54"/>
      <c r="B405" s="310"/>
      <c r="C405" s="310"/>
      <c r="D405" s="99"/>
      <c r="E405" s="99"/>
      <c r="F405" s="99"/>
      <c r="G405" s="99"/>
      <c r="H405" s="102"/>
      <c r="I405" s="102"/>
      <c r="J405" s="102"/>
      <c r="K405" s="103"/>
      <c r="L405" s="54"/>
      <c r="M405" s="54"/>
      <c r="N405" s="54"/>
      <c r="O405" s="54"/>
      <c r="P405" s="86"/>
      <c r="Q405" s="54"/>
      <c r="R405" s="249"/>
      <c r="T405" s="54"/>
      <c r="U405" s="54"/>
      <c r="V405" s="54"/>
      <c r="W405" s="54"/>
      <c r="X405" s="54"/>
      <c r="Y405" s="54"/>
      <c r="Z405" s="54"/>
      <c r="AA405" s="54"/>
      <c r="AB405" s="287"/>
      <c r="AC405" s="54"/>
      <c r="AD405" s="54"/>
    </row>
    <row r="406">
      <c r="A406" s="54"/>
      <c r="B406" s="310"/>
      <c r="C406" s="310"/>
      <c r="D406" s="99"/>
      <c r="E406" s="99"/>
      <c r="F406" s="99"/>
      <c r="G406" s="99"/>
      <c r="H406" s="102"/>
      <c r="I406" s="102"/>
      <c r="J406" s="102"/>
      <c r="K406" s="103"/>
      <c r="L406" s="54"/>
      <c r="M406" s="54"/>
      <c r="N406" s="54"/>
      <c r="O406" s="54"/>
      <c r="P406" s="86"/>
      <c r="Q406" s="54"/>
      <c r="R406" s="249"/>
      <c r="T406" s="54"/>
      <c r="U406" s="54"/>
      <c r="V406" s="54"/>
      <c r="W406" s="54"/>
      <c r="X406" s="54"/>
      <c r="Y406" s="54"/>
      <c r="Z406" s="54"/>
      <c r="AA406" s="54"/>
      <c r="AB406" s="287"/>
      <c r="AC406" s="54"/>
      <c r="AD406" s="54"/>
    </row>
    <row r="407">
      <c r="A407" s="54"/>
      <c r="B407" s="310"/>
      <c r="C407" s="310"/>
      <c r="D407" s="99"/>
      <c r="E407" s="99"/>
      <c r="F407" s="99"/>
      <c r="G407" s="99"/>
      <c r="H407" s="102"/>
      <c r="I407" s="102"/>
      <c r="J407" s="102"/>
      <c r="K407" s="103"/>
      <c r="L407" s="54"/>
      <c r="M407" s="54"/>
      <c r="N407" s="54"/>
      <c r="O407" s="54"/>
      <c r="P407" s="86"/>
      <c r="Q407" s="54"/>
      <c r="R407" s="249"/>
      <c r="T407" s="54"/>
      <c r="U407" s="54"/>
      <c r="V407" s="54"/>
      <c r="W407" s="54"/>
      <c r="X407" s="54"/>
      <c r="Y407" s="54"/>
      <c r="Z407" s="54"/>
      <c r="AA407" s="54"/>
      <c r="AB407" s="287"/>
      <c r="AC407" s="54"/>
      <c r="AD407" s="54"/>
    </row>
    <row r="408">
      <c r="A408" s="54"/>
      <c r="B408" s="310"/>
      <c r="C408" s="310"/>
      <c r="D408" s="99"/>
      <c r="E408" s="99"/>
      <c r="F408" s="99"/>
      <c r="G408" s="99"/>
      <c r="H408" s="102"/>
      <c r="I408" s="102"/>
      <c r="J408" s="102"/>
      <c r="K408" s="103"/>
      <c r="L408" s="54"/>
      <c r="M408" s="54"/>
      <c r="N408" s="54"/>
      <c r="O408" s="54"/>
      <c r="P408" s="86"/>
      <c r="Q408" s="54"/>
      <c r="R408" s="249"/>
      <c r="T408" s="54"/>
      <c r="U408" s="54"/>
      <c r="V408" s="54"/>
      <c r="W408" s="54"/>
      <c r="X408" s="54"/>
      <c r="Y408" s="54"/>
      <c r="Z408" s="54"/>
      <c r="AA408" s="54"/>
      <c r="AB408" s="287"/>
      <c r="AC408" s="54"/>
      <c r="AD408" s="54"/>
    </row>
    <row r="409">
      <c r="A409" s="54"/>
      <c r="B409" s="310"/>
      <c r="C409" s="310"/>
      <c r="D409" s="99"/>
      <c r="E409" s="99"/>
      <c r="F409" s="99"/>
      <c r="G409" s="99"/>
      <c r="H409" s="102"/>
      <c r="I409" s="102"/>
      <c r="J409" s="102"/>
      <c r="K409" s="103"/>
      <c r="L409" s="54"/>
      <c r="M409" s="54"/>
      <c r="N409" s="54"/>
      <c r="O409" s="54"/>
      <c r="P409" s="86"/>
      <c r="Q409" s="54"/>
      <c r="R409" s="249"/>
      <c r="T409" s="54"/>
      <c r="U409" s="54"/>
      <c r="V409" s="54"/>
      <c r="W409" s="54"/>
      <c r="X409" s="54"/>
      <c r="Y409" s="54"/>
      <c r="Z409" s="54"/>
      <c r="AA409" s="54"/>
      <c r="AB409" s="287"/>
      <c r="AC409" s="54"/>
      <c r="AD409" s="54"/>
    </row>
    <row r="410">
      <c r="A410" s="54"/>
      <c r="B410" s="310"/>
      <c r="C410" s="310"/>
      <c r="D410" s="99"/>
      <c r="E410" s="99"/>
      <c r="F410" s="99"/>
      <c r="G410" s="99"/>
      <c r="H410" s="102"/>
      <c r="I410" s="102"/>
      <c r="J410" s="102"/>
      <c r="K410" s="103"/>
      <c r="L410" s="54"/>
      <c r="M410" s="54"/>
      <c r="N410" s="54"/>
      <c r="O410" s="54"/>
      <c r="P410" s="86"/>
      <c r="Q410" s="54"/>
      <c r="R410" s="249"/>
      <c r="T410" s="54"/>
      <c r="U410" s="54"/>
      <c r="V410" s="54"/>
      <c r="W410" s="54"/>
      <c r="X410" s="54"/>
      <c r="Y410" s="54"/>
      <c r="Z410" s="54"/>
      <c r="AA410" s="54"/>
      <c r="AB410" s="287"/>
      <c r="AC410" s="54"/>
      <c r="AD410" s="54"/>
    </row>
    <row r="411">
      <c r="A411" s="54"/>
      <c r="B411" s="310"/>
      <c r="C411" s="310"/>
      <c r="D411" s="99"/>
      <c r="E411" s="99"/>
      <c r="F411" s="99"/>
      <c r="G411" s="99"/>
      <c r="H411" s="102"/>
      <c r="I411" s="102"/>
      <c r="J411" s="102"/>
      <c r="K411" s="103"/>
      <c r="L411" s="54"/>
      <c r="M411" s="54"/>
      <c r="N411" s="54"/>
      <c r="O411" s="54"/>
      <c r="P411" s="86"/>
      <c r="Q411" s="54"/>
      <c r="R411" s="249"/>
      <c r="T411" s="54"/>
      <c r="U411" s="54"/>
      <c r="V411" s="54"/>
      <c r="W411" s="54"/>
      <c r="X411" s="54"/>
      <c r="Y411" s="54"/>
      <c r="Z411" s="54"/>
      <c r="AA411" s="54"/>
      <c r="AB411" s="287"/>
      <c r="AC411" s="54"/>
      <c r="AD411" s="54"/>
    </row>
    <row r="412">
      <c r="A412" s="54"/>
      <c r="B412" s="310"/>
      <c r="C412" s="310"/>
      <c r="D412" s="99"/>
      <c r="E412" s="99"/>
      <c r="F412" s="99"/>
      <c r="G412" s="99"/>
      <c r="H412" s="102"/>
      <c r="I412" s="102"/>
      <c r="J412" s="102"/>
      <c r="K412" s="103"/>
      <c r="L412" s="54"/>
      <c r="M412" s="54"/>
      <c r="N412" s="54"/>
      <c r="O412" s="54"/>
      <c r="P412" s="86"/>
      <c r="Q412" s="54"/>
      <c r="R412" s="249"/>
      <c r="T412" s="54"/>
      <c r="U412" s="54"/>
      <c r="V412" s="54"/>
      <c r="W412" s="54"/>
      <c r="X412" s="54"/>
      <c r="Y412" s="54"/>
      <c r="Z412" s="54"/>
      <c r="AA412" s="54"/>
      <c r="AB412" s="287"/>
      <c r="AC412" s="54"/>
      <c r="AD412" s="54"/>
    </row>
    <row r="413">
      <c r="A413" s="54"/>
      <c r="B413" s="310"/>
      <c r="C413" s="310"/>
      <c r="D413" s="99"/>
      <c r="E413" s="99"/>
      <c r="F413" s="99"/>
      <c r="G413" s="99"/>
      <c r="H413" s="102"/>
      <c r="I413" s="102"/>
      <c r="J413" s="102"/>
      <c r="K413" s="103"/>
      <c r="L413" s="54"/>
      <c r="M413" s="54"/>
      <c r="N413" s="54"/>
      <c r="O413" s="54"/>
      <c r="P413" s="86"/>
      <c r="Q413" s="54"/>
      <c r="R413" s="249"/>
      <c r="T413" s="54"/>
      <c r="U413" s="54"/>
      <c r="V413" s="54"/>
      <c r="W413" s="54"/>
      <c r="X413" s="54"/>
      <c r="Y413" s="54"/>
      <c r="Z413" s="54"/>
      <c r="AA413" s="54"/>
      <c r="AB413" s="287"/>
      <c r="AC413" s="54"/>
      <c r="AD413" s="54"/>
    </row>
    <row r="414">
      <c r="A414" s="54"/>
      <c r="B414" s="310"/>
      <c r="C414" s="310"/>
      <c r="D414" s="99"/>
      <c r="E414" s="99"/>
      <c r="F414" s="99"/>
      <c r="G414" s="99"/>
      <c r="H414" s="102"/>
      <c r="I414" s="102"/>
      <c r="J414" s="102"/>
      <c r="K414" s="103"/>
      <c r="L414" s="54"/>
      <c r="M414" s="54"/>
      <c r="N414" s="54"/>
      <c r="O414" s="54"/>
      <c r="P414" s="86"/>
      <c r="Q414" s="54"/>
      <c r="R414" s="249"/>
      <c r="T414" s="54"/>
      <c r="U414" s="54"/>
      <c r="V414" s="54"/>
      <c r="W414" s="54"/>
      <c r="X414" s="54"/>
      <c r="Y414" s="54"/>
      <c r="Z414" s="54"/>
      <c r="AA414" s="54"/>
      <c r="AB414" s="287"/>
      <c r="AC414" s="54"/>
      <c r="AD414" s="54"/>
    </row>
    <row r="415">
      <c r="A415" s="54"/>
      <c r="B415" s="310"/>
      <c r="C415" s="310"/>
      <c r="D415" s="99"/>
      <c r="E415" s="99"/>
      <c r="F415" s="99"/>
      <c r="G415" s="99"/>
      <c r="H415" s="102"/>
      <c r="I415" s="102"/>
      <c r="J415" s="102"/>
      <c r="K415" s="103"/>
      <c r="L415" s="54"/>
      <c r="M415" s="54"/>
      <c r="N415" s="54"/>
      <c r="O415" s="54"/>
      <c r="P415" s="86"/>
      <c r="Q415" s="54"/>
      <c r="R415" s="249"/>
      <c r="T415" s="54"/>
      <c r="U415" s="54"/>
      <c r="V415" s="54"/>
      <c r="W415" s="54"/>
      <c r="X415" s="54"/>
      <c r="Y415" s="54"/>
      <c r="Z415" s="54"/>
      <c r="AA415" s="54"/>
      <c r="AB415" s="287"/>
      <c r="AC415" s="54"/>
      <c r="AD415" s="54"/>
    </row>
    <row r="416">
      <c r="A416" s="54"/>
      <c r="B416" s="310"/>
      <c r="C416" s="310"/>
      <c r="D416" s="99"/>
      <c r="E416" s="99"/>
      <c r="F416" s="99"/>
      <c r="G416" s="99"/>
      <c r="H416" s="102"/>
      <c r="I416" s="102"/>
      <c r="J416" s="102"/>
      <c r="K416" s="103"/>
      <c r="L416" s="54"/>
      <c r="M416" s="54"/>
      <c r="N416" s="54"/>
      <c r="O416" s="54"/>
      <c r="P416" s="86"/>
      <c r="Q416" s="54"/>
      <c r="R416" s="249"/>
      <c r="T416" s="54"/>
      <c r="U416" s="54"/>
      <c r="V416" s="54"/>
      <c r="W416" s="54"/>
      <c r="X416" s="54"/>
      <c r="Y416" s="54"/>
      <c r="Z416" s="54"/>
      <c r="AA416" s="54"/>
      <c r="AB416" s="287"/>
      <c r="AC416" s="54"/>
      <c r="AD416" s="54"/>
    </row>
    <row r="417">
      <c r="A417" s="54"/>
      <c r="B417" s="310"/>
      <c r="C417" s="310"/>
      <c r="D417" s="99"/>
      <c r="E417" s="99"/>
      <c r="F417" s="99"/>
      <c r="G417" s="99"/>
      <c r="H417" s="102"/>
      <c r="I417" s="102"/>
      <c r="J417" s="102"/>
      <c r="K417" s="103"/>
      <c r="L417" s="54"/>
      <c r="M417" s="54"/>
      <c r="N417" s="54"/>
      <c r="O417" s="54"/>
      <c r="P417" s="86"/>
      <c r="Q417" s="54"/>
      <c r="R417" s="249"/>
      <c r="T417" s="54"/>
      <c r="U417" s="54"/>
      <c r="V417" s="54"/>
      <c r="W417" s="54"/>
      <c r="X417" s="54"/>
      <c r="Y417" s="54"/>
      <c r="Z417" s="54"/>
      <c r="AA417" s="54"/>
      <c r="AB417" s="287"/>
      <c r="AC417" s="54"/>
      <c r="AD417" s="54"/>
    </row>
    <row r="418">
      <c r="A418" s="54"/>
      <c r="B418" s="310"/>
      <c r="C418" s="310"/>
      <c r="D418" s="99"/>
      <c r="E418" s="99"/>
      <c r="F418" s="99"/>
      <c r="G418" s="99"/>
      <c r="H418" s="102"/>
      <c r="I418" s="102"/>
      <c r="J418" s="102"/>
      <c r="K418" s="103"/>
      <c r="L418" s="54"/>
      <c r="M418" s="54"/>
      <c r="N418" s="54"/>
      <c r="O418" s="54"/>
      <c r="P418" s="86"/>
      <c r="Q418" s="54"/>
      <c r="R418" s="249"/>
      <c r="T418" s="54"/>
      <c r="U418" s="54"/>
      <c r="V418" s="54"/>
      <c r="W418" s="54"/>
      <c r="X418" s="54"/>
      <c r="Y418" s="54"/>
      <c r="Z418" s="54"/>
      <c r="AA418" s="54"/>
      <c r="AB418" s="287"/>
      <c r="AC418" s="54"/>
      <c r="AD418" s="54"/>
    </row>
    <row r="419">
      <c r="A419" s="54"/>
      <c r="B419" s="311"/>
      <c r="C419" s="311"/>
      <c r="D419" s="102"/>
      <c r="E419" s="102"/>
      <c r="F419" s="102"/>
      <c r="G419" s="102"/>
      <c r="H419" s="102"/>
      <c r="I419" s="102"/>
      <c r="J419" s="102"/>
      <c r="K419" s="103"/>
      <c r="L419" s="54"/>
      <c r="M419" s="54"/>
      <c r="N419" s="54"/>
      <c r="O419" s="54"/>
      <c r="P419" s="86"/>
      <c r="Q419" s="54"/>
      <c r="R419" s="249"/>
      <c r="T419" s="54"/>
      <c r="U419" s="54"/>
      <c r="V419" s="54"/>
      <c r="W419" s="54"/>
      <c r="X419" s="54"/>
      <c r="Y419" s="54"/>
      <c r="Z419" s="54"/>
      <c r="AA419" s="54"/>
      <c r="AB419" s="287"/>
      <c r="AC419" s="54"/>
      <c r="AD419" s="54"/>
    </row>
    <row r="420">
      <c r="A420" s="54"/>
      <c r="B420" s="311"/>
      <c r="C420" s="311"/>
      <c r="D420" s="102"/>
      <c r="E420" s="102"/>
      <c r="F420" s="102"/>
      <c r="G420" s="102"/>
      <c r="H420" s="102"/>
      <c r="I420" s="102"/>
      <c r="J420" s="102"/>
      <c r="K420" s="103"/>
      <c r="L420" s="54"/>
      <c r="M420" s="54"/>
      <c r="N420" s="54"/>
      <c r="O420" s="54"/>
      <c r="P420" s="86"/>
      <c r="Q420" s="54"/>
      <c r="R420" s="249"/>
      <c r="T420" s="54"/>
      <c r="U420" s="54"/>
      <c r="V420" s="54"/>
      <c r="W420" s="54"/>
      <c r="X420" s="54"/>
      <c r="Y420" s="54"/>
      <c r="Z420" s="54"/>
      <c r="AA420" s="54"/>
      <c r="AB420" s="287"/>
      <c r="AC420" s="54"/>
      <c r="AD420" s="54"/>
    </row>
    <row r="421">
      <c r="A421" s="54"/>
      <c r="B421" s="311"/>
      <c r="C421" s="311"/>
      <c r="D421" s="102"/>
      <c r="E421" s="102"/>
      <c r="F421" s="102"/>
      <c r="G421" s="102"/>
      <c r="H421" s="102"/>
      <c r="I421" s="102"/>
      <c r="J421" s="102"/>
      <c r="K421" s="103"/>
      <c r="L421" s="54"/>
      <c r="M421" s="54"/>
      <c r="N421" s="54"/>
      <c r="O421" s="54"/>
      <c r="P421" s="86"/>
      <c r="Q421" s="54"/>
      <c r="R421" s="249"/>
      <c r="T421" s="54"/>
      <c r="U421" s="54"/>
      <c r="V421" s="54"/>
      <c r="W421" s="54"/>
      <c r="X421" s="54"/>
      <c r="Y421" s="54"/>
      <c r="Z421" s="54"/>
      <c r="AA421" s="54"/>
      <c r="AB421" s="287"/>
      <c r="AC421" s="54"/>
      <c r="AD421" s="54"/>
    </row>
    <row r="422">
      <c r="A422" s="54"/>
      <c r="B422" s="311"/>
      <c r="C422" s="311"/>
      <c r="D422" s="102"/>
      <c r="E422" s="102"/>
      <c r="F422" s="102"/>
      <c r="G422" s="102"/>
      <c r="H422" s="102"/>
      <c r="I422" s="102"/>
      <c r="J422" s="102"/>
      <c r="K422" s="103"/>
      <c r="L422" s="54"/>
      <c r="M422" s="54"/>
      <c r="N422" s="54"/>
      <c r="O422" s="54"/>
      <c r="P422" s="86"/>
      <c r="Q422" s="54"/>
      <c r="R422" s="249"/>
      <c r="T422" s="54"/>
      <c r="U422" s="54"/>
      <c r="V422" s="54"/>
      <c r="W422" s="54"/>
      <c r="X422" s="54"/>
      <c r="Y422" s="54"/>
      <c r="Z422" s="54"/>
      <c r="AA422" s="54"/>
      <c r="AB422" s="287"/>
      <c r="AC422" s="54"/>
      <c r="AD422" s="54"/>
    </row>
    <row r="423">
      <c r="A423" s="54"/>
      <c r="B423" s="311"/>
      <c r="C423" s="311"/>
      <c r="D423" s="102"/>
      <c r="E423" s="102"/>
      <c r="F423" s="102"/>
      <c r="G423" s="102"/>
      <c r="H423" s="102"/>
      <c r="I423" s="102"/>
      <c r="J423" s="102"/>
      <c r="K423" s="103"/>
      <c r="L423" s="54"/>
      <c r="M423" s="54"/>
      <c r="N423" s="54"/>
      <c r="O423" s="54"/>
      <c r="P423" s="86"/>
      <c r="Q423" s="54"/>
      <c r="R423" s="249"/>
      <c r="T423" s="54"/>
      <c r="U423" s="54"/>
      <c r="V423" s="54"/>
      <c r="W423" s="54"/>
      <c r="X423" s="54"/>
      <c r="Y423" s="54"/>
      <c r="Z423" s="54"/>
      <c r="AA423" s="54"/>
      <c r="AB423" s="287"/>
      <c r="AC423" s="54"/>
      <c r="AD423" s="54"/>
    </row>
    <row r="424">
      <c r="A424" s="54"/>
      <c r="B424" s="311"/>
      <c r="C424" s="311"/>
      <c r="D424" s="102"/>
      <c r="E424" s="102"/>
      <c r="F424" s="102"/>
      <c r="G424" s="102"/>
      <c r="H424" s="102"/>
      <c r="I424" s="102"/>
      <c r="J424" s="102"/>
      <c r="K424" s="103"/>
      <c r="L424" s="54"/>
      <c r="M424" s="54"/>
      <c r="N424" s="54"/>
      <c r="O424" s="54"/>
      <c r="P424" s="86"/>
      <c r="Q424" s="54"/>
      <c r="R424" s="249"/>
      <c r="T424" s="54"/>
      <c r="U424" s="54"/>
      <c r="V424" s="54"/>
      <c r="W424" s="54"/>
      <c r="X424" s="54"/>
      <c r="Y424" s="54"/>
      <c r="Z424" s="54"/>
      <c r="AA424" s="54"/>
      <c r="AB424" s="287"/>
      <c r="AC424" s="54"/>
      <c r="AD424" s="54"/>
    </row>
    <row r="425">
      <c r="A425" s="54"/>
      <c r="B425" s="311"/>
      <c r="C425" s="311"/>
      <c r="D425" s="102"/>
      <c r="E425" s="102"/>
      <c r="F425" s="102"/>
      <c r="G425" s="102"/>
      <c r="H425" s="102"/>
      <c r="I425" s="102"/>
      <c r="J425" s="102"/>
      <c r="K425" s="103"/>
      <c r="L425" s="54"/>
      <c r="M425" s="54"/>
      <c r="N425" s="54"/>
      <c r="O425" s="54"/>
      <c r="P425" s="86"/>
      <c r="Q425" s="54"/>
      <c r="R425" s="249"/>
      <c r="T425" s="54"/>
      <c r="U425" s="54"/>
      <c r="V425" s="54"/>
      <c r="W425" s="54"/>
      <c r="X425" s="54"/>
      <c r="Y425" s="54"/>
      <c r="Z425" s="54"/>
      <c r="AA425" s="54"/>
      <c r="AB425" s="287"/>
      <c r="AC425" s="54"/>
      <c r="AD425" s="54"/>
    </row>
    <row r="426">
      <c r="A426" s="54"/>
      <c r="B426" s="311"/>
      <c r="C426" s="311"/>
      <c r="D426" s="102"/>
      <c r="E426" s="102"/>
      <c r="F426" s="102"/>
      <c r="G426" s="102"/>
      <c r="H426" s="102"/>
      <c r="I426" s="102"/>
      <c r="J426" s="102"/>
      <c r="K426" s="103"/>
      <c r="L426" s="54"/>
      <c r="M426" s="54"/>
      <c r="N426" s="54"/>
      <c r="O426" s="54"/>
      <c r="P426" s="86"/>
      <c r="Q426" s="54"/>
      <c r="R426" s="249"/>
      <c r="T426" s="54"/>
      <c r="U426" s="54"/>
      <c r="V426" s="54"/>
      <c r="W426" s="54"/>
      <c r="X426" s="54"/>
      <c r="Y426" s="54"/>
      <c r="Z426" s="54"/>
      <c r="AA426" s="54"/>
      <c r="AB426" s="287"/>
      <c r="AC426" s="54"/>
      <c r="AD426" s="54"/>
    </row>
    <row r="427">
      <c r="A427" s="54"/>
      <c r="B427" s="311"/>
      <c r="C427" s="311"/>
      <c r="D427" s="102"/>
      <c r="E427" s="102"/>
      <c r="F427" s="102"/>
      <c r="G427" s="102"/>
      <c r="H427" s="102"/>
      <c r="I427" s="102"/>
      <c r="J427" s="102"/>
      <c r="K427" s="103"/>
      <c r="L427" s="54"/>
      <c r="M427" s="54"/>
      <c r="N427" s="54"/>
      <c r="O427" s="54"/>
      <c r="P427" s="86"/>
      <c r="Q427" s="54"/>
      <c r="R427" s="249"/>
      <c r="T427" s="54"/>
      <c r="U427" s="54"/>
      <c r="V427" s="54"/>
      <c r="W427" s="54"/>
      <c r="X427" s="54"/>
      <c r="Y427" s="54"/>
      <c r="Z427" s="54"/>
      <c r="AA427" s="54"/>
      <c r="AB427" s="287"/>
      <c r="AC427" s="54"/>
      <c r="AD427" s="54"/>
    </row>
    <row r="428">
      <c r="A428" s="54"/>
      <c r="B428" s="311"/>
      <c r="C428" s="311"/>
      <c r="D428" s="102"/>
      <c r="E428" s="102"/>
      <c r="F428" s="102"/>
      <c r="G428" s="102"/>
      <c r="H428" s="102"/>
      <c r="I428" s="102"/>
      <c r="J428" s="102"/>
      <c r="K428" s="103"/>
      <c r="L428" s="54"/>
      <c r="M428" s="54"/>
      <c r="N428" s="54"/>
      <c r="O428" s="54"/>
      <c r="P428" s="86"/>
      <c r="Q428" s="54"/>
      <c r="R428" s="249"/>
      <c r="T428" s="54"/>
      <c r="U428" s="54"/>
      <c r="V428" s="54"/>
      <c r="W428" s="54"/>
      <c r="X428" s="54"/>
      <c r="Y428" s="54"/>
      <c r="Z428" s="54"/>
      <c r="AA428" s="54"/>
      <c r="AB428" s="287"/>
      <c r="AC428" s="54"/>
      <c r="AD428" s="54"/>
    </row>
    <row r="429">
      <c r="A429" s="54"/>
      <c r="B429" s="311"/>
      <c r="C429" s="311"/>
      <c r="D429" s="102"/>
      <c r="E429" s="102"/>
      <c r="F429" s="102"/>
      <c r="G429" s="102"/>
      <c r="H429" s="102"/>
      <c r="I429" s="102"/>
      <c r="J429" s="102"/>
      <c r="K429" s="103"/>
      <c r="L429" s="54"/>
      <c r="M429" s="54"/>
      <c r="N429" s="54"/>
      <c r="O429" s="54"/>
      <c r="P429" s="86"/>
      <c r="Q429" s="54"/>
      <c r="R429" s="249"/>
      <c r="T429" s="54"/>
      <c r="U429" s="54"/>
      <c r="V429" s="54"/>
      <c r="W429" s="54"/>
      <c r="X429" s="54"/>
      <c r="Y429" s="54"/>
      <c r="Z429" s="54"/>
      <c r="AA429" s="54"/>
      <c r="AB429" s="287"/>
      <c r="AC429" s="54"/>
      <c r="AD429" s="54"/>
    </row>
    <row r="430">
      <c r="A430" s="54"/>
      <c r="B430" s="311"/>
      <c r="C430" s="311"/>
      <c r="D430" s="102"/>
      <c r="E430" s="102"/>
      <c r="F430" s="102"/>
      <c r="G430" s="102"/>
      <c r="H430" s="102"/>
      <c r="I430" s="102"/>
      <c r="J430" s="102"/>
      <c r="K430" s="103"/>
      <c r="L430" s="54"/>
      <c r="M430" s="54"/>
      <c r="N430" s="54"/>
      <c r="O430" s="54"/>
      <c r="P430" s="86"/>
      <c r="Q430" s="54"/>
      <c r="R430" s="249"/>
      <c r="T430" s="54"/>
      <c r="U430" s="54"/>
      <c r="V430" s="54"/>
      <c r="W430" s="54"/>
      <c r="X430" s="54"/>
      <c r="Y430" s="54"/>
      <c r="Z430" s="54"/>
      <c r="AA430" s="54"/>
      <c r="AB430" s="287"/>
      <c r="AC430" s="54"/>
      <c r="AD430" s="54"/>
    </row>
    <row r="431">
      <c r="A431" s="54"/>
      <c r="B431" s="311"/>
      <c r="C431" s="311"/>
      <c r="D431" s="102"/>
      <c r="E431" s="102"/>
      <c r="F431" s="102"/>
      <c r="G431" s="102"/>
      <c r="H431" s="102"/>
      <c r="I431" s="102"/>
      <c r="J431" s="102"/>
      <c r="K431" s="103"/>
      <c r="L431" s="54"/>
      <c r="M431" s="54"/>
      <c r="N431" s="54"/>
      <c r="O431" s="54"/>
      <c r="P431" s="86"/>
      <c r="Q431" s="54"/>
      <c r="R431" s="249"/>
      <c r="T431" s="54"/>
      <c r="U431" s="54"/>
      <c r="V431" s="54"/>
      <c r="W431" s="54"/>
      <c r="X431" s="54"/>
      <c r="Y431" s="54"/>
      <c r="Z431" s="54"/>
      <c r="AA431" s="54"/>
      <c r="AB431" s="287"/>
      <c r="AC431" s="54"/>
      <c r="AD431" s="54"/>
    </row>
    <row r="432">
      <c r="A432" s="54"/>
      <c r="B432" s="311"/>
      <c r="C432" s="311"/>
      <c r="D432" s="102"/>
      <c r="E432" s="102"/>
      <c r="F432" s="102"/>
      <c r="G432" s="102"/>
      <c r="H432" s="102"/>
      <c r="I432" s="102"/>
      <c r="J432" s="102"/>
      <c r="K432" s="103"/>
      <c r="L432" s="54"/>
      <c r="M432" s="54"/>
      <c r="N432" s="54"/>
      <c r="O432" s="54"/>
      <c r="P432" s="86"/>
      <c r="Q432" s="54"/>
      <c r="R432" s="249"/>
      <c r="T432" s="54"/>
      <c r="U432" s="54"/>
      <c r="V432" s="54"/>
      <c r="W432" s="54"/>
      <c r="X432" s="54"/>
      <c r="Y432" s="54"/>
      <c r="Z432" s="54"/>
      <c r="AA432" s="54"/>
      <c r="AB432" s="287"/>
      <c r="AC432" s="54"/>
      <c r="AD432" s="54"/>
    </row>
    <row r="433">
      <c r="A433" s="54"/>
      <c r="B433" s="311"/>
      <c r="C433" s="311"/>
      <c r="D433" s="102"/>
      <c r="E433" s="102"/>
      <c r="F433" s="102"/>
      <c r="G433" s="102"/>
      <c r="H433" s="102"/>
      <c r="I433" s="102"/>
      <c r="J433" s="102"/>
      <c r="K433" s="103"/>
      <c r="L433" s="54"/>
      <c r="M433" s="54"/>
      <c r="N433" s="54"/>
      <c r="O433" s="54"/>
      <c r="P433" s="86"/>
      <c r="Q433" s="54"/>
      <c r="R433" s="249"/>
      <c r="T433" s="54"/>
      <c r="U433" s="54"/>
      <c r="V433" s="54"/>
      <c r="W433" s="54"/>
      <c r="X433" s="54"/>
      <c r="Y433" s="54"/>
      <c r="Z433" s="54"/>
      <c r="AA433" s="54"/>
      <c r="AB433" s="287"/>
      <c r="AC433" s="54"/>
      <c r="AD433" s="54"/>
    </row>
    <row r="434">
      <c r="A434" s="54"/>
      <c r="B434" s="311"/>
      <c r="C434" s="311"/>
      <c r="D434" s="102"/>
      <c r="E434" s="102"/>
      <c r="F434" s="102"/>
      <c r="G434" s="102"/>
      <c r="H434" s="102"/>
      <c r="I434" s="102"/>
      <c r="J434" s="102"/>
      <c r="K434" s="103"/>
      <c r="L434" s="54"/>
      <c r="M434" s="54"/>
      <c r="N434" s="54"/>
      <c r="O434" s="54"/>
      <c r="P434" s="86"/>
      <c r="Q434" s="54"/>
      <c r="R434" s="249"/>
      <c r="T434" s="54"/>
      <c r="U434" s="54"/>
      <c r="V434" s="54"/>
      <c r="W434" s="54"/>
      <c r="X434" s="54"/>
      <c r="Y434" s="54"/>
      <c r="Z434" s="54"/>
      <c r="AA434" s="54"/>
      <c r="AB434" s="287"/>
      <c r="AC434" s="54"/>
      <c r="AD434" s="54"/>
    </row>
    <row r="435">
      <c r="A435" s="54"/>
      <c r="B435" s="311"/>
      <c r="C435" s="311"/>
      <c r="D435" s="102"/>
      <c r="E435" s="102"/>
      <c r="F435" s="102"/>
      <c r="G435" s="102"/>
      <c r="H435" s="102"/>
      <c r="I435" s="102"/>
      <c r="J435" s="102"/>
      <c r="K435" s="103"/>
      <c r="L435" s="54"/>
      <c r="M435" s="54"/>
      <c r="N435" s="54"/>
      <c r="O435" s="54"/>
      <c r="P435" s="86"/>
      <c r="Q435" s="54"/>
      <c r="R435" s="249"/>
      <c r="T435" s="54"/>
      <c r="U435" s="54"/>
      <c r="V435" s="54"/>
      <c r="W435" s="54"/>
      <c r="X435" s="54"/>
      <c r="Y435" s="54"/>
      <c r="Z435" s="54"/>
      <c r="AA435" s="54"/>
      <c r="AB435" s="287"/>
      <c r="AC435" s="54"/>
      <c r="AD435" s="54"/>
    </row>
    <row r="436">
      <c r="A436" s="54"/>
      <c r="B436" s="311"/>
      <c r="C436" s="311"/>
      <c r="D436" s="102"/>
      <c r="E436" s="102"/>
      <c r="F436" s="102"/>
      <c r="G436" s="102"/>
      <c r="H436" s="102"/>
      <c r="I436" s="102"/>
      <c r="J436" s="102"/>
      <c r="K436" s="103"/>
      <c r="L436" s="54"/>
      <c r="M436" s="54"/>
      <c r="N436" s="54"/>
      <c r="O436" s="54"/>
      <c r="P436" s="86"/>
      <c r="Q436" s="54"/>
      <c r="R436" s="249"/>
      <c r="T436" s="54"/>
      <c r="U436" s="54"/>
      <c r="V436" s="54"/>
      <c r="W436" s="54"/>
      <c r="X436" s="54"/>
      <c r="Y436" s="54"/>
      <c r="Z436" s="54"/>
      <c r="AA436" s="54"/>
      <c r="AB436" s="287"/>
      <c r="AC436" s="54"/>
      <c r="AD436" s="54"/>
    </row>
    <row r="437">
      <c r="A437" s="54"/>
      <c r="B437" s="311"/>
      <c r="C437" s="311"/>
      <c r="D437" s="102"/>
      <c r="E437" s="102"/>
      <c r="F437" s="102"/>
      <c r="G437" s="102"/>
      <c r="H437" s="102"/>
      <c r="I437" s="102"/>
      <c r="J437" s="102"/>
      <c r="K437" s="103"/>
      <c r="L437" s="54"/>
      <c r="M437" s="54"/>
      <c r="N437" s="54"/>
      <c r="O437" s="54"/>
      <c r="P437" s="86"/>
      <c r="Q437" s="54"/>
      <c r="R437" s="249"/>
      <c r="T437" s="54"/>
      <c r="U437" s="54"/>
      <c r="V437" s="54"/>
      <c r="W437" s="54"/>
      <c r="X437" s="54"/>
      <c r="Y437" s="54"/>
      <c r="Z437" s="54"/>
      <c r="AA437" s="54"/>
      <c r="AB437" s="287"/>
      <c r="AC437" s="54"/>
      <c r="AD437" s="54"/>
    </row>
    <row r="438">
      <c r="A438" s="54"/>
      <c r="B438" s="311"/>
      <c r="C438" s="311"/>
      <c r="D438" s="102"/>
      <c r="E438" s="102"/>
      <c r="F438" s="102"/>
      <c r="G438" s="102"/>
      <c r="H438" s="102"/>
      <c r="I438" s="102"/>
      <c r="J438" s="102"/>
      <c r="K438" s="103"/>
      <c r="L438" s="54"/>
      <c r="M438" s="54"/>
      <c r="N438" s="54"/>
      <c r="O438" s="54"/>
      <c r="P438" s="86"/>
      <c r="Q438" s="54"/>
      <c r="R438" s="249"/>
      <c r="T438" s="54"/>
      <c r="U438" s="54"/>
      <c r="V438" s="54"/>
      <c r="W438" s="54"/>
      <c r="X438" s="54"/>
      <c r="Y438" s="54"/>
      <c r="Z438" s="54"/>
      <c r="AA438" s="54"/>
      <c r="AB438" s="287"/>
      <c r="AC438" s="54"/>
      <c r="AD438" s="54"/>
    </row>
    <row r="439">
      <c r="A439" s="54"/>
      <c r="B439" s="311"/>
      <c r="C439" s="311"/>
      <c r="D439" s="102"/>
      <c r="E439" s="102"/>
      <c r="F439" s="102"/>
      <c r="G439" s="102"/>
      <c r="H439" s="102"/>
      <c r="I439" s="102"/>
      <c r="J439" s="102"/>
      <c r="K439" s="103"/>
      <c r="L439" s="54"/>
      <c r="M439" s="54"/>
      <c r="N439" s="54"/>
      <c r="O439" s="54"/>
      <c r="P439" s="86"/>
      <c r="Q439" s="54"/>
      <c r="R439" s="249"/>
      <c r="T439" s="54"/>
      <c r="U439" s="54"/>
      <c r="V439" s="54"/>
      <c r="W439" s="54"/>
      <c r="X439" s="54"/>
      <c r="Y439" s="54"/>
      <c r="Z439" s="54"/>
      <c r="AA439" s="54"/>
      <c r="AB439" s="287"/>
      <c r="AC439" s="54"/>
      <c r="AD439" s="54"/>
    </row>
    <row r="440">
      <c r="A440" s="54"/>
      <c r="B440" s="311"/>
      <c r="C440" s="311"/>
      <c r="D440" s="102"/>
      <c r="E440" s="102"/>
      <c r="F440" s="102"/>
      <c r="G440" s="102"/>
      <c r="H440" s="102"/>
      <c r="I440" s="102"/>
      <c r="J440" s="102"/>
      <c r="K440" s="103"/>
      <c r="L440" s="54"/>
      <c r="M440" s="54"/>
      <c r="N440" s="54"/>
      <c r="O440" s="54"/>
      <c r="P440" s="86"/>
      <c r="Q440" s="54"/>
      <c r="R440" s="249"/>
      <c r="T440" s="54"/>
      <c r="U440" s="54"/>
      <c r="V440" s="54"/>
      <c r="W440" s="54"/>
      <c r="X440" s="54"/>
      <c r="Y440" s="54"/>
      <c r="Z440" s="54"/>
      <c r="AA440" s="54"/>
      <c r="AB440" s="287"/>
      <c r="AC440" s="54"/>
      <c r="AD440" s="54"/>
    </row>
    <row r="441">
      <c r="A441" s="54"/>
      <c r="B441" s="311"/>
      <c r="C441" s="311"/>
      <c r="D441" s="102"/>
      <c r="E441" s="102"/>
      <c r="F441" s="102"/>
      <c r="G441" s="102"/>
      <c r="H441" s="102"/>
      <c r="I441" s="102"/>
      <c r="J441" s="102"/>
      <c r="K441" s="103"/>
      <c r="L441" s="54"/>
      <c r="M441" s="54"/>
      <c r="N441" s="54"/>
      <c r="O441" s="54"/>
      <c r="P441" s="86"/>
      <c r="Q441" s="54"/>
      <c r="R441" s="249"/>
      <c r="T441" s="54"/>
      <c r="U441" s="54"/>
      <c r="V441" s="54"/>
      <c r="W441" s="54"/>
      <c r="X441" s="54"/>
      <c r="Y441" s="54"/>
      <c r="Z441" s="54"/>
      <c r="AA441" s="54"/>
      <c r="AB441" s="287"/>
      <c r="AC441" s="54"/>
      <c r="AD441" s="54"/>
    </row>
    <row r="442">
      <c r="A442" s="54"/>
      <c r="B442" s="311"/>
      <c r="C442" s="311"/>
      <c r="D442" s="102"/>
      <c r="E442" s="102"/>
      <c r="F442" s="102"/>
      <c r="G442" s="102"/>
      <c r="H442" s="102"/>
      <c r="I442" s="102"/>
      <c r="J442" s="102"/>
      <c r="K442" s="103"/>
      <c r="L442" s="54"/>
      <c r="M442" s="54"/>
      <c r="N442" s="54"/>
      <c r="O442" s="54"/>
      <c r="P442" s="86"/>
      <c r="Q442" s="54"/>
      <c r="R442" s="249"/>
      <c r="T442" s="54"/>
      <c r="U442" s="54"/>
      <c r="V442" s="54"/>
      <c r="W442" s="54"/>
      <c r="X442" s="54"/>
      <c r="Y442" s="54"/>
      <c r="Z442" s="54"/>
      <c r="AA442" s="54"/>
      <c r="AB442" s="287"/>
      <c r="AC442" s="54"/>
      <c r="AD442" s="54"/>
    </row>
    <row r="443">
      <c r="A443" s="54"/>
      <c r="B443" s="311"/>
      <c r="C443" s="311"/>
      <c r="D443" s="102"/>
      <c r="E443" s="102"/>
      <c r="F443" s="102"/>
      <c r="G443" s="102"/>
      <c r="H443" s="102"/>
      <c r="I443" s="102"/>
      <c r="J443" s="102"/>
      <c r="K443" s="103"/>
      <c r="L443" s="54"/>
      <c r="M443" s="54"/>
      <c r="N443" s="54"/>
      <c r="O443" s="54"/>
      <c r="P443" s="86"/>
      <c r="Q443" s="54"/>
      <c r="R443" s="249"/>
      <c r="T443" s="54"/>
      <c r="U443" s="54"/>
      <c r="V443" s="54"/>
      <c r="W443" s="54"/>
      <c r="X443" s="54"/>
      <c r="Y443" s="54"/>
      <c r="Z443" s="54"/>
      <c r="AA443" s="54"/>
      <c r="AB443" s="287"/>
      <c r="AC443" s="54"/>
      <c r="AD443" s="54"/>
    </row>
    <row r="444">
      <c r="A444" s="54"/>
      <c r="B444" s="311"/>
      <c r="C444" s="311"/>
      <c r="D444" s="102"/>
      <c r="E444" s="102"/>
      <c r="F444" s="102"/>
      <c r="G444" s="102"/>
      <c r="H444" s="102"/>
      <c r="I444" s="102"/>
      <c r="J444" s="102"/>
      <c r="K444" s="103"/>
      <c r="L444" s="54"/>
      <c r="M444" s="54"/>
      <c r="N444" s="54"/>
      <c r="O444" s="54"/>
      <c r="P444" s="86"/>
      <c r="Q444" s="54"/>
      <c r="R444" s="249"/>
      <c r="T444" s="54"/>
      <c r="U444" s="54"/>
      <c r="V444" s="54"/>
      <c r="W444" s="54"/>
      <c r="X444" s="54"/>
      <c r="Y444" s="54"/>
      <c r="Z444" s="54"/>
      <c r="AA444" s="54"/>
      <c r="AB444" s="287"/>
      <c r="AC444" s="54"/>
      <c r="AD444" s="54"/>
    </row>
    <row r="445">
      <c r="A445" s="54"/>
      <c r="B445" s="311"/>
      <c r="C445" s="311"/>
      <c r="D445" s="102"/>
      <c r="E445" s="102"/>
      <c r="F445" s="102"/>
      <c r="G445" s="102"/>
      <c r="H445" s="102"/>
      <c r="I445" s="102"/>
      <c r="J445" s="102"/>
      <c r="K445" s="103"/>
      <c r="L445" s="54"/>
      <c r="M445" s="54"/>
      <c r="N445" s="54"/>
      <c r="O445" s="54"/>
      <c r="P445" s="86"/>
      <c r="Q445" s="54"/>
      <c r="R445" s="249"/>
      <c r="T445" s="54"/>
      <c r="U445" s="54"/>
      <c r="V445" s="54"/>
      <c r="W445" s="54"/>
      <c r="X445" s="54"/>
      <c r="Y445" s="54"/>
      <c r="Z445" s="54"/>
      <c r="AA445" s="54"/>
      <c r="AB445" s="287"/>
      <c r="AC445" s="54"/>
      <c r="AD445" s="54"/>
    </row>
    <row r="446">
      <c r="A446" s="54"/>
      <c r="B446" s="311"/>
      <c r="C446" s="311"/>
      <c r="D446" s="102"/>
      <c r="E446" s="102"/>
      <c r="F446" s="102"/>
      <c r="G446" s="102"/>
      <c r="H446" s="102"/>
      <c r="I446" s="102"/>
      <c r="J446" s="102"/>
      <c r="K446" s="103"/>
      <c r="L446" s="54"/>
      <c r="M446" s="54"/>
      <c r="N446" s="54"/>
      <c r="O446" s="54"/>
      <c r="P446" s="86"/>
      <c r="Q446" s="54"/>
      <c r="R446" s="249"/>
      <c r="T446" s="54"/>
      <c r="U446" s="54"/>
      <c r="V446" s="54"/>
      <c r="W446" s="54"/>
      <c r="X446" s="54"/>
      <c r="Y446" s="54"/>
      <c r="Z446" s="54"/>
      <c r="AA446" s="54"/>
      <c r="AB446" s="287"/>
      <c r="AC446" s="54"/>
      <c r="AD446" s="54"/>
    </row>
    <row r="447">
      <c r="A447" s="54"/>
      <c r="B447" s="311"/>
      <c r="C447" s="311"/>
      <c r="D447" s="102"/>
      <c r="E447" s="102"/>
      <c r="F447" s="102"/>
      <c r="G447" s="102"/>
      <c r="H447" s="102"/>
      <c r="I447" s="102"/>
      <c r="J447" s="102"/>
      <c r="K447" s="103"/>
      <c r="L447" s="54"/>
      <c r="M447" s="54"/>
      <c r="N447" s="54"/>
      <c r="O447" s="54"/>
      <c r="P447" s="86"/>
      <c r="Q447" s="54"/>
      <c r="R447" s="249"/>
      <c r="T447" s="54"/>
      <c r="U447" s="54"/>
      <c r="V447" s="54"/>
      <c r="W447" s="54"/>
      <c r="X447" s="54"/>
      <c r="Y447" s="54"/>
      <c r="Z447" s="54"/>
      <c r="AA447" s="54"/>
      <c r="AB447" s="287"/>
      <c r="AC447" s="54"/>
      <c r="AD447" s="54"/>
    </row>
    <row r="448">
      <c r="A448" s="54"/>
      <c r="B448" s="311"/>
      <c r="C448" s="311"/>
      <c r="D448" s="102"/>
      <c r="E448" s="102"/>
      <c r="F448" s="102"/>
      <c r="G448" s="102"/>
      <c r="H448" s="102"/>
      <c r="I448" s="102"/>
      <c r="J448" s="102"/>
      <c r="K448" s="103"/>
      <c r="L448" s="54"/>
      <c r="M448" s="54"/>
      <c r="N448" s="54"/>
      <c r="O448" s="54"/>
      <c r="P448" s="86"/>
      <c r="Q448" s="54"/>
      <c r="R448" s="249"/>
      <c r="T448" s="54"/>
      <c r="U448" s="54"/>
      <c r="V448" s="54"/>
      <c r="W448" s="54"/>
      <c r="X448" s="54"/>
      <c r="Y448" s="54"/>
      <c r="Z448" s="54"/>
      <c r="AA448" s="54"/>
      <c r="AB448" s="287"/>
      <c r="AC448" s="54"/>
      <c r="AD448" s="54"/>
    </row>
    <row r="449">
      <c r="A449" s="54"/>
      <c r="B449" s="311"/>
      <c r="C449" s="311"/>
      <c r="D449" s="102"/>
      <c r="E449" s="102"/>
      <c r="F449" s="102"/>
      <c r="G449" s="102"/>
      <c r="H449" s="102"/>
      <c r="I449" s="102"/>
      <c r="J449" s="102"/>
      <c r="K449" s="103"/>
      <c r="L449" s="54"/>
      <c r="M449" s="54"/>
      <c r="N449" s="54"/>
      <c r="O449" s="54"/>
      <c r="P449" s="86"/>
      <c r="Q449" s="54"/>
      <c r="R449" s="249"/>
      <c r="T449" s="54"/>
      <c r="U449" s="54"/>
      <c r="V449" s="54"/>
      <c r="W449" s="54"/>
      <c r="X449" s="54"/>
      <c r="Y449" s="54"/>
      <c r="Z449" s="54"/>
      <c r="AA449" s="54"/>
      <c r="AB449" s="287"/>
      <c r="AC449" s="54"/>
      <c r="AD449" s="54"/>
    </row>
    <row r="450">
      <c r="A450" s="54"/>
      <c r="B450" s="311"/>
      <c r="C450" s="311"/>
      <c r="D450" s="102"/>
      <c r="E450" s="102"/>
      <c r="F450" s="102"/>
      <c r="G450" s="102"/>
      <c r="H450" s="102"/>
      <c r="I450" s="102"/>
      <c r="J450" s="102"/>
      <c r="K450" s="103"/>
      <c r="L450" s="54"/>
      <c r="M450" s="54"/>
      <c r="N450" s="54"/>
      <c r="O450" s="54"/>
      <c r="P450" s="86"/>
      <c r="Q450" s="54"/>
      <c r="R450" s="249"/>
      <c r="T450" s="54"/>
      <c r="U450" s="54"/>
      <c r="V450" s="54"/>
      <c r="W450" s="54"/>
      <c r="X450" s="54"/>
      <c r="Y450" s="54"/>
      <c r="Z450" s="54"/>
      <c r="AA450" s="54"/>
      <c r="AB450" s="287"/>
      <c r="AC450" s="54"/>
      <c r="AD450" s="54"/>
    </row>
    <row r="451">
      <c r="A451" s="54"/>
      <c r="B451" s="311"/>
      <c r="C451" s="311"/>
      <c r="D451" s="102"/>
      <c r="E451" s="102"/>
      <c r="F451" s="102"/>
      <c r="G451" s="102"/>
      <c r="H451" s="102"/>
      <c r="I451" s="102"/>
      <c r="J451" s="102"/>
      <c r="K451" s="103"/>
      <c r="L451" s="54"/>
      <c r="M451" s="54"/>
      <c r="N451" s="54"/>
      <c r="O451" s="54"/>
      <c r="P451" s="86"/>
      <c r="Q451" s="54"/>
      <c r="R451" s="249"/>
      <c r="T451" s="54"/>
      <c r="U451" s="54"/>
      <c r="V451" s="54"/>
      <c r="W451" s="54"/>
      <c r="X451" s="54"/>
      <c r="Y451" s="54"/>
      <c r="Z451" s="54"/>
      <c r="AA451" s="54"/>
      <c r="AB451" s="287"/>
      <c r="AC451" s="54"/>
      <c r="AD451" s="54"/>
    </row>
    <row r="452">
      <c r="A452" s="54"/>
      <c r="B452" s="311"/>
      <c r="C452" s="311"/>
      <c r="D452" s="102"/>
      <c r="E452" s="102"/>
      <c r="F452" s="102"/>
      <c r="G452" s="102"/>
      <c r="H452" s="102"/>
      <c r="I452" s="102"/>
      <c r="J452" s="102"/>
      <c r="K452" s="103"/>
      <c r="L452" s="54"/>
      <c r="M452" s="54"/>
      <c r="N452" s="54"/>
      <c r="O452" s="54"/>
      <c r="P452" s="86"/>
      <c r="Q452" s="54"/>
      <c r="R452" s="249"/>
      <c r="T452" s="54"/>
      <c r="U452" s="54"/>
      <c r="V452" s="54"/>
      <c r="W452" s="54"/>
      <c r="X452" s="54"/>
      <c r="Y452" s="54"/>
      <c r="Z452" s="54"/>
      <c r="AA452" s="54"/>
      <c r="AB452" s="287"/>
      <c r="AC452" s="54"/>
      <c r="AD452" s="54"/>
    </row>
    <row r="453">
      <c r="A453" s="54"/>
      <c r="B453" s="311"/>
      <c r="C453" s="311"/>
      <c r="D453" s="102"/>
      <c r="E453" s="102"/>
      <c r="F453" s="102"/>
      <c r="G453" s="102"/>
      <c r="H453" s="102"/>
      <c r="I453" s="102"/>
      <c r="J453" s="102"/>
      <c r="K453" s="103"/>
      <c r="L453" s="54"/>
      <c r="M453" s="54"/>
      <c r="N453" s="54"/>
      <c r="O453" s="54"/>
      <c r="P453" s="86"/>
      <c r="Q453" s="54"/>
      <c r="R453" s="249"/>
      <c r="T453" s="54"/>
      <c r="U453" s="54"/>
      <c r="V453" s="54"/>
      <c r="W453" s="54"/>
      <c r="X453" s="54"/>
      <c r="Y453" s="54"/>
      <c r="Z453" s="54"/>
      <c r="AA453" s="54"/>
      <c r="AB453" s="287"/>
      <c r="AC453" s="54"/>
      <c r="AD453" s="54"/>
    </row>
    <row r="454">
      <c r="A454" s="54"/>
      <c r="B454" s="311"/>
      <c r="C454" s="311"/>
      <c r="D454" s="102"/>
      <c r="E454" s="102"/>
      <c r="F454" s="102"/>
      <c r="G454" s="102"/>
      <c r="H454" s="102"/>
      <c r="I454" s="102"/>
      <c r="J454" s="102"/>
      <c r="K454" s="103"/>
      <c r="L454" s="54"/>
      <c r="M454" s="54"/>
      <c r="N454" s="54"/>
      <c r="O454" s="54"/>
      <c r="P454" s="86"/>
      <c r="Q454" s="54"/>
      <c r="R454" s="249"/>
      <c r="T454" s="54"/>
      <c r="U454" s="54"/>
      <c r="V454" s="54"/>
      <c r="W454" s="54"/>
      <c r="X454" s="54"/>
      <c r="Y454" s="54"/>
      <c r="Z454" s="54"/>
      <c r="AA454" s="54"/>
      <c r="AB454" s="287"/>
      <c r="AC454" s="54"/>
      <c r="AD454" s="54"/>
    </row>
    <row r="455">
      <c r="A455" s="54"/>
      <c r="B455" s="311"/>
      <c r="C455" s="311"/>
      <c r="D455" s="102"/>
      <c r="E455" s="102"/>
      <c r="F455" s="102"/>
      <c r="G455" s="102"/>
      <c r="H455" s="102"/>
      <c r="I455" s="102"/>
      <c r="J455" s="102"/>
      <c r="K455" s="103"/>
      <c r="L455" s="54"/>
      <c r="M455" s="54"/>
      <c r="N455" s="54"/>
      <c r="O455" s="54"/>
      <c r="P455" s="86"/>
      <c r="Q455" s="54"/>
      <c r="R455" s="249"/>
      <c r="T455" s="54"/>
      <c r="U455" s="54"/>
      <c r="V455" s="54"/>
      <c r="W455" s="54"/>
      <c r="X455" s="54"/>
      <c r="Y455" s="54"/>
      <c r="Z455" s="54"/>
      <c r="AA455" s="54"/>
      <c r="AB455" s="287"/>
      <c r="AC455" s="54"/>
      <c r="AD455" s="54"/>
    </row>
    <row r="456">
      <c r="A456" s="54"/>
      <c r="B456" s="311"/>
      <c r="C456" s="311"/>
      <c r="D456" s="102"/>
      <c r="E456" s="102"/>
      <c r="F456" s="102"/>
      <c r="G456" s="102"/>
      <c r="H456" s="102"/>
      <c r="I456" s="102"/>
      <c r="J456" s="102"/>
      <c r="K456" s="103"/>
      <c r="L456" s="54"/>
      <c r="M456" s="54"/>
      <c r="N456" s="54"/>
      <c r="O456" s="54"/>
      <c r="P456" s="86"/>
      <c r="Q456" s="54"/>
      <c r="R456" s="249"/>
      <c r="T456" s="54"/>
      <c r="U456" s="54"/>
      <c r="V456" s="54"/>
      <c r="W456" s="54"/>
      <c r="X456" s="54"/>
      <c r="Y456" s="54"/>
      <c r="Z456" s="54"/>
      <c r="AA456" s="54"/>
      <c r="AB456" s="287"/>
      <c r="AC456" s="54"/>
      <c r="AD456" s="54"/>
    </row>
    <row r="457">
      <c r="A457" s="54"/>
      <c r="B457" s="311"/>
      <c r="C457" s="311"/>
      <c r="D457" s="102"/>
      <c r="E457" s="102"/>
      <c r="F457" s="102"/>
      <c r="G457" s="102"/>
      <c r="H457" s="102"/>
      <c r="I457" s="102"/>
      <c r="J457" s="102"/>
      <c r="K457" s="103"/>
      <c r="L457" s="54"/>
      <c r="M457" s="54"/>
      <c r="N457" s="54"/>
      <c r="O457" s="54"/>
      <c r="P457" s="86"/>
      <c r="Q457" s="54"/>
      <c r="R457" s="249"/>
      <c r="T457" s="54"/>
      <c r="U457" s="54"/>
      <c r="V457" s="54"/>
      <c r="W457" s="54"/>
      <c r="X457" s="54"/>
      <c r="Y457" s="54"/>
      <c r="Z457" s="54"/>
      <c r="AA457" s="54"/>
      <c r="AB457" s="287"/>
      <c r="AC457" s="54"/>
      <c r="AD457" s="54"/>
    </row>
    <row r="458">
      <c r="A458" s="54"/>
      <c r="B458" s="311"/>
      <c r="C458" s="311"/>
      <c r="D458" s="102"/>
      <c r="E458" s="102"/>
      <c r="F458" s="102"/>
      <c r="G458" s="102"/>
      <c r="H458" s="102"/>
      <c r="I458" s="102"/>
      <c r="J458" s="102"/>
      <c r="K458" s="103"/>
      <c r="L458" s="54"/>
      <c r="M458" s="54"/>
      <c r="N458" s="54"/>
      <c r="O458" s="54"/>
      <c r="P458" s="86"/>
      <c r="Q458" s="54"/>
      <c r="R458" s="249"/>
      <c r="T458" s="54"/>
      <c r="U458" s="54"/>
      <c r="V458" s="54"/>
      <c r="W458" s="54"/>
      <c r="X458" s="54"/>
      <c r="Y458" s="54"/>
      <c r="Z458" s="54"/>
      <c r="AA458" s="54"/>
      <c r="AB458" s="287"/>
      <c r="AC458" s="54"/>
      <c r="AD458" s="54"/>
    </row>
    <row r="459">
      <c r="A459" s="54"/>
      <c r="B459" s="311"/>
      <c r="C459" s="311"/>
      <c r="D459" s="102"/>
      <c r="E459" s="102"/>
      <c r="F459" s="102"/>
      <c r="G459" s="102"/>
      <c r="H459" s="102"/>
      <c r="I459" s="102"/>
      <c r="J459" s="102"/>
      <c r="K459" s="103"/>
      <c r="L459" s="54"/>
      <c r="M459" s="54"/>
      <c r="N459" s="54"/>
      <c r="O459" s="54"/>
      <c r="P459" s="86"/>
      <c r="Q459" s="54"/>
      <c r="R459" s="249"/>
      <c r="T459" s="54"/>
      <c r="U459" s="54"/>
      <c r="V459" s="54"/>
      <c r="W459" s="54"/>
      <c r="X459" s="54"/>
      <c r="Y459" s="54"/>
      <c r="Z459" s="54"/>
      <c r="AA459" s="54"/>
      <c r="AB459" s="287"/>
      <c r="AC459" s="54"/>
      <c r="AD459" s="54"/>
    </row>
    <row r="460">
      <c r="A460" s="54"/>
      <c r="B460" s="311"/>
      <c r="C460" s="311"/>
      <c r="D460" s="102"/>
      <c r="E460" s="102"/>
      <c r="F460" s="102"/>
      <c r="G460" s="102"/>
      <c r="H460" s="102"/>
      <c r="I460" s="102"/>
      <c r="J460" s="102"/>
      <c r="K460" s="103"/>
      <c r="L460" s="54"/>
      <c r="M460" s="54"/>
      <c r="N460" s="54"/>
      <c r="O460" s="54"/>
      <c r="P460" s="86"/>
      <c r="Q460" s="54"/>
      <c r="R460" s="249"/>
      <c r="T460" s="54"/>
      <c r="U460" s="54"/>
      <c r="V460" s="54"/>
      <c r="W460" s="54"/>
      <c r="X460" s="54"/>
      <c r="Y460" s="54"/>
      <c r="Z460" s="54"/>
      <c r="AA460" s="54"/>
      <c r="AB460" s="287"/>
      <c r="AC460" s="54"/>
      <c r="AD460" s="54"/>
    </row>
    <row r="461">
      <c r="A461" s="54"/>
      <c r="B461" s="311"/>
      <c r="C461" s="311"/>
      <c r="D461" s="102"/>
      <c r="E461" s="102"/>
      <c r="F461" s="102"/>
      <c r="G461" s="102"/>
      <c r="H461" s="102"/>
      <c r="I461" s="102"/>
      <c r="J461" s="102"/>
      <c r="K461" s="103"/>
      <c r="L461" s="54"/>
      <c r="M461" s="54"/>
      <c r="N461" s="54"/>
      <c r="O461" s="54"/>
      <c r="P461" s="86"/>
      <c r="Q461" s="54"/>
      <c r="R461" s="249"/>
      <c r="T461" s="54"/>
      <c r="U461" s="54"/>
      <c r="V461" s="54"/>
      <c r="W461" s="54"/>
      <c r="X461" s="54"/>
      <c r="Y461" s="54"/>
      <c r="Z461" s="54"/>
      <c r="AA461" s="54"/>
      <c r="AB461" s="287"/>
      <c r="AC461" s="54"/>
      <c r="AD461" s="54"/>
    </row>
    <row r="462">
      <c r="A462" s="54"/>
      <c r="B462" s="311"/>
      <c r="C462" s="311"/>
      <c r="D462" s="102"/>
      <c r="E462" s="102"/>
      <c r="F462" s="102"/>
      <c r="G462" s="102"/>
      <c r="H462" s="102"/>
      <c r="I462" s="102"/>
      <c r="J462" s="102"/>
      <c r="K462" s="103"/>
      <c r="L462" s="54"/>
      <c r="M462" s="54"/>
      <c r="N462" s="54"/>
      <c r="O462" s="54"/>
      <c r="P462" s="86"/>
      <c r="Q462" s="54"/>
      <c r="R462" s="249"/>
      <c r="T462" s="54"/>
      <c r="U462" s="54"/>
      <c r="V462" s="54"/>
      <c r="W462" s="54"/>
      <c r="X462" s="54"/>
      <c r="Y462" s="54"/>
      <c r="Z462" s="54"/>
      <c r="AA462" s="54"/>
      <c r="AB462" s="287"/>
      <c r="AC462" s="54"/>
      <c r="AD462" s="54"/>
    </row>
    <row r="463">
      <c r="A463" s="54"/>
      <c r="B463" s="311"/>
      <c r="C463" s="311"/>
      <c r="D463" s="102"/>
      <c r="E463" s="102"/>
      <c r="F463" s="102"/>
      <c r="G463" s="102"/>
      <c r="H463" s="102"/>
      <c r="I463" s="102"/>
      <c r="J463" s="102"/>
      <c r="K463" s="103"/>
      <c r="L463" s="54"/>
      <c r="M463" s="54"/>
      <c r="N463" s="54"/>
      <c r="O463" s="54"/>
      <c r="P463" s="86"/>
      <c r="Q463" s="54"/>
      <c r="R463" s="249"/>
      <c r="T463" s="54"/>
      <c r="U463" s="54"/>
      <c r="V463" s="54"/>
      <c r="W463" s="54"/>
      <c r="X463" s="54"/>
      <c r="Y463" s="54"/>
      <c r="Z463" s="54"/>
      <c r="AA463" s="54"/>
      <c r="AB463" s="287"/>
      <c r="AC463" s="54"/>
      <c r="AD463" s="54"/>
    </row>
    <row r="464">
      <c r="A464" s="54"/>
      <c r="B464" s="311"/>
      <c r="C464" s="311"/>
      <c r="D464" s="102"/>
      <c r="E464" s="102"/>
      <c r="F464" s="102"/>
      <c r="G464" s="102"/>
      <c r="H464" s="102"/>
      <c r="I464" s="102"/>
      <c r="J464" s="102"/>
      <c r="K464" s="103"/>
      <c r="L464" s="54"/>
      <c r="M464" s="54"/>
      <c r="N464" s="54"/>
      <c r="O464" s="54"/>
      <c r="P464" s="86"/>
      <c r="Q464" s="54"/>
      <c r="R464" s="249"/>
      <c r="T464" s="54"/>
      <c r="U464" s="54"/>
      <c r="V464" s="54"/>
      <c r="W464" s="54"/>
      <c r="X464" s="54"/>
      <c r="Y464" s="54"/>
      <c r="Z464" s="54"/>
      <c r="AA464" s="54"/>
      <c r="AB464" s="287"/>
      <c r="AC464" s="54"/>
      <c r="AD464" s="54"/>
    </row>
    <row r="465">
      <c r="A465" s="54"/>
      <c r="B465" s="311"/>
      <c r="C465" s="311"/>
      <c r="D465" s="102"/>
      <c r="E465" s="102"/>
      <c r="F465" s="102"/>
      <c r="G465" s="102"/>
      <c r="H465" s="102"/>
      <c r="I465" s="102"/>
      <c r="J465" s="102"/>
      <c r="K465" s="103"/>
      <c r="L465" s="54"/>
      <c r="M465" s="54"/>
      <c r="N465" s="54"/>
      <c r="O465" s="54"/>
      <c r="P465" s="86"/>
      <c r="Q465" s="54"/>
      <c r="R465" s="249"/>
      <c r="T465" s="54"/>
      <c r="U465" s="54"/>
      <c r="V465" s="54"/>
      <c r="W465" s="54"/>
      <c r="X465" s="54"/>
      <c r="Y465" s="54"/>
      <c r="Z465" s="54"/>
      <c r="AA465" s="54"/>
      <c r="AB465" s="287"/>
      <c r="AC465" s="54"/>
      <c r="AD465" s="54"/>
    </row>
    <row r="466">
      <c r="A466" s="54"/>
      <c r="B466" s="311"/>
      <c r="C466" s="311"/>
      <c r="D466" s="102"/>
      <c r="E466" s="102"/>
      <c r="F466" s="102"/>
      <c r="G466" s="102"/>
      <c r="H466" s="102"/>
      <c r="I466" s="102"/>
      <c r="J466" s="102"/>
      <c r="K466" s="103"/>
      <c r="L466" s="54"/>
      <c r="M466" s="54"/>
      <c r="N466" s="54"/>
      <c r="O466" s="54"/>
      <c r="P466" s="86"/>
      <c r="Q466" s="54"/>
      <c r="R466" s="249"/>
      <c r="T466" s="54"/>
      <c r="U466" s="54"/>
      <c r="V466" s="54"/>
      <c r="W466" s="54"/>
      <c r="X466" s="54"/>
      <c r="Y466" s="54"/>
      <c r="Z466" s="54"/>
      <c r="AA466" s="54"/>
      <c r="AB466" s="287"/>
      <c r="AC466" s="54"/>
      <c r="AD466" s="54"/>
    </row>
    <row r="467">
      <c r="A467" s="54"/>
      <c r="B467" s="311"/>
      <c r="C467" s="311"/>
      <c r="D467" s="102"/>
      <c r="E467" s="102"/>
      <c r="F467" s="102"/>
      <c r="G467" s="102"/>
      <c r="H467" s="102"/>
      <c r="I467" s="102"/>
      <c r="J467" s="102"/>
      <c r="K467" s="103"/>
      <c r="L467" s="54"/>
      <c r="M467" s="54"/>
      <c r="N467" s="54"/>
      <c r="O467" s="54"/>
      <c r="P467" s="86"/>
      <c r="Q467" s="54"/>
      <c r="R467" s="249"/>
      <c r="T467" s="54"/>
      <c r="U467" s="54"/>
      <c r="V467" s="54"/>
      <c r="W467" s="54"/>
      <c r="X467" s="54"/>
      <c r="Y467" s="54"/>
      <c r="Z467" s="54"/>
      <c r="AA467" s="54"/>
      <c r="AB467" s="287"/>
      <c r="AC467" s="54"/>
      <c r="AD467" s="54"/>
    </row>
    <row r="468">
      <c r="A468" s="54"/>
      <c r="B468" s="311"/>
      <c r="C468" s="311"/>
      <c r="D468" s="102"/>
      <c r="E468" s="102"/>
      <c r="F468" s="102"/>
      <c r="G468" s="102"/>
      <c r="H468" s="102"/>
      <c r="I468" s="102"/>
      <c r="J468" s="102"/>
      <c r="K468" s="103"/>
      <c r="L468" s="54"/>
      <c r="M468" s="54"/>
      <c r="N468" s="54"/>
      <c r="O468" s="54"/>
      <c r="P468" s="86"/>
      <c r="Q468" s="54"/>
      <c r="R468" s="249"/>
      <c r="T468" s="54"/>
      <c r="U468" s="54"/>
      <c r="V468" s="54"/>
      <c r="W468" s="54"/>
      <c r="X468" s="54"/>
      <c r="Y468" s="54"/>
      <c r="Z468" s="54"/>
      <c r="AA468" s="54"/>
      <c r="AB468" s="287"/>
      <c r="AC468" s="54"/>
      <c r="AD468" s="54"/>
    </row>
    <row r="469">
      <c r="A469" s="54"/>
      <c r="B469" s="311"/>
      <c r="C469" s="311"/>
      <c r="D469" s="102"/>
      <c r="E469" s="102"/>
      <c r="F469" s="102"/>
      <c r="G469" s="102"/>
      <c r="H469" s="102"/>
      <c r="I469" s="102"/>
      <c r="J469" s="102"/>
      <c r="K469" s="103"/>
      <c r="L469" s="54"/>
      <c r="M469" s="54"/>
      <c r="N469" s="54"/>
      <c r="O469" s="54"/>
      <c r="P469" s="86"/>
      <c r="Q469" s="54"/>
      <c r="R469" s="249"/>
      <c r="T469" s="54"/>
      <c r="U469" s="54"/>
      <c r="V469" s="54"/>
      <c r="W469" s="54"/>
      <c r="X469" s="54"/>
      <c r="Y469" s="54"/>
      <c r="Z469" s="54"/>
      <c r="AA469" s="54"/>
      <c r="AB469" s="287"/>
      <c r="AC469" s="54"/>
      <c r="AD469" s="54"/>
    </row>
    <row r="470">
      <c r="A470" s="54"/>
      <c r="B470" s="311"/>
      <c r="C470" s="311"/>
      <c r="D470" s="102"/>
      <c r="E470" s="102"/>
      <c r="F470" s="102"/>
      <c r="G470" s="102"/>
      <c r="H470" s="102"/>
      <c r="I470" s="102"/>
      <c r="J470" s="102"/>
      <c r="K470" s="103"/>
      <c r="L470" s="54"/>
      <c r="M470" s="54"/>
      <c r="N470" s="54"/>
      <c r="O470" s="54"/>
      <c r="P470" s="86"/>
      <c r="Q470" s="54"/>
      <c r="R470" s="249"/>
      <c r="T470" s="54"/>
      <c r="U470" s="54"/>
      <c r="V470" s="54"/>
      <c r="W470" s="54"/>
      <c r="X470" s="54"/>
      <c r="Y470" s="54"/>
      <c r="Z470" s="54"/>
      <c r="AA470" s="54"/>
      <c r="AB470" s="287"/>
      <c r="AC470" s="54"/>
      <c r="AD470" s="54"/>
    </row>
    <row r="471">
      <c r="A471" s="54"/>
      <c r="B471" s="311"/>
      <c r="C471" s="311"/>
      <c r="D471" s="102"/>
      <c r="E471" s="102"/>
      <c r="F471" s="102"/>
      <c r="G471" s="102"/>
      <c r="H471" s="102"/>
      <c r="I471" s="102"/>
      <c r="J471" s="102"/>
      <c r="K471" s="103"/>
      <c r="L471" s="54"/>
      <c r="M471" s="54"/>
      <c r="N471" s="54"/>
      <c r="O471" s="54"/>
      <c r="P471" s="86"/>
      <c r="Q471" s="54"/>
      <c r="R471" s="249"/>
      <c r="T471" s="54"/>
      <c r="U471" s="54"/>
      <c r="V471" s="54"/>
      <c r="W471" s="54"/>
      <c r="X471" s="54"/>
      <c r="Y471" s="54"/>
      <c r="Z471" s="54"/>
      <c r="AA471" s="54"/>
      <c r="AB471" s="287"/>
      <c r="AC471" s="54"/>
      <c r="AD471" s="54"/>
    </row>
    <row r="472">
      <c r="A472" s="54"/>
      <c r="B472" s="311"/>
      <c r="C472" s="311"/>
      <c r="D472" s="102"/>
      <c r="E472" s="102"/>
      <c r="F472" s="102"/>
      <c r="G472" s="102"/>
      <c r="H472" s="102"/>
      <c r="I472" s="102"/>
      <c r="J472" s="102"/>
      <c r="K472" s="103"/>
      <c r="L472" s="54"/>
      <c r="M472" s="54"/>
      <c r="N472" s="54"/>
      <c r="O472" s="54"/>
      <c r="P472" s="86"/>
      <c r="Q472" s="54"/>
      <c r="R472" s="249"/>
      <c r="T472" s="54"/>
      <c r="U472" s="54"/>
      <c r="V472" s="54"/>
      <c r="W472" s="54"/>
      <c r="X472" s="54"/>
      <c r="Y472" s="54"/>
      <c r="Z472" s="54"/>
      <c r="AA472" s="54"/>
      <c r="AB472" s="287"/>
      <c r="AC472" s="54"/>
      <c r="AD472" s="54"/>
    </row>
    <row r="473">
      <c r="A473" s="54"/>
      <c r="B473" s="311"/>
      <c r="C473" s="311"/>
      <c r="D473" s="102"/>
      <c r="E473" s="102"/>
      <c r="F473" s="102"/>
      <c r="G473" s="102"/>
      <c r="H473" s="102"/>
      <c r="I473" s="102"/>
      <c r="J473" s="102"/>
      <c r="K473" s="103"/>
      <c r="L473" s="54"/>
      <c r="M473" s="54"/>
      <c r="N473" s="54"/>
      <c r="O473" s="54"/>
      <c r="P473" s="86"/>
      <c r="Q473" s="54"/>
      <c r="R473" s="249"/>
      <c r="T473" s="54"/>
      <c r="U473" s="54"/>
      <c r="V473" s="54"/>
      <c r="W473" s="54"/>
      <c r="X473" s="54"/>
      <c r="Y473" s="54"/>
      <c r="Z473" s="54"/>
      <c r="AA473" s="54"/>
      <c r="AB473" s="287"/>
      <c r="AC473" s="54"/>
      <c r="AD473" s="54"/>
    </row>
    <row r="474">
      <c r="A474" s="54"/>
      <c r="B474" s="311"/>
      <c r="C474" s="311"/>
      <c r="D474" s="102"/>
      <c r="E474" s="102"/>
      <c r="F474" s="102"/>
      <c r="G474" s="102"/>
      <c r="H474" s="102"/>
      <c r="I474" s="102"/>
      <c r="J474" s="102"/>
      <c r="K474" s="103"/>
      <c r="L474" s="54"/>
      <c r="M474" s="54"/>
      <c r="N474" s="54"/>
      <c r="O474" s="54"/>
      <c r="P474" s="86"/>
      <c r="Q474" s="54"/>
      <c r="R474" s="249"/>
      <c r="T474" s="54"/>
      <c r="U474" s="54"/>
      <c r="V474" s="54"/>
      <c r="W474" s="54"/>
      <c r="X474" s="54"/>
      <c r="Y474" s="54"/>
      <c r="Z474" s="54"/>
      <c r="AA474" s="54"/>
      <c r="AB474" s="287"/>
      <c r="AC474" s="54"/>
      <c r="AD474" s="54"/>
    </row>
    <row r="475">
      <c r="A475" s="54"/>
      <c r="B475" s="311"/>
      <c r="C475" s="311"/>
      <c r="D475" s="102"/>
      <c r="E475" s="102"/>
      <c r="F475" s="102"/>
      <c r="G475" s="102"/>
      <c r="H475" s="102"/>
      <c r="I475" s="102"/>
      <c r="J475" s="102"/>
      <c r="K475" s="103"/>
      <c r="L475" s="54"/>
      <c r="M475" s="54"/>
      <c r="N475" s="54"/>
      <c r="O475" s="54"/>
      <c r="P475" s="86"/>
      <c r="Q475" s="54"/>
      <c r="R475" s="249"/>
      <c r="T475" s="54"/>
      <c r="U475" s="54"/>
      <c r="V475" s="54"/>
      <c r="W475" s="54"/>
      <c r="X475" s="54"/>
      <c r="Y475" s="54"/>
      <c r="Z475" s="54"/>
      <c r="AA475" s="54"/>
      <c r="AB475" s="287"/>
      <c r="AC475" s="54"/>
      <c r="AD475" s="54"/>
    </row>
    <row r="476">
      <c r="A476" s="54"/>
      <c r="B476" s="311"/>
      <c r="C476" s="311"/>
      <c r="D476" s="102"/>
      <c r="E476" s="102"/>
      <c r="F476" s="102"/>
      <c r="G476" s="102"/>
      <c r="H476" s="102"/>
      <c r="I476" s="102"/>
      <c r="J476" s="102"/>
      <c r="K476" s="103"/>
      <c r="L476" s="54"/>
      <c r="M476" s="54"/>
      <c r="N476" s="54"/>
      <c r="O476" s="54"/>
      <c r="P476" s="86"/>
      <c r="Q476" s="54"/>
      <c r="R476" s="249"/>
      <c r="T476" s="54"/>
      <c r="U476" s="54"/>
      <c r="V476" s="54"/>
      <c r="W476" s="54"/>
      <c r="X476" s="54"/>
      <c r="Y476" s="54"/>
      <c r="Z476" s="54"/>
      <c r="AA476" s="54"/>
      <c r="AB476" s="287"/>
      <c r="AC476" s="54"/>
      <c r="AD476" s="54"/>
    </row>
    <row r="477">
      <c r="A477" s="54"/>
      <c r="B477" s="311"/>
      <c r="C477" s="311"/>
      <c r="D477" s="102"/>
      <c r="E477" s="102"/>
      <c r="F477" s="102"/>
      <c r="G477" s="102"/>
      <c r="H477" s="102"/>
      <c r="I477" s="102"/>
      <c r="J477" s="102"/>
      <c r="K477" s="103"/>
      <c r="L477" s="54"/>
      <c r="M477" s="54"/>
      <c r="N477" s="54"/>
      <c r="O477" s="54"/>
      <c r="P477" s="86"/>
      <c r="Q477" s="54"/>
      <c r="R477" s="249"/>
      <c r="T477" s="54"/>
      <c r="U477" s="54"/>
      <c r="V477" s="54"/>
      <c r="W477" s="54"/>
      <c r="X477" s="54"/>
      <c r="Y477" s="54"/>
      <c r="Z477" s="54"/>
      <c r="AA477" s="54"/>
      <c r="AB477" s="287"/>
      <c r="AC477" s="54"/>
      <c r="AD477" s="54"/>
    </row>
    <row r="478">
      <c r="A478" s="54"/>
      <c r="B478" s="311"/>
      <c r="C478" s="311"/>
      <c r="D478" s="102"/>
      <c r="E478" s="102"/>
      <c r="F478" s="102"/>
      <c r="G478" s="102"/>
      <c r="H478" s="102"/>
      <c r="I478" s="102"/>
      <c r="J478" s="102"/>
      <c r="K478" s="103"/>
      <c r="L478" s="54"/>
      <c r="M478" s="54"/>
      <c r="N478" s="54"/>
      <c r="O478" s="54"/>
      <c r="P478" s="86"/>
      <c r="Q478" s="54"/>
      <c r="R478" s="249"/>
      <c r="T478" s="54"/>
      <c r="U478" s="54"/>
      <c r="V478" s="54"/>
      <c r="W478" s="54"/>
      <c r="X478" s="54"/>
      <c r="Y478" s="54"/>
      <c r="Z478" s="54"/>
      <c r="AA478" s="54"/>
      <c r="AB478" s="287"/>
      <c r="AC478" s="54"/>
      <c r="AD478" s="54"/>
    </row>
    <row r="479">
      <c r="A479" s="54"/>
      <c r="B479" s="311"/>
      <c r="C479" s="311"/>
      <c r="D479" s="102"/>
      <c r="E479" s="102"/>
      <c r="F479" s="102"/>
      <c r="G479" s="102"/>
      <c r="H479" s="102"/>
      <c r="I479" s="102"/>
      <c r="J479" s="102"/>
      <c r="K479" s="103"/>
      <c r="L479" s="54"/>
      <c r="M479" s="54"/>
      <c r="N479" s="54"/>
      <c r="O479" s="54"/>
      <c r="P479" s="86"/>
      <c r="Q479" s="54"/>
      <c r="R479" s="249"/>
      <c r="T479" s="54"/>
      <c r="U479" s="54"/>
      <c r="V479" s="54"/>
      <c r="W479" s="54"/>
      <c r="X479" s="54"/>
      <c r="Y479" s="54"/>
      <c r="Z479" s="54"/>
      <c r="AA479" s="54"/>
      <c r="AB479" s="287"/>
      <c r="AC479" s="54"/>
      <c r="AD479" s="54"/>
    </row>
    <row r="480">
      <c r="A480" s="54"/>
      <c r="B480" s="312"/>
      <c r="C480" s="312"/>
      <c r="D480" s="54"/>
      <c r="E480" s="54"/>
      <c r="F480" s="54"/>
      <c r="G480" s="54"/>
      <c r="H480" s="54"/>
      <c r="I480" s="54"/>
      <c r="J480" s="54"/>
      <c r="K480" s="63"/>
      <c r="L480" s="54"/>
      <c r="M480" s="54"/>
      <c r="N480" s="54"/>
      <c r="O480" s="54"/>
      <c r="P480" s="86"/>
      <c r="Q480" s="54"/>
      <c r="R480" s="249"/>
      <c r="T480" s="54"/>
      <c r="U480" s="54"/>
      <c r="V480" s="54"/>
      <c r="W480" s="54"/>
      <c r="X480" s="54"/>
      <c r="Y480" s="54"/>
      <c r="Z480" s="54"/>
      <c r="AA480" s="54"/>
      <c r="AB480" s="287"/>
      <c r="AC480" s="54"/>
      <c r="AD480" s="54"/>
    </row>
    <row r="481">
      <c r="A481" s="54"/>
      <c r="B481" s="312"/>
      <c r="C481" s="312"/>
      <c r="D481" s="54"/>
      <c r="E481" s="54"/>
      <c r="F481" s="54"/>
      <c r="G481" s="54"/>
      <c r="H481" s="54"/>
      <c r="I481" s="54"/>
      <c r="J481" s="54"/>
      <c r="K481" s="63"/>
      <c r="L481" s="54"/>
      <c r="M481" s="54"/>
      <c r="N481" s="54"/>
      <c r="O481" s="54"/>
      <c r="P481" s="86"/>
      <c r="Q481" s="54"/>
      <c r="R481" s="249"/>
      <c r="T481" s="54"/>
      <c r="U481" s="54"/>
      <c r="V481" s="54"/>
      <c r="W481" s="54"/>
      <c r="X481" s="54"/>
      <c r="Y481" s="54"/>
      <c r="Z481" s="54"/>
      <c r="AA481" s="54"/>
      <c r="AB481" s="287"/>
      <c r="AC481" s="54"/>
      <c r="AD481" s="54"/>
    </row>
    <row r="482">
      <c r="A482" s="54"/>
      <c r="B482" s="312"/>
      <c r="C482" s="312"/>
      <c r="D482" s="54"/>
      <c r="E482" s="54"/>
      <c r="F482" s="54"/>
      <c r="G482" s="54"/>
      <c r="H482" s="54"/>
      <c r="I482" s="54"/>
      <c r="J482" s="54"/>
      <c r="K482" s="63"/>
      <c r="L482" s="54"/>
      <c r="M482" s="54"/>
      <c r="N482" s="54"/>
      <c r="O482" s="54"/>
      <c r="P482" s="86"/>
      <c r="Q482" s="54"/>
      <c r="R482" s="249"/>
      <c r="T482" s="54"/>
      <c r="U482" s="54"/>
      <c r="V482" s="54"/>
      <c r="W482" s="54"/>
      <c r="X482" s="54"/>
      <c r="Y482" s="54"/>
      <c r="Z482" s="54"/>
      <c r="AA482" s="54"/>
      <c r="AB482" s="287"/>
      <c r="AC482" s="54"/>
      <c r="AD482" s="54"/>
    </row>
    <row r="483">
      <c r="A483" s="54"/>
      <c r="B483" s="312"/>
      <c r="C483" s="312"/>
      <c r="D483" s="54"/>
      <c r="E483" s="54"/>
      <c r="F483" s="54"/>
      <c r="G483" s="54"/>
      <c r="H483" s="54"/>
      <c r="I483" s="54"/>
      <c r="J483" s="54"/>
      <c r="K483" s="63"/>
      <c r="L483" s="54"/>
      <c r="M483" s="54"/>
      <c r="N483" s="54"/>
      <c r="O483" s="54"/>
      <c r="P483" s="86"/>
      <c r="Q483" s="54"/>
      <c r="R483" s="249"/>
      <c r="T483" s="54"/>
      <c r="U483" s="54"/>
      <c r="V483" s="54"/>
      <c r="W483" s="54"/>
      <c r="X483" s="54"/>
      <c r="Y483" s="54"/>
      <c r="Z483" s="54"/>
      <c r="AA483" s="54"/>
      <c r="AB483" s="287"/>
      <c r="AC483" s="54"/>
      <c r="AD483" s="54"/>
    </row>
    <row r="484">
      <c r="A484" s="54"/>
      <c r="B484" s="312"/>
      <c r="C484" s="312"/>
      <c r="D484" s="54"/>
      <c r="E484" s="54"/>
      <c r="F484" s="54"/>
      <c r="G484" s="54"/>
      <c r="H484" s="54"/>
      <c r="I484" s="54"/>
      <c r="J484" s="54"/>
      <c r="K484" s="63"/>
      <c r="L484" s="54"/>
      <c r="M484" s="54"/>
      <c r="N484" s="54"/>
      <c r="O484" s="54"/>
      <c r="P484" s="86"/>
      <c r="Q484" s="54"/>
      <c r="R484" s="249"/>
      <c r="T484" s="54"/>
      <c r="U484" s="54"/>
      <c r="V484" s="54"/>
      <c r="W484" s="54"/>
      <c r="X484" s="54"/>
      <c r="Y484" s="54"/>
      <c r="Z484" s="54"/>
      <c r="AA484" s="54"/>
      <c r="AB484" s="287"/>
      <c r="AC484" s="54"/>
      <c r="AD484" s="54"/>
    </row>
    <row r="485">
      <c r="A485" s="54"/>
      <c r="B485" s="312"/>
      <c r="C485" s="312"/>
      <c r="D485" s="54"/>
      <c r="E485" s="54"/>
      <c r="F485" s="54"/>
      <c r="G485" s="54"/>
      <c r="H485" s="54"/>
      <c r="I485" s="54"/>
      <c r="J485" s="54"/>
      <c r="K485" s="63"/>
      <c r="L485" s="54"/>
      <c r="M485" s="54"/>
      <c r="N485" s="54"/>
      <c r="O485" s="54"/>
      <c r="P485" s="86"/>
      <c r="Q485" s="54"/>
      <c r="R485" s="249"/>
      <c r="T485" s="54"/>
      <c r="U485" s="54"/>
      <c r="V485" s="54"/>
      <c r="W485" s="54"/>
      <c r="X485" s="54"/>
      <c r="Y485" s="54"/>
      <c r="Z485" s="54"/>
      <c r="AA485" s="54"/>
      <c r="AB485" s="287"/>
      <c r="AC485" s="54"/>
      <c r="AD485" s="54"/>
    </row>
    <row r="486">
      <c r="A486" s="54"/>
      <c r="B486" s="312"/>
      <c r="C486" s="312"/>
      <c r="D486" s="54"/>
      <c r="E486" s="54"/>
      <c r="F486" s="54"/>
      <c r="G486" s="54"/>
      <c r="H486" s="54"/>
      <c r="I486" s="54"/>
      <c r="J486" s="54"/>
      <c r="K486" s="63"/>
      <c r="L486" s="54"/>
      <c r="M486" s="54"/>
      <c r="N486" s="54"/>
      <c r="O486" s="54"/>
      <c r="P486" s="86"/>
      <c r="Q486" s="54"/>
      <c r="R486" s="249"/>
      <c r="T486" s="54"/>
      <c r="U486" s="54"/>
      <c r="V486" s="54"/>
      <c r="W486" s="54"/>
      <c r="X486" s="54"/>
      <c r="Y486" s="54"/>
      <c r="Z486" s="54"/>
      <c r="AA486" s="54"/>
      <c r="AB486" s="287"/>
      <c r="AC486" s="54"/>
      <c r="AD486" s="54"/>
    </row>
    <row r="487">
      <c r="A487" s="54"/>
      <c r="B487" s="312"/>
      <c r="C487" s="312"/>
      <c r="D487" s="54"/>
      <c r="E487" s="54"/>
      <c r="F487" s="54"/>
      <c r="G487" s="54"/>
      <c r="H487" s="54"/>
      <c r="I487" s="54"/>
      <c r="J487" s="54"/>
      <c r="K487" s="63"/>
      <c r="L487" s="54"/>
      <c r="M487" s="54"/>
      <c r="N487" s="54"/>
      <c r="O487" s="54"/>
      <c r="P487" s="86"/>
      <c r="Q487" s="54"/>
      <c r="R487" s="249"/>
      <c r="T487" s="54"/>
      <c r="U487" s="54"/>
      <c r="V487" s="54"/>
      <c r="W487" s="54"/>
      <c r="X487" s="54"/>
      <c r="Y487" s="54"/>
      <c r="Z487" s="54"/>
      <c r="AA487" s="54"/>
      <c r="AB487" s="287"/>
      <c r="AC487" s="54"/>
      <c r="AD487" s="54"/>
    </row>
    <row r="488">
      <c r="A488" s="54"/>
      <c r="B488" s="312"/>
      <c r="C488" s="312"/>
      <c r="D488" s="54"/>
      <c r="E488" s="54"/>
      <c r="F488" s="54"/>
      <c r="G488" s="54"/>
      <c r="H488" s="54"/>
      <c r="I488" s="54"/>
      <c r="J488" s="54"/>
      <c r="K488" s="63"/>
      <c r="L488" s="54"/>
      <c r="M488" s="54"/>
      <c r="N488" s="54"/>
      <c r="O488" s="54"/>
      <c r="P488" s="86"/>
      <c r="Q488" s="54"/>
      <c r="R488" s="249"/>
      <c r="T488" s="54"/>
      <c r="U488" s="54"/>
      <c r="V488" s="54"/>
      <c r="W488" s="54"/>
      <c r="X488" s="54"/>
      <c r="Y488" s="54"/>
      <c r="Z488" s="54"/>
      <c r="AA488" s="54"/>
      <c r="AB488" s="287"/>
      <c r="AC488" s="54"/>
      <c r="AD488" s="54"/>
    </row>
    <row r="489">
      <c r="A489" s="54"/>
      <c r="B489" s="312"/>
      <c r="C489" s="312"/>
      <c r="D489" s="54"/>
      <c r="E489" s="54"/>
      <c r="F489" s="54"/>
      <c r="G489" s="54"/>
      <c r="H489" s="54"/>
      <c r="I489" s="54"/>
      <c r="J489" s="54"/>
      <c r="K489" s="63"/>
      <c r="L489" s="54"/>
      <c r="M489" s="54"/>
      <c r="N489" s="54"/>
      <c r="O489" s="54"/>
      <c r="P489" s="86"/>
      <c r="Q489" s="54"/>
      <c r="R489" s="249"/>
      <c r="T489" s="54"/>
      <c r="U489" s="54"/>
      <c r="V489" s="54"/>
      <c r="W489" s="54"/>
      <c r="X489" s="54"/>
      <c r="Y489" s="54"/>
      <c r="Z489" s="54"/>
      <c r="AA489" s="54"/>
      <c r="AB489" s="287"/>
      <c r="AC489" s="54"/>
      <c r="AD489" s="54"/>
    </row>
    <row r="490">
      <c r="A490" s="54"/>
      <c r="B490" s="312"/>
      <c r="C490" s="312"/>
      <c r="D490" s="54"/>
      <c r="E490" s="54"/>
      <c r="F490" s="54"/>
      <c r="G490" s="54"/>
      <c r="H490" s="54"/>
      <c r="I490" s="54"/>
      <c r="J490" s="54"/>
      <c r="K490" s="63"/>
      <c r="L490" s="54"/>
      <c r="M490" s="54"/>
      <c r="N490" s="54"/>
      <c r="O490" s="54"/>
      <c r="P490" s="86"/>
      <c r="Q490" s="54"/>
      <c r="R490" s="249"/>
      <c r="T490" s="54"/>
      <c r="U490" s="54"/>
      <c r="V490" s="54"/>
      <c r="W490" s="54"/>
      <c r="X490" s="54"/>
      <c r="Y490" s="54"/>
      <c r="Z490" s="54"/>
      <c r="AA490" s="54"/>
      <c r="AB490" s="287"/>
      <c r="AC490" s="54"/>
      <c r="AD490" s="54"/>
    </row>
    <row r="491">
      <c r="A491" s="54"/>
      <c r="B491" s="312"/>
      <c r="C491" s="312"/>
      <c r="D491" s="54"/>
      <c r="E491" s="54"/>
      <c r="F491" s="54"/>
      <c r="G491" s="54"/>
      <c r="H491" s="54"/>
      <c r="I491" s="54"/>
      <c r="J491" s="54"/>
      <c r="K491" s="63"/>
      <c r="L491" s="54"/>
      <c r="M491" s="54"/>
      <c r="N491" s="54"/>
      <c r="O491" s="54"/>
      <c r="P491" s="86"/>
      <c r="Q491" s="54"/>
      <c r="R491" s="249"/>
      <c r="T491" s="54"/>
      <c r="U491" s="54"/>
      <c r="V491" s="54"/>
      <c r="W491" s="54"/>
      <c r="X491" s="54"/>
      <c r="Y491" s="54"/>
      <c r="Z491" s="54"/>
      <c r="AA491" s="54"/>
      <c r="AB491" s="287"/>
      <c r="AC491" s="54"/>
      <c r="AD491" s="54"/>
    </row>
    <row r="492">
      <c r="A492" s="54"/>
      <c r="B492" s="312"/>
      <c r="C492" s="312"/>
      <c r="D492" s="54"/>
      <c r="E492" s="54"/>
      <c r="F492" s="54"/>
      <c r="G492" s="54"/>
      <c r="H492" s="54"/>
      <c r="I492" s="54"/>
      <c r="J492" s="54"/>
      <c r="K492" s="63"/>
      <c r="L492" s="54"/>
      <c r="M492" s="54"/>
      <c r="N492" s="54"/>
      <c r="O492" s="54"/>
      <c r="P492" s="86"/>
      <c r="Q492" s="54"/>
      <c r="R492" s="249"/>
      <c r="T492" s="54"/>
      <c r="U492" s="54"/>
      <c r="V492" s="54"/>
      <c r="W492" s="54"/>
      <c r="X492" s="54"/>
      <c r="Y492" s="54"/>
      <c r="Z492" s="54"/>
      <c r="AA492" s="54"/>
      <c r="AB492" s="287"/>
      <c r="AC492" s="54"/>
      <c r="AD492" s="54"/>
    </row>
    <row r="493">
      <c r="A493" s="54"/>
      <c r="B493" s="312"/>
      <c r="C493" s="312"/>
      <c r="D493" s="54"/>
      <c r="E493" s="54"/>
      <c r="F493" s="54"/>
      <c r="G493" s="54"/>
      <c r="H493" s="54"/>
      <c r="I493" s="54"/>
      <c r="J493" s="54"/>
      <c r="K493" s="63"/>
      <c r="L493" s="54"/>
      <c r="M493" s="54"/>
      <c r="N493" s="54"/>
      <c r="O493" s="54"/>
      <c r="P493" s="86"/>
      <c r="Q493" s="54"/>
      <c r="R493" s="249"/>
      <c r="T493" s="54"/>
      <c r="U493" s="54"/>
      <c r="V493" s="54"/>
      <c r="W493" s="54"/>
      <c r="X493" s="54"/>
      <c r="Y493" s="54"/>
      <c r="Z493" s="54"/>
      <c r="AA493" s="54"/>
      <c r="AB493" s="287"/>
      <c r="AC493" s="54"/>
      <c r="AD493" s="54"/>
    </row>
    <row r="494">
      <c r="A494" s="54"/>
      <c r="B494" s="312"/>
      <c r="C494" s="312"/>
      <c r="D494" s="54"/>
      <c r="E494" s="54"/>
      <c r="F494" s="54"/>
      <c r="G494" s="54"/>
      <c r="H494" s="54"/>
      <c r="I494" s="54"/>
      <c r="J494" s="54"/>
      <c r="K494" s="63"/>
      <c r="L494" s="54"/>
      <c r="M494" s="54"/>
      <c r="N494" s="54"/>
      <c r="O494" s="54"/>
      <c r="P494" s="86"/>
      <c r="Q494" s="54"/>
      <c r="R494" s="249"/>
      <c r="T494" s="54"/>
      <c r="U494" s="54"/>
      <c r="V494" s="54"/>
      <c r="W494" s="54"/>
      <c r="X494" s="54"/>
      <c r="Y494" s="54"/>
      <c r="Z494" s="54"/>
      <c r="AA494" s="54"/>
      <c r="AB494" s="287"/>
      <c r="AC494" s="54"/>
      <c r="AD494" s="54"/>
    </row>
    <row r="495">
      <c r="A495" s="54"/>
      <c r="B495" s="312"/>
      <c r="C495" s="312"/>
      <c r="D495" s="54"/>
      <c r="E495" s="54"/>
      <c r="F495" s="54"/>
      <c r="G495" s="54"/>
      <c r="H495" s="54"/>
      <c r="I495" s="54"/>
      <c r="J495" s="54"/>
      <c r="K495" s="63"/>
      <c r="L495" s="54"/>
      <c r="M495" s="54"/>
      <c r="N495" s="54"/>
      <c r="O495" s="54"/>
      <c r="P495" s="86"/>
      <c r="Q495" s="54"/>
      <c r="R495" s="249"/>
      <c r="T495" s="54"/>
      <c r="U495" s="54"/>
      <c r="V495" s="54"/>
      <c r="W495" s="54"/>
      <c r="X495" s="54"/>
      <c r="Y495" s="54"/>
      <c r="Z495" s="54"/>
      <c r="AA495" s="54"/>
      <c r="AB495" s="287"/>
      <c r="AC495" s="54"/>
      <c r="AD495" s="54"/>
    </row>
    <row r="496">
      <c r="A496" s="54"/>
      <c r="B496" s="312"/>
      <c r="C496" s="312"/>
      <c r="D496" s="54"/>
      <c r="E496" s="54"/>
      <c r="F496" s="54"/>
      <c r="G496" s="54"/>
      <c r="H496" s="54"/>
      <c r="I496" s="54"/>
      <c r="J496" s="54"/>
      <c r="K496" s="63"/>
      <c r="L496" s="54"/>
      <c r="M496" s="54"/>
      <c r="N496" s="54"/>
      <c r="O496" s="54"/>
      <c r="P496" s="86"/>
      <c r="Q496" s="54"/>
      <c r="R496" s="249"/>
      <c r="T496" s="54"/>
      <c r="U496" s="54"/>
      <c r="V496" s="54"/>
      <c r="W496" s="54"/>
      <c r="X496" s="54"/>
      <c r="Y496" s="54"/>
      <c r="Z496" s="54"/>
      <c r="AA496" s="54"/>
      <c r="AB496" s="287"/>
      <c r="AC496" s="54"/>
      <c r="AD496" s="54"/>
    </row>
    <row r="497">
      <c r="A497" s="54"/>
      <c r="B497" s="312"/>
      <c r="C497" s="312"/>
      <c r="D497" s="54"/>
      <c r="E497" s="54"/>
      <c r="F497" s="54"/>
      <c r="G497" s="54"/>
      <c r="H497" s="54"/>
      <c r="I497" s="54"/>
      <c r="J497" s="54"/>
      <c r="K497" s="63"/>
      <c r="L497" s="54"/>
      <c r="M497" s="54"/>
      <c r="N497" s="54"/>
      <c r="O497" s="54"/>
      <c r="P497" s="86"/>
      <c r="Q497" s="54"/>
      <c r="R497" s="249"/>
      <c r="T497" s="54"/>
      <c r="U497" s="54"/>
      <c r="V497" s="54"/>
      <c r="W497" s="54"/>
      <c r="X497" s="54"/>
      <c r="Y497" s="54"/>
      <c r="Z497" s="54"/>
      <c r="AA497" s="54"/>
      <c r="AB497" s="287"/>
      <c r="AC497" s="54"/>
      <c r="AD497" s="54"/>
    </row>
    <row r="498">
      <c r="A498" s="54"/>
      <c r="B498" s="312"/>
      <c r="C498" s="312"/>
      <c r="D498" s="54"/>
      <c r="E498" s="54"/>
      <c r="F498" s="54"/>
      <c r="G498" s="54"/>
      <c r="H498" s="54"/>
      <c r="I498" s="54"/>
      <c r="J498" s="54"/>
      <c r="K498" s="63"/>
      <c r="L498" s="54"/>
      <c r="M498" s="54"/>
      <c r="N498" s="54"/>
      <c r="O498" s="54"/>
      <c r="P498" s="86"/>
      <c r="Q498" s="54"/>
      <c r="R498" s="249"/>
      <c r="T498" s="54"/>
      <c r="U498" s="54"/>
      <c r="V498" s="54"/>
      <c r="W498" s="54"/>
      <c r="X498" s="54"/>
      <c r="Y498" s="54"/>
      <c r="Z498" s="54"/>
      <c r="AA498" s="54"/>
      <c r="AB498" s="287"/>
      <c r="AC498" s="54"/>
      <c r="AD498" s="54"/>
    </row>
    <row r="499">
      <c r="A499" s="54"/>
      <c r="B499" s="312"/>
      <c r="C499" s="312"/>
      <c r="D499" s="54"/>
      <c r="E499" s="54"/>
      <c r="F499" s="54"/>
      <c r="G499" s="54"/>
      <c r="H499" s="54"/>
      <c r="I499" s="54"/>
      <c r="J499" s="54"/>
      <c r="K499" s="63"/>
      <c r="L499" s="54"/>
      <c r="M499" s="54"/>
      <c r="N499" s="54"/>
      <c r="O499" s="54"/>
      <c r="P499" s="86"/>
      <c r="Q499" s="54"/>
      <c r="R499" s="249"/>
      <c r="T499" s="54"/>
      <c r="U499" s="54"/>
      <c r="V499" s="54"/>
      <c r="W499" s="54"/>
      <c r="X499" s="54"/>
      <c r="Y499" s="54"/>
      <c r="Z499" s="54"/>
      <c r="AA499" s="54"/>
      <c r="AB499" s="287"/>
      <c r="AC499" s="54"/>
      <c r="AD499" s="54"/>
    </row>
    <row r="500">
      <c r="A500" s="54"/>
      <c r="B500" s="312"/>
      <c r="C500" s="312"/>
      <c r="D500" s="54"/>
      <c r="E500" s="54"/>
      <c r="F500" s="54"/>
      <c r="G500" s="54"/>
      <c r="H500" s="54"/>
      <c r="I500" s="54"/>
      <c r="J500" s="54"/>
      <c r="K500" s="63"/>
      <c r="L500" s="54"/>
      <c r="M500" s="54"/>
      <c r="N500" s="54"/>
      <c r="O500" s="54"/>
      <c r="P500" s="86"/>
      <c r="Q500" s="54"/>
      <c r="R500" s="249"/>
      <c r="T500" s="54"/>
      <c r="U500" s="54"/>
      <c r="V500" s="54"/>
      <c r="W500" s="54"/>
      <c r="X500" s="54"/>
      <c r="Y500" s="54"/>
      <c r="Z500" s="54"/>
      <c r="AA500" s="54"/>
      <c r="AB500" s="287"/>
      <c r="AC500" s="54"/>
      <c r="AD500" s="54"/>
    </row>
    <row r="501">
      <c r="A501" s="54"/>
      <c r="B501" s="312"/>
      <c r="C501" s="312"/>
      <c r="D501" s="54"/>
      <c r="E501" s="54"/>
      <c r="F501" s="54"/>
      <c r="G501" s="54"/>
      <c r="H501" s="54"/>
      <c r="I501" s="54"/>
      <c r="J501" s="54"/>
      <c r="K501" s="63"/>
      <c r="L501" s="54"/>
      <c r="M501" s="54"/>
      <c r="N501" s="54"/>
      <c r="O501" s="54"/>
      <c r="P501" s="86"/>
      <c r="Q501" s="54"/>
      <c r="R501" s="249"/>
      <c r="T501" s="54"/>
      <c r="U501" s="54"/>
      <c r="V501" s="54"/>
      <c r="W501" s="54"/>
      <c r="X501" s="54"/>
      <c r="Y501" s="54"/>
      <c r="Z501" s="54"/>
      <c r="AA501" s="54"/>
      <c r="AB501" s="287"/>
      <c r="AC501" s="54"/>
      <c r="AD501" s="54"/>
    </row>
    <row r="502">
      <c r="A502" s="54"/>
      <c r="B502" s="312"/>
      <c r="C502" s="312"/>
      <c r="D502" s="54"/>
      <c r="E502" s="54"/>
      <c r="F502" s="54"/>
      <c r="G502" s="54"/>
      <c r="H502" s="54"/>
      <c r="I502" s="54"/>
      <c r="J502" s="54"/>
      <c r="K502" s="63"/>
      <c r="L502" s="54"/>
      <c r="M502" s="54"/>
      <c r="N502" s="54"/>
      <c r="O502" s="54"/>
      <c r="P502" s="86"/>
      <c r="Q502" s="54"/>
      <c r="R502" s="249"/>
      <c r="T502" s="54"/>
      <c r="U502" s="54"/>
      <c r="V502" s="54"/>
      <c r="W502" s="54"/>
      <c r="X502" s="54"/>
      <c r="Y502" s="54"/>
      <c r="Z502" s="54"/>
      <c r="AA502" s="54"/>
      <c r="AB502" s="287"/>
      <c r="AC502" s="54"/>
      <c r="AD502" s="54"/>
    </row>
    <row r="503">
      <c r="A503" s="54"/>
      <c r="B503" s="312"/>
      <c r="C503" s="312"/>
      <c r="D503" s="54"/>
      <c r="E503" s="54"/>
      <c r="F503" s="54"/>
      <c r="G503" s="54"/>
      <c r="H503" s="54"/>
      <c r="I503" s="54"/>
      <c r="J503" s="54"/>
      <c r="K503" s="63"/>
      <c r="L503" s="54"/>
      <c r="M503" s="54"/>
      <c r="N503" s="54"/>
      <c r="O503" s="54"/>
      <c r="P503" s="86"/>
      <c r="Q503" s="54"/>
      <c r="R503" s="249"/>
      <c r="T503" s="54"/>
      <c r="U503" s="54"/>
      <c r="V503" s="54"/>
      <c r="W503" s="54"/>
      <c r="X503" s="54"/>
      <c r="Y503" s="54"/>
      <c r="Z503" s="54"/>
      <c r="AA503" s="54"/>
      <c r="AB503" s="287"/>
      <c r="AC503" s="54"/>
      <c r="AD503" s="54"/>
    </row>
    <row r="504">
      <c r="A504" s="54"/>
      <c r="B504" s="312"/>
      <c r="C504" s="312"/>
      <c r="D504" s="54"/>
      <c r="E504" s="54"/>
      <c r="F504" s="54"/>
      <c r="G504" s="54"/>
      <c r="H504" s="54"/>
      <c r="I504" s="54"/>
      <c r="J504" s="54"/>
      <c r="K504" s="63"/>
      <c r="L504" s="54"/>
      <c r="M504" s="54"/>
      <c r="N504" s="54"/>
      <c r="O504" s="54"/>
      <c r="P504" s="86"/>
      <c r="Q504" s="54"/>
      <c r="R504" s="249"/>
      <c r="T504" s="54"/>
      <c r="U504" s="54"/>
      <c r="V504" s="54"/>
      <c r="W504" s="54"/>
      <c r="X504" s="54"/>
      <c r="Y504" s="54"/>
      <c r="Z504" s="54"/>
      <c r="AA504" s="54"/>
      <c r="AB504" s="287"/>
      <c r="AC504" s="54"/>
      <c r="AD504" s="54"/>
    </row>
    <row r="505">
      <c r="A505" s="54"/>
      <c r="B505" s="312"/>
      <c r="C505" s="312"/>
      <c r="D505" s="54"/>
      <c r="E505" s="54"/>
      <c r="F505" s="54"/>
      <c r="G505" s="54"/>
      <c r="H505" s="54"/>
      <c r="I505" s="54"/>
      <c r="J505" s="54"/>
      <c r="K505" s="63"/>
      <c r="L505" s="54"/>
      <c r="M505" s="54"/>
      <c r="N505" s="54"/>
      <c r="O505" s="54"/>
      <c r="P505" s="86"/>
      <c r="Q505" s="54"/>
      <c r="R505" s="249"/>
      <c r="T505" s="54"/>
      <c r="U505" s="54"/>
      <c r="V505" s="54"/>
      <c r="W505" s="54"/>
      <c r="X505" s="54"/>
      <c r="Y505" s="54"/>
      <c r="Z505" s="54"/>
      <c r="AA505" s="54"/>
      <c r="AB505" s="287"/>
      <c r="AC505" s="54"/>
      <c r="AD505" s="54"/>
    </row>
    <row r="506">
      <c r="A506" s="54"/>
      <c r="B506" s="312"/>
      <c r="C506" s="312"/>
      <c r="D506" s="54"/>
      <c r="E506" s="54"/>
      <c r="F506" s="54"/>
      <c r="G506" s="54"/>
      <c r="H506" s="54"/>
      <c r="I506" s="54"/>
      <c r="J506" s="54"/>
      <c r="K506" s="63"/>
      <c r="L506" s="54"/>
      <c r="M506" s="54"/>
      <c r="N506" s="54"/>
      <c r="O506" s="54"/>
      <c r="P506" s="86"/>
      <c r="Q506" s="54"/>
      <c r="R506" s="249"/>
      <c r="T506" s="54"/>
      <c r="U506" s="54"/>
      <c r="V506" s="54"/>
      <c r="W506" s="54"/>
      <c r="X506" s="54"/>
      <c r="Y506" s="54"/>
      <c r="Z506" s="54"/>
      <c r="AA506" s="54"/>
      <c r="AB506" s="287"/>
      <c r="AC506" s="54"/>
      <c r="AD506" s="54"/>
    </row>
    <row r="507">
      <c r="A507" s="54"/>
      <c r="B507" s="312"/>
      <c r="C507" s="312"/>
      <c r="D507" s="54"/>
      <c r="E507" s="54"/>
      <c r="F507" s="54"/>
      <c r="G507" s="54"/>
      <c r="H507" s="54"/>
      <c r="I507" s="54"/>
      <c r="J507" s="54"/>
      <c r="K507" s="63"/>
      <c r="L507" s="54"/>
      <c r="M507" s="54"/>
      <c r="N507" s="54"/>
      <c r="O507" s="54"/>
      <c r="P507" s="86"/>
      <c r="Q507" s="54"/>
      <c r="R507" s="249"/>
      <c r="T507" s="54"/>
      <c r="U507" s="54"/>
      <c r="V507" s="54"/>
      <c r="W507" s="54"/>
      <c r="X507" s="54"/>
      <c r="Y507" s="54"/>
      <c r="Z507" s="54"/>
      <c r="AA507" s="54"/>
      <c r="AB507" s="287"/>
      <c r="AC507" s="54"/>
      <c r="AD507" s="54"/>
    </row>
    <row r="508">
      <c r="A508" s="54"/>
      <c r="B508" s="312"/>
      <c r="C508" s="312"/>
      <c r="D508" s="54"/>
      <c r="E508" s="54"/>
      <c r="F508" s="54"/>
      <c r="G508" s="54"/>
      <c r="H508" s="54"/>
      <c r="I508" s="54"/>
      <c r="J508" s="54"/>
      <c r="K508" s="63"/>
      <c r="L508" s="54"/>
      <c r="M508" s="54"/>
      <c r="N508" s="54"/>
      <c r="O508" s="54"/>
      <c r="P508" s="86"/>
      <c r="Q508" s="54"/>
      <c r="R508" s="249"/>
      <c r="T508" s="54"/>
      <c r="U508" s="54"/>
      <c r="V508" s="54"/>
      <c r="W508" s="54"/>
      <c r="X508" s="54"/>
      <c r="Y508" s="54"/>
      <c r="Z508" s="54"/>
      <c r="AA508" s="54"/>
      <c r="AB508" s="287"/>
      <c r="AC508" s="54"/>
      <c r="AD508" s="54"/>
    </row>
    <row r="509">
      <c r="A509" s="54"/>
      <c r="B509" s="312"/>
      <c r="C509" s="312"/>
      <c r="D509" s="54"/>
      <c r="E509" s="54"/>
      <c r="F509" s="54"/>
      <c r="G509" s="54"/>
      <c r="H509" s="54"/>
      <c r="I509" s="54"/>
      <c r="J509" s="54"/>
      <c r="K509" s="63"/>
      <c r="L509" s="54"/>
      <c r="M509" s="54"/>
      <c r="N509" s="54"/>
      <c r="O509" s="54"/>
      <c r="P509" s="86"/>
      <c r="Q509" s="54"/>
      <c r="R509" s="249"/>
      <c r="T509" s="54"/>
      <c r="U509" s="54"/>
      <c r="V509" s="54"/>
      <c r="W509" s="54"/>
      <c r="X509" s="54"/>
      <c r="Y509" s="54"/>
      <c r="Z509" s="54"/>
      <c r="AA509" s="54"/>
      <c r="AB509" s="287"/>
      <c r="AC509" s="54"/>
      <c r="AD509" s="54"/>
    </row>
    <row r="510">
      <c r="A510" s="54"/>
      <c r="B510" s="312"/>
      <c r="C510" s="312"/>
      <c r="D510" s="54"/>
      <c r="E510" s="54"/>
      <c r="F510" s="54"/>
      <c r="G510" s="54"/>
      <c r="H510" s="54"/>
      <c r="I510" s="54"/>
      <c r="J510" s="54"/>
      <c r="K510" s="63"/>
      <c r="L510" s="54"/>
      <c r="M510" s="54"/>
      <c r="N510" s="54"/>
      <c r="O510" s="54"/>
      <c r="P510" s="86"/>
      <c r="Q510" s="54"/>
      <c r="R510" s="249"/>
      <c r="T510" s="54"/>
      <c r="U510" s="54"/>
      <c r="V510" s="54"/>
      <c r="W510" s="54"/>
      <c r="X510" s="54"/>
      <c r="Y510" s="54"/>
      <c r="Z510" s="54"/>
      <c r="AA510" s="54"/>
      <c r="AB510" s="287"/>
      <c r="AC510" s="54"/>
      <c r="AD510" s="54"/>
    </row>
    <row r="511">
      <c r="A511" s="54"/>
      <c r="B511" s="312"/>
      <c r="C511" s="312"/>
      <c r="D511" s="54"/>
      <c r="E511" s="54"/>
      <c r="F511" s="54"/>
      <c r="G511" s="54"/>
      <c r="H511" s="54"/>
      <c r="I511" s="54"/>
      <c r="J511" s="54"/>
      <c r="K511" s="63"/>
      <c r="L511" s="54"/>
      <c r="M511" s="54"/>
      <c r="N511" s="54"/>
      <c r="O511" s="54"/>
      <c r="P511" s="86"/>
      <c r="Q511" s="54"/>
      <c r="R511" s="249"/>
      <c r="T511" s="54"/>
      <c r="U511" s="54"/>
      <c r="V511" s="54"/>
      <c r="W511" s="54"/>
      <c r="X511" s="54"/>
      <c r="Y511" s="54"/>
      <c r="Z511" s="54"/>
      <c r="AA511" s="54"/>
      <c r="AB511" s="287"/>
      <c r="AC511" s="54"/>
      <c r="AD511" s="54"/>
    </row>
    <row r="512">
      <c r="A512" s="54"/>
      <c r="B512" s="312"/>
      <c r="C512" s="312"/>
      <c r="D512" s="54"/>
      <c r="E512" s="54"/>
      <c r="F512" s="54"/>
      <c r="G512" s="54"/>
      <c r="H512" s="54"/>
      <c r="I512" s="54"/>
      <c r="J512" s="54"/>
      <c r="K512" s="63"/>
      <c r="L512" s="54"/>
      <c r="M512" s="54"/>
      <c r="N512" s="54"/>
      <c r="O512" s="54"/>
      <c r="P512" s="86"/>
      <c r="Q512" s="54"/>
      <c r="R512" s="249"/>
      <c r="T512" s="54"/>
      <c r="U512" s="54"/>
      <c r="V512" s="54"/>
      <c r="W512" s="54"/>
      <c r="X512" s="54"/>
      <c r="Y512" s="54"/>
      <c r="Z512" s="54"/>
      <c r="AA512" s="54"/>
      <c r="AB512" s="287"/>
      <c r="AC512" s="54"/>
      <c r="AD512" s="54"/>
    </row>
    <row r="513">
      <c r="A513" s="54"/>
      <c r="B513" s="312"/>
      <c r="C513" s="312"/>
      <c r="D513" s="54"/>
      <c r="E513" s="54"/>
      <c r="F513" s="54"/>
      <c r="G513" s="54"/>
      <c r="H513" s="54"/>
      <c r="I513" s="54"/>
      <c r="J513" s="54"/>
      <c r="K513" s="63"/>
      <c r="L513" s="54"/>
      <c r="M513" s="54"/>
      <c r="N513" s="54"/>
      <c r="O513" s="54"/>
      <c r="P513" s="86"/>
      <c r="Q513" s="54"/>
      <c r="R513" s="249"/>
      <c r="T513" s="54"/>
      <c r="U513" s="54"/>
      <c r="V513" s="54"/>
      <c r="W513" s="54"/>
      <c r="X513" s="54"/>
      <c r="Y513" s="54"/>
      <c r="Z513" s="54"/>
      <c r="AA513" s="54"/>
      <c r="AB513" s="287"/>
      <c r="AC513" s="54"/>
      <c r="AD513" s="54"/>
    </row>
    <row r="514">
      <c r="A514" s="54"/>
      <c r="B514" s="312"/>
      <c r="C514" s="312"/>
      <c r="D514" s="54"/>
      <c r="E514" s="54"/>
      <c r="F514" s="54"/>
      <c r="G514" s="54"/>
      <c r="H514" s="54"/>
      <c r="I514" s="54"/>
      <c r="J514" s="54"/>
      <c r="K514" s="63"/>
      <c r="L514" s="54"/>
      <c r="M514" s="54"/>
      <c r="N514" s="54"/>
      <c r="O514" s="54"/>
      <c r="P514" s="86"/>
      <c r="Q514" s="54"/>
      <c r="R514" s="249"/>
      <c r="T514" s="54"/>
      <c r="U514" s="54"/>
      <c r="V514" s="54"/>
      <c r="W514" s="54"/>
      <c r="X514" s="54"/>
      <c r="Y514" s="54"/>
      <c r="Z514" s="54"/>
      <c r="AA514" s="54"/>
      <c r="AB514" s="287"/>
      <c r="AC514" s="54"/>
      <c r="AD514" s="54"/>
    </row>
    <row r="515">
      <c r="A515" s="54"/>
      <c r="B515" s="312"/>
      <c r="C515" s="312"/>
      <c r="D515" s="54"/>
      <c r="E515" s="54"/>
      <c r="F515" s="54"/>
      <c r="G515" s="54"/>
      <c r="H515" s="54"/>
      <c r="I515" s="54"/>
      <c r="J515" s="54"/>
      <c r="K515" s="63"/>
      <c r="L515" s="54"/>
      <c r="M515" s="54"/>
      <c r="N515" s="54"/>
      <c r="O515" s="54"/>
      <c r="P515" s="86"/>
      <c r="Q515" s="54"/>
      <c r="R515" s="249"/>
      <c r="T515" s="54"/>
      <c r="U515" s="54"/>
      <c r="V515" s="54"/>
      <c r="W515" s="54"/>
      <c r="X515" s="54"/>
      <c r="Y515" s="54"/>
      <c r="Z515" s="54"/>
      <c r="AA515" s="54"/>
      <c r="AB515" s="287"/>
      <c r="AC515" s="54"/>
      <c r="AD515" s="54"/>
    </row>
    <row r="516">
      <c r="A516" s="54"/>
      <c r="B516" s="312"/>
      <c r="C516" s="312"/>
      <c r="D516" s="54"/>
      <c r="E516" s="54"/>
      <c r="F516" s="54"/>
      <c r="G516" s="54"/>
      <c r="H516" s="54"/>
      <c r="I516" s="54"/>
      <c r="J516" s="54"/>
      <c r="K516" s="63"/>
      <c r="L516" s="54"/>
      <c r="M516" s="54"/>
      <c r="N516" s="54"/>
      <c r="O516" s="54"/>
      <c r="P516" s="86"/>
      <c r="Q516" s="54"/>
      <c r="R516" s="249"/>
      <c r="T516" s="54"/>
      <c r="U516" s="54"/>
      <c r="V516" s="54"/>
      <c r="W516" s="54"/>
      <c r="X516" s="54"/>
      <c r="Y516" s="54"/>
      <c r="Z516" s="54"/>
      <c r="AA516" s="54"/>
      <c r="AB516" s="287"/>
      <c r="AC516" s="54"/>
      <c r="AD516" s="54"/>
    </row>
    <row r="517">
      <c r="A517" s="54"/>
      <c r="B517" s="312"/>
      <c r="C517" s="312"/>
      <c r="D517" s="54"/>
      <c r="E517" s="54"/>
      <c r="F517" s="54"/>
      <c r="G517" s="54"/>
      <c r="H517" s="54"/>
      <c r="I517" s="54"/>
      <c r="J517" s="54"/>
      <c r="K517" s="63"/>
      <c r="L517" s="54"/>
      <c r="M517" s="54"/>
      <c r="N517" s="54"/>
      <c r="O517" s="54"/>
      <c r="P517" s="86"/>
      <c r="Q517" s="54"/>
      <c r="R517" s="249"/>
      <c r="T517" s="54"/>
      <c r="U517" s="54"/>
      <c r="V517" s="54"/>
      <c r="W517" s="54"/>
      <c r="X517" s="54"/>
      <c r="Y517" s="54"/>
      <c r="Z517" s="54"/>
      <c r="AA517" s="54"/>
      <c r="AB517" s="287"/>
      <c r="AC517" s="54"/>
      <c r="AD517" s="54"/>
    </row>
    <row r="518">
      <c r="A518" s="54"/>
      <c r="B518" s="312"/>
      <c r="C518" s="312"/>
      <c r="D518" s="54"/>
      <c r="E518" s="54"/>
      <c r="F518" s="54"/>
      <c r="G518" s="54"/>
      <c r="H518" s="54"/>
      <c r="I518" s="54"/>
      <c r="J518" s="54"/>
      <c r="K518" s="63"/>
      <c r="L518" s="54"/>
      <c r="M518" s="54"/>
      <c r="N518" s="54"/>
      <c r="O518" s="54"/>
      <c r="P518" s="86"/>
      <c r="Q518" s="54"/>
      <c r="R518" s="249"/>
      <c r="T518" s="54"/>
      <c r="U518" s="54"/>
      <c r="V518" s="54"/>
      <c r="W518" s="54"/>
      <c r="X518" s="54"/>
      <c r="Y518" s="54"/>
      <c r="Z518" s="54"/>
      <c r="AA518" s="54"/>
      <c r="AB518" s="287"/>
      <c r="AC518" s="54"/>
      <c r="AD518" s="54"/>
    </row>
    <row r="519">
      <c r="A519" s="54"/>
      <c r="B519" s="312"/>
      <c r="C519" s="312"/>
      <c r="D519" s="54"/>
      <c r="E519" s="54"/>
      <c r="F519" s="54"/>
      <c r="G519" s="54"/>
      <c r="H519" s="54"/>
      <c r="I519" s="54"/>
      <c r="J519" s="54"/>
      <c r="K519" s="63"/>
      <c r="L519" s="54"/>
      <c r="M519" s="54"/>
      <c r="N519" s="54"/>
      <c r="O519" s="54"/>
      <c r="P519" s="86"/>
      <c r="Q519" s="54"/>
      <c r="R519" s="249"/>
      <c r="T519" s="54"/>
      <c r="U519" s="54"/>
      <c r="V519" s="54"/>
      <c r="W519" s="54"/>
      <c r="X519" s="54"/>
      <c r="Y519" s="54"/>
      <c r="Z519" s="54"/>
      <c r="AA519" s="54"/>
      <c r="AB519" s="287"/>
      <c r="AC519" s="54"/>
      <c r="AD519" s="54"/>
    </row>
    <row r="520">
      <c r="A520" s="54"/>
      <c r="B520" s="312"/>
      <c r="C520" s="312"/>
      <c r="D520" s="54"/>
      <c r="E520" s="54"/>
      <c r="F520" s="54"/>
      <c r="G520" s="54"/>
      <c r="H520" s="54"/>
      <c r="I520" s="54"/>
      <c r="J520" s="54"/>
      <c r="K520" s="63"/>
      <c r="L520" s="54"/>
      <c r="M520" s="54"/>
      <c r="N520" s="54"/>
      <c r="O520" s="54"/>
      <c r="P520" s="86"/>
      <c r="Q520" s="54"/>
      <c r="R520" s="249"/>
      <c r="T520" s="54"/>
      <c r="U520" s="54"/>
      <c r="V520" s="54"/>
      <c r="W520" s="54"/>
      <c r="X520" s="54"/>
      <c r="Y520" s="54"/>
      <c r="Z520" s="54"/>
      <c r="AA520" s="54"/>
      <c r="AB520" s="287"/>
      <c r="AC520" s="54"/>
      <c r="AD520" s="54"/>
    </row>
    <row r="521">
      <c r="A521" s="54"/>
      <c r="B521" s="312"/>
      <c r="C521" s="312"/>
      <c r="D521" s="54"/>
      <c r="E521" s="54"/>
      <c r="F521" s="54"/>
      <c r="G521" s="54"/>
      <c r="H521" s="54"/>
      <c r="I521" s="54"/>
      <c r="J521" s="54"/>
      <c r="K521" s="63"/>
      <c r="L521" s="54"/>
      <c r="M521" s="54"/>
      <c r="N521" s="54"/>
      <c r="O521" s="54"/>
      <c r="P521" s="86"/>
      <c r="Q521" s="54"/>
      <c r="R521" s="249"/>
      <c r="T521" s="54"/>
      <c r="U521" s="54"/>
      <c r="V521" s="54"/>
      <c r="W521" s="54"/>
      <c r="X521" s="54"/>
      <c r="Y521" s="54"/>
      <c r="Z521" s="54"/>
      <c r="AA521" s="54"/>
      <c r="AB521" s="287"/>
      <c r="AC521" s="54"/>
      <c r="AD521" s="54"/>
    </row>
    <row r="522">
      <c r="A522" s="54"/>
      <c r="B522" s="312"/>
      <c r="C522" s="312"/>
      <c r="D522" s="54"/>
      <c r="E522" s="54"/>
      <c r="F522" s="54"/>
      <c r="G522" s="54"/>
      <c r="H522" s="54"/>
      <c r="I522" s="54"/>
      <c r="J522" s="54"/>
      <c r="K522" s="63"/>
      <c r="L522" s="54"/>
      <c r="M522" s="54"/>
      <c r="N522" s="54"/>
      <c r="O522" s="54"/>
      <c r="P522" s="86"/>
      <c r="Q522" s="54"/>
      <c r="R522" s="249"/>
      <c r="T522" s="54"/>
      <c r="U522" s="54"/>
      <c r="V522" s="54"/>
      <c r="W522" s="54"/>
      <c r="X522" s="54"/>
      <c r="Y522" s="54"/>
      <c r="Z522" s="54"/>
      <c r="AA522" s="54"/>
      <c r="AB522" s="287"/>
      <c r="AC522" s="54"/>
      <c r="AD522" s="54"/>
    </row>
    <row r="523">
      <c r="A523" s="54"/>
      <c r="B523" s="312"/>
      <c r="C523" s="312"/>
      <c r="D523" s="54"/>
      <c r="E523" s="54"/>
      <c r="F523" s="54"/>
      <c r="G523" s="54"/>
      <c r="H523" s="54"/>
      <c r="I523" s="54"/>
      <c r="J523" s="54"/>
      <c r="K523" s="63"/>
      <c r="L523" s="54"/>
      <c r="M523" s="54"/>
      <c r="N523" s="54"/>
      <c r="O523" s="54"/>
      <c r="P523" s="86"/>
      <c r="Q523" s="54"/>
      <c r="R523" s="249"/>
      <c r="T523" s="54"/>
      <c r="U523" s="54"/>
      <c r="V523" s="54"/>
      <c r="W523" s="54"/>
      <c r="X523" s="54"/>
      <c r="Y523" s="54"/>
      <c r="Z523" s="54"/>
      <c r="AA523" s="54"/>
      <c r="AB523" s="287"/>
      <c r="AC523" s="54"/>
      <c r="AD523" s="54"/>
    </row>
    <row r="524">
      <c r="A524" s="54"/>
      <c r="B524" s="312"/>
      <c r="C524" s="312"/>
      <c r="D524" s="54"/>
      <c r="E524" s="54"/>
      <c r="F524" s="54"/>
      <c r="G524" s="54"/>
      <c r="H524" s="54"/>
      <c r="I524" s="54"/>
      <c r="J524" s="54"/>
      <c r="K524" s="63"/>
      <c r="L524" s="54"/>
      <c r="M524" s="54"/>
      <c r="N524" s="54"/>
      <c r="O524" s="54"/>
      <c r="P524" s="86"/>
      <c r="Q524" s="54"/>
      <c r="R524" s="249"/>
      <c r="T524" s="54"/>
      <c r="U524" s="54"/>
      <c r="V524" s="54"/>
      <c r="W524" s="54"/>
      <c r="X524" s="54"/>
      <c r="Y524" s="54"/>
      <c r="Z524" s="54"/>
      <c r="AA524" s="54"/>
      <c r="AB524" s="287"/>
      <c r="AC524" s="54"/>
      <c r="AD524" s="54"/>
    </row>
    <row r="525">
      <c r="A525" s="54"/>
      <c r="B525" s="312"/>
      <c r="C525" s="312"/>
      <c r="D525" s="54"/>
      <c r="E525" s="54"/>
      <c r="F525" s="54"/>
      <c r="G525" s="54"/>
      <c r="H525" s="54"/>
      <c r="I525" s="54"/>
      <c r="J525" s="54"/>
      <c r="K525" s="63"/>
      <c r="L525" s="54"/>
      <c r="M525" s="54"/>
      <c r="N525" s="54"/>
      <c r="O525" s="54"/>
      <c r="P525" s="86"/>
      <c r="Q525" s="54"/>
      <c r="R525" s="249"/>
      <c r="T525" s="54"/>
      <c r="U525" s="54"/>
      <c r="V525" s="54"/>
      <c r="W525" s="54"/>
      <c r="X525" s="54"/>
      <c r="Y525" s="54"/>
      <c r="Z525" s="54"/>
      <c r="AA525" s="54"/>
      <c r="AB525" s="287"/>
      <c r="AC525" s="54"/>
      <c r="AD525" s="54"/>
    </row>
    <row r="526">
      <c r="A526" s="54"/>
      <c r="B526" s="312"/>
      <c r="C526" s="312"/>
      <c r="D526" s="54"/>
      <c r="E526" s="54"/>
      <c r="F526" s="54"/>
      <c r="G526" s="54"/>
      <c r="H526" s="54"/>
      <c r="I526" s="54"/>
      <c r="J526" s="54"/>
      <c r="K526" s="63"/>
      <c r="L526" s="54"/>
      <c r="M526" s="54"/>
      <c r="N526" s="54"/>
      <c r="O526" s="54"/>
      <c r="P526" s="86"/>
      <c r="Q526" s="54"/>
      <c r="R526" s="249"/>
      <c r="T526" s="54"/>
      <c r="U526" s="54"/>
      <c r="V526" s="54"/>
      <c r="W526" s="54"/>
      <c r="X526" s="54"/>
      <c r="Y526" s="54"/>
      <c r="Z526" s="54"/>
      <c r="AA526" s="54"/>
      <c r="AB526" s="287"/>
      <c r="AC526" s="54"/>
      <c r="AD526" s="54"/>
    </row>
    <row r="527">
      <c r="A527" s="54"/>
      <c r="B527" s="312"/>
      <c r="C527" s="312"/>
      <c r="D527" s="54"/>
      <c r="E527" s="54"/>
      <c r="F527" s="54"/>
      <c r="G527" s="54"/>
      <c r="H527" s="54"/>
      <c r="I527" s="54"/>
      <c r="J527" s="54"/>
      <c r="K527" s="63"/>
      <c r="L527" s="54"/>
      <c r="M527" s="54"/>
      <c r="N527" s="54"/>
      <c r="O527" s="54"/>
      <c r="P527" s="86"/>
      <c r="Q527" s="54"/>
      <c r="R527" s="249"/>
      <c r="T527" s="54"/>
      <c r="U527" s="54"/>
      <c r="V527" s="54"/>
      <c r="W527" s="54"/>
      <c r="X527" s="54"/>
      <c r="Y527" s="54"/>
      <c r="Z527" s="54"/>
      <c r="AA527" s="54"/>
      <c r="AB527" s="287"/>
      <c r="AC527" s="54"/>
      <c r="AD527" s="54"/>
    </row>
    <row r="528">
      <c r="A528" s="54"/>
      <c r="B528" s="312"/>
      <c r="C528" s="312"/>
      <c r="D528" s="54"/>
      <c r="E528" s="54"/>
      <c r="F528" s="54"/>
      <c r="G528" s="54"/>
      <c r="H528" s="54"/>
      <c r="I528" s="54"/>
      <c r="J528" s="54"/>
      <c r="K528" s="63"/>
      <c r="L528" s="54"/>
      <c r="M528" s="54"/>
      <c r="N528" s="54"/>
      <c r="O528" s="54"/>
      <c r="P528" s="86"/>
      <c r="Q528" s="54"/>
      <c r="R528" s="249"/>
      <c r="T528" s="54"/>
      <c r="U528" s="54"/>
      <c r="V528" s="54"/>
      <c r="W528" s="54"/>
      <c r="X528" s="54"/>
      <c r="Y528" s="54"/>
      <c r="Z528" s="54"/>
      <c r="AA528" s="54"/>
      <c r="AB528" s="287"/>
      <c r="AC528" s="54"/>
      <c r="AD528" s="54"/>
    </row>
    <row r="529">
      <c r="A529" s="54"/>
      <c r="B529" s="312"/>
      <c r="C529" s="312"/>
      <c r="D529" s="54"/>
      <c r="E529" s="54"/>
      <c r="F529" s="54"/>
      <c r="G529" s="54"/>
      <c r="H529" s="54"/>
      <c r="I529" s="54"/>
      <c r="J529" s="54"/>
      <c r="K529" s="63"/>
      <c r="L529" s="54"/>
      <c r="M529" s="54"/>
      <c r="N529" s="54"/>
      <c r="O529" s="54"/>
      <c r="P529" s="86"/>
      <c r="Q529" s="54"/>
      <c r="R529" s="249"/>
      <c r="T529" s="54"/>
      <c r="U529" s="54"/>
      <c r="V529" s="54"/>
      <c r="W529" s="54"/>
      <c r="X529" s="54"/>
      <c r="Y529" s="54"/>
      <c r="Z529" s="54"/>
      <c r="AA529" s="54"/>
      <c r="AB529" s="287"/>
      <c r="AC529" s="54"/>
      <c r="AD529" s="54"/>
    </row>
    <row r="530">
      <c r="A530" s="54"/>
      <c r="B530" s="312"/>
      <c r="C530" s="312"/>
      <c r="D530" s="54"/>
      <c r="E530" s="54"/>
      <c r="F530" s="54"/>
      <c r="G530" s="54"/>
      <c r="H530" s="54"/>
      <c r="I530" s="54"/>
      <c r="J530" s="54"/>
      <c r="K530" s="63"/>
      <c r="L530" s="54"/>
      <c r="M530" s="54"/>
      <c r="N530" s="54"/>
      <c r="O530" s="54"/>
      <c r="P530" s="86"/>
      <c r="Q530" s="54"/>
      <c r="R530" s="249"/>
      <c r="T530" s="54"/>
      <c r="U530" s="54"/>
      <c r="V530" s="54"/>
      <c r="W530" s="54"/>
      <c r="X530" s="54"/>
      <c r="Y530" s="54"/>
      <c r="Z530" s="54"/>
      <c r="AA530" s="54"/>
      <c r="AB530" s="287"/>
      <c r="AC530" s="54"/>
      <c r="AD530" s="54"/>
    </row>
    <row r="531">
      <c r="A531" s="54"/>
      <c r="B531" s="312"/>
      <c r="C531" s="312"/>
      <c r="D531" s="54"/>
      <c r="E531" s="54"/>
      <c r="F531" s="54"/>
      <c r="G531" s="54"/>
      <c r="H531" s="54"/>
      <c r="I531" s="54"/>
      <c r="J531" s="54"/>
      <c r="K531" s="63"/>
      <c r="L531" s="54"/>
      <c r="M531" s="54"/>
      <c r="N531" s="54"/>
      <c r="O531" s="54"/>
      <c r="P531" s="86"/>
      <c r="Q531" s="54"/>
      <c r="R531" s="249"/>
      <c r="T531" s="54"/>
      <c r="U531" s="54"/>
      <c r="V531" s="54"/>
      <c r="W531" s="54"/>
      <c r="X531" s="54"/>
      <c r="Y531" s="54"/>
      <c r="Z531" s="54"/>
      <c r="AA531" s="54"/>
      <c r="AB531" s="287"/>
      <c r="AC531" s="54"/>
      <c r="AD531" s="54"/>
    </row>
    <row r="532">
      <c r="A532" s="54"/>
      <c r="B532" s="312"/>
      <c r="C532" s="312"/>
      <c r="D532" s="54"/>
      <c r="E532" s="54"/>
      <c r="F532" s="54"/>
      <c r="G532" s="54"/>
      <c r="H532" s="54"/>
      <c r="I532" s="54"/>
      <c r="J532" s="54"/>
      <c r="K532" s="63"/>
      <c r="L532" s="54"/>
      <c r="M532" s="54"/>
      <c r="N532" s="54"/>
      <c r="O532" s="54"/>
      <c r="P532" s="86"/>
      <c r="Q532" s="54"/>
      <c r="R532" s="249"/>
      <c r="T532" s="54"/>
      <c r="U532" s="54"/>
      <c r="V532" s="54"/>
      <c r="W532" s="54"/>
      <c r="X532" s="54"/>
      <c r="Y532" s="54"/>
      <c r="Z532" s="54"/>
      <c r="AA532" s="54"/>
      <c r="AB532" s="287"/>
      <c r="AC532" s="54"/>
      <c r="AD532" s="54"/>
    </row>
    <row r="533">
      <c r="A533" s="54"/>
      <c r="B533" s="312"/>
      <c r="C533" s="312"/>
      <c r="D533" s="54"/>
      <c r="E533" s="54"/>
      <c r="F533" s="54"/>
      <c r="G533" s="54"/>
      <c r="H533" s="54"/>
      <c r="I533" s="54"/>
      <c r="J533" s="54"/>
      <c r="K533" s="63"/>
      <c r="L533" s="54"/>
      <c r="M533" s="54"/>
      <c r="N533" s="54"/>
      <c r="O533" s="54"/>
      <c r="P533" s="86"/>
      <c r="Q533" s="54"/>
      <c r="R533" s="249"/>
      <c r="T533" s="54"/>
      <c r="U533" s="54"/>
      <c r="V533" s="54"/>
      <c r="W533" s="54"/>
      <c r="X533" s="54"/>
      <c r="Y533" s="54"/>
      <c r="Z533" s="54"/>
      <c r="AA533" s="54"/>
      <c r="AB533" s="287"/>
      <c r="AC533" s="54"/>
      <c r="AD533" s="54"/>
    </row>
    <row r="534">
      <c r="A534" s="54"/>
      <c r="B534" s="312"/>
      <c r="C534" s="312"/>
      <c r="D534" s="54"/>
      <c r="E534" s="54"/>
      <c r="F534" s="54"/>
      <c r="G534" s="54"/>
      <c r="H534" s="54"/>
      <c r="I534" s="54"/>
      <c r="J534" s="54"/>
      <c r="K534" s="63"/>
      <c r="L534" s="54"/>
      <c r="M534" s="54"/>
      <c r="N534" s="54"/>
      <c r="O534" s="54"/>
      <c r="P534" s="86"/>
      <c r="Q534" s="54"/>
      <c r="R534" s="249"/>
      <c r="T534" s="54"/>
      <c r="U534" s="54"/>
      <c r="V534" s="54"/>
      <c r="W534" s="54"/>
      <c r="X534" s="54"/>
      <c r="Y534" s="54"/>
      <c r="Z534" s="54"/>
      <c r="AA534" s="54"/>
      <c r="AB534" s="287"/>
      <c r="AC534" s="54"/>
      <c r="AD534" s="54"/>
    </row>
    <row r="535">
      <c r="A535" s="54"/>
      <c r="B535" s="312"/>
      <c r="C535" s="312"/>
      <c r="D535" s="54"/>
      <c r="E535" s="54"/>
      <c r="F535" s="54"/>
      <c r="G535" s="54"/>
      <c r="H535" s="54"/>
      <c r="I535" s="54"/>
      <c r="J535" s="54"/>
      <c r="K535" s="63"/>
      <c r="L535" s="54"/>
      <c r="M535" s="54"/>
      <c r="N535" s="54"/>
      <c r="O535" s="54"/>
      <c r="P535" s="86"/>
      <c r="Q535" s="54"/>
      <c r="R535" s="249"/>
      <c r="T535" s="54"/>
      <c r="U535" s="54"/>
      <c r="V535" s="54"/>
      <c r="W535" s="54"/>
      <c r="X535" s="54"/>
      <c r="Y535" s="54"/>
      <c r="Z535" s="54"/>
      <c r="AA535" s="54"/>
      <c r="AB535" s="287"/>
      <c r="AC535" s="54"/>
      <c r="AD535" s="54"/>
    </row>
    <row r="536">
      <c r="A536" s="54"/>
      <c r="B536" s="312"/>
      <c r="C536" s="312"/>
      <c r="D536" s="54"/>
      <c r="E536" s="54"/>
      <c r="F536" s="54"/>
      <c r="G536" s="54"/>
      <c r="H536" s="54"/>
      <c r="I536" s="54"/>
      <c r="J536" s="54"/>
      <c r="K536" s="63"/>
      <c r="L536" s="54"/>
      <c r="M536" s="54"/>
      <c r="N536" s="54"/>
      <c r="O536" s="54"/>
      <c r="P536" s="86"/>
      <c r="Q536" s="54"/>
      <c r="R536" s="249"/>
      <c r="T536" s="54"/>
      <c r="U536" s="54"/>
      <c r="V536" s="54"/>
      <c r="W536" s="54"/>
      <c r="X536" s="54"/>
      <c r="Y536" s="54"/>
      <c r="Z536" s="54"/>
      <c r="AA536" s="54"/>
      <c r="AB536" s="287"/>
      <c r="AC536" s="54"/>
      <c r="AD536" s="54"/>
    </row>
    <row r="537">
      <c r="A537" s="54"/>
      <c r="B537" s="312"/>
      <c r="C537" s="312"/>
      <c r="D537" s="54"/>
      <c r="E537" s="54"/>
      <c r="F537" s="54"/>
      <c r="G537" s="54"/>
      <c r="H537" s="54"/>
      <c r="I537" s="54"/>
      <c r="J537" s="54"/>
      <c r="K537" s="63"/>
      <c r="L537" s="54"/>
      <c r="M537" s="54"/>
      <c r="N537" s="54"/>
      <c r="O537" s="54"/>
      <c r="P537" s="86"/>
      <c r="Q537" s="54"/>
      <c r="R537" s="249"/>
      <c r="T537" s="54"/>
      <c r="U537" s="54"/>
      <c r="V537" s="54"/>
      <c r="W537" s="54"/>
      <c r="X537" s="54"/>
      <c r="Y537" s="54"/>
      <c r="Z537" s="54"/>
      <c r="AA537" s="54"/>
      <c r="AB537" s="287"/>
      <c r="AC537" s="54"/>
      <c r="AD537" s="54"/>
    </row>
    <row r="538">
      <c r="A538" s="54"/>
      <c r="B538" s="312"/>
      <c r="C538" s="312"/>
      <c r="D538" s="54"/>
      <c r="E538" s="54"/>
      <c r="F538" s="54"/>
      <c r="G538" s="54"/>
      <c r="H538" s="54"/>
      <c r="I538" s="54"/>
      <c r="J538" s="54"/>
      <c r="K538" s="63"/>
      <c r="L538" s="54"/>
      <c r="M538" s="54"/>
      <c r="N538" s="54"/>
      <c r="O538" s="54"/>
      <c r="P538" s="86"/>
      <c r="Q538" s="54"/>
      <c r="R538" s="249"/>
      <c r="T538" s="54"/>
      <c r="U538" s="54"/>
      <c r="V538" s="54"/>
      <c r="W538" s="54"/>
      <c r="X538" s="54"/>
      <c r="Y538" s="54"/>
      <c r="Z538" s="54"/>
      <c r="AA538" s="54"/>
      <c r="AB538" s="287"/>
      <c r="AC538" s="54"/>
      <c r="AD538" s="54"/>
    </row>
    <row r="539">
      <c r="A539" s="54"/>
      <c r="B539" s="312"/>
      <c r="C539" s="312"/>
      <c r="D539" s="54"/>
      <c r="E539" s="54"/>
      <c r="F539" s="54"/>
      <c r="G539" s="54"/>
      <c r="H539" s="54"/>
      <c r="I539" s="54"/>
      <c r="J539" s="54"/>
      <c r="K539" s="63"/>
      <c r="L539" s="54"/>
      <c r="M539" s="54"/>
      <c r="N539" s="54"/>
      <c r="O539" s="54"/>
      <c r="P539" s="86"/>
      <c r="Q539" s="54"/>
      <c r="R539" s="249"/>
      <c r="T539" s="54"/>
      <c r="U539" s="54"/>
      <c r="V539" s="54"/>
      <c r="W539" s="54"/>
      <c r="X539" s="54"/>
      <c r="Y539" s="54"/>
      <c r="Z539" s="54"/>
      <c r="AA539" s="54"/>
      <c r="AB539" s="287"/>
      <c r="AC539" s="54"/>
      <c r="AD539" s="54"/>
    </row>
    <row r="540">
      <c r="A540" s="54"/>
      <c r="B540" s="312"/>
      <c r="C540" s="312"/>
      <c r="D540" s="54"/>
      <c r="E540" s="54"/>
      <c r="F540" s="54"/>
      <c r="G540" s="54"/>
      <c r="H540" s="54"/>
      <c r="I540" s="54"/>
      <c r="J540" s="54"/>
      <c r="K540" s="63"/>
      <c r="L540" s="54"/>
      <c r="M540" s="54"/>
      <c r="N540" s="54"/>
      <c r="O540" s="54"/>
      <c r="P540" s="86"/>
      <c r="Q540" s="54"/>
      <c r="R540" s="249"/>
      <c r="T540" s="54"/>
      <c r="U540" s="54"/>
      <c r="V540" s="54"/>
      <c r="W540" s="54"/>
      <c r="X540" s="54"/>
      <c r="Y540" s="54"/>
      <c r="Z540" s="54"/>
      <c r="AA540" s="54"/>
      <c r="AB540" s="287"/>
      <c r="AC540" s="54"/>
      <c r="AD540" s="54"/>
    </row>
    <row r="541">
      <c r="A541" s="54"/>
      <c r="B541" s="312"/>
      <c r="C541" s="312"/>
      <c r="D541" s="54"/>
      <c r="E541" s="54"/>
      <c r="F541" s="54"/>
      <c r="G541" s="54"/>
      <c r="H541" s="54"/>
      <c r="I541" s="54"/>
      <c r="J541" s="54"/>
      <c r="K541" s="63"/>
      <c r="L541" s="54"/>
      <c r="M541" s="54"/>
      <c r="N541" s="54"/>
      <c r="O541" s="54"/>
      <c r="P541" s="86"/>
      <c r="Q541" s="54"/>
      <c r="R541" s="249"/>
      <c r="T541" s="54"/>
      <c r="U541" s="54"/>
      <c r="V541" s="54"/>
      <c r="W541" s="54"/>
      <c r="X541" s="54"/>
      <c r="Y541" s="54"/>
      <c r="Z541" s="54"/>
      <c r="AA541" s="54"/>
      <c r="AB541" s="287"/>
      <c r="AC541" s="54"/>
      <c r="AD541" s="54"/>
    </row>
    <row r="542">
      <c r="A542" s="54"/>
      <c r="B542" s="312"/>
      <c r="C542" s="312"/>
      <c r="D542" s="54"/>
      <c r="E542" s="54"/>
      <c r="F542" s="54"/>
      <c r="G542" s="54"/>
      <c r="H542" s="54"/>
      <c r="I542" s="54"/>
      <c r="J542" s="54"/>
      <c r="K542" s="63"/>
      <c r="L542" s="54"/>
      <c r="M542" s="54"/>
      <c r="N542" s="54"/>
      <c r="O542" s="54"/>
      <c r="P542" s="86"/>
      <c r="Q542" s="54"/>
      <c r="R542" s="249"/>
      <c r="T542" s="54"/>
      <c r="U542" s="54"/>
      <c r="V542" s="54"/>
      <c r="W542" s="54"/>
      <c r="X542" s="54"/>
      <c r="Y542" s="54"/>
      <c r="Z542" s="54"/>
      <c r="AA542" s="54"/>
      <c r="AB542" s="287"/>
      <c r="AC542" s="54"/>
      <c r="AD542" s="54"/>
    </row>
    <row r="543">
      <c r="A543" s="54"/>
      <c r="B543" s="312"/>
      <c r="C543" s="312"/>
      <c r="D543" s="54"/>
      <c r="E543" s="54"/>
      <c r="F543" s="54"/>
      <c r="G543" s="54"/>
      <c r="H543" s="54"/>
      <c r="I543" s="54"/>
      <c r="J543" s="54"/>
      <c r="K543" s="63"/>
      <c r="L543" s="54"/>
      <c r="M543" s="54"/>
      <c r="N543" s="54"/>
      <c r="O543" s="54"/>
      <c r="P543" s="86"/>
      <c r="Q543" s="54"/>
      <c r="R543" s="249"/>
      <c r="T543" s="54"/>
      <c r="U543" s="54"/>
      <c r="V543" s="54"/>
      <c r="W543" s="54"/>
      <c r="X543" s="54"/>
      <c r="Y543" s="54"/>
      <c r="Z543" s="54"/>
      <c r="AA543" s="54"/>
      <c r="AB543" s="287"/>
      <c r="AC543" s="54"/>
      <c r="AD543" s="54"/>
    </row>
    <row r="544">
      <c r="A544" s="54"/>
      <c r="B544" s="312"/>
      <c r="C544" s="312"/>
      <c r="D544" s="54"/>
      <c r="E544" s="54"/>
      <c r="F544" s="54"/>
      <c r="G544" s="54"/>
      <c r="H544" s="54"/>
      <c r="I544" s="54"/>
      <c r="J544" s="54"/>
      <c r="K544" s="63"/>
      <c r="L544" s="54"/>
      <c r="M544" s="54"/>
      <c r="N544" s="54"/>
      <c r="O544" s="54"/>
      <c r="P544" s="86"/>
      <c r="Q544" s="54"/>
      <c r="R544" s="249"/>
      <c r="T544" s="54"/>
      <c r="U544" s="54"/>
      <c r="V544" s="54"/>
      <c r="W544" s="54"/>
      <c r="X544" s="54"/>
      <c r="Y544" s="54"/>
      <c r="Z544" s="54"/>
      <c r="AA544" s="54"/>
      <c r="AB544" s="287"/>
      <c r="AC544" s="54"/>
      <c r="AD544" s="54"/>
    </row>
    <row r="545">
      <c r="A545" s="54"/>
      <c r="B545" s="312"/>
      <c r="C545" s="312"/>
      <c r="D545" s="54"/>
      <c r="E545" s="54"/>
      <c r="F545" s="54"/>
      <c r="G545" s="54"/>
      <c r="H545" s="54"/>
      <c r="I545" s="54"/>
      <c r="J545" s="54"/>
      <c r="K545" s="63"/>
      <c r="L545" s="54"/>
      <c r="M545" s="54"/>
      <c r="N545" s="54"/>
      <c r="O545" s="54"/>
      <c r="P545" s="86"/>
      <c r="Q545" s="54"/>
      <c r="R545" s="249"/>
      <c r="T545" s="54"/>
      <c r="U545" s="54"/>
      <c r="V545" s="54"/>
      <c r="W545" s="54"/>
      <c r="X545" s="54"/>
      <c r="Y545" s="54"/>
      <c r="Z545" s="54"/>
      <c r="AA545" s="54"/>
      <c r="AB545" s="287"/>
      <c r="AC545" s="54"/>
      <c r="AD545" s="54"/>
    </row>
    <row r="546">
      <c r="A546" s="54"/>
      <c r="B546" s="312"/>
      <c r="C546" s="312"/>
      <c r="D546" s="54"/>
      <c r="E546" s="54"/>
      <c r="F546" s="54"/>
      <c r="G546" s="54"/>
      <c r="H546" s="54"/>
      <c r="I546" s="54"/>
      <c r="J546" s="54"/>
      <c r="K546" s="63"/>
      <c r="L546" s="54"/>
      <c r="M546" s="54"/>
      <c r="N546" s="54"/>
      <c r="O546" s="54"/>
      <c r="P546" s="86"/>
      <c r="Q546" s="54"/>
      <c r="R546" s="249"/>
      <c r="T546" s="54"/>
      <c r="U546" s="54"/>
      <c r="V546" s="54"/>
      <c r="W546" s="54"/>
      <c r="X546" s="54"/>
      <c r="Y546" s="54"/>
      <c r="Z546" s="54"/>
      <c r="AA546" s="54"/>
      <c r="AB546" s="287"/>
      <c r="AC546" s="54"/>
      <c r="AD546" s="54"/>
    </row>
    <row r="547">
      <c r="A547" s="54"/>
      <c r="B547" s="312"/>
      <c r="C547" s="312"/>
      <c r="D547" s="54"/>
      <c r="E547" s="54"/>
      <c r="F547" s="54"/>
      <c r="G547" s="54"/>
      <c r="H547" s="54"/>
      <c r="I547" s="54"/>
      <c r="J547" s="54"/>
      <c r="K547" s="63"/>
      <c r="L547" s="54"/>
      <c r="M547" s="54"/>
      <c r="N547" s="54"/>
      <c r="O547" s="54"/>
      <c r="P547" s="86"/>
      <c r="Q547" s="54"/>
      <c r="R547" s="249"/>
      <c r="T547" s="54"/>
      <c r="U547" s="54"/>
      <c r="V547" s="54"/>
      <c r="W547" s="54"/>
      <c r="X547" s="54"/>
      <c r="Y547" s="54"/>
      <c r="Z547" s="54"/>
      <c r="AA547" s="54"/>
      <c r="AB547" s="287"/>
      <c r="AC547" s="54"/>
      <c r="AD547" s="54"/>
    </row>
    <row r="548">
      <c r="A548" s="54"/>
      <c r="B548" s="312"/>
      <c r="C548" s="312"/>
      <c r="D548" s="54"/>
      <c r="E548" s="54"/>
      <c r="F548" s="54"/>
      <c r="G548" s="54"/>
      <c r="H548" s="54"/>
      <c r="I548" s="54"/>
      <c r="J548" s="54"/>
      <c r="K548" s="63"/>
      <c r="L548" s="54"/>
      <c r="M548" s="54"/>
      <c r="N548" s="54"/>
      <c r="O548" s="54"/>
      <c r="P548" s="86"/>
      <c r="Q548" s="54"/>
      <c r="R548" s="249"/>
      <c r="T548" s="54"/>
      <c r="U548" s="54"/>
      <c r="V548" s="54"/>
      <c r="W548" s="54"/>
      <c r="X548" s="54"/>
      <c r="Y548" s="54"/>
      <c r="Z548" s="54"/>
      <c r="AA548" s="54"/>
      <c r="AB548" s="287"/>
      <c r="AC548" s="54"/>
      <c r="AD548" s="54"/>
    </row>
    <row r="549">
      <c r="A549" s="54"/>
      <c r="B549" s="312"/>
      <c r="C549" s="312"/>
      <c r="D549" s="54"/>
      <c r="E549" s="54"/>
      <c r="F549" s="54"/>
      <c r="G549" s="54"/>
      <c r="H549" s="54"/>
      <c r="I549" s="54"/>
      <c r="J549" s="54"/>
      <c r="K549" s="63"/>
      <c r="L549" s="54"/>
      <c r="M549" s="54"/>
      <c r="N549" s="54"/>
      <c r="O549" s="54"/>
      <c r="P549" s="86"/>
      <c r="Q549" s="54"/>
      <c r="R549" s="249"/>
      <c r="T549" s="54"/>
      <c r="U549" s="54"/>
      <c r="V549" s="54"/>
      <c r="W549" s="54"/>
      <c r="X549" s="54"/>
      <c r="Y549" s="54"/>
      <c r="Z549" s="54"/>
      <c r="AA549" s="54"/>
      <c r="AB549" s="287"/>
      <c r="AC549" s="54"/>
      <c r="AD549" s="54"/>
    </row>
    <row r="550">
      <c r="A550" s="54"/>
      <c r="B550" s="312"/>
      <c r="C550" s="312"/>
      <c r="D550" s="54"/>
      <c r="E550" s="54"/>
      <c r="F550" s="54"/>
      <c r="G550" s="54"/>
      <c r="H550" s="54"/>
      <c r="I550" s="54"/>
      <c r="J550" s="54"/>
      <c r="K550" s="63"/>
      <c r="L550" s="54"/>
      <c r="M550" s="54"/>
      <c r="N550" s="54"/>
      <c r="O550" s="54"/>
      <c r="P550" s="86"/>
      <c r="Q550" s="54"/>
      <c r="R550" s="249"/>
      <c r="T550" s="54"/>
      <c r="U550" s="54"/>
      <c r="V550" s="54"/>
      <c r="W550" s="54"/>
      <c r="X550" s="54"/>
      <c r="Y550" s="54"/>
      <c r="Z550" s="54"/>
      <c r="AA550" s="54"/>
      <c r="AB550" s="287"/>
      <c r="AC550" s="54"/>
      <c r="AD550" s="54"/>
    </row>
    <row r="551">
      <c r="A551" s="54"/>
      <c r="B551" s="312"/>
      <c r="C551" s="312"/>
      <c r="D551" s="54"/>
      <c r="E551" s="54"/>
      <c r="F551" s="54"/>
      <c r="G551" s="54"/>
      <c r="H551" s="54"/>
      <c r="I551" s="54"/>
      <c r="J551" s="54"/>
      <c r="K551" s="63"/>
      <c r="L551" s="54"/>
      <c r="M551" s="54"/>
      <c r="N551" s="54"/>
      <c r="O551" s="54"/>
      <c r="P551" s="86"/>
      <c r="Q551" s="54"/>
      <c r="R551" s="249"/>
      <c r="T551" s="54"/>
      <c r="U551" s="54"/>
      <c r="V551" s="54"/>
      <c r="W551" s="54"/>
      <c r="X551" s="54"/>
      <c r="Y551" s="54"/>
      <c r="Z551" s="54"/>
      <c r="AA551" s="54"/>
      <c r="AB551" s="287"/>
      <c r="AC551" s="54"/>
      <c r="AD551" s="54"/>
    </row>
    <row r="552">
      <c r="A552" s="54"/>
      <c r="B552" s="312"/>
      <c r="C552" s="312"/>
      <c r="D552" s="54"/>
      <c r="E552" s="54"/>
      <c r="F552" s="54"/>
      <c r="G552" s="54"/>
      <c r="H552" s="54"/>
      <c r="I552" s="54"/>
      <c r="J552" s="54"/>
      <c r="K552" s="63"/>
      <c r="L552" s="54"/>
      <c r="M552" s="54"/>
      <c r="N552" s="54"/>
      <c r="O552" s="54"/>
      <c r="P552" s="86"/>
      <c r="Q552" s="54"/>
      <c r="R552" s="249"/>
      <c r="T552" s="54"/>
      <c r="U552" s="54"/>
      <c r="V552" s="54"/>
      <c r="W552" s="54"/>
      <c r="X552" s="54"/>
      <c r="Y552" s="54"/>
      <c r="Z552" s="54"/>
      <c r="AA552" s="54"/>
      <c r="AB552" s="287"/>
      <c r="AC552" s="54"/>
      <c r="AD552" s="54"/>
    </row>
    <row r="553">
      <c r="A553" s="54"/>
      <c r="B553" s="312"/>
      <c r="C553" s="312"/>
      <c r="D553" s="54"/>
      <c r="E553" s="54"/>
      <c r="F553" s="54"/>
      <c r="G553" s="54"/>
      <c r="H553" s="54"/>
      <c r="I553" s="54"/>
      <c r="J553" s="54"/>
      <c r="K553" s="63"/>
      <c r="L553" s="54"/>
      <c r="M553" s="54"/>
      <c r="N553" s="54"/>
      <c r="O553" s="54"/>
      <c r="P553" s="86"/>
      <c r="Q553" s="54"/>
      <c r="R553" s="249"/>
      <c r="T553" s="54"/>
      <c r="U553" s="54"/>
      <c r="V553" s="54"/>
      <c r="W553" s="54"/>
      <c r="X553" s="54"/>
      <c r="Y553" s="54"/>
      <c r="Z553" s="54"/>
      <c r="AA553" s="54"/>
      <c r="AB553" s="287"/>
      <c r="AC553" s="54"/>
      <c r="AD553" s="54"/>
    </row>
    <row r="554">
      <c r="A554" s="54"/>
      <c r="B554" s="312"/>
      <c r="C554" s="312"/>
      <c r="D554" s="54"/>
      <c r="E554" s="54"/>
      <c r="F554" s="54"/>
      <c r="G554" s="54"/>
      <c r="H554" s="54"/>
      <c r="I554" s="54"/>
      <c r="J554" s="54"/>
      <c r="K554" s="63"/>
      <c r="L554" s="54"/>
      <c r="M554" s="54"/>
      <c r="N554" s="54"/>
      <c r="O554" s="54"/>
      <c r="P554" s="86"/>
      <c r="Q554" s="54"/>
      <c r="R554" s="249"/>
      <c r="T554" s="54"/>
      <c r="U554" s="54"/>
      <c r="V554" s="54"/>
      <c r="W554" s="54"/>
      <c r="X554" s="54"/>
      <c r="Y554" s="54"/>
      <c r="Z554" s="54"/>
      <c r="AA554" s="54"/>
      <c r="AB554" s="287"/>
      <c r="AC554" s="54"/>
      <c r="AD554" s="54"/>
    </row>
    <row r="555">
      <c r="A555" s="54"/>
      <c r="B555" s="312"/>
      <c r="C555" s="312"/>
      <c r="D555" s="54"/>
      <c r="E555" s="54"/>
      <c r="F555" s="54"/>
      <c r="G555" s="54"/>
      <c r="H555" s="54"/>
      <c r="I555" s="54"/>
      <c r="J555" s="54"/>
      <c r="K555" s="63"/>
      <c r="L555" s="54"/>
      <c r="M555" s="54"/>
      <c r="N555" s="54"/>
      <c r="O555" s="54"/>
      <c r="P555" s="86"/>
      <c r="Q555" s="54"/>
      <c r="R555" s="249"/>
      <c r="T555" s="54"/>
      <c r="U555" s="54"/>
      <c r="V555" s="54"/>
      <c r="W555" s="54"/>
      <c r="X555" s="54"/>
      <c r="Y555" s="54"/>
      <c r="Z555" s="54"/>
      <c r="AA555" s="54"/>
      <c r="AB555" s="287"/>
      <c r="AC555" s="54"/>
      <c r="AD555" s="54"/>
    </row>
    <row r="556">
      <c r="A556" s="54"/>
      <c r="B556" s="312"/>
      <c r="C556" s="312"/>
      <c r="D556" s="54"/>
      <c r="E556" s="54"/>
      <c r="F556" s="54"/>
      <c r="G556" s="54"/>
      <c r="H556" s="54"/>
      <c r="I556" s="54"/>
      <c r="J556" s="54"/>
      <c r="K556" s="63"/>
      <c r="L556" s="54"/>
      <c r="M556" s="54"/>
      <c r="N556" s="54"/>
      <c r="O556" s="54"/>
      <c r="P556" s="86"/>
      <c r="Q556" s="54"/>
      <c r="R556" s="249"/>
      <c r="T556" s="54"/>
      <c r="U556" s="54"/>
      <c r="V556" s="54"/>
      <c r="W556" s="54"/>
      <c r="X556" s="54"/>
      <c r="Y556" s="54"/>
      <c r="Z556" s="54"/>
      <c r="AA556" s="54"/>
      <c r="AB556" s="287"/>
      <c r="AC556" s="54"/>
      <c r="AD556" s="54"/>
    </row>
    <row r="557">
      <c r="A557" s="54"/>
      <c r="B557" s="312"/>
      <c r="C557" s="312"/>
      <c r="D557" s="54"/>
      <c r="E557" s="54"/>
      <c r="F557" s="54"/>
      <c r="G557" s="54"/>
      <c r="H557" s="54"/>
      <c r="I557" s="54"/>
      <c r="J557" s="54"/>
      <c r="K557" s="63"/>
      <c r="L557" s="54"/>
      <c r="M557" s="54"/>
      <c r="N557" s="54"/>
      <c r="O557" s="54"/>
      <c r="P557" s="86"/>
      <c r="Q557" s="54"/>
      <c r="R557" s="249"/>
      <c r="T557" s="54"/>
      <c r="U557" s="54"/>
      <c r="V557" s="54"/>
      <c r="W557" s="54"/>
      <c r="X557" s="54"/>
      <c r="Y557" s="54"/>
      <c r="Z557" s="54"/>
      <c r="AA557" s="54"/>
      <c r="AB557" s="287"/>
      <c r="AC557" s="54"/>
      <c r="AD557" s="54"/>
    </row>
    <row r="558">
      <c r="A558" s="54"/>
      <c r="B558" s="312"/>
      <c r="C558" s="312"/>
      <c r="D558" s="54"/>
      <c r="E558" s="54"/>
      <c r="F558" s="54"/>
      <c r="G558" s="54"/>
      <c r="H558" s="54"/>
      <c r="I558" s="54"/>
      <c r="J558" s="54"/>
      <c r="K558" s="63"/>
      <c r="L558" s="54"/>
      <c r="M558" s="54"/>
      <c r="N558" s="54"/>
      <c r="O558" s="54"/>
      <c r="P558" s="86"/>
      <c r="Q558" s="54"/>
      <c r="R558" s="249"/>
      <c r="T558" s="54"/>
      <c r="U558" s="54"/>
      <c r="V558" s="54"/>
      <c r="W558" s="54"/>
      <c r="X558" s="54"/>
      <c r="Y558" s="54"/>
      <c r="Z558" s="54"/>
      <c r="AA558" s="54"/>
      <c r="AB558" s="287"/>
      <c r="AC558" s="54"/>
      <c r="AD558" s="54"/>
    </row>
    <row r="559">
      <c r="A559" s="54"/>
      <c r="B559" s="312"/>
      <c r="C559" s="312"/>
      <c r="D559" s="54"/>
      <c r="E559" s="54"/>
      <c r="F559" s="54"/>
      <c r="G559" s="54"/>
      <c r="H559" s="54"/>
      <c r="I559" s="54"/>
      <c r="J559" s="54"/>
      <c r="K559" s="63"/>
      <c r="L559" s="54"/>
      <c r="M559" s="54"/>
      <c r="N559" s="54"/>
      <c r="O559" s="54"/>
      <c r="P559" s="86"/>
      <c r="Q559" s="54"/>
      <c r="R559" s="249"/>
      <c r="T559" s="54"/>
      <c r="U559" s="54"/>
      <c r="V559" s="54"/>
      <c r="W559" s="54"/>
      <c r="X559" s="54"/>
      <c r="Y559" s="54"/>
      <c r="Z559" s="54"/>
      <c r="AA559" s="54"/>
      <c r="AB559" s="287"/>
      <c r="AC559" s="54"/>
      <c r="AD559" s="54"/>
    </row>
    <row r="560">
      <c r="A560" s="54"/>
      <c r="B560" s="312"/>
      <c r="C560" s="312"/>
      <c r="D560" s="54"/>
      <c r="E560" s="54"/>
      <c r="F560" s="54"/>
      <c r="G560" s="54"/>
      <c r="H560" s="54"/>
      <c r="I560" s="54"/>
      <c r="J560" s="54"/>
      <c r="K560" s="63"/>
      <c r="L560" s="54"/>
      <c r="M560" s="54"/>
      <c r="N560" s="54"/>
      <c r="O560" s="54"/>
      <c r="P560" s="86"/>
      <c r="Q560" s="54"/>
      <c r="R560" s="249"/>
      <c r="T560" s="54"/>
      <c r="U560" s="54"/>
      <c r="V560" s="54"/>
      <c r="W560" s="54"/>
      <c r="X560" s="54"/>
      <c r="Y560" s="54"/>
      <c r="Z560" s="54"/>
      <c r="AA560" s="54"/>
      <c r="AB560" s="287"/>
      <c r="AC560" s="54"/>
      <c r="AD560" s="54"/>
    </row>
    <row r="561">
      <c r="A561" s="54"/>
      <c r="B561" s="312"/>
      <c r="C561" s="312"/>
      <c r="D561" s="54"/>
      <c r="E561" s="54"/>
      <c r="F561" s="54"/>
      <c r="G561" s="54"/>
      <c r="H561" s="54"/>
      <c r="I561" s="54"/>
      <c r="J561" s="54"/>
      <c r="K561" s="63"/>
      <c r="L561" s="54"/>
      <c r="M561" s="54"/>
      <c r="N561" s="54"/>
      <c r="O561" s="54"/>
      <c r="P561" s="86"/>
      <c r="Q561" s="54"/>
      <c r="R561" s="249"/>
      <c r="T561" s="54"/>
      <c r="U561" s="54"/>
      <c r="V561" s="54"/>
      <c r="W561" s="54"/>
      <c r="X561" s="54"/>
      <c r="Y561" s="54"/>
      <c r="Z561" s="54"/>
      <c r="AA561" s="54"/>
      <c r="AB561" s="287"/>
      <c r="AC561" s="54"/>
      <c r="AD561" s="54"/>
    </row>
    <row r="562">
      <c r="A562" s="54"/>
      <c r="B562" s="312"/>
      <c r="C562" s="312"/>
      <c r="D562" s="54"/>
      <c r="E562" s="54"/>
      <c r="F562" s="54"/>
      <c r="G562" s="54"/>
      <c r="H562" s="54"/>
      <c r="I562" s="54"/>
      <c r="J562" s="54"/>
      <c r="K562" s="63"/>
      <c r="L562" s="54"/>
      <c r="M562" s="54"/>
      <c r="N562" s="54"/>
      <c r="O562" s="54"/>
      <c r="P562" s="86"/>
      <c r="Q562" s="54"/>
      <c r="R562" s="249"/>
      <c r="T562" s="54"/>
      <c r="U562" s="54"/>
      <c r="V562" s="54"/>
      <c r="W562" s="54"/>
      <c r="X562" s="54"/>
      <c r="Y562" s="54"/>
      <c r="Z562" s="54"/>
      <c r="AA562" s="54"/>
      <c r="AB562" s="287"/>
      <c r="AC562" s="54"/>
      <c r="AD562" s="54"/>
    </row>
    <row r="563">
      <c r="A563" s="54"/>
      <c r="B563" s="312"/>
      <c r="C563" s="312"/>
      <c r="D563" s="54"/>
      <c r="E563" s="54"/>
      <c r="F563" s="54"/>
      <c r="G563" s="54"/>
      <c r="H563" s="54"/>
      <c r="I563" s="54"/>
      <c r="J563" s="54"/>
      <c r="K563" s="63"/>
      <c r="L563" s="54"/>
      <c r="M563" s="54"/>
      <c r="N563" s="54"/>
      <c r="O563" s="54"/>
      <c r="P563" s="86"/>
      <c r="Q563" s="54"/>
      <c r="R563" s="249"/>
      <c r="T563" s="54"/>
      <c r="U563" s="54"/>
      <c r="V563" s="54"/>
      <c r="W563" s="54"/>
      <c r="X563" s="54"/>
      <c r="Y563" s="54"/>
      <c r="Z563" s="54"/>
      <c r="AA563" s="54"/>
      <c r="AB563" s="287"/>
      <c r="AC563" s="54"/>
      <c r="AD563" s="54"/>
    </row>
    <row r="564">
      <c r="A564" s="54"/>
      <c r="B564" s="312"/>
      <c r="C564" s="312"/>
      <c r="D564" s="54"/>
      <c r="E564" s="54"/>
      <c r="F564" s="54"/>
      <c r="G564" s="54"/>
      <c r="H564" s="54"/>
      <c r="I564" s="54"/>
      <c r="J564" s="54"/>
      <c r="K564" s="63"/>
      <c r="L564" s="54"/>
      <c r="M564" s="54"/>
      <c r="N564" s="54"/>
      <c r="O564" s="54"/>
      <c r="P564" s="86"/>
      <c r="Q564" s="54"/>
      <c r="R564" s="249"/>
      <c r="T564" s="54"/>
      <c r="U564" s="54"/>
      <c r="V564" s="54"/>
      <c r="W564" s="54"/>
      <c r="X564" s="54"/>
      <c r="Y564" s="54"/>
      <c r="Z564" s="54"/>
      <c r="AA564" s="54"/>
      <c r="AB564" s="287"/>
      <c r="AC564" s="54"/>
      <c r="AD564" s="54"/>
    </row>
    <row r="565">
      <c r="A565" s="54"/>
      <c r="B565" s="312"/>
      <c r="C565" s="312"/>
      <c r="D565" s="54"/>
      <c r="E565" s="54"/>
      <c r="F565" s="54"/>
      <c r="G565" s="54"/>
      <c r="H565" s="54"/>
      <c r="I565" s="54"/>
      <c r="J565" s="54"/>
      <c r="K565" s="63"/>
      <c r="L565" s="54"/>
      <c r="M565" s="54"/>
      <c r="N565" s="54"/>
      <c r="O565" s="54"/>
      <c r="P565" s="86"/>
      <c r="Q565" s="54"/>
      <c r="R565" s="249"/>
      <c r="T565" s="54"/>
      <c r="U565" s="54"/>
      <c r="V565" s="54"/>
      <c r="W565" s="54"/>
      <c r="X565" s="54"/>
      <c r="Y565" s="54"/>
      <c r="Z565" s="54"/>
      <c r="AA565" s="54"/>
      <c r="AB565" s="287"/>
      <c r="AC565" s="54"/>
      <c r="AD565" s="54"/>
    </row>
    <row r="566">
      <c r="A566" s="54"/>
      <c r="B566" s="312"/>
      <c r="C566" s="312"/>
      <c r="D566" s="54"/>
      <c r="E566" s="54"/>
      <c r="F566" s="54"/>
      <c r="G566" s="54"/>
      <c r="H566" s="54"/>
      <c r="I566" s="54"/>
      <c r="J566" s="54"/>
      <c r="K566" s="63"/>
      <c r="L566" s="54"/>
      <c r="M566" s="54"/>
      <c r="N566" s="54"/>
      <c r="O566" s="54"/>
      <c r="P566" s="86"/>
      <c r="Q566" s="54"/>
      <c r="R566" s="249"/>
      <c r="T566" s="54"/>
      <c r="U566" s="54"/>
      <c r="V566" s="54"/>
      <c r="W566" s="54"/>
      <c r="X566" s="54"/>
      <c r="Y566" s="54"/>
      <c r="Z566" s="54"/>
      <c r="AA566" s="54"/>
      <c r="AB566" s="287"/>
      <c r="AC566" s="54"/>
      <c r="AD566" s="54"/>
    </row>
    <row r="567">
      <c r="A567" s="54"/>
      <c r="B567" s="312"/>
      <c r="C567" s="312"/>
      <c r="D567" s="54"/>
      <c r="E567" s="54"/>
      <c r="F567" s="54"/>
      <c r="G567" s="54"/>
      <c r="H567" s="54"/>
      <c r="I567" s="54"/>
      <c r="J567" s="54"/>
      <c r="K567" s="63"/>
      <c r="L567" s="54"/>
      <c r="M567" s="54"/>
      <c r="N567" s="54"/>
      <c r="O567" s="54"/>
      <c r="P567" s="86"/>
      <c r="Q567" s="54"/>
      <c r="R567" s="249"/>
      <c r="T567" s="54"/>
      <c r="U567" s="54"/>
      <c r="V567" s="54"/>
      <c r="W567" s="54"/>
      <c r="X567" s="54"/>
      <c r="Y567" s="54"/>
      <c r="Z567" s="54"/>
      <c r="AA567" s="54"/>
      <c r="AB567" s="287"/>
      <c r="AC567" s="54"/>
      <c r="AD567" s="54"/>
    </row>
    <row r="568">
      <c r="A568" s="54"/>
      <c r="B568" s="312"/>
      <c r="C568" s="312"/>
      <c r="D568" s="54"/>
      <c r="E568" s="54"/>
      <c r="F568" s="54"/>
      <c r="G568" s="54"/>
      <c r="H568" s="54"/>
      <c r="I568" s="54"/>
      <c r="J568" s="54"/>
      <c r="K568" s="63"/>
      <c r="L568" s="54"/>
      <c r="M568" s="54"/>
      <c r="N568" s="54"/>
      <c r="O568" s="54"/>
      <c r="P568" s="86"/>
      <c r="Q568" s="54"/>
      <c r="R568" s="249"/>
      <c r="T568" s="54"/>
      <c r="U568" s="54"/>
      <c r="V568" s="54"/>
      <c r="W568" s="54"/>
      <c r="X568" s="54"/>
      <c r="Y568" s="54"/>
      <c r="Z568" s="54"/>
      <c r="AA568" s="54"/>
      <c r="AB568" s="287"/>
      <c r="AC568" s="54"/>
      <c r="AD568" s="54"/>
    </row>
    <row r="569">
      <c r="A569" s="54"/>
      <c r="B569" s="312"/>
      <c r="C569" s="312"/>
      <c r="D569" s="54"/>
      <c r="E569" s="54"/>
      <c r="F569" s="54"/>
      <c r="G569" s="54"/>
      <c r="H569" s="54"/>
      <c r="I569" s="54"/>
      <c r="J569" s="54"/>
      <c r="K569" s="63"/>
      <c r="L569" s="54"/>
      <c r="M569" s="54"/>
      <c r="N569" s="54"/>
      <c r="O569" s="54"/>
      <c r="P569" s="86"/>
      <c r="Q569" s="54"/>
      <c r="R569" s="249"/>
      <c r="T569" s="54"/>
      <c r="U569" s="54"/>
      <c r="V569" s="54"/>
      <c r="W569" s="54"/>
      <c r="X569" s="54"/>
      <c r="Y569" s="54"/>
      <c r="Z569" s="54"/>
      <c r="AA569" s="54"/>
      <c r="AB569" s="287"/>
      <c r="AC569" s="54"/>
      <c r="AD569" s="54"/>
    </row>
    <row r="570">
      <c r="A570" s="54"/>
      <c r="B570" s="312"/>
      <c r="C570" s="312"/>
      <c r="D570" s="54"/>
      <c r="E570" s="54"/>
      <c r="F570" s="54"/>
      <c r="G570" s="54"/>
      <c r="H570" s="54"/>
      <c r="I570" s="54"/>
      <c r="J570" s="54"/>
      <c r="K570" s="63"/>
      <c r="L570" s="54"/>
      <c r="M570" s="54"/>
      <c r="N570" s="54"/>
      <c r="O570" s="54"/>
      <c r="P570" s="86"/>
      <c r="Q570" s="54"/>
      <c r="R570" s="249"/>
      <c r="T570" s="54"/>
      <c r="U570" s="54"/>
      <c r="V570" s="54"/>
      <c r="W570" s="54"/>
      <c r="X570" s="54"/>
      <c r="Y570" s="54"/>
      <c r="Z570" s="54"/>
      <c r="AA570" s="54"/>
      <c r="AB570" s="287"/>
      <c r="AC570" s="54"/>
      <c r="AD570" s="54"/>
    </row>
    <row r="571">
      <c r="A571" s="54"/>
      <c r="B571" s="312"/>
      <c r="C571" s="312"/>
      <c r="D571" s="54"/>
      <c r="E571" s="54"/>
      <c r="F571" s="54"/>
      <c r="G571" s="54"/>
      <c r="H571" s="54"/>
      <c r="I571" s="54"/>
      <c r="J571" s="54"/>
      <c r="K571" s="63"/>
      <c r="L571" s="54"/>
      <c r="M571" s="54"/>
      <c r="N571" s="54"/>
      <c r="O571" s="54"/>
      <c r="P571" s="86"/>
      <c r="Q571" s="54"/>
      <c r="R571" s="249"/>
      <c r="T571" s="54"/>
      <c r="U571" s="54"/>
      <c r="V571" s="54"/>
      <c r="W571" s="54"/>
      <c r="X571" s="54"/>
      <c r="Y571" s="54"/>
      <c r="Z571" s="54"/>
      <c r="AA571" s="54"/>
      <c r="AB571" s="287"/>
      <c r="AC571" s="54"/>
      <c r="AD571" s="54"/>
    </row>
    <row r="572">
      <c r="A572" s="54"/>
      <c r="B572" s="312"/>
      <c r="C572" s="312"/>
      <c r="D572" s="54"/>
      <c r="E572" s="54"/>
      <c r="F572" s="54"/>
      <c r="G572" s="54"/>
      <c r="H572" s="54"/>
      <c r="I572" s="54"/>
      <c r="J572" s="54"/>
      <c r="K572" s="63"/>
      <c r="L572" s="54"/>
      <c r="M572" s="54"/>
      <c r="N572" s="54"/>
      <c r="O572" s="54"/>
      <c r="P572" s="86"/>
      <c r="Q572" s="54"/>
      <c r="R572" s="249"/>
      <c r="T572" s="54"/>
      <c r="U572" s="54"/>
      <c r="V572" s="54"/>
      <c r="W572" s="54"/>
      <c r="X572" s="54"/>
      <c r="Y572" s="54"/>
      <c r="Z572" s="54"/>
      <c r="AA572" s="54"/>
      <c r="AB572" s="287"/>
      <c r="AC572" s="54"/>
      <c r="AD572" s="54"/>
    </row>
    <row r="573">
      <c r="A573" s="54"/>
      <c r="B573" s="312"/>
      <c r="C573" s="312"/>
      <c r="D573" s="54"/>
      <c r="E573" s="54"/>
      <c r="F573" s="54"/>
      <c r="G573" s="54"/>
      <c r="H573" s="54"/>
      <c r="I573" s="54"/>
      <c r="J573" s="54"/>
      <c r="K573" s="63"/>
      <c r="L573" s="54"/>
      <c r="M573" s="54"/>
      <c r="N573" s="54"/>
      <c r="O573" s="54"/>
      <c r="P573" s="86"/>
      <c r="Q573" s="54"/>
      <c r="R573" s="249"/>
      <c r="T573" s="54"/>
      <c r="U573" s="54"/>
      <c r="V573" s="54"/>
      <c r="W573" s="54"/>
      <c r="X573" s="54"/>
      <c r="Y573" s="54"/>
      <c r="Z573" s="54"/>
      <c r="AA573" s="54"/>
      <c r="AB573" s="287"/>
      <c r="AC573" s="54"/>
      <c r="AD573" s="54"/>
    </row>
    <row r="574">
      <c r="A574" s="54"/>
      <c r="B574" s="312"/>
      <c r="C574" s="312"/>
      <c r="D574" s="54"/>
      <c r="E574" s="54"/>
      <c r="F574" s="54"/>
      <c r="G574" s="54"/>
      <c r="H574" s="54"/>
      <c r="I574" s="54"/>
      <c r="J574" s="54"/>
      <c r="K574" s="63"/>
      <c r="L574" s="54"/>
      <c r="M574" s="54"/>
      <c r="N574" s="54"/>
      <c r="O574" s="54"/>
      <c r="P574" s="86"/>
      <c r="Q574" s="54"/>
      <c r="R574" s="249"/>
      <c r="T574" s="54"/>
      <c r="U574" s="54"/>
      <c r="V574" s="54"/>
      <c r="W574" s="54"/>
      <c r="X574" s="54"/>
      <c r="Y574" s="54"/>
      <c r="Z574" s="54"/>
      <c r="AA574" s="54"/>
      <c r="AB574" s="287"/>
      <c r="AC574" s="54"/>
      <c r="AD574" s="54"/>
    </row>
    <row r="575">
      <c r="A575" s="54"/>
      <c r="B575" s="312"/>
      <c r="C575" s="312"/>
      <c r="D575" s="54"/>
      <c r="E575" s="54"/>
      <c r="F575" s="54"/>
      <c r="G575" s="54"/>
      <c r="H575" s="54"/>
      <c r="I575" s="54"/>
      <c r="J575" s="54"/>
      <c r="K575" s="63"/>
      <c r="L575" s="54"/>
      <c r="M575" s="54"/>
      <c r="N575" s="54"/>
      <c r="O575" s="54"/>
      <c r="P575" s="86"/>
      <c r="Q575" s="54"/>
      <c r="R575" s="249"/>
      <c r="T575" s="54"/>
      <c r="U575" s="54"/>
      <c r="V575" s="54"/>
      <c r="W575" s="54"/>
      <c r="X575" s="54"/>
      <c r="Y575" s="54"/>
      <c r="Z575" s="54"/>
      <c r="AA575" s="54"/>
      <c r="AB575" s="287"/>
      <c r="AC575" s="54"/>
      <c r="AD575" s="54"/>
    </row>
    <row r="576">
      <c r="A576" s="54"/>
      <c r="B576" s="312"/>
      <c r="C576" s="312"/>
      <c r="D576" s="54"/>
      <c r="E576" s="54"/>
      <c r="F576" s="54"/>
      <c r="G576" s="54"/>
      <c r="H576" s="54"/>
      <c r="I576" s="54"/>
      <c r="J576" s="54"/>
      <c r="K576" s="63"/>
      <c r="L576" s="54"/>
      <c r="M576" s="54"/>
      <c r="N576" s="54"/>
      <c r="O576" s="54"/>
      <c r="P576" s="86"/>
      <c r="Q576" s="54"/>
      <c r="R576" s="249"/>
      <c r="T576" s="54"/>
      <c r="U576" s="54"/>
      <c r="V576" s="54"/>
      <c r="W576" s="54"/>
      <c r="X576" s="54"/>
      <c r="Y576" s="54"/>
      <c r="Z576" s="54"/>
      <c r="AA576" s="54"/>
      <c r="AB576" s="287"/>
      <c r="AC576" s="54"/>
      <c r="AD576" s="54"/>
    </row>
    <row r="577">
      <c r="A577" s="54"/>
      <c r="B577" s="312"/>
      <c r="C577" s="312"/>
      <c r="D577" s="54"/>
      <c r="E577" s="54"/>
      <c r="F577" s="54"/>
      <c r="G577" s="54"/>
      <c r="H577" s="54"/>
      <c r="I577" s="54"/>
      <c r="J577" s="54"/>
      <c r="K577" s="63"/>
      <c r="L577" s="54"/>
      <c r="M577" s="54"/>
      <c r="N577" s="54"/>
      <c r="O577" s="54"/>
      <c r="P577" s="86"/>
      <c r="Q577" s="54"/>
      <c r="R577" s="249"/>
      <c r="T577" s="54"/>
      <c r="U577" s="54"/>
      <c r="V577" s="54"/>
      <c r="W577" s="54"/>
      <c r="X577" s="54"/>
      <c r="Y577" s="54"/>
      <c r="Z577" s="54"/>
      <c r="AA577" s="54"/>
      <c r="AB577" s="287"/>
      <c r="AC577" s="54"/>
      <c r="AD577" s="54"/>
    </row>
    <row r="578">
      <c r="A578" s="54"/>
      <c r="B578" s="312"/>
      <c r="C578" s="312"/>
      <c r="D578" s="54"/>
      <c r="E578" s="54"/>
      <c r="F578" s="54"/>
      <c r="G578" s="54"/>
      <c r="H578" s="54"/>
      <c r="I578" s="54"/>
      <c r="J578" s="54"/>
      <c r="K578" s="63"/>
      <c r="L578" s="54"/>
      <c r="M578" s="54"/>
      <c r="N578" s="54"/>
      <c r="O578" s="54"/>
      <c r="P578" s="86"/>
      <c r="Q578" s="54"/>
      <c r="R578" s="249"/>
      <c r="T578" s="54"/>
      <c r="U578" s="54"/>
      <c r="V578" s="54"/>
      <c r="W578" s="54"/>
      <c r="X578" s="54"/>
      <c r="Y578" s="54"/>
      <c r="Z578" s="54"/>
      <c r="AA578" s="54"/>
      <c r="AB578" s="287"/>
      <c r="AC578" s="54"/>
      <c r="AD578" s="54"/>
    </row>
    <row r="579">
      <c r="A579" s="54"/>
      <c r="B579" s="312"/>
      <c r="C579" s="312"/>
      <c r="D579" s="54"/>
      <c r="E579" s="54"/>
      <c r="F579" s="54"/>
      <c r="G579" s="54"/>
      <c r="H579" s="54"/>
      <c r="I579" s="54"/>
      <c r="J579" s="54"/>
      <c r="K579" s="63"/>
      <c r="L579" s="54"/>
      <c r="M579" s="54"/>
      <c r="N579" s="54"/>
      <c r="O579" s="54"/>
      <c r="P579" s="86"/>
      <c r="Q579" s="54"/>
      <c r="R579" s="249"/>
      <c r="T579" s="54"/>
      <c r="U579" s="54"/>
      <c r="V579" s="54"/>
      <c r="W579" s="54"/>
      <c r="X579" s="54"/>
      <c r="Y579" s="54"/>
      <c r="Z579" s="54"/>
      <c r="AA579" s="54"/>
      <c r="AB579" s="287"/>
      <c r="AC579" s="54"/>
      <c r="AD579" s="54"/>
    </row>
    <row r="580">
      <c r="A580" s="54"/>
      <c r="B580" s="312"/>
      <c r="C580" s="312"/>
      <c r="D580" s="54"/>
      <c r="E580" s="54"/>
      <c r="F580" s="54"/>
      <c r="G580" s="54"/>
      <c r="H580" s="54"/>
      <c r="I580" s="54"/>
      <c r="J580" s="54"/>
      <c r="K580" s="63"/>
      <c r="L580" s="54"/>
      <c r="M580" s="54"/>
      <c r="N580" s="54"/>
      <c r="O580" s="54"/>
      <c r="P580" s="86"/>
      <c r="Q580" s="54"/>
      <c r="R580" s="249"/>
      <c r="T580" s="54"/>
      <c r="U580" s="54"/>
      <c r="V580" s="54"/>
      <c r="W580" s="54"/>
      <c r="X580" s="54"/>
      <c r="Y580" s="54"/>
      <c r="Z580" s="54"/>
      <c r="AA580" s="54"/>
      <c r="AB580" s="287"/>
      <c r="AC580" s="54"/>
      <c r="AD580" s="54"/>
    </row>
    <row r="581">
      <c r="A581" s="54"/>
      <c r="B581" s="312"/>
      <c r="C581" s="312"/>
      <c r="D581" s="54"/>
      <c r="E581" s="54"/>
      <c r="F581" s="54"/>
      <c r="G581" s="54"/>
      <c r="H581" s="54"/>
      <c r="I581" s="54"/>
      <c r="J581" s="54"/>
      <c r="K581" s="63"/>
      <c r="L581" s="54"/>
      <c r="M581" s="54"/>
      <c r="N581" s="54"/>
      <c r="O581" s="54"/>
      <c r="P581" s="86"/>
      <c r="Q581" s="54"/>
      <c r="R581" s="249"/>
      <c r="T581" s="54"/>
      <c r="U581" s="54"/>
      <c r="V581" s="54"/>
      <c r="W581" s="54"/>
      <c r="X581" s="54"/>
      <c r="Y581" s="54"/>
      <c r="Z581" s="54"/>
      <c r="AA581" s="54"/>
      <c r="AB581" s="287"/>
      <c r="AC581" s="54"/>
      <c r="AD581" s="54"/>
    </row>
    <row r="582">
      <c r="A582" s="54"/>
      <c r="B582" s="312"/>
      <c r="C582" s="312"/>
      <c r="D582" s="54"/>
      <c r="E582" s="54"/>
      <c r="F582" s="54"/>
      <c r="G582" s="54"/>
      <c r="H582" s="54"/>
      <c r="I582" s="54"/>
      <c r="J582" s="54"/>
      <c r="K582" s="63"/>
      <c r="L582" s="54"/>
      <c r="M582" s="54"/>
      <c r="N582" s="54"/>
      <c r="O582" s="54"/>
      <c r="P582" s="86"/>
      <c r="Q582" s="54"/>
      <c r="R582" s="249"/>
      <c r="T582" s="54"/>
      <c r="U582" s="54"/>
      <c r="V582" s="54"/>
      <c r="W582" s="54"/>
      <c r="X582" s="54"/>
      <c r="Y582" s="54"/>
      <c r="Z582" s="54"/>
      <c r="AA582" s="54"/>
      <c r="AB582" s="287"/>
      <c r="AC582" s="54"/>
      <c r="AD582" s="54"/>
    </row>
    <row r="583">
      <c r="A583" s="54"/>
      <c r="B583" s="312"/>
      <c r="C583" s="312"/>
      <c r="D583" s="54"/>
      <c r="E583" s="54"/>
      <c r="F583" s="54"/>
      <c r="G583" s="54"/>
      <c r="H583" s="54"/>
      <c r="I583" s="54"/>
      <c r="J583" s="54"/>
      <c r="K583" s="63"/>
      <c r="L583" s="54"/>
      <c r="M583" s="54"/>
      <c r="N583" s="54"/>
      <c r="O583" s="54"/>
      <c r="P583" s="86"/>
      <c r="Q583" s="54"/>
      <c r="R583" s="249"/>
      <c r="T583" s="54"/>
      <c r="U583" s="54"/>
      <c r="V583" s="54"/>
      <c r="W583" s="54"/>
      <c r="X583" s="54"/>
      <c r="Y583" s="54"/>
      <c r="Z583" s="54"/>
      <c r="AA583" s="54"/>
      <c r="AB583" s="287"/>
      <c r="AC583" s="54"/>
      <c r="AD583" s="54"/>
    </row>
    <row r="584">
      <c r="A584" s="54"/>
      <c r="B584" s="312"/>
      <c r="C584" s="312"/>
      <c r="D584" s="54"/>
      <c r="E584" s="54"/>
      <c r="F584" s="54"/>
      <c r="G584" s="54"/>
      <c r="H584" s="54"/>
      <c r="I584" s="54"/>
      <c r="J584" s="54"/>
      <c r="K584" s="63"/>
      <c r="L584" s="54"/>
      <c r="M584" s="54"/>
      <c r="N584" s="54"/>
      <c r="O584" s="54"/>
      <c r="P584" s="86"/>
      <c r="Q584" s="54"/>
      <c r="R584" s="249"/>
      <c r="T584" s="54"/>
      <c r="U584" s="54"/>
      <c r="V584" s="54"/>
      <c r="W584" s="54"/>
      <c r="X584" s="54"/>
      <c r="Y584" s="54"/>
      <c r="Z584" s="54"/>
      <c r="AA584" s="54"/>
      <c r="AB584" s="287"/>
      <c r="AC584" s="54"/>
      <c r="AD584" s="54"/>
    </row>
    <row r="585">
      <c r="A585" s="54"/>
      <c r="B585" s="312"/>
      <c r="C585" s="312"/>
      <c r="D585" s="54"/>
      <c r="E585" s="54"/>
      <c r="F585" s="54"/>
      <c r="G585" s="54"/>
      <c r="H585" s="54"/>
      <c r="I585" s="54"/>
      <c r="J585" s="54"/>
      <c r="K585" s="63"/>
      <c r="L585" s="54"/>
      <c r="M585" s="54"/>
      <c r="N585" s="54"/>
      <c r="O585" s="54"/>
      <c r="P585" s="86"/>
      <c r="Q585" s="54"/>
      <c r="R585" s="249"/>
      <c r="T585" s="54"/>
      <c r="U585" s="54"/>
      <c r="V585" s="54"/>
      <c r="W585" s="54"/>
      <c r="X585" s="54"/>
      <c r="Y585" s="54"/>
      <c r="Z585" s="54"/>
      <c r="AA585" s="54"/>
      <c r="AB585" s="287"/>
      <c r="AC585" s="54"/>
      <c r="AD585" s="54"/>
    </row>
    <row r="586">
      <c r="A586" s="54"/>
      <c r="B586" s="312"/>
      <c r="C586" s="312"/>
      <c r="D586" s="54"/>
      <c r="E586" s="54"/>
      <c r="F586" s="54"/>
      <c r="G586" s="54"/>
      <c r="H586" s="54"/>
      <c r="I586" s="54"/>
      <c r="J586" s="54"/>
      <c r="K586" s="63"/>
      <c r="L586" s="54"/>
      <c r="M586" s="54"/>
      <c r="N586" s="54"/>
      <c r="O586" s="54"/>
      <c r="P586" s="86"/>
      <c r="Q586" s="54"/>
      <c r="R586" s="249"/>
      <c r="T586" s="54"/>
      <c r="U586" s="54"/>
      <c r="V586" s="54"/>
      <c r="W586" s="54"/>
      <c r="X586" s="54"/>
      <c r="Y586" s="54"/>
      <c r="Z586" s="54"/>
      <c r="AA586" s="54"/>
      <c r="AB586" s="287"/>
      <c r="AC586" s="54"/>
      <c r="AD586" s="54"/>
    </row>
    <row r="587">
      <c r="A587" s="54"/>
      <c r="B587" s="312"/>
      <c r="C587" s="312"/>
      <c r="D587" s="54"/>
      <c r="E587" s="54"/>
      <c r="F587" s="54"/>
      <c r="G587" s="54"/>
      <c r="H587" s="54"/>
      <c r="I587" s="54"/>
      <c r="J587" s="54"/>
      <c r="K587" s="63"/>
      <c r="L587" s="54"/>
      <c r="M587" s="54"/>
      <c r="N587" s="54"/>
      <c r="O587" s="54"/>
      <c r="P587" s="86"/>
      <c r="Q587" s="54"/>
      <c r="R587" s="249"/>
      <c r="T587" s="54"/>
      <c r="U587" s="54"/>
      <c r="V587" s="54"/>
      <c r="W587" s="54"/>
      <c r="X587" s="54"/>
      <c r="Y587" s="54"/>
      <c r="Z587" s="54"/>
      <c r="AA587" s="54"/>
      <c r="AB587" s="287"/>
      <c r="AC587" s="54"/>
      <c r="AD587" s="54"/>
    </row>
    <row r="588">
      <c r="A588" s="54"/>
      <c r="B588" s="312"/>
      <c r="C588" s="312"/>
      <c r="D588" s="54"/>
      <c r="E588" s="54"/>
      <c r="F588" s="54"/>
      <c r="G588" s="54"/>
      <c r="H588" s="54"/>
      <c r="I588" s="54"/>
      <c r="J588" s="54"/>
      <c r="K588" s="63"/>
      <c r="L588" s="54"/>
      <c r="M588" s="54"/>
      <c r="N588" s="54"/>
      <c r="O588" s="54"/>
      <c r="P588" s="86"/>
      <c r="Q588" s="54"/>
      <c r="R588" s="249"/>
      <c r="T588" s="54"/>
      <c r="U588" s="54"/>
      <c r="V588" s="54"/>
      <c r="W588" s="54"/>
      <c r="X588" s="54"/>
      <c r="Y588" s="54"/>
      <c r="Z588" s="54"/>
      <c r="AA588" s="54"/>
      <c r="AB588" s="287"/>
      <c r="AC588" s="54"/>
      <c r="AD588" s="54"/>
    </row>
    <row r="589">
      <c r="A589" s="54"/>
      <c r="B589" s="312"/>
      <c r="C589" s="312"/>
      <c r="D589" s="54"/>
      <c r="E589" s="54"/>
      <c r="F589" s="54"/>
      <c r="G589" s="54"/>
      <c r="H589" s="54"/>
      <c r="I589" s="54"/>
      <c r="J589" s="54"/>
      <c r="K589" s="63"/>
      <c r="L589" s="54"/>
      <c r="M589" s="54"/>
      <c r="N589" s="54"/>
      <c r="O589" s="54"/>
      <c r="P589" s="86"/>
      <c r="Q589" s="54"/>
      <c r="R589" s="249"/>
      <c r="T589" s="54"/>
      <c r="U589" s="54"/>
      <c r="V589" s="54"/>
      <c r="W589" s="54"/>
      <c r="X589" s="54"/>
      <c r="Y589" s="54"/>
      <c r="Z589" s="54"/>
      <c r="AA589" s="54"/>
      <c r="AB589" s="287"/>
      <c r="AC589" s="54"/>
      <c r="AD589" s="54"/>
    </row>
    <row r="590">
      <c r="A590" s="54"/>
      <c r="B590" s="312"/>
      <c r="C590" s="312"/>
      <c r="D590" s="54"/>
      <c r="E590" s="54"/>
      <c r="F590" s="54"/>
      <c r="G590" s="54"/>
      <c r="H590" s="54"/>
      <c r="I590" s="54"/>
      <c r="J590" s="54"/>
      <c r="K590" s="63"/>
      <c r="L590" s="54"/>
      <c r="M590" s="54"/>
      <c r="N590" s="54"/>
      <c r="O590" s="54"/>
      <c r="P590" s="86"/>
      <c r="Q590" s="54"/>
      <c r="R590" s="249"/>
      <c r="T590" s="54"/>
      <c r="U590" s="54"/>
      <c r="V590" s="54"/>
      <c r="W590" s="54"/>
      <c r="X590" s="54"/>
      <c r="Y590" s="54"/>
      <c r="Z590" s="54"/>
      <c r="AA590" s="54"/>
      <c r="AB590" s="287"/>
      <c r="AC590" s="54"/>
      <c r="AD590" s="54"/>
    </row>
    <row r="591">
      <c r="A591" s="54"/>
      <c r="B591" s="312"/>
      <c r="C591" s="312"/>
      <c r="D591" s="54"/>
      <c r="E591" s="54"/>
      <c r="F591" s="54"/>
      <c r="G591" s="54"/>
      <c r="H591" s="54"/>
      <c r="I591" s="54"/>
      <c r="J591" s="54"/>
      <c r="K591" s="63"/>
      <c r="L591" s="54"/>
      <c r="M591" s="54"/>
      <c r="N591" s="54"/>
      <c r="O591" s="54"/>
      <c r="P591" s="86"/>
      <c r="Q591" s="54"/>
      <c r="R591" s="249"/>
      <c r="T591" s="54"/>
      <c r="U591" s="54"/>
      <c r="V591" s="54"/>
      <c r="W591" s="54"/>
      <c r="X591" s="54"/>
      <c r="Y591" s="54"/>
      <c r="Z591" s="54"/>
      <c r="AA591" s="54"/>
      <c r="AB591" s="287"/>
      <c r="AC591" s="54"/>
      <c r="AD591" s="54"/>
    </row>
    <row r="592">
      <c r="A592" s="54"/>
      <c r="B592" s="312"/>
      <c r="C592" s="312"/>
      <c r="D592" s="54"/>
      <c r="E592" s="54"/>
      <c r="F592" s="54"/>
      <c r="G592" s="54"/>
      <c r="H592" s="54"/>
      <c r="I592" s="54"/>
      <c r="J592" s="54"/>
      <c r="K592" s="63"/>
      <c r="L592" s="54"/>
      <c r="M592" s="54"/>
      <c r="N592" s="54"/>
      <c r="O592" s="54"/>
      <c r="P592" s="86"/>
      <c r="Q592" s="54"/>
      <c r="R592" s="249"/>
      <c r="T592" s="54"/>
      <c r="U592" s="54"/>
      <c r="V592" s="54"/>
      <c r="W592" s="54"/>
      <c r="X592" s="54"/>
      <c r="Y592" s="54"/>
      <c r="Z592" s="54"/>
      <c r="AA592" s="54"/>
      <c r="AB592" s="287"/>
      <c r="AC592" s="54"/>
      <c r="AD592" s="54"/>
    </row>
    <row r="593">
      <c r="A593" s="54"/>
      <c r="B593" s="312"/>
      <c r="C593" s="312"/>
      <c r="D593" s="54"/>
      <c r="E593" s="54"/>
      <c r="F593" s="54"/>
      <c r="G593" s="54"/>
      <c r="H593" s="54"/>
      <c r="I593" s="54"/>
      <c r="J593" s="54"/>
      <c r="K593" s="63"/>
      <c r="L593" s="54"/>
      <c r="M593" s="54"/>
      <c r="N593" s="54"/>
      <c r="O593" s="54"/>
      <c r="P593" s="86"/>
      <c r="Q593" s="54"/>
      <c r="R593" s="249"/>
      <c r="T593" s="54"/>
      <c r="U593" s="54"/>
      <c r="V593" s="54"/>
      <c r="W593" s="54"/>
      <c r="X593" s="54"/>
      <c r="Y593" s="54"/>
      <c r="Z593" s="54"/>
      <c r="AA593" s="54"/>
      <c r="AB593" s="287"/>
      <c r="AC593" s="54"/>
      <c r="AD593" s="54"/>
    </row>
    <row r="594">
      <c r="A594" s="54"/>
      <c r="B594" s="312"/>
      <c r="C594" s="312"/>
      <c r="D594" s="54"/>
      <c r="E594" s="54"/>
      <c r="F594" s="54"/>
      <c r="G594" s="54"/>
      <c r="H594" s="54"/>
      <c r="I594" s="54"/>
      <c r="J594" s="54"/>
      <c r="K594" s="63"/>
      <c r="L594" s="54"/>
      <c r="M594" s="54"/>
      <c r="N594" s="54"/>
      <c r="O594" s="54"/>
      <c r="P594" s="86"/>
      <c r="Q594" s="54"/>
      <c r="R594" s="249"/>
      <c r="T594" s="54"/>
      <c r="U594" s="54"/>
      <c r="V594" s="54"/>
      <c r="W594" s="54"/>
      <c r="X594" s="54"/>
      <c r="Y594" s="54"/>
      <c r="Z594" s="54"/>
      <c r="AA594" s="54"/>
      <c r="AB594" s="287"/>
      <c r="AC594" s="54"/>
      <c r="AD594" s="54"/>
    </row>
    <row r="595">
      <c r="A595" s="54"/>
      <c r="B595" s="312"/>
      <c r="C595" s="312"/>
      <c r="D595" s="54"/>
      <c r="E595" s="54"/>
      <c r="F595" s="54"/>
      <c r="G595" s="54"/>
      <c r="H595" s="54"/>
      <c r="I595" s="54"/>
      <c r="J595" s="54"/>
      <c r="K595" s="63"/>
      <c r="L595" s="54"/>
      <c r="M595" s="54"/>
      <c r="N595" s="54"/>
      <c r="O595" s="54"/>
      <c r="P595" s="86"/>
      <c r="Q595" s="54"/>
      <c r="R595" s="249"/>
      <c r="T595" s="54"/>
      <c r="U595" s="54"/>
      <c r="V595" s="54"/>
      <c r="W595" s="54"/>
      <c r="X595" s="54"/>
      <c r="Y595" s="54"/>
      <c r="Z595" s="54"/>
      <c r="AA595" s="54"/>
      <c r="AB595" s="287"/>
      <c r="AC595" s="54"/>
      <c r="AD595" s="54"/>
    </row>
    <row r="596">
      <c r="A596" s="54"/>
      <c r="B596" s="312"/>
      <c r="C596" s="312"/>
      <c r="D596" s="54"/>
      <c r="E596" s="54"/>
      <c r="F596" s="54"/>
      <c r="G596" s="54"/>
      <c r="H596" s="54"/>
      <c r="I596" s="54"/>
      <c r="J596" s="54"/>
      <c r="K596" s="63"/>
      <c r="L596" s="54"/>
      <c r="M596" s="54"/>
      <c r="N596" s="54"/>
      <c r="O596" s="54"/>
      <c r="P596" s="86"/>
      <c r="Q596" s="54"/>
      <c r="R596" s="249"/>
      <c r="T596" s="54"/>
      <c r="U596" s="54"/>
      <c r="V596" s="54"/>
      <c r="W596" s="54"/>
      <c r="X596" s="54"/>
      <c r="Y596" s="54"/>
      <c r="Z596" s="54"/>
      <c r="AA596" s="54"/>
      <c r="AB596" s="287"/>
      <c r="AC596" s="54"/>
      <c r="AD596" s="54"/>
    </row>
    <row r="597">
      <c r="A597" s="54"/>
      <c r="B597" s="312"/>
      <c r="C597" s="312"/>
      <c r="D597" s="54"/>
      <c r="E597" s="54"/>
      <c r="F597" s="54"/>
      <c r="G597" s="54"/>
      <c r="H597" s="54"/>
      <c r="I597" s="54"/>
      <c r="J597" s="54"/>
      <c r="K597" s="63"/>
      <c r="L597" s="54"/>
      <c r="M597" s="54"/>
      <c r="N597" s="54"/>
      <c r="O597" s="54"/>
      <c r="P597" s="86"/>
      <c r="Q597" s="54"/>
      <c r="R597" s="249"/>
      <c r="T597" s="54"/>
      <c r="U597" s="54"/>
      <c r="V597" s="54"/>
      <c r="W597" s="54"/>
      <c r="X597" s="54"/>
      <c r="Y597" s="54"/>
      <c r="Z597" s="54"/>
      <c r="AA597" s="54"/>
      <c r="AB597" s="287"/>
      <c r="AC597" s="54"/>
      <c r="AD597" s="54"/>
    </row>
    <row r="598">
      <c r="A598" s="54"/>
      <c r="B598" s="312"/>
      <c r="C598" s="312"/>
      <c r="D598" s="54"/>
      <c r="E598" s="54"/>
      <c r="F598" s="54"/>
      <c r="G598" s="54"/>
      <c r="H598" s="54"/>
      <c r="I598" s="54"/>
      <c r="J598" s="54"/>
      <c r="K598" s="63"/>
      <c r="L598" s="54"/>
      <c r="M598" s="54"/>
      <c r="N598" s="54"/>
      <c r="O598" s="54"/>
      <c r="P598" s="86"/>
      <c r="Q598" s="54"/>
      <c r="R598" s="249"/>
      <c r="T598" s="54"/>
      <c r="U598" s="54"/>
      <c r="V598" s="54"/>
      <c r="W598" s="54"/>
      <c r="X598" s="54"/>
      <c r="Y598" s="54"/>
      <c r="Z598" s="54"/>
      <c r="AA598" s="54"/>
      <c r="AB598" s="287"/>
      <c r="AC598" s="54"/>
      <c r="AD598" s="54"/>
    </row>
    <row r="599">
      <c r="A599" s="54"/>
      <c r="B599" s="312"/>
      <c r="C599" s="312"/>
      <c r="D599" s="54"/>
      <c r="E599" s="54"/>
      <c r="F599" s="54"/>
      <c r="G599" s="54"/>
      <c r="H599" s="54"/>
      <c r="I599" s="54"/>
      <c r="J599" s="54"/>
      <c r="K599" s="63"/>
      <c r="L599" s="54"/>
      <c r="M599" s="54"/>
      <c r="N599" s="54"/>
      <c r="O599" s="54"/>
      <c r="P599" s="86"/>
      <c r="Q599" s="54"/>
      <c r="R599" s="249"/>
      <c r="T599" s="54"/>
      <c r="U599" s="54"/>
      <c r="V599" s="54"/>
      <c r="W599" s="54"/>
      <c r="X599" s="54"/>
      <c r="Y599" s="54"/>
      <c r="Z599" s="54"/>
      <c r="AA599" s="54"/>
      <c r="AB599" s="287"/>
      <c r="AC599" s="54"/>
      <c r="AD599" s="54"/>
    </row>
    <row r="600">
      <c r="A600" s="54"/>
      <c r="B600" s="312"/>
      <c r="C600" s="312"/>
      <c r="D600" s="54"/>
      <c r="E600" s="54"/>
      <c r="F600" s="54"/>
      <c r="G600" s="54"/>
      <c r="H600" s="54"/>
      <c r="I600" s="54"/>
      <c r="J600" s="54"/>
      <c r="K600" s="63"/>
      <c r="L600" s="54"/>
      <c r="M600" s="54"/>
      <c r="N600" s="54"/>
      <c r="O600" s="54"/>
      <c r="P600" s="86"/>
      <c r="Q600" s="54"/>
      <c r="R600" s="249"/>
      <c r="T600" s="54"/>
      <c r="U600" s="54"/>
      <c r="V600" s="54"/>
      <c r="W600" s="54"/>
      <c r="X600" s="54"/>
      <c r="Y600" s="54"/>
      <c r="Z600" s="54"/>
      <c r="AA600" s="54"/>
      <c r="AB600" s="287"/>
      <c r="AC600" s="54"/>
      <c r="AD600" s="54"/>
    </row>
    <row r="601">
      <c r="A601" s="54"/>
      <c r="B601" s="312"/>
      <c r="C601" s="312"/>
      <c r="D601" s="54"/>
      <c r="E601" s="54"/>
      <c r="F601" s="54"/>
      <c r="G601" s="54"/>
      <c r="H601" s="54"/>
      <c r="I601" s="54"/>
      <c r="J601" s="54"/>
      <c r="K601" s="63"/>
      <c r="L601" s="54"/>
      <c r="M601" s="54"/>
      <c r="N601" s="54"/>
      <c r="O601" s="54"/>
      <c r="P601" s="86"/>
      <c r="Q601" s="54"/>
      <c r="R601" s="249"/>
      <c r="T601" s="54"/>
      <c r="U601" s="54"/>
      <c r="V601" s="54"/>
      <c r="W601" s="54"/>
      <c r="X601" s="54"/>
      <c r="Y601" s="54"/>
      <c r="Z601" s="54"/>
      <c r="AA601" s="54"/>
      <c r="AB601" s="287"/>
      <c r="AC601" s="54"/>
      <c r="AD601" s="54"/>
    </row>
    <row r="602">
      <c r="A602" s="54"/>
      <c r="B602" s="312"/>
      <c r="C602" s="312"/>
      <c r="D602" s="54"/>
      <c r="E602" s="54"/>
      <c r="F602" s="54"/>
      <c r="G602" s="54"/>
      <c r="H602" s="54"/>
      <c r="I602" s="54"/>
      <c r="J602" s="54"/>
      <c r="K602" s="63"/>
      <c r="L602" s="54"/>
      <c r="M602" s="54"/>
      <c r="N602" s="54"/>
      <c r="O602" s="54"/>
      <c r="P602" s="86"/>
      <c r="Q602" s="54"/>
      <c r="R602" s="249"/>
      <c r="T602" s="54"/>
      <c r="U602" s="54"/>
      <c r="V602" s="54"/>
      <c r="W602" s="54"/>
      <c r="X602" s="54"/>
      <c r="Y602" s="54"/>
      <c r="Z602" s="54"/>
      <c r="AA602" s="54"/>
      <c r="AB602" s="287"/>
      <c r="AC602" s="54"/>
      <c r="AD602" s="54"/>
    </row>
    <row r="603">
      <c r="A603" s="54"/>
      <c r="B603" s="312"/>
      <c r="C603" s="312"/>
      <c r="D603" s="54"/>
      <c r="E603" s="54"/>
      <c r="F603" s="54"/>
      <c r="G603" s="54"/>
      <c r="H603" s="54"/>
      <c r="I603" s="54"/>
      <c r="J603" s="54"/>
      <c r="K603" s="63"/>
      <c r="L603" s="54"/>
      <c r="M603" s="54"/>
      <c r="N603" s="54"/>
      <c r="O603" s="54"/>
      <c r="P603" s="86"/>
      <c r="Q603" s="54"/>
      <c r="R603" s="249"/>
      <c r="T603" s="54"/>
      <c r="U603" s="54"/>
      <c r="V603" s="54"/>
      <c r="W603" s="54"/>
      <c r="X603" s="54"/>
      <c r="Y603" s="54"/>
      <c r="Z603" s="54"/>
      <c r="AA603" s="54"/>
      <c r="AB603" s="287"/>
      <c r="AC603" s="54"/>
      <c r="AD603" s="54"/>
    </row>
    <row r="604">
      <c r="A604" s="54"/>
      <c r="B604" s="312"/>
      <c r="C604" s="312"/>
      <c r="D604" s="54"/>
      <c r="E604" s="54"/>
      <c r="F604" s="54"/>
      <c r="G604" s="54"/>
      <c r="H604" s="54"/>
      <c r="I604" s="54"/>
      <c r="J604" s="54"/>
      <c r="K604" s="63"/>
      <c r="L604" s="54"/>
      <c r="M604" s="54"/>
      <c r="N604" s="54"/>
      <c r="O604" s="54"/>
      <c r="P604" s="86"/>
      <c r="Q604" s="54"/>
      <c r="R604" s="249"/>
      <c r="T604" s="54"/>
      <c r="U604" s="54"/>
      <c r="V604" s="54"/>
      <c r="W604" s="54"/>
      <c r="X604" s="54"/>
      <c r="Y604" s="54"/>
      <c r="Z604" s="54"/>
      <c r="AA604" s="54"/>
      <c r="AB604" s="287"/>
      <c r="AC604" s="54"/>
      <c r="AD604" s="54"/>
    </row>
    <row r="605">
      <c r="A605" s="54"/>
      <c r="B605" s="312"/>
      <c r="C605" s="312"/>
      <c r="D605" s="54"/>
      <c r="E605" s="54"/>
      <c r="F605" s="54"/>
      <c r="G605" s="54"/>
      <c r="H605" s="54"/>
      <c r="I605" s="54"/>
      <c r="J605" s="54"/>
      <c r="K605" s="63"/>
      <c r="L605" s="54"/>
      <c r="M605" s="54"/>
      <c r="N605" s="54"/>
      <c r="O605" s="54"/>
      <c r="P605" s="86"/>
      <c r="Q605" s="54"/>
      <c r="R605" s="249"/>
      <c r="T605" s="54"/>
      <c r="U605" s="54"/>
      <c r="V605" s="54"/>
      <c r="W605" s="54"/>
      <c r="X605" s="54"/>
      <c r="Y605" s="54"/>
      <c r="Z605" s="54"/>
      <c r="AA605" s="54"/>
      <c r="AB605" s="287"/>
      <c r="AC605" s="54"/>
      <c r="AD605" s="54"/>
    </row>
    <row r="606">
      <c r="A606" s="54"/>
      <c r="B606" s="312"/>
      <c r="C606" s="312"/>
      <c r="D606" s="54"/>
      <c r="E606" s="54"/>
      <c r="F606" s="54"/>
      <c r="G606" s="54"/>
      <c r="H606" s="54"/>
      <c r="I606" s="54"/>
      <c r="J606" s="54"/>
      <c r="K606" s="63"/>
      <c r="L606" s="54"/>
      <c r="M606" s="54"/>
      <c r="N606" s="54"/>
      <c r="O606" s="54"/>
      <c r="P606" s="86"/>
      <c r="Q606" s="54"/>
      <c r="R606" s="249"/>
      <c r="T606" s="54"/>
      <c r="U606" s="54"/>
      <c r="V606" s="54"/>
      <c r="W606" s="54"/>
      <c r="X606" s="54"/>
      <c r="Y606" s="54"/>
      <c r="Z606" s="54"/>
      <c r="AA606" s="54"/>
      <c r="AB606" s="287"/>
      <c r="AC606" s="54"/>
      <c r="AD606" s="54"/>
    </row>
    <row r="607">
      <c r="A607" s="54"/>
      <c r="B607" s="312"/>
      <c r="C607" s="312"/>
      <c r="D607" s="54"/>
      <c r="E607" s="54"/>
      <c r="F607" s="54"/>
      <c r="G607" s="54"/>
      <c r="H607" s="54"/>
      <c r="I607" s="54"/>
      <c r="J607" s="54"/>
      <c r="K607" s="63"/>
      <c r="L607" s="54"/>
      <c r="M607" s="54"/>
      <c r="N607" s="54"/>
      <c r="O607" s="54"/>
      <c r="P607" s="86"/>
      <c r="Q607" s="54"/>
      <c r="R607" s="249"/>
      <c r="T607" s="54"/>
      <c r="U607" s="54"/>
      <c r="V607" s="54"/>
      <c r="W607" s="54"/>
      <c r="X607" s="54"/>
      <c r="Y607" s="54"/>
      <c r="Z607" s="54"/>
      <c r="AA607" s="54"/>
      <c r="AB607" s="287"/>
      <c r="AC607" s="54"/>
      <c r="AD607" s="54"/>
    </row>
    <row r="608">
      <c r="A608" s="54"/>
      <c r="B608" s="312"/>
      <c r="C608" s="312"/>
      <c r="D608" s="54"/>
      <c r="E608" s="54"/>
      <c r="F608" s="54"/>
      <c r="G608" s="54"/>
      <c r="H608" s="54"/>
      <c r="I608" s="54"/>
      <c r="J608" s="54"/>
      <c r="K608" s="63"/>
      <c r="L608" s="54"/>
      <c r="M608" s="54"/>
      <c r="N608" s="54"/>
      <c r="O608" s="54"/>
      <c r="P608" s="86"/>
      <c r="Q608" s="54"/>
      <c r="R608" s="249"/>
      <c r="T608" s="54"/>
      <c r="U608" s="54"/>
      <c r="V608" s="54"/>
      <c r="W608" s="54"/>
      <c r="X608" s="54"/>
      <c r="Y608" s="54"/>
      <c r="Z608" s="54"/>
      <c r="AA608" s="54"/>
      <c r="AB608" s="287"/>
      <c r="AC608" s="54"/>
      <c r="AD608" s="54"/>
    </row>
    <row r="609">
      <c r="A609" s="54"/>
      <c r="B609" s="312"/>
      <c r="C609" s="312"/>
      <c r="D609" s="54"/>
      <c r="E609" s="54"/>
      <c r="F609" s="54"/>
      <c r="G609" s="54"/>
      <c r="H609" s="54"/>
      <c r="I609" s="54"/>
      <c r="J609" s="54"/>
      <c r="K609" s="63"/>
      <c r="L609" s="54"/>
      <c r="M609" s="54"/>
      <c r="N609" s="54"/>
      <c r="O609" s="54"/>
      <c r="P609" s="86"/>
      <c r="Q609" s="54"/>
      <c r="R609" s="249"/>
      <c r="T609" s="54"/>
      <c r="U609" s="54"/>
      <c r="V609" s="54"/>
      <c r="W609" s="54"/>
      <c r="X609" s="54"/>
      <c r="Y609" s="54"/>
      <c r="Z609" s="54"/>
      <c r="AA609" s="54"/>
      <c r="AB609" s="287"/>
      <c r="AC609" s="54"/>
      <c r="AD609" s="54"/>
    </row>
    <row r="610">
      <c r="A610" s="54"/>
      <c r="B610" s="312"/>
      <c r="C610" s="312"/>
      <c r="D610" s="54"/>
      <c r="E610" s="54"/>
      <c r="F610" s="54"/>
      <c r="G610" s="54"/>
      <c r="H610" s="54"/>
      <c r="I610" s="54"/>
      <c r="J610" s="54"/>
      <c r="K610" s="63"/>
      <c r="L610" s="54"/>
      <c r="M610" s="54"/>
      <c r="N610" s="54"/>
      <c r="O610" s="54"/>
      <c r="P610" s="86"/>
      <c r="Q610" s="54"/>
      <c r="R610" s="249"/>
      <c r="T610" s="54"/>
      <c r="U610" s="54"/>
      <c r="V610" s="54"/>
      <c r="W610" s="54"/>
      <c r="X610" s="54"/>
      <c r="Y610" s="54"/>
      <c r="Z610" s="54"/>
      <c r="AA610" s="54"/>
      <c r="AB610" s="287"/>
      <c r="AC610" s="54"/>
      <c r="AD610" s="54"/>
    </row>
    <row r="611">
      <c r="A611" s="54"/>
      <c r="B611" s="312"/>
      <c r="C611" s="312"/>
      <c r="D611" s="54"/>
      <c r="E611" s="54"/>
      <c r="F611" s="54"/>
      <c r="G611" s="54"/>
      <c r="H611" s="54"/>
      <c r="I611" s="54"/>
      <c r="J611" s="54"/>
      <c r="K611" s="63"/>
      <c r="L611" s="54"/>
      <c r="M611" s="54"/>
      <c r="N611" s="54"/>
      <c r="O611" s="54"/>
      <c r="P611" s="86"/>
      <c r="Q611" s="54"/>
      <c r="R611" s="249"/>
      <c r="T611" s="54"/>
      <c r="U611" s="54"/>
      <c r="V611" s="54"/>
      <c r="W611" s="54"/>
      <c r="X611" s="54"/>
      <c r="Y611" s="54"/>
      <c r="Z611" s="54"/>
      <c r="AA611" s="54"/>
      <c r="AB611" s="287"/>
      <c r="AC611" s="54"/>
      <c r="AD611" s="54"/>
    </row>
    <row r="612">
      <c r="A612" s="54"/>
      <c r="B612" s="312"/>
      <c r="C612" s="312"/>
      <c r="D612" s="54"/>
      <c r="E612" s="54"/>
      <c r="F612" s="54"/>
      <c r="G612" s="54"/>
      <c r="H612" s="54"/>
      <c r="I612" s="54"/>
      <c r="J612" s="54"/>
      <c r="K612" s="63"/>
      <c r="L612" s="54"/>
      <c r="M612" s="54"/>
      <c r="N612" s="54"/>
      <c r="O612" s="54"/>
      <c r="P612" s="86"/>
      <c r="Q612" s="54"/>
      <c r="R612" s="249"/>
      <c r="T612" s="54"/>
      <c r="U612" s="54"/>
      <c r="V612" s="54"/>
      <c r="W612" s="54"/>
      <c r="X612" s="54"/>
      <c r="Y612" s="54"/>
      <c r="Z612" s="54"/>
      <c r="AA612" s="54"/>
      <c r="AB612" s="287"/>
      <c r="AC612" s="54"/>
      <c r="AD612" s="54"/>
    </row>
    <row r="613">
      <c r="A613" s="54"/>
      <c r="B613" s="312"/>
      <c r="C613" s="312"/>
      <c r="D613" s="54"/>
      <c r="E613" s="54"/>
      <c r="F613" s="54"/>
      <c r="G613" s="54"/>
      <c r="H613" s="54"/>
      <c r="I613" s="54"/>
      <c r="J613" s="54"/>
      <c r="K613" s="63"/>
      <c r="L613" s="54"/>
      <c r="M613" s="54"/>
      <c r="N613" s="54"/>
      <c r="O613" s="54"/>
      <c r="P613" s="86"/>
      <c r="Q613" s="54"/>
      <c r="R613" s="249"/>
      <c r="T613" s="54"/>
      <c r="U613" s="54"/>
      <c r="V613" s="54"/>
      <c r="W613" s="54"/>
      <c r="X613" s="54"/>
      <c r="Y613" s="54"/>
      <c r="Z613" s="54"/>
      <c r="AA613" s="54"/>
      <c r="AB613" s="287"/>
      <c r="AC613" s="54"/>
      <c r="AD613" s="54"/>
    </row>
    <row r="614">
      <c r="A614" s="54"/>
      <c r="B614" s="312"/>
      <c r="C614" s="312"/>
      <c r="D614" s="54"/>
      <c r="E614" s="54"/>
      <c r="F614" s="54"/>
      <c r="G614" s="54"/>
      <c r="H614" s="54"/>
      <c r="I614" s="54"/>
      <c r="J614" s="54"/>
      <c r="K614" s="63"/>
      <c r="L614" s="54"/>
      <c r="M614" s="54"/>
      <c r="N614" s="54"/>
      <c r="O614" s="54"/>
      <c r="P614" s="86"/>
      <c r="Q614" s="54"/>
      <c r="R614" s="249"/>
      <c r="T614" s="54"/>
      <c r="U614" s="54"/>
      <c r="V614" s="54"/>
      <c r="W614" s="54"/>
      <c r="X614" s="54"/>
      <c r="Y614" s="54"/>
      <c r="Z614" s="54"/>
      <c r="AA614" s="54"/>
      <c r="AB614" s="287"/>
      <c r="AC614" s="54"/>
      <c r="AD614" s="54"/>
    </row>
    <row r="615">
      <c r="A615" s="54"/>
      <c r="B615" s="312"/>
      <c r="C615" s="312"/>
      <c r="D615" s="54"/>
      <c r="E615" s="54"/>
      <c r="F615" s="54"/>
      <c r="G615" s="54"/>
      <c r="H615" s="54"/>
      <c r="I615" s="54"/>
      <c r="J615" s="54"/>
      <c r="K615" s="63"/>
      <c r="L615" s="54"/>
      <c r="M615" s="54"/>
      <c r="N615" s="54"/>
      <c r="O615" s="54"/>
      <c r="P615" s="86"/>
      <c r="Q615" s="54"/>
      <c r="R615" s="249"/>
      <c r="T615" s="54"/>
      <c r="U615" s="54"/>
      <c r="V615" s="54"/>
      <c r="W615" s="54"/>
      <c r="X615" s="54"/>
      <c r="Y615" s="54"/>
      <c r="Z615" s="54"/>
      <c r="AA615" s="54"/>
      <c r="AB615" s="287"/>
      <c r="AC615" s="54"/>
      <c r="AD615" s="54"/>
    </row>
    <row r="616">
      <c r="A616" s="54"/>
      <c r="B616" s="312"/>
      <c r="C616" s="312"/>
      <c r="D616" s="54"/>
      <c r="E616" s="54"/>
      <c r="F616" s="54"/>
      <c r="G616" s="54"/>
      <c r="H616" s="54"/>
      <c r="I616" s="54"/>
      <c r="J616" s="54"/>
      <c r="K616" s="63"/>
      <c r="L616" s="54"/>
      <c r="M616" s="54"/>
      <c r="N616" s="54"/>
      <c r="O616" s="54"/>
      <c r="P616" s="86"/>
      <c r="Q616" s="54"/>
      <c r="R616" s="249"/>
      <c r="T616" s="54"/>
      <c r="U616" s="54"/>
      <c r="V616" s="54"/>
      <c r="W616" s="54"/>
      <c r="X616" s="54"/>
      <c r="Y616" s="54"/>
      <c r="Z616" s="54"/>
      <c r="AA616" s="54"/>
      <c r="AB616" s="287"/>
      <c r="AC616" s="54"/>
      <c r="AD616" s="54"/>
    </row>
    <row r="617">
      <c r="A617" s="54"/>
      <c r="B617" s="312"/>
      <c r="C617" s="312"/>
      <c r="D617" s="54"/>
      <c r="E617" s="54"/>
      <c r="F617" s="54"/>
      <c r="G617" s="54"/>
      <c r="H617" s="54"/>
      <c r="I617" s="54"/>
      <c r="J617" s="54"/>
      <c r="K617" s="63"/>
      <c r="L617" s="54"/>
      <c r="M617" s="54"/>
      <c r="N617" s="54"/>
      <c r="O617" s="54"/>
      <c r="P617" s="86"/>
      <c r="Q617" s="54"/>
      <c r="R617" s="249"/>
      <c r="T617" s="54"/>
      <c r="U617" s="54"/>
      <c r="V617" s="54"/>
      <c r="W617" s="54"/>
      <c r="X617" s="54"/>
      <c r="Y617" s="54"/>
      <c r="Z617" s="54"/>
      <c r="AA617" s="54"/>
      <c r="AB617" s="287"/>
      <c r="AC617" s="54"/>
      <c r="AD617" s="54"/>
    </row>
    <row r="618">
      <c r="A618" s="54"/>
      <c r="B618" s="312"/>
      <c r="C618" s="312"/>
      <c r="D618" s="54"/>
      <c r="E618" s="54"/>
      <c r="F618" s="54"/>
      <c r="G618" s="54"/>
      <c r="H618" s="54"/>
      <c r="I618" s="54"/>
      <c r="J618" s="54"/>
      <c r="K618" s="63"/>
      <c r="L618" s="54"/>
      <c r="M618" s="54"/>
      <c r="N618" s="54"/>
      <c r="O618" s="54"/>
      <c r="P618" s="86"/>
      <c r="Q618" s="54"/>
      <c r="R618" s="249"/>
      <c r="T618" s="54"/>
      <c r="U618" s="54"/>
      <c r="V618" s="54"/>
      <c r="W618" s="54"/>
      <c r="X618" s="54"/>
      <c r="Y618" s="54"/>
      <c r="Z618" s="54"/>
      <c r="AA618" s="54"/>
      <c r="AB618" s="287"/>
      <c r="AC618" s="54"/>
      <c r="AD618" s="54"/>
    </row>
    <row r="619">
      <c r="A619" s="54"/>
      <c r="B619" s="312"/>
      <c r="C619" s="312"/>
      <c r="D619" s="54"/>
      <c r="E619" s="54"/>
      <c r="F619" s="54"/>
      <c r="G619" s="54"/>
      <c r="H619" s="54"/>
      <c r="I619" s="54"/>
      <c r="J619" s="54"/>
      <c r="K619" s="63"/>
      <c r="L619" s="54"/>
      <c r="M619" s="54"/>
      <c r="N619" s="54"/>
      <c r="O619" s="54"/>
      <c r="P619" s="86"/>
      <c r="Q619" s="54"/>
      <c r="R619" s="249"/>
      <c r="T619" s="54"/>
      <c r="U619" s="54"/>
      <c r="V619" s="54"/>
      <c r="W619" s="54"/>
      <c r="X619" s="54"/>
      <c r="Y619" s="54"/>
      <c r="Z619" s="54"/>
      <c r="AA619" s="54"/>
      <c r="AB619" s="287"/>
      <c r="AC619" s="54"/>
      <c r="AD619" s="54"/>
    </row>
    <row r="620">
      <c r="A620" s="54"/>
      <c r="B620" s="312"/>
      <c r="C620" s="312"/>
      <c r="D620" s="54"/>
      <c r="E620" s="54"/>
      <c r="F620" s="54"/>
      <c r="G620" s="54"/>
      <c r="H620" s="54"/>
      <c r="I620" s="54"/>
      <c r="J620" s="54"/>
      <c r="K620" s="63"/>
      <c r="L620" s="54"/>
      <c r="M620" s="54"/>
      <c r="N620" s="54"/>
      <c r="O620" s="54"/>
      <c r="P620" s="86"/>
      <c r="Q620" s="54"/>
      <c r="R620" s="249"/>
      <c r="T620" s="54"/>
      <c r="U620" s="54"/>
      <c r="V620" s="54"/>
      <c r="W620" s="54"/>
      <c r="X620" s="54"/>
      <c r="Y620" s="54"/>
      <c r="Z620" s="54"/>
      <c r="AA620" s="54"/>
      <c r="AB620" s="287"/>
      <c r="AC620" s="54"/>
      <c r="AD620" s="54"/>
    </row>
    <row r="621">
      <c r="A621" s="54"/>
      <c r="B621" s="312"/>
      <c r="C621" s="312"/>
      <c r="D621" s="54"/>
      <c r="E621" s="54"/>
      <c r="F621" s="54"/>
      <c r="G621" s="54"/>
      <c r="H621" s="54"/>
      <c r="I621" s="54"/>
      <c r="J621" s="54"/>
      <c r="K621" s="63"/>
      <c r="L621" s="54"/>
      <c r="M621" s="54"/>
      <c r="N621" s="54"/>
      <c r="O621" s="54"/>
      <c r="P621" s="86"/>
      <c r="Q621" s="54"/>
      <c r="R621" s="249"/>
      <c r="T621" s="54"/>
      <c r="U621" s="54"/>
      <c r="V621" s="54"/>
      <c r="W621" s="54"/>
      <c r="X621" s="54"/>
      <c r="Y621" s="54"/>
      <c r="Z621" s="54"/>
      <c r="AA621" s="54"/>
      <c r="AB621" s="287"/>
      <c r="AC621" s="54"/>
      <c r="AD621" s="54"/>
    </row>
    <row r="622">
      <c r="A622" s="54"/>
      <c r="B622" s="312"/>
      <c r="C622" s="312"/>
      <c r="D622" s="54"/>
      <c r="E622" s="54"/>
      <c r="F622" s="54"/>
      <c r="G622" s="54"/>
      <c r="H622" s="54"/>
      <c r="I622" s="54"/>
      <c r="J622" s="54"/>
      <c r="K622" s="63"/>
      <c r="L622" s="54"/>
      <c r="M622" s="54"/>
      <c r="N622" s="54"/>
      <c r="O622" s="54"/>
      <c r="P622" s="86"/>
      <c r="Q622" s="54"/>
      <c r="R622" s="249"/>
      <c r="T622" s="54"/>
      <c r="U622" s="54"/>
      <c r="V622" s="54"/>
      <c r="W622" s="54"/>
      <c r="X622" s="54"/>
      <c r="Y622" s="54"/>
      <c r="Z622" s="54"/>
      <c r="AA622" s="54"/>
      <c r="AB622" s="287"/>
      <c r="AC622" s="54"/>
      <c r="AD622" s="54"/>
    </row>
    <row r="623">
      <c r="A623" s="54"/>
      <c r="B623" s="312"/>
      <c r="C623" s="312"/>
      <c r="D623" s="54"/>
      <c r="E623" s="54"/>
      <c r="F623" s="54"/>
      <c r="G623" s="54"/>
      <c r="H623" s="54"/>
      <c r="I623" s="54"/>
      <c r="J623" s="54"/>
      <c r="K623" s="63"/>
      <c r="L623" s="54"/>
      <c r="M623" s="54"/>
      <c r="N623" s="54"/>
      <c r="O623" s="54"/>
      <c r="P623" s="86"/>
      <c r="Q623" s="54"/>
      <c r="R623" s="249"/>
      <c r="T623" s="54"/>
      <c r="U623" s="54"/>
      <c r="V623" s="54"/>
      <c r="W623" s="54"/>
      <c r="X623" s="54"/>
      <c r="Y623" s="54"/>
      <c r="Z623" s="54"/>
      <c r="AA623" s="54"/>
      <c r="AB623" s="287"/>
      <c r="AC623" s="54"/>
      <c r="AD623" s="54"/>
    </row>
    <row r="624">
      <c r="A624" s="54"/>
      <c r="B624" s="312"/>
      <c r="C624" s="312"/>
      <c r="D624" s="54"/>
      <c r="E624" s="54"/>
      <c r="F624" s="54"/>
      <c r="G624" s="54"/>
      <c r="H624" s="54"/>
      <c r="I624" s="54"/>
      <c r="J624" s="54"/>
      <c r="K624" s="63"/>
      <c r="L624" s="54"/>
      <c r="M624" s="54"/>
      <c r="N624" s="54"/>
      <c r="O624" s="54"/>
      <c r="P624" s="86"/>
      <c r="Q624" s="54"/>
      <c r="R624" s="249"/>
      <c r="T624" s="54"/>
      <c r="U624" s="54"/>
      <c r="V624" s="54"/>
      <c r="W624" s="54"/>
      <c r="X624" s="54"/>
      <c r="Y624" s="54"/>
      <c r="Z624" s="54"/>
      <c r="AA624" s="54"/>
      <c r="AB624" s="287"/>
      <c r="AC624" s="54"/>
      <c r="AD624" s="54"/>
    </row>
    <row r="625">
      <c r="A625" s="54"/>
      <c r="B625" s="312"/>
      <c r="C625" s="312"/>
      <c r="D625" s="54"/>
      <c r="E625" s="54"/>
      <c r="F625" s="54"/>
      <c r="G625" s="54"/>
      <c r="H625" s="54"/>
      <c r="I625" s="54"/>
      <c r="J625" s="54"/>
      <c r="K625" s="63"/>
      <c r="L625" s="54"/>
      <c r="M625" s="54"/>
      <c r="N625" s="54"/>
      <c r="O625" s="54"/>
      <c r="P625" s="86"/>
      <c r="Q625" s="54"/>
      <c r="R625" s="249"/>
      <c r="T625" s="54"/>
      <c r="U625" s="54"/>
      <c r="V625" s="54"/>
      <c r="W625" s="54"/>
      <c r="X625" s="54"/>
      <c r="Y625" s="54"/>
      <c r="Z625" s="54"/>
      <c r="AA625" s="54"/>
      <c r="AB625" s="287"/>
      <c r="AC625" s="54"/>
      <c r="AD625" s="54"/>
    </row>
    <row r="626">
      <c r="A626" s="54"/>
      <c r="B626" s="312"/>
      <c r="C626" s="312"/>
      <c r="D626" s="54"/>
      <c r="E626" s="54"/>
      <c r="F626" s="54"/>
      <c r="G626" s="54"/>
      <c r="H626" s="54"/>
      <c r="I626" s="54"/>
      <c r="J626" s="54"/>
      <c r="K626" s="63"/>
      <c r="L626" s="54"/>
      <c r="M626" s="54"/>
      <c r="N626" s="54"/>
      <c r="O626" s="54"/>
      <c r="P626" s="86"/>
      <c r="Q626" s="54"/>
      <c r="R626" s="249"/>
      <c r="T626" s="54"/>
      <c r="U626" s="54"/>
      <c r="V626" s="54"/>
      <c r="W626" s="54"/>
      <c r="X626" s="54"/>
      <c r="Y626" s="54"/>
      <c r="Z626" s="54"/>
      <c r="AA626" s="54"/>
      <c r="AB626" s="287"/>
      <c r="AC626" s="54"/>
      <c r="AD626" s="54"/>
    </row>
    <row r="627">
      <c r="A627" s="54"/>
      <c r="B627" s="312"/>
      <c r="C627" s="312"/>
      <c r="D627" s="54"/>
      <c r="E627" s="54"/>
      <c r="F627" s="54"/>
      <c r="G627" s="54"/>
      <c r="H627" s="54"/>
      <c r="I627" s="54"/>
      <c r="J627" s="54"/>
      <c r="K627" s="63"/>
      <c r="L627" s="54"/>
      <c r="M627" s="54"/>
      <c r="N627" s="54"/>
      <c r="O627" s="54"/>
      <c r="P627" s="86"/>
      <c r="Q627" s="54"/>
      <c r="R627" s="249"/>
      <c r="T627" s="54"/>
      <c r="U627" s="54"/>
      <c r="V627" s="54"/>
      <c r="W627" s="54"/>
      <c r="X627" s="54"/>
      <c r="Y627" s="54"/>
      <c r="Z627" s="54"/>
      <c r="AA627" s="54"/>
      <c r="AB627" s="287"/>
      <c r="AC627" s="54"/>
      <c r="AD627" s="54"/>
    </row>
    <row r="628">
      <c r="A628" s="54"/>
      <c r="B628" s="312"/>
      <c r="C628" s="312"/>
      <c r="D628" s="54"/>
      <c r="E628" s="54"/>
      <c r="F628" s="54"/>
      <c r="G628" s="54"/>
      <c r="H628" s="54"/>
      <c r="I628" s="54"/>
      <c r="J628" s="54"/>
      <c r="K628" s="63"/>
      <c r="L628" s="54"/>
      <c r="M628" s="54"/>
      <c r="N628" s="54"/>
      <c r="O628" s="54"/>
      <c r="P628" s="86"/>
      <c r="Q628" s="54"/>
      <c r="R628" s="249"/>
      <c r="T628" s="54"/>
      <c r="U628" s="54"/>
      <c r="V628" s="54"/>
      <c r="W628" s="54"/>
      <c r="X628" s="54"/>
      <c r="Y628" s="54"/>
      <c r="Z628" s="54"/>
      <c r="AA628" s="54"/>
      <c r="AB628" s="287"/>
      <c r="AC628" s="54"/>
      <c r="AD628" s="54"/>
    </row>
    <row r="629">
      <c r="A629" s="54"/>
      <c r="B629" s="312"/>
      <c r="C629" s="312"/>
      <c r="D629" s="54"/>
      <c r="E629" s="54"/>
      <c r="F629" s="54"/>
      <c r="G629" s="54"/>
      <c r="H629" s="54"/>
      <c r="I629" s="54"/>
      <c r="J629" s="54"/>
      <c r="K629" s="63"/>
      <c r="L629" s="54"/>
      <c r="M629" s="54"/>
      <c r="N629" s="54"/>
      <c r="O629" s="54"/>
      <c r="P629" s="86"/>
      <c r="Q629" s="54"/>
      <c r="R629" s="249"/>
      <c r="T629" s="54"/>
      <c r="U629" s="54"/>
      <c r="V629" s="54"/>
      <c r="W629" s="54"/>
      <c r="X629" s="54"/>
      <c r="Y629" s="54"/>
      <c r="Z629" s="54"/>
      <c r="AA629" s="54"/>
      <c r="AB629" s="287"/>
      <c r="AC629" s="54"/>
      <c r="AD629" s="54"/>
    </row>
    <row r="630">
      <c r="A630" s="54"/>
      <c r="B630" s="312"/>
      <c r="C630" s="312"/>
      <c r="D630" s="54"/>
      <c r="E630" s="54"/>
      <c r="F630" s="54"/>
      <c r="G630" s="54"/>
      <c r="H630" s="54"/>
      <c r="I630" s="54"/>
      <c r="J630" s="54"/>
      <c r="K630" s="63"/>
      <c r="L630" s="54"/>
      <c r="M630" s="54"/>
      <c r="N630" s="54"/>
      <c r="O630" s="54"/>
      <c r="P630" s="86"/>
      <c r="Q630" s="54"/>
      <c r="R630" s="249"/>
      <c r="T630" s="54"/>
      <c r="U630" s="54"/>
      <c r="V630" s="54"/>
      <c r="W630" s="54"/>
      <c r="X630" s="54"/>
      <c r="Y630" s="54"/>
      <c r="Z630" s="54"/>
      <c r="AA630" s="54"/>
      <c r="AB630" s="287"/>
      <c r="AC630" s="54"/>
      <c r="AD630" s="54"/>
    </row>
    <row r="631">
      <c r="A631" s="54"/>
      <c r="B631" s="312"/>
      <c r="C631" s="312"/>
      <c r="D631" s="54"/>
      <c r="E631" s="54"/>
      <c r="F631" s="54"/>
      <c r="G631" s="54"/>
      <c r="H631" s="54"/>
      <c r="I631" s="54"/>
      <c r="J631" s="54"/>
      <c r="K631" s="63"/>
      <c r="L631" s="54"/>
      <c r="M631" s="54"/>
      <c r="N631" s="54"/>
      <c r="O631" s="54"/>
      <c r="P631" s="86"/>
      <c r="Q631" s="54"/>
      <c r="R631" s="249"/>
      <c r="T631" s="54"/>
      <c r="U631" s="54"/>
      <c r="V631" s="54"/>
      <c r="W631" s="54"/>
      <c r="X631" s="54"/>
      <c r="Y631" s="54"/>
      <c r="Z631" s="54"/>
      <c r="AA631" s="54"/>
      <c r="AB631" s="287"/>
      <c r="AC631" s="54"/>
      <c r="AD631" s="54"/>
    </row>
    <row r="632">
      <c r="A632" s="54"/>
      <c r="B632" s="312"/>
      <c r="C632" s="312"/>
      <c r="D632" s="54"/>
      <c r="E632" s="54"/>
      <c r="F632" s="54"/>
      <c r="G632" s="54"/>
      <c r="H632" s="54"/>
      <c r="I632" s="54"/>
      <c r="J632" s="54"/>
      <c r="K632" s="63"/>
      <c r="L632" s="54"/>
      <c r="M632" s="54"/>
      <c r="N632" s="54"/>
      <c r="O632" s="54"/>
      <c r="P632" s="86"/>
      <c r="Q632" s="54"/>
      <c r="R632" s="249"/>
      <c r="T632" s="54"/>
      <c r="U632" s="54"/>
      <c r="V632" s="54"/>
      <c r="W632" s="54"/>
      <c r="X632" s="54"/>
      <c r="Y632" s="54"/>
      <c r="Z632" s="54"/>
      <c r="AA632" s="54"/>
      <c r="AB632" s="287"/>
      <c r="AC632" s="54"/>
      <c r="AD632" s="54"/>
    </row>
    <row r="633">
      <c r="A633" s="54"/>
      <c r="B633" s="312"/>
      <c r="C633" s="312"/>
      <c r="D633" s="54"/>
      <c r="E633" s="54"/>
      <c r="F633" s="54"/>
      <c r="G633" s="54"/>
      <c r="H633" s="54"/>
      <c r="I633" s="54"/>
      <c r="J633" s="54"/>
      <c r="K633" s="63"/>
      <c r="L633" s="54"/>
      <c r="M633" s="54"/>
      <c r="N633" s="54"/>
      <c r="O633" s="54"/>
      <c r="P633" s="86"/>
      <c r="Q633" s="54"/>
      <c r="R633" s="249"/>
      <c r="T633" s="54"/>
      <c r="U633" s="54"/>
      <c r="V633" s="54"/>
      <c r="W633" s="54"/>
      <c r="X633" s="54"/>
      <c r="Y633" s="54"/>
      <c r="Z633" s="54"/>
      <c r="AA633" s="54"/>
      <c r="AB633" s="287"/>
      <c r="AC633" s="54"/>
      <c r="AD633" s="54"/>
    </row>
    <row r="634">
      <c r="A634" s="54"/>
      <c r="B634" s="312"/>
      <c r="C634" s="312"/>
      <c r="D634" s="54"/>
      <c r="E634" s="54"/>
      <c r="F634" s="54"/>
      <c r="G634" s="54"/>
      <c r="H634" s="54"/>
      <c r="I634" s="54"/>
      <c r="J634" s="54"/>
      <c r="K634" s="63"/>
      <c r="L634" s="54"/>
      <c r="M634" s="54"/>
      <c r="N634" s="54"/>
      <c r="O634" s="54"/>
      <c r="P634" s="86"/>
      <c r="Q634" s="54"/>
      <c r="R634" s="249"/>
      <c r="T634" s="54"/>
      <c r="U634" s="54"/>
      <c r="V634" s="54"/>
      <c r="W634" s="54"/>
      <c r="X634" s="54"/>
      <c r="Y634" s="54"/>
      <c r="Z634" s="54"/>
      <c r="AA634" s="54"/>
      <c r="AB634" s="287"/>
      <c r="AC634" s="54"/>
      <c r="AD634" s="54"/>
    </row>
    <row r="635">
      <c r="A635" s="54"/>
      <c r="B635" s="312"/>
      <c r="C635" s="312"/>
      <c r="D635" s="54"/>
      <c r="E635" s="54"/>
      <c r="F635" s="54"/>
      <c r="G635" s="54"/>
      <c r="H635" s="54"/>
      <c r="I635" s="54"/>
      <c r="J635" s="54"/>
      <c r="K635" s="63"/>
      <c r="L635" s="54"/>
      <c r="M635" s="54"/>
      <c r="N635" s="54"/>
      <c r="O635" s="54"/>
      <c r="P635" s="86"/>
      <c r="Q635" s="54"/>
      <c r="R635" s="249"/>
      <c r="T635" s="54"/>
      <c r="U635" s="54"/>
      <c r="V635" s="54"/>
      <c r="W635" s="54"/>
      <c r="X635" s="54"/>
      <c r="Y635" s="54"/>
      <c r="Z635" s="54"/>
      <c r="AA635" s="54"/>
      <c r="AB635" s="287"/>
      <c r="AC635" s="54"/>
      <c r="AD635" s="54"/>
    </row>
    <row r="636">
      <c r="A636" s="54"/>
      <c r="B636" s="312"/>
      <c r="C636" s="312"/>
      <c r="D636" s="54"/>
      <c r="E636" s="54"/>
      <c r="F636" s="54"/>
      <c r="G636" s="54"/>
      <c r="H636" s="54"/>
      <c r="I636" s="54"/>
      <c r="J636" s="54"/>
      <c r="K636" s="63"/>
      <c r="L636" s="54"/>
      <c r="M636" s="54"/>
      <c r="N636" s="54"/>
      <c r="O636" s="54"/>
      <c r="P636" s="86"/>
      <c r="Q636" s="54"/>
      <c r="R636" s="249"/>
      <c r="T636" s="54"/>
      <c r="U636" s="54"/>
      <c r="V636" s="54"/>
      <c r="W636" s="54"/>
      <c r="X636" s="54"/>
      <c r="Y636" s="54"/>
      <c r="Z636" s="54"/>
      <c r="AA636" s="54"/>
      <c r="AB636" s="287"/>
      <c r="AC636" s="54"/>
      <c r="AD636" s="54"/>
    </row>
    <row r="637">
      <c r="A637" s="54"/>
      <c r="B637" s="312"/>
      <c r="C637" s="312"/>
      <c r="D637" s="54"/>
      <c r="E637" s="54"/>
      <c r="F637" s="54"/>
      <c r="G637" s="54"/>
      <c r="H637" s="54"/>
      <c r="I637" s="54"/>
      <c r="J637" s="54"/>
      <c r="K637" s="63"/>
      <c r="L637" s="54"/>
      <c r="M637" s="54"/>
      <c r="N637" s="54"/>
      <c r="O637" s="54"/>
      <c r="P637" s="86"/>
      <c r="Q637" s="54"/>
      <c r="R637" s="249"/>
      <c r="T637" s="54"/>
      <c r="U637" s="54"/>
      <c r="V637" s="54"/>
      <c r="W637" s="54"/>
      <c r="X637" s="54"/>
      <c r="Y637" s="54"/>
      <c r="Z637" s="54"/>
      <c r="AA637" s="54"/>
      <c r="AB637" s="287"/>
      <c r="AC637" s="54"/>
      <c r="AD637" s="54"/>
    </row>
    <row r="638">
      <c r="A638" s="54"/>
      <c r="B638" s="312"/>
      <c r="C638" s="312"/>
      <c r="D638" s="54"/>
      <c r="E638" s="54"/>
      <c r="F638" s="54"/>
      <c r="G638" s="54"/>
      <c r="H638" s="54"/>
      <c r="I638" s="54"/>
      <c r="J638" s="54"/>
      <c r="K638" s="63"/>
      <c r="L638" s="54"/>
      <c r="M638" s="54"/>
      <c r="N638" s="54"/>
      <c r="O638" s="54"/>
      <c r="P638" s="86"/>
      <c r="Q638" s="54"/>
      <c r="R638" s="249"/>
      <c r="T638" s="54"/>
      <c r="U638" s="54"/>
      <c r="V638" s="54"/>
      <c r="W638" s="54"/>
      <c r="X638" s="54"/>
      <c r="Y638" s="54"/>
      <c r="Z638" s="54"/>
      <c r="AA638" s="54"/>
      <c r="AB638" s="287"/>
      <c r="AC638" s="54"/>
      <c r="AD638" s="54"/>
    </row>
    <row r="639">
      <c r="A639" s="54"/>
      <c r="B639" s="312"/>
      <c r="C639" s="312"/>
      <c r="D639" s="54"/>
      <c r="E639" s="54"/>
      <c r="F639" s="54"/>
      <c r="G639" s="54"/>
      <c r="H639" s="54"/>
      <c r="I639" s="54"/>
      <c r="J639" s="54"/>
      <c r="K639" s="63"/>
      <c r="L639" s="54"/>
      <c r="M639" s="54"/>
      <c r="N639" s="54"/>
      <c r="O639" s="54"/>
      <c r="P639" s="86"/>
      <c r="Q639" s="54"/>
      <c r="R639" s="249"/>
      <c r="T639" s="54"/>
      <c r="U639" s="54"/>
      <c r="V639" s="54"/>
      <c r="W639" s="54"/>
      <c r="X639" s="54"/>
      <c r="Y639" s="54"/>
      <c r="Z639" s="54"/>
      <c r="AA639" s="54"/>
      <c r="AB639" s="287"/>
      <c r="AC639" s="54"/>
      <c r="AD639" s="54"/>
    </row>
    <row r="640">
      <c r="A640" s="54"/>
      <c r="B640" s="312"/>
      <c r="C640" s="312"/>
      <c r="D640" s="54"/>
      <c r="E640" s="54"/>
      <c r="F640" s="54"/>
      <c r="G640" s="54"/>
      <c r="H640" s="54"/>
      <c r="I640" s="54"/>
      <c r="J640" s="54"/>
      <c r="K640" s="63"/>
      <c r="L640" s="54"/>
      <c r="M640" s="54"/>
      <c r="N640" s="54"/>
      <c r="O640" s="54"/>
      <c r="P640" s="86"/>
      <c r="Q640" s="54"/>
      <c r="R640" s="249"/>
      <c r="T640" s="54"/>
      <c r="U640" s="54"/>
      <c r="V640" s="54"/>
      <c r="W640" s="54"/>
      <c r="X640" s="54"/>
      <c r="Y640" s="54"/>
      <c r="Z640" s="54"/>
      <c r="AA640" s="54"/>
      <c r="AB640" s="287"/>
      <c r="AC640" s="54"/>
      <c r="AD640" s="54"/>
    </row>
    <row r="641">
      <c r="A641" s="54"/>
      <c r="B641" s="312"/>
      <c r="C641" s="312"/>
      <c r="D641" s="54"/>
      <c r="E641" s="54"/>
      <c r="F641" s="54"/>
      <c r="G641" s="54"/>
      <c r="H641" s="54"/>
      <c r="I641" s="54"/>
      <c r="J641" s="54"/>
      <c r="K641" s="63"/>
      <c r="L641" s="54"/>
      <c r="M641" s="54"/>
      <c r="N641" s="54"/>
      <c r="O641" s="54"/>
      <c r="P641" s="86"/>
      <c r="Q641" s="54"/>
      <c r="R641" s="249"/>
      <c r="T641" s="54"/>
      <c r="U641" s="54"/>
      <c r="V641" s="54"/>
      <c r="W641" s="54"/>
      <c r="X641" s="54"/>
      <c r="Y641" s="54"/>
      <c r="Z641" s="54"/>
      <c r="AA641" s="54"/>
      <c r="AB641" s="287"/>
      <c r="AC641" s="54"/>
      <c r="AD641" s="54"/>
    </row>
    <row r="642">
      <c r="A642" s="54"/>
      <c r="B642" s="312"/>
      <c r="C642" s="312"/>
      <c r="D642" s="54"/>
      <c r="E642" s="54"/>
      <c r="F642" s="54"/>
      <c r="G642" s="54"/>
      <c r="H642" s="54"/>
      <c r="I642" s="54"/>
      <c r="J642" s="54"/>
      <c r="K642" s="63"/>
      <c r="L642" s="54"/>
      <c r="M642" s="54"/>
      <c r="N642" s="54"/>
      <c r="O642" s="54"/>
      <c r="P642" s="86"/>
      <c r="Q642" s="54"/>
      <c r="R642" s="249"/>
      <c r="T642" s="54"/>
      <c r="U642" s="54"/>
      <c r="V642" s="54"/>
      <c r="W642" s="54"/>
      <c r="X642" s="54"/>
      <c r="Y642" s="54"/>
      <c r="Z642" s="54"/>
      <c r="AA642" s="54"/>
      <c r="AB642" s="287"/>
      <c r="AC642" s="54"/>
      <c r="AD642" s="54"/>
    </row>
    <row r="643">
      <c r="A643" s="54"/>
      <c r="B643" s="312"/>
      <c r="C643" s="312"/>
      <c r="D643" s="54"/>
      <c r="E643" s="54"/>
      <c r="F643" s="54"/>
      <c r="G643" s="54"/>
      <c r="H643" s="54"/>
      <c r="I643" s="54"/>
      <c r="J643" s="54"/>
      <c r="K643" s="63"/>
      <c r="L643" s="54"/>
      <c r="M643" s="54"/>
      <c r="N643" s="54"/>
      <c r="O643" s="54"/>
      <c r="P643" s="86"/>
      <c r="Q643" s="54"/>
      <c r="R643" s="249"/>
      <c r="T643" s="54"/>
      <c r="U643" s="54"/>
      <c r="V643" s="54"/>
      <c r="W643" s="54"/>
      <c r="X643" s="54"/>
      <c r="Y643" s="54"/>
      <c r="Z643" s="54"/>
      <c r="AA643" s="54"/>
      <c r="AB643" s="287"/>
      <c r="AC643" s="54"/>
      <c r="AD643" s="54"/>
    </row>
    <row r="644">
      <c r="A644" s="54"/>
      <c r="B644" s="312"/>
      <c r="C644" s="312"/>
      <c r="D644" s="54"/>
      <c r="E644" s="54"/>
      <c r="F644" s="54"/>
      <c r="G644" s="54"/>
      <c r="H644" s="54"/>
      <c r="I644" s="54"/>
      <c r="J644" s="54"/>
      <c r="K644" s="63"/>
      <c r="L644" s="54"/>
      <c r="M644" s="54"/>
      <c r="N644" s="54"/>
      <c r="O644" s="54"/>
      <c r="P644" s="86"/>
      <c r="Q644" s="54"/>
      <c r="R644" s="249"/>
      <c r="T644" s="54"/>
      <c r="U644" s="54"/>
      <c r="V644" s="54"/>
      <c r="W644" s="54"/>
      <c r="X644" s="54"/>
      <c r="Y644" s="54"/>
      <c r="Z644" s="54"/>
      <c r="AA644" s="54"/>
      <c r="AB644" s="287"/>
      <c r="AC644" s="54"/>
      <c r="AD644" s="54"/>
    </row>
    <row r="645">
      <c r="A645" s="54"/>
      <c r="B645" s="312"/>
      <c r="C645" s="312"/>
      <c r="D645" s="54"/>
      <c r="E645" s="54"/>
      <c r="F645" s="54"/>
      <c r="G645" s="54"/>
      <c r="H645" s="54"/>
      <c r="I645" s="54"/>
      <c r="J645" s="54"/>
      <c r="K645" s="63"/>
      <c r="L645" s="54"/>
      <c r="M645" s="54"/>
      <c r="N645" s="54"/>
      <c r="O645" s="54"/>
      <c r="P645" s="86"/>
      <c r="Q645" s="54"/>
      <c r="R645" s="249"/>
      <c r="T645" s="54"/>
      <c r="U645" s="54"/>
      <c r="V645" s="54"/>
      <c r="W645" s="54"/>
      <c r="X645" s="54"/>
      <c r="Y645" s="54"/>
      <c r="Z645" s="54"/>
      <c r="AA645" s="54"/>
      <c r="AB645" s="287"/>
      <c r="AC645" s="54"/>
      <c r="AD645" s="54"/>
    </row>
    <row r="646">
      <c r="A646" s="54"/>
      <c r="B646" s="312"/>
      <c r="C646" s="312"/>
      <c r="D646" s="54"/>
      <c r="E646" s="54"/>
      <c r="F646" s="54"/>
      <c r="G646" s="54"/>
      <c r="H646" s="54"/>
      <c r="I646" s="54"/>
      <c r="J646" s="54"/>
      <c r="K646" s="63"/>
      <c r="L646" s="54"/>
      <c r="M646" s="54"/>
      <c r="N646" s="54"/>
      <c r="O646" s="54"/>
      <c r="P646" s="86"/>
      <c r="Q646" s="54"/>
      <c r="R646" s="249"/>
      <c r="T646" s="54"/>
      <c r="U646" s="54"/>
      <c r="V646" s="54"/>
      <c r="W646" s="54"/>
      <c r="X646" s="54"/>
      <c r="Y646" s="54"/>
      <c r="Z646" s="54"/>
      <c r="AA646" s="54"/>
      <c r="AB646" s="287"/>
      <c r="AC646" s="54"/>
      <c r="AD646" s="54"/>
    </row>
    <row r="647">
      <c r="A647" s="54"/>
      <c r="B647" s="312"/>
      <c r="C647" s="312"/>
      <c r="D647" s="54"/>
      <c r="E647" s="54"/>
      <c r="F647" s="54"/>
      <c r="G647" s="54"/>
      <c r="H647" s="54"/>
      <c r="I647" s="54"/>
      <c r="J647" s="54"/>
      <c r="K647" s="63"/>
      <c r="L647" s="54"/>
      <c r="M647" s="54"/>
      <c r="N647" s="54"/>
      <c r="O647" s="54"/>
      <c r="P647" s="86"/>
      <c r="Q647" s="54"/>
      <c r="R647" s="249"/>
      <c r="T647" s="54"/>
      <c r="U647" s="54"/>
      <c r="V647" s="54"/>
      <c r="W647" s="54"/>
      <c r="X647" s="54"/>
      <c r="Y647" s="54"/>
      <c r="Z647" s="54"/>
      <c r="AA647" s="54"/>
      <c r="AB647" s="287"/>
      <c r="AC647" s="54"/>
      <c r="AD647" s="54"/>
    </row>
    <row r="648">
      <c r="A648" s="54"/>
      <c r="B648" s="312"/>
      <c r="C648" s="312"/>
      <c r="D648" s="54"/>
      <c r="E648" s="54"/>
      <c r="F648" s="54"/>
      <c r="G648" s="54"/>
      <c r="H648" s="54"/>
      <c r="I648" s="54"/>
      <c r="J648" s="54"/>
      <c r="K648" s="63"/>
      <c r="L648" s="54"/>
      <c r="M648" s="54"/>
      <c r="N648" s="54"/>
      <c r="O648" s="54"/>
      <c r="P648" s="86"/>
      <c r="Q648" s="54"/>
      <c r="R648" s="249"/>
      <c r="T648" s="54"/>
      <c r="U648" s="54"/>
      <c r="V648" s="54"/>
      <c r="W648" s="54"/>
      <c r="X648" s="54"/>
      <c r="Y648" s="54"/>
      <c r="Z648" s="54"/>
      <c r="AA648" s="54"/>
      <c r="AB648" s="287"/>
      <c r="AC648" s="54"/>
      <c r="AD648" s="54"/>
    </row>
    <row r="649">
      <c r="A649" s="54"/>
      <c r="B649" s="312"/>
      <c r="C649" s="312"/>
      <c r="D649" s="54"/>
      <c r="E649" s="54"/>
      <c r="F649" s="54"/>
      <c r="G649" s="54"/>
      <c r="H649" s="54"/>
      <c r="I649" s="54"/>
      <c r="J649" s="54"/>
      <c r="K649" s="63"/>
      <c r="L649" s="54"/>
      <c r="M649" s="54"/>
      <c r="N649" s="54"/>
      <c r="O649" s="54"/>
      <c r="P649" s="86"/>
      <c r="Q649" s="54"/>
      <c r="R649" s="249"/>
      <c r="T649" s="54"/>
      <c r="U649" s="54"/>
      <c r="V649" s="54"/>
      <c r="W649" s="54"/>
      <c r="X649" s="54"/>
      <c r="Y649" s="54"/>
      <c r="Z649" s="54"/>
      <c r="AA649" s="54"/>
      <c r="AB649" s="287"/>
      <c r="AC649" s="54"/>
      <c r="AD649" s="54"/>
    </row>
    <row r="650">
      <c r="A650" s="54"/>
      <c r="B650" s="312"/>
      <c r="C650" s="312"/>
      <c r="D650" s="54"/>
      <c r="E650" s="54"/>
      <c r="F650" s="54"/>
      <c r="G650" s="54"/>
      <c r="H650" s="54"/>
      <c r="I650" s="54"/>
      <c r="J650" s="54"/>
      <c r="K650" s="63"/>
      <c r="L650" s="54"/>
      <c r="M650" s="54"/>
      <c r="N650" s="54"/>
      <c r="O650" s="54"/>
      <c r="P650" s="86"/>
      <c r="Q650" s="54"/>
      <c r="R650" s="249"/>
      <c r="T650" s="54"/>
      <c r="U650" s="54"/>
      <c r="V650" s="54"/>
      <c r="W650" s="54"/>
      <c r="X650" s="54"/>
      <c r="Y650" s="54"/>
      <c r="Z650" s="54"/>
      <c r="AA650" s="54"/>
      <c r="AB650" s="287"/>
      <c r="AC650" s="54"/>
      <c r="AD650" s="54"/>
    </row>
    <row r="651">
      <c r="A651" s="54"/>
      <c r="B651" s="312"/>
      <c r="C651" s="312"/>
      <c r="D651" s="54"/>
      <c r="E651" s="54"/>
      <c r="F651" s="54"/>
      <c r="G651" s="54"/>
      <c r="H651" s="54"/>
      <c r="I651" s="54"/>
      <c r="J651" s="54"/>
      <c r="K651" s="63"/>
      <c r="L651" s="54"/>
      <c r="M651" s="54"/>
      <c r="N651" s="54"/>
      <c r="O651" s="54"/>
      <c r="P651" s="86"/>
      <c r="Q651" s="54"/>
      <c r="R651" s="249"/>
      <c r="T651" s="54"/>
      <c r="U651" s="54"/>
      <c r="V651" s="54"/>
      <c r="W651" s="54"/>
      <c r="X651" s="54"/>
      <c r="Y651" s="54"/>
      <c r="Z651" s="54"/>
      <c r="AA651" s="54"/>
      <c r="AB651" s="287"/>
      <c r="AC651" s="54"/>
      <c r="AD651" s="54"/>
    </row>
    <row r="652">
      <c r="A652" s="54"/>
      <c r="B652" s="312"/>
      <c r="C652" s="312"/>
      <c r="D652" s="54"/>
      <c r="E652" s="54"/>
      <c r="F652" s="54"/>
      <c r="G652" s="54"/>
      <c r="H652" s="54"/>
      <c r="I652" s="54"/>
      <c r="J652" s="54"/>
      <c r="K652" s="63"/>
      <c r="L652" s="54"/>
      <c r="M652" s="54"/>
      <c r="N652" s="54"/>
      <c r="O652" s="54"/>
      <c r="P652" s="86"/>
      <c r="Q652" s="54"/>
      <c r="R652" s="249"/>
      <c r="T652" s="54"/>
      <c r="U652" s="54"/>
      <c r="V652" s="54"/>
      <c r="W652" s="54"/>
      <c r="X652" s="54"/>
      <c r="Y652" s="54"/>
      <c r="Z652" s="54"/>
      <c r="AA652" s="54"/>
      <c r="AB652" s="287"/>
      <c r="AC652" s="54"/>
      <c r="AD652" s="54"/>
    </row>
    <row r="653">
      <c r="A653" s="54"/>
      <c r="B653" s="312"/>
      <c r="C653" s="312"/>
      <c r="D653" s="54"/>
      <c r="E653" s="54"/>
      <c r="F653" s="54"/>
      <c r="G653" s="54"/>
      <c r="H653" s="54"/>
      <c r="I653" s="54"/>
      <c r="J653" s="54"/>
      <c r="K653" s="63"/>
      <c r="L653" s="54"/>
      <c r="M653" s="54"/>
      <c r="N653" s="54"/>
      <c r="O653" s="54"/>
      <c r="P653" s="86"/>
      <c r="Q653" s="54"/>
      <c r="R653" s="249"/>
      <c r="T653" s="54"/>
      <c r="U653" s="54"/>
      <c r="V653" s="54"/>
      <c r="W653" s="54"/>
      <c r="X653" s="54"/>
      <c r="Y653" s="54"/>
      <c r="Z653" s="54"/>
      <c r="AA653" s="54"/>
      <c r="AB653" s="287"/>
      <c r="AC653" s="54"/>
      <c r="AD653" s="54"/>
    </row>
    <row r="654">
      <c r="A654" s="54"/>
      <c r="B654" s="312"/>
      <c r="C654" s="312"/>
      <c r="D654" s="54"/>
      <c r="E654" s="54"/>
      <c r="F654" s="54"/>
      <c r="G654" s="54"/>
      <c r="H654" s="54"/>
      <c r="I654" s="54"/>
      <c r="J654" s="54"/>
      <c r="K654" s="63"/>
      <c r="L654" s="54"/>
      <c r="M654" s="54"/>
      <c r="N654" s="54"/>
      <c r="O654" s="54"/>
      <c r="P654" s="86"/>
      <c r="Q654" s="54"/>
      <c r="R654" s="249"/>
      <c r="T654" s="54"/>
      <c r="U654" s="54"/>
      <c r="V654" s="54"/>
      <c r="W654" s="54"/>
      <c r="X654" s="54"/>
      <c r="Y654" s="54"/>
      <c r="Z654" s="54"/>
      <c r="AA654" s="54"/>
      <c r="AB654" s="287"/>
      <c r="AC654" s="54"/>
      <c r="AD654" s="54"/>
    </row>
    <row r="655">
      <c r="A655" s="54"/>
      <c r="B655" s="312"/>
      <c r="C655" s="312"/>
      <c r="D655" s="54"/>
      <c r="E655" s="54"/>
      <c r="F655" s="54"/>
      <c r="G655" s="54"/>
      <c r="H655" s="54"/>
      <c r="I655" s="54"/>
      <c r="J655" s="54"/>
      <c r="K655" s="63"/>
      <c r="L655" s="54"/>
      <c r="M655" s="54"/>
      <c r="N655" s="54"/>
      <c r="O655" s="54"/>
      <c r="P655" s="86"/>
      <c r="Q655" s="54"/>
      <c r="R655" s="249"/>
      <c r="T655" s="54"/>
      <c r="U655" s="54"/>
      <c r="V655" s="54"/>
      <c r="W655" s="54"/>
      <c r="X655" s="54"/>
      <c r="Y655" s="54"/>
      <c r="Z655" s="54"/>
      <c r="AA655" s="54"/>
      <c r="AB655" s="287"/>
      <c r="AC655" s="54"/>
      <c r="AD655" s="54"/>
    </row>
    <row r="656">
      <c r="A656" s="54"/>
      <c r="B656" s="312"/>
      <c r="C656" s="312"/>
      <c r="D656" s="54"/>
      <c r="E656" s="54"/>
      <c r="F656" s="54"/>
      <c r="G656" s="54"/>
      <c r="H656" s="54"/>
      <c r="I656" s="54"/>
      <c r="J656" s="54"/>
      <c r="K656" s="63"/>
      <c r="L656" s="54"/>
      <c r="M656" s="54"/>
      <c r="N656" s="54"/>
      <c r="O656" s="54"/>
      <c r="P656" s="86"/>
      <c r="Q656" s="54"/>
      <c r="R656" s="249"/>
      <c r="T656" s="54"/>
      <c r="U656" s="54"/>
      <c r="V656" s="54"/>
      <c r="W656" s="54"/>
      <c r="X656" s="54"/>
      <c r="Y656" s="54"/>
      <c r="Z656" s="54"/>
      <c r="AA656" s="54"/>
      <c r="AB656" s="287"/>
      <c r="AC656" s="54"/>
      <c r="AD656" s="54"/>
    </row>
    <row r="657">
      <c r="A657" s="54"/>
      <c r="B657" s="312"/>
      <c r="C657" s="312"/>
      <c r="D657" s="54"/>
      <c r="E657" s="54"/>
      <c r="F657" s="54"/>
      <c r="G657" s="54"/>
      <c r="H657" s="54"/>
      <c r="I657" s="54"/>
      <c r="J657" s="54"/>
      <c r="K657" s="63"/>
      <c r="L657" s="54"/>
      <c r="M657" s="54"/>
      <c r="N657" s="54"/>
      <c r="O657" s="54"/>
      <c r="P657" s="86"/>
      <c r="Q657" s="54"/>
      <c r="R657" s="249"/>
      <c r="T657" s="54"/>
      <c r="U657" s="54"/>
      <c r="V657" s="54"/>
      <c r="W657" s="54"/>
      <c r="X657" s="54"/>
      <c r="Y657" s="54"/>
      <c r="Z657" s="54"/>
      <c r="AA657" s="54"/>
      <c r="AB657" s="287"/>
      <c r="AC657" s="54"/>
      <c r="AD657" s="54"/>
    </row>
    <row r="658">
      <c r="A658" s="54"/>
      <c r="B658" s="312"/>
      <c r="C658" s="312"/>
      <c r="D658" s="54"/>
      <c r="E658" s="54"/>
      <c r="F658" s="54"/>
      <c r="G658" s="54"/>
      <c r="H658" s="54"/>
      <c r="I658" s="54"/>
      <c r="J658" s="54"/>
      <c r="K658" s="63"/>
      <c r="L658" s="54"/>
      <c r="M658" s="54"/>
      <c r="N658" s="54"/>
      <c r="O658" s="54"/>
      <c r="P658" s="86"/>
      <c r="Q658" s="54"/>
      <c r="R658" s="249"/>
      <c r="T658" s="54"/>
      <c r="U658" s="54"/>
      <c r="V658" s="54"/>
      <c r="W658" s="54"/>
      <c r="X658" s="54"/>
      <c r="Y658" s="54"/>
      <c r="Z658" s="54"/>
      <c r="AA658" s="54"/>
      <c r="AB658" s="287"/>
      <c r="AC658" s="54"/>
      <c r="AD658" s="54"/>
    </row>
    <row r="659">
      <c r="A659" s="54"/>
      <c r="B659" s="312"/>
      <c r="C659" s="312"/>
      <c r="D659" s="54"/>
      <c r="E659" s="54"/>
      <c r="F659" s="54"/>
      <c r="G659" s="54"/>
      <c r="H659" s="54"/>
      <c r="I659" s="54"/>
      <c r="J659" s="54"/>
      <c r="K659" s="63"/>
      <c r="L659" s="54"/>
      <c r="M659" s="54"/>
      <c r="N659" s="54"/>
      <c r="O659" s="54"/>
      <c r="P659" s="86"/>
      <c r="Q659" s="54"/>
      <c r="R659" s="249"/>
      <c r="T659" s="54"/>
      <c r="U659" s="54"/>
      <c r="V659" s="54"/>
      <c r="W659" s="54"/>
      <c r="X659" s="54"/>
      <c r="Y659" s="54"/>
      <c r="Z659" s="54"/>
      <c r="AA659" s="54"/>
      <c r="AB659" s="287"/>
      <c r="AC659" s="54"/>
      <c r="AD659" s="54"/>
    </row>
    <row r="660">
      <c r="A660" s="54"/>
      <c r="B660" s="312"/>
      <c r="C660" s="312"/>
      <c r="D660" s="54"/>
      <c r="E660" s="54"/>
      <c r="F660" s="54"/>
      <c r="G660" s="54"/>
      <c r="H660" s="54"/>
      <c r="I660" s="54"/>
      <c r="J660" s="54"/>
      <c r="K660" s="63"/>
      <c r="L660" s="54"/>
      <c r="M660" s="54"/>
      <c r="N660" s="54"/>
      <c r="O660" s="54"/>
      <c r="P660" s="86"/>
      <c r="Q660" s="54"/>
      <c r="R660" s="249"/>
      <c r="T660" s="54"/>
      <c r="U660" s="54"/>
      <c r="V660" s="54"/>
      <c r="W660" s="54"/>
      <c r="X660" s="54"/>
      <c r="Y660" s="54"/>
      <c r="Z660" s="54"/>
      <c r="AA660" s="54"/>
      <c r="AB660" s="287"/>
      <c r="AC660" s="54"/>
      <c r="AD660" s="54"/>
    </row>
    <row r="661">
      <c r="A661" s="54"/>
      <c r="B661" s="312"/>
      <c r="C661" s="312"/>
      <c r="D661" s="54"/>
      <c r="E661" s="54"/>
      <c r="F661" s="54"/>
      <c r="G661" s="54"/>
      <c r="H661" s="54"/>
      <c r="I661" s="54"/>
      <c r="J661" s="54"/>
      <c r="K661" s="63"/>
      <c r="L661" s="54"/>
      <c r="M661" s="54"/>
      <c r="N661" s="54"/>
      <c r="O661" s="54"/>
      <c r="P661" s="86"/>
      <c r="Q661" s="54"/>
      <c r="R661" s="249"/>
      <c r="T661" s="54"/>
      <c r="U661" s="54"/>
      <c r="V661" s="54"/>
      <c r="W661" s="54"/>
      <c r="X661" s="54"/>
      <c r="Y661" s="54"/>
      <c r="Z661" s="54"/>
      <c r="AA661" s="54"/>
      <c r="AB661" s="287"/>
      <c r="AC661" s="54"/>
      <c r="AD661" s="54"/>
    </row>
    <row r="662">
      <c r="A662" s="54"/>
      <c r="B662" s="312"/>
      <c r="C662" s="312"/>
      <c r="D662" s="54"/>
      <c r="E662" s="54"/>
      <c r="F662" s="54"/>
      <c r="G662" s="54"/>
      <c r="H662" s="54"/>
      <c r="I662" s="54"/>
      <c r="J662" s="54"/>
      <c r="K662" s="63"/>
      <c r="L662" s="54"/>
      <c r="M662" s="54"/>
      <c r="N662" s="54"/>
      <c r="O662" s="54"/>
      <c r="P662" s="86"/>
      <c r="Q662" s="54"/>
      <c r="R662" s="249"/>
      <c r="T662" s="54"/>
      <c r="U662" s="54"/>
      <c r="V662" s="54"/>
      <c r="W662" s="54"/>
      <c r="X662" s="54"/>
      <c r="Y662" s="54"/>
      <c r="Z662" s="54"/>
      <c r="AA662" s="54"/>
      <c r="AB662" s="287"/>
      <c r="AC662" s="54"/>
      <c r="AD662" s="54"/>
    </row>
    <row r="663">
      <c r="A663" s="54"/>
      <c r="B663" s="312"/>
      <c r="C663" s="312"/>
      <c r="D663" s="54"/>
      <c r="E663" s="54"/>
      <c r="F663" s="54"/>
      <c r="G663" s="54"/>
      <c r="H663" s="54"/>
      <c r="I663" s="54"/>
      <c r="J663" s="54"/>
      <c r="K663" s="63"/>
      <c r="L663" s="54"/>
      <c r="M663" s="54"/>
      <c r="N663" s="54"/>
      <c r="O663" s="54"/>
      <c r="P663" s="86"/>
      <c r="Q663" s="54"/>
      <c r="R663" s="249"/>
      <c r="T663" s="54"/>
      <c r="U663" s="54"/>
      <c r="V663" s="54"/>
      <c r="W663" s="54"/>
      <c r="X663" s="54"/>
      <c r="Y663" s="54"/>
      <c r="Z663" s="54"/>
      <c r="AA663" s="54"/>
      <c r="AB663" s="287"/>
      <c r="AC663" s="54"/>
      <c r="AD663" s="54"/>
    </row>
    <row r="664">
      <c r="A664" s="54"/>
      <c r="B664" s="312"/>
      <c r="C664" s="312"/>
      <c r="D664" s="54"/>
      <c r="E664" s="54"/>
      <c r="F664" s="54"/>
      <c r="G664" s="54"/>
      <c r="H664" s="54"/>
      <c r="I664" s="54"/>
      <c r="J664" s="54"/>
      <c r="K664" s="63"/>
      <c r="L664" s="54"/>
      <c r="M664" s="54"/>
      <c r="N664" s="54"/>
      <c r="O664" s="54"/>
      <c r="P664" s="86"/>
      <c r="Q664" s="54"/>
      <c r="R664" s="249"/>
      <c r="T664" s="54"/>
      <c r="U664" s="54"/>
      <c r="V664" s="54"/>
      <c r="W664" s="54"/>
      <c r="X664" s="54"/>
      <c r="Y664" s="54"/>
      <c r="Z664" s="54"/>
      <c r="AA664" s="54"/>
      <c r="AB664" s="287"/>
      <c r="AC664" s="54"/>
      <c r="AD664" s="54"/>
    </row>
    <row r="665">
      <c r="A665" s="54"/>
      <c r="B665" s="312"/>
      <c r="C665" s="312"/>
      <c r="D665" s="54"/>
      <c r="E665" s="54"/>
      <c r="F665" s="54"/>
      <c r="G665" s="54"/>
      <c r="H665" s="54"/>
      <c r="I665" s="54"/>
      <c r="J665" s="54"/>
      <c r="K665" s="63"/>
      <c r="L665" s="54"/>
      <c r="M665" s="54"/>
      <c r="N665" s="54"/>
      <c r="O665" s="54"/>
      <c r="P665" s="86"/>
      <c r="Q665" s="54"/>
      <c r="R665" s="249"/>
      <c r="T665" s="54"/>
      <c r="U665" s="54"/>
      <c r="V665" s="54"/>
      <c r="W665" s="54"/>
      <c r="X665" s="54"/>
      <c r="Y665" s="54"/>
      <c r="Z665" s="54"/>
      <c r="AA665" s="54"/>
      <c r="AB665" s="287"/>
      <c r="AC665" s="54"/>
      <c r="AD665" s="54"/>
    </row>
    <row r="666">
      <c r="A666" s="54"/>
      <c r="B666" s="312"/>
      <c r="C666" s="312"/>
      <c r="D666" s="54"/>
      <c r="E666" s="54"/>
      <c r="F666" s="54"/>
      <c r="G666" s="54"/>
      <c r="H666" s="54"/>
      <c r="I666" s="54"/>
      <c r="J666" s="54"/>
      <c r="K666" s="63"/>
      <c r="L666" s="54"/>
      <c r="M666" s="54"/>
      <c r="N666" s="54"/>
      <c r="O666" s="54"/>
      <c r="P666" s="86"/>
      <c r="Q666" s="54"/>
      <c r="R666" s="249"/>
      <c r="T666" s="54"/>
      <c r="U666" s="54"/>
      <c r="V666" s="54"/>
      <c r="W666" s="54"/>
      <c r="X666" s="54"/>
      <c r="Y666" s="54"/>
      <c r="Z666" s="54"/>
      <c r="AA666" s="54"/>
      <c r="AB666" s="287"/>
      <c r="AC666" s="54"/>
      <c r="AD666" s="54"/>
    </row>
    <row r="667">
      <c r="A667" s="54"/>
      <c r="B667" s="312"/>
      <c r="C667" s="312"/>
      <c r="D667" s="54"/>
      <c r="E667" s="54"/>
      <c r="F667" s="54"/>
      <c r="G667" s="54"/>
      <c r="H667" s="54"/>
      <c r="I667" s="54"/>
      <c r="J667" s="54"/>
      <c r="K667" s="63"/>
      <c r="L667" s="54"/>
      <c r="M667" s="54"/>
      <c r="N667" s="54"/>
      <c r="O667" s="54"/>
      <c r="P667" s="86"/>
      <c r="Q667" s="54"/>
      <c r="R667" s="249"/>
      <c r="T667" s="54"/>
      <c r="U667" s="54"/>
      <c r="V667" s="54"/>
      <c r="W667" s="54"/>
      <c r="X667" s="54"/>
      <c r="Y667" s="54"/>
      <c r="Z667" s="54"/>
      <c r="AA667" s="54"/>
      <c r="AB667" s="287"/>
      <c r="AC667" s="54"/>
      <c r="AD667" s="54"/>
    </row>
    <row r="668">
      <c r="A668" s="54"/>
      <c r="B668" s="312"/>
      <c r="C668" s="312"/>
      <c r="D668" s="54"/>
      <c r="E668" s="54"/>
      <c r="F668" s="54"/>
      <c r="G668" s="54"/>
      <c r="H668" s="54"/>
      <c r="I668" s="54"/>
      <c r="J668" s="54"/>
      <c r="K668" s="63"/>
      <c r="L668" s="54"/>
      <c r="M668" s="54"/>
      <c r="N668" s="54"/>
      <c r="O668" s="54"/>
      <c r="P668" s="86"/>
      <c r="Q668" s="54"/>
      <c r="R668" s="249"/>
      <c r="T668" s="54"/>
      <c r="U668" s="54"/>
      <c r="V668" s="54"/>
      <c r="W668" s="54"/>
      <c r="X668" s="54"/>
      <c r="Y668" s="54"/>
      <c r="Z668" s="54"/>
      <c r="AA668" s="54"/>
      <c r="AB668" s="287"/>
      <c r="AC668" s="54"/>
      <c r="AD668" s="54"/>
    </row>
    <row r="669">
      <c r="A669" s="54"/>
      <c r="B669" s="312"/>
      <c r="C669" s="312"/>
      <c r="D669" s="54"/>
      <c r="E669" s="54"/>
      <c r="F669" s="54"/>
      <c r="G669" s="54"/>
      <c r="H669" s="54"/>
      <c r="I669" s="54"/>
      <c r="J669" s="54"/>
      <c r="K669" s="63"/>
      <c r="L669" s="54"/>
      <c r="M669" s="54"/>
      <c r="N669" s="54"/>
      <c r="O669" s="54"/>
      <c r="P669" s="86"/>
      <c r="Q669" s="54"/>
      <c r="R669" s="249"/>
      <c r="T669" s="54"/>
      <c r="U669" s="54"/>
      <c r="V669" s="54"/>
      <c r="W669" s="54"/>
      <c r="X669" s="54"/>
      <c r="Y669" s="54"/>
      <c r="Z669" s="54"/>
      <c r="AA669" s="54"/>
      <c r="AB669" s="287"/>
      <c r="AC669" s="54"/>
      <c r="AD669" s="54"/>
    </row>
    <row r="670">
      <c r="A670" s="54"/>
      <c r="B670" s="312"/>
      <c r="C670" s="312"/>
      <c r="D670" s="54"/>
      <c r="E670" s="54"/>
      <c r="F670" s="54"/>
      <c r="G670" s="54"/>
      <c r="H670" s="54"/>
      <c r="I670" s="54"/>
      <c r="J670" s="54"/>
      <c r="K670" s="63"/>
      <c r="L670" s="54"/>
      <c r="M670" s="54"/>
      <c r="N670" s="54"/>
      <c r="O670" s="54"/>
      <c r="P670" s="86"/>
      <c r="Q670" s="54"/>
      <c r="R670" s="249"/>
      <c r="T670" s="54"/>
      <c r="U670" s="54"/>
      <c r="V670" s="54"/>
      <c r="W670" s="54"/>
      <c r="X670" s="54"/>
      <c r="Y670" s="54"/>
      <c r="Z670" s="54"/>
      <c r="AA670" s="54"/>
      <c r="AB670" s="287"/>
      <c r="AC670" s="54"/>
      <c r="AD670" s="54"/>
    </row>
    <row r="671">
      <c r="A671" s="54"/>
      <c r="B671" s="312"/>
      <c r="C671" s="312"/>
      <c r="D671" s="54"/>
      <c r="E671" s="54"/>
      <c r="F671" s="54"/>
      <c r="G671" s="54"/>
      <c r="H671" s="54"/>
      <c r="I671" s="54"/>
      <c r="J671" s="54"/>
      <c r="K671" s="63"/>
      <c r="L671" s="54"/>
      <c r="M671" s="54"/>
      <c r="N671" s="54"/>
      <c r="O671" s="54"/>
      <c r="P671" s="86"/>
      <c r="Q671" s="54"/>
      <c r="R671" s="249"/>
      <c r="T671" s="54"/>
      <c r="U671" s="54"/>
      <c r="V671" s="54"/>
      <c r="W671" s="54"/>
      <c r="X671" s="54"/>
      <c r="Y671" s="54"/>
      <c r="Z671" s="54"/>
      <c r="AA671" s="54"/>
      <c r="AB671" s="287"/>
      <c r="AC671" s="54"/>
      <c r="AD671" s="54"/>
    </row>
    <row r="672">
      <c r="A672" s="54"/>
      <c r="B672" s="312"/>
      <c r="C672" s="312"/>
      <c r="D672" s="54"/>
      <c r="E672" s="54"/>
      <c r="F672" s="54"/>
      <c r="G672" s="54"/>
      <c r="H672" s="54"/>
      <c r="I672" s="54"/>
      <c r="J672" s="54"/>
      <c r="K672" s="63"/>
      <c r="L672" s="54"/>
      <c r="M672" s="54"/>
      <c r="N672" s="54"/>
      <c r="O672" s="54"/>
      <c r="P672" s="86"/>
      <c r="Q672" s="54"/>
      <c r="R672" s="249"/>
      <c r="T672" s="54"/>
      <c r="U672" s="54"/>
      <c r="V672" s="54"/>
      <c r="W672" s="54"/>
      <c r="X672" s="54"/>
      <c r="Y672" s="54"/>
      <c r="Z672" s="54"/>
      <c r="AA672" s="54"/>
      <c r="AB672" s="287"/>
      <c r="AC672" s="54"/>
      <c r="AD672" s="54"/>
    </row>
    <row r="673">
      <c r="A673" s="54"/>
      <c r="B673" s="312"/>
      <c r="C673" s="312"/>
      <c r="D673" s="54"/>
      <c r="E673" s="54"/>
      <c r="F673" s="54"/>
      <c r="G673" s="54"/>
      <c r="H673" s="54"/>
      <c r="I673" s="54"/>
      <c r="J673" s="54"/>
      <c r="K673" s="63"/>
      <c r="L673" s="54"/>
      <c r="M673" s="54"/>
      <c r="N673" s="54"/>
      <c r="O673" s="54"/>
      <c r="P673" s="86"/>
      <c r="Q673" s="54"/>
      <c r="R673" s="249"/>
      <c r="T673" s="54"/>
      <c r="U673" s="54"/>
      <c r="V673" s="54"/>
      <c r="W673" s="54"/>
      <c r="X673" s="54"/>
      <c r="Y673" s="54"/>
      <c r="Z673" s="54"/>
      <c r="AA673" s="54"/>
      <c r="AB673" s="287"/>
      <c r="AC673" s="54"/>
      <c r="AD673" s="54"/>
    </row>
    <row r="674">
      <c r="A674" s="54"/>
      <c r="B674" s="312"/>
      <c r="C674" s="312"/>
      <c r="D674" s="54"/>
      <c r="E674" s="54"/>
      <c r="F674" s="54"/>
      <c r="G674" s="54"/>
      <c r="H674" s="54"/>
      <c r="I674" s="54"/>
      <c r="J674" s="54"/>
      <c r="K674" s="63"/>
      <c r="L674" s="54"/>
      <c r="M674" s="54"/>
      <c r="N674" s="54"/>
      <c r="O674" s="54"/>
      <c r="P674" s="86"/>
      <c r="Q674" s="54"/>
      <c r="R674" s="249"/>
      <c r="T674" s="54"/>
      <c r="U674" s="54"/>
      <c r="V674" s="54"/>
      <c r="W674" s="54"/>
      <c r="X674" s="54"/>
      <c r="Y674" s="54"/>
      <c r="Z674" s="54"/>
      <c r="AA674" s="54"/>
      <c r="AB674" s="287"/>
      <c r="AC674" s="54"/>
      <c r="AD674" s="54"/>
    </row>
    <row r="675">
      <c r="A675" s="54"/>
      <c r="B675" s="312"/>
      <c r="C675" s="312"/>
      <c r="D675" s="54"/>
      <c r="E675" s="54"/>
      <c r="F675" s="54"/>
      <c r="G675" s="54"/>
      <c r="H675" s="54"/>
      <c r="I675" s="54"/>
      <c r="J675" s="54"/>
      <c r="K675" s="63"/>
      <c r="L675" s="54"/>
      <c r="M675" s="54"/>
      <c r="N675" s="54"/>
      <c r="O675" s="54"/>
      <c r="P675" s="86"/>
      <c r="Q675" s="54"/>
      <c r="R675" s="249"/>
      <c r="T675" s="54"/>
      <c r="U675" s="54"/>
      <c r="V675" s="54"/>
      <c r="W675" s="54"/>
      <c r="X675" s="54"/>
      <c r="Y675" s="54"/>
      <c r="Z675" s="54"/>
      <c r="AA675" s="54"/>
      <c r="AB675" s="287"/>
      <c r="AC675" s="54"/>
      <c r="AD675" s="54"/>
    </row>
    <row r="676">
      <c r="A676" s="54"/>
      <c r="B676" s="312"/>
      <c r="C676" s="312"/>
      <c r="D676" s="54"/>
      <c r="E676" s="54"/>
      <c r="F676" s="54"/>
      <c r="G676" s="54"/>
      <c r="H676" s="54"/>
      <c r="I676" s="54"/>
      <c r="J676" s="54"/>
      <c r="K676" s="63"/>
      <c r="L676" s="54"/>
      <c r="M676" s="54"/>
      <c r="N676" s="54"/>
      <c r="O676" s="54"/>
      <c r="P676" s="86"/>
      <c r="Q676" s="54"/>
      <c r="R676" s="249"/>
      <c r="T676" s="54"/>
      <c r="U676" s="54"/>
      <c r="V676" s="54"/>
      <c r="W676" s="54"/>
      <c r="X676" s="54"/>
      <c r="Y676" s="54"/>
      <c r="Z676" s="54"/>
      <c r="AA676" s="54"/>
      <c r="AB676" s="287"/>
      <c r="AC676" s="54"/>
      <c r="AD676" s="54"/>
    </row>
    <row r="677">
      <c r="A677" s="54"/>
      <c r="B677" s="312"/>
      <c r="C677" s="312"/>
      <c r="D677" s="54"/>
      <c r="E677" s="54"/>
      <c r="F677" s="54"/>
      <c r="G677" s="54"/>
      <c r="H677" s="54"/>
      <c r="I677" s="54"/>
      <c r="J677" s="54"/>
      <c r="K677" s="63"/>
      <c r="L677" s="54"/>
      <c r="M677" s="54"/>
      <c r="N677" s="54"/>
      <c r="O677" s="54"/>
      <c r="P677" s="86"/>
      <c r="Q677" s="54"/>
      <c r="R677" s="249"/>
      <c r="T677" s="54"/>
      <c r="U677" s="54"/>
      <c r="V677" s="54"/>
      <c r="W677" s="54"/>
      <c r="X677" s="54"/>
      <c r="Y677" s="54"/>
      <c r="Z677" s="54"/>
      <c r="AA677" s="54"/>
      <c r="AB677" s="287"/>
      <c r="AC677" s="54"/>
      <c r="AD677" s="54"/>
    </row>
    <row r="678">
      <c r="A678" s="54"/>
      <c r="B678" s="312"/>
      <c r="C678" s="312"/>
      <c r="D678" s="54"/>
      <c r="E678" s="54"/>
      <c r="F678" s="54"/>
      <c r="G678" s="54"/>
      <c r="H678" s="54"/>
      <c r="I678" s="54"/>
      <c r="J678" s="54"/>
      <c r="K678" s="63"/>
      <c r="L678" s="54"/>
      <c r="M678" s="54"/>
      <c r="N678" s="54"/>
      <c r="O678" s="54"/>
      <c r="P678" s="86"/>
      <c r="Q678" s="54"/>
      <c r="R678" s="249"/>
      <c r="T678" s="54"/>
      <c r="U678" s="54"/>
      <c r="V678" s="54"/>
      <c r="W678" s="54"/>
      <c r="X678" s="54"/>
      <c r="Y678" s="54"/>
      <c r="Z678" s="54"/>
      <c r="AA678" s="54"/>
      <c r="AB678" s="287"/>
      <c r="AC678" s="54"/>
      <c r="AD678" s="54"/>
    </row>
    <row r="679">
      <c r="A679" s="54"/>
      <c r="B679" s="312"/>
      <c r="C679" s="312"/>
      <c r="D679" s="54"/>
      <c r="E679" s="54"/>
      <c r="F679" s="54"/>
      <c r="G679" s="54"/>
      <c r="H679" s="54"/>
      <c r="I679" s="54"/>
      <c r="J679" s="54"/>
      <c r="K679" s="63"/>
      <c r="L679" s="54"/>
      <c r="M679" s="54"/>
      <c r="N679" s="54"/>
      <c r="O679" s="54"/>
      <c r="P679" s="86"/>
      <c r="Q679" s="54"/>
      <c r="R679" s="249"/>
      <c r="T679" s="54"/>
      <c r="U679" s="54"/>
      <c r="V679" s="54"/>
      <c r="W679" s="54"/>
      <c r="X679" s="54"/>
      <c r="Y679" s="54"/>
      <c r="Z679" s="54"/>
      <c r="AA679" s="54"/>
      <c r="AB679" s="287"/>
      <c r="AC679" s="54"/>
      <c r="AD679" s="54"/>
    </row>
    <row r="680">
      <c r="A680" s="54"/>
      <c r="B680" s="312"/>
      <c r="C680" s="312"/>
      <c r="D680" s="54"/>
      <c r="E680" s="54"/>
      <c r="F680" s="54"/>
      <c r="G680" s="54"/>
      <c r="H680" s="54"/>
      <c r="I680" s="54"/>
      <c r="J680" s="54"/>
      <c r="K680" s="63"/>
      <c r="L680" s="54"/>
      <c r="M680" s="54"/>
      <c r="N680" s="54"/>
      <c r="O680" s="54"/>
      <c r="P680" s="86"/>
      <c r="Q680" s="54"/>
      <c r="R680" s="249"/>
      <c r="T680" s="54"/>
      <c r="U680" s="54"/>
      <c r="V680" s="54"/>
      <c r="W680" s="54"/>
      <c r="X680" s="54"/>
      <c r="Y680" s="54"/>
      <c r="Z680" s="54"/>
      <c r="AA680" s="54"/>
      <c r="AB680" s="287"/>
      <c r="AC680" s="54"/>
      <c r="AD680" s="54"/>
    </row>
    <row r="681">
      <c r="A681" s="54"/>
      <c r="B681" s="312"/>
      <c r="C681" s="312"/>
      <c r="D681" s="54"/>
      <c r="E681" s="54"/>
      <c r="F681" s="54"/>
      <c r="G681" s="54"/>
      <c r="H681" s="54"/>
      <c r="I681" s="54"/>
      <c r="J681" s="54"/>
      <c r="K681" s="63"/>
      <c r="L681" s="54"/>
      <c r="M681" s="54"/>
      <c r="N681" s="54"/>
      <c r="O681" s="54"/>
      <c r="P681" s="86"/>
      <c r="Q681" s="54"/>
      <c r="R681" s="249"/>
      <c r="T681" s="54"/>
      <c r="U681" s="54"/>
      <c r="V681" s="54"/>
      <c r="W681" s="54"/>
      <c r="X681" s="54"/>
      <c r="Y681" s="54"/>
      <c r="Z681" s="54"/>
      <c r="AA681" s="54"/>
      <c r="AB681" s="287"/>
      <c r="AC681" s="54"/>
      <c r="AD681" s="54"/>
    </row>
    <row r="682">
      <c r="A682" s="54"/>
      <c r="B682" s="312"/>
      <c r="C682" s="312"/>
      <c r="D682" s="54"/>
      <c r="E682" s="54"/>
      <c r="F682" s="54"/>
      <c r="G682" s="54"/>
      <c r="H682" s="54"/>
      <c r="I682" s="54"/>
      <c r="J682" s="54"/>
      <c r="K682" s="63"/>
      <c r="L682" s="54"/>
      <c r="M682" s="54"/>
      <c r="N682" s="54"/>
      <c r="O682" s="54"/>
      <c r="P682" s="86"/>
      <c r="Q682" s="54"/>
      <c r="R682" s="249"/>
      <c r="T682" s="54"/>
      <c r="U682" s="54"/>
      <c r="V682" s="54"/>
      <c r="W682" s="54"/>
      <c r="X682" s="54"/>
      <c r="Y682" s="54"/>
      <c r="Z682" s="54"/>
      <c r="AA682" s="54"/>
      <c r="AB682" s="287"/>
      <c r="AC682" s="54"/>
      <c r="AD682" s="54"/>
    </row>
    <row r="683">
      <c r="A683" s="54"/>
      <c r="B683" s="312"/>
      <c r="C683" s="312"/>
      <c r="D683" s="54"/>
      <c r="E683" s="54"/>
      <c r="F683" s="54"/>
      <c r="G683" s="54"/>
      <c r="H683" s="54"/>
      <c r="I683" s="54"/>
      <c r="J683" s="54"/>
      <c r="K683" s="63"/>
      <c r="L683" s="54"/>
      <c r="M683" s="54"/>
      <c r="N683" s="54"/>
      <c r="O683" s="54"/>
      <c r="P683" s="86"/>
      <c r="Q683" s="54"/>
      <c r="R683" s="249"/>
      <c r="T683" s="54"/>
      <c r="U683" s="54"/>
      <c r="V683" s="54"/>
      <c r="W683" s="54"/>
      <c r="X683" s="54"/>
      <c r="Y683" s="54"/>
      <c r="Z683" s="54"/>
      <c r="AA683" s="54"/>
      <c r="AB683" s="287"/>
      <c r="AC683" s="54"/>
      <c r="AD683" s="54"/>
    </row>
    <row r="684">
      <c r="A684" s="54"/>
      <c r="B684" s="312"/>
      <c r="C684" s="312"/>
      <c r="D684" s="54"/>
      <c r="E684" s="54"/>
      <c r="F684" s="54"/>
      <c r="G684" s="54"/>
      <c r="H684" s="54"/>
      <c r="I684" s="54"/>
      <c r="J684" s="54"/>
      <c r="K684" s="63"/>
      <c r="L684" s="54"/>
      <c r="M684" s="54"/>
      <c r="N684" s="54"/>
      <c r="O684" s="54"/>
      <c r="P684" s="86"/>
      <c r="Q684" s="54"/>
      <c r="R684" s="249"/>
      <c r="T684" s="54"/>
      <c r="U684" s="54"/>
      <c r="V684" s="54"/>
      <c r="W684" s="54"/>
      <c r="X684" s="54"/>
      <c r="Y684" s="54"/>
      <c r="Z684" s="54"/>
      <c r="AA684" s="54"/>
      <c r="AB684" s="287"/>
      <c r="AC684" s="54"/>
      <c r="AD684" s="54"/>
    </row>
    <row r="685">
      <c r="A685" s="54"/>
      <c r="B685" s="312"/>
      <c r="C685" s="312"/>
      <c r="D685" s="54"/>
      <c r="E685" s="54"/>
      <c r="F685" s="54"/>
      <c r="G685" s="54"/>
      <c r="H685" s="54"/>
      <c r="I685" s="54"/>
      <c r="J685" s="54"/>
      <c r="K685" s="63"/>
      <c r="L685" s="54"/>
      <c r="M685" s="54"/>
      <c r="N685" s="54"/>
      <c r="O685" s="54"/>
      <c r="P685" s="86"/>
      <c r="Q685" s="54"/>
      <c r="R685" s="249"/>
      <c r="T685" s="54"/>
      <c r="U685" s="54"/>
      <c r="V685" s="54"/>
      <c r="W685" s="54"/>
      <c r="X685" s="54"/>
      <c r="Y685" s="54"/>
      <c r="Z685" s="54"/>
      <c r="AA685" s="54"/>
      <c r="AB685" s="287"/>
      <c r="AC685" s="54"/>
      <c r="AD685" s="54"/>
    </row>
    <row r="686">
      <c r="A686" s="54"/>
      <c r="B686" s="312"/>
      <c r="C686" s="312"/>
      <c r="D686" s="54"/>
      <c r="E686" s="54"/>
      <c r="F686" s="54"/>
      <c r="G686" s="54"/>
      <c r="H686" s="54"/>
      <c r="I686" s="54"/>
      <c r="J686" s="54"/>
      <c r="K686" s="63"/>
      <c r="L686" s="54"/>
      <c r="M686" s="54"/>
      <c r="N686" s="54"/>
      <c r="O686" s="54"/>
      <c r="P686" s="86"/>
      <c r="Q686" s="54"/>
      <c r="R686" s="249"/>
      <c r="T686" s="54"/>
      <c r="U686" s="54"/>
      <c r="V686" s="54"/>
      <c r="W686" s="54"/>
      <c r="X686" s="54"/>
      <c r="Y686" s="54"/>
      <c r="Z686" s="54"/>
      <c r="AA686" s="54"/>
      <c r="AB686" s="287"/>
      <c r="AC686" s="54"/>
      <c r="AD686" s="54"/>
    </row>
    <row r="687">
      <c r="A687" s="54"/>
      <c r="B687" s="312"/>
      <c r="C687" s="312"/>
      <c r="D687" s="54"/>
      <c r="E687" s="54"/>
      <c r="F687" s="54"/>
      <c r="G687" s="54"/>
      <c r="H687" s="54"/>
      <c r="I687" s="54"/>
      <c r="J687" s="54"/>
      <c r="K687" s="63"/>
      <c r="L687" s="54"/>
      <c r="M687" s="54"/>
      <c r="N687" s="54"/>
      <c r="O687" s="54"/>
      <c r="P687" s="86"/>
      <c r="Q687" s="54"/>
      <c r="R687" s="249"/>
      <c r="T687" s="54"/>
      <c r="U687" s="54"/>
      <c r="V687" s="54"/>
      <c r="W687" s="54"/>
      <c r="X687" s="54"/>
      <c r="Y687" s="54"/>
      <c r="Z687" s="54"/>
      <c r="AA687" s="54"/>
      <c r="AB687" s="287"/>
      <c r="AC687" s="54"/>
      <c r="AD687" s="54"/>
    </row>
    <row r="688">
      <c r="A688" s="54"/>
      <c r="B688" s="312"/>
      <c r="C688" s="312"/>
      <c r="D688" s="54"/>
      <c r="E688" s="54"/>
      <c r="F688" s="54"/>
      <c r="G688" s="54"/>
      <c r="H688" s="54"/>
      <c r="I688" s="54"/>
      <c r="J688" s="54"/>
      <c r="K688" s="63"/>
      <c r="L688" s="54"/>
      <c r="M688" s="54"/>
      <c r="N688" s="54"/>
      <c r="O688" s="54"/>
      <c r="P688" s="86"/>
      <c r="Q688" s="54"/>
      <c r="R688" s="249"/>
      <c r="T688" s="54"/>
      <c r="U688" s="54"/>
      <c r="V688" s="54"/>
      <c r="W688" s="54"/>
      <c r="X688" s="54"/>
      <c r="Y688" s="54"/>
      <c r="Z688" s="54"/>
      <c r="AA688" s="54"/>
      <c r="AB688" s="287"/>
      <c r="AC688" s="54"/>
      <c r="AD688" s="54"/>
    </row>
    <row r="689">
      <c r="A689" s="54"/>
      <c r="B689" s="312"/>
      <c r="C689" s="312"/>
      <c r="D689" s="54"/>
      <c r="E689" s="54"/>
      <c r="F689" s="54"/>
      <c r="G689" s="54"/>
      <c r="H689" s="54"/>
      <c r="I689" s="54"/>
      <c r="J689" s="54"/>
      <c r="K689" s="63"/>
      <c r="L689" s="54"/>
      <c r="M689" s="54"/>
      <c r="N689" s="54"/>
      <c r="O689" s="54"/>
      <c r="P689" s="86"/>
      <c r="Q689" s="54"/>
      <c r="R689" s="249"/>
      <c r="T689" s="54"/>
      <c r="U689" s="54"/>
      <c r="V689" s="54"/>
      <c r="W689" s="54"/>
      <c r="X689" s="54"/>
      <c r="Y689" s="54"/>
      <c r="Z689" s="54"/>
      <c r="AA689" s="54"/>
      <c r="AB689" s="287"/>
      <c r="AC689" s="54"/>
      <c r="AD689" s="54"/>
    </row>
    <row r="690">
      <c r="A690" s="54"/>
      <c r="B690" s="312"/>
      <c r="C690" s="312"/>
      <c r="D690" s="54"/>
      <c r="E690" s="54"/>
      <c r="F690" s="54"/>
      <c r="G690" s="54"/>
      <c r="H690" s="54"/>
      <c r="I690" s="54"/>
      <c r="J690" s="54"/>
      <c r="K690" s="63"/>
      <c r="L690" s="54"/>
      <c r="M690" s="54"/>
      <c r="N690" s="54"/>
      <c r="O690" s="54"/>
      <c r="P690" s="86"/>
      <c r="Q690" s="54"/>
      <c r="R690" s="249"/>
      <c r="T690" s="54"/>
      <c r="U690" s="54"/>
      <c r="V690" s="54"/>
      <c r="W690" s="54"/>
      <c r="X690" s="54"/>
      <c r="Y690" s="54"/>
      <c r="Z690" s="54"/>
      <c r="AA690" s="54"/>
      <c r="AB690" s="287"/>
      <c r="AC690" s="54"/>
      <c r="AD690" s="54"/>
    </row>
    <row r="691">
      <c r="A691" s="54"/>
      <c r="B691" s="312"/>
      <c r="C691" s="312"/>
      <c r="D691" s="54"/>
      <c r="E691" s="54"/>
      <c r="F691" s="54"/>
      <c r="G691" s="54"/>
      <c r="H691" s="54"/>
      <c r="I691" s="54"/>
      <c r="J691" s="54"/>
      <c r="K691" s="63"/>
      <c r="L691" s="54"/>
      <c r="M691" s="54"/>
      <c r="N691" s="54"/>
      <c r="O691" s="54"/>
      <c r="P691" s="86"/>
      <c r="Q691" s="54"/>
      <c r="R691" s="249"/>
      <c r="T691" s="54"/>
      <c r="U691" s="54"/>
      <c r="V691" s="54"/>
      <c r="W691" s="54"/>
      <c r="X691" s="54"/>
      <c r="Y691" s="54"/>
      <c r="Z691" s="54"/>
      <c r="AA691" s="54"/>
      <c r="AB691" s="287"/>
      <c r="AC691" s="54"/>
      <c r="AD691" s="54"/>
    </row>
    <row r="692">
      <c r="A692" s="54"/>
      <c r="B692" s="312"/>
      <c r="C692" s="312"/>
      <c r="D692" s="54"/>
      <c r="E692" s="54"/>
      <c r="F692" s="54"/>
      <c r="G692" s="54"/>
      <c r="H692" s="54"/>
      <c r="I692" s="54"/>
      <c r="J692" s="54"/>
      <c r="K692" s="63"/>
      <c r="L692" s="54"/>
      <c r="M692" s="54"/>
      <c r="N692" s="54"/>
      <c r="O692" s="54"/>
      <c r="P692" s="86"/>
      <c r="Q692" s="54"/>
      <c r="R692" s="249"/>
      <c r="T692" s="54"/>
      <c r="U692" s="54"/>
      <c r="V692" s="54"/>
      <c r="W692" s="54"/>
      <c r="X692" s="54"/>
      <c r="Y692" s="54"/>
      <c r="Z692" s="54"/>
      <c r="AA692" s="54"/>
      <c r="AB692" s="287"/>
      <c r="AC692" s="54"/>
      <c r="AD692" s="54"/>
    </row>
    <row r="693">
      <c r="A693" s="54"/>
      <c r="B693" s="312"/>
      <c r="C693" s="312"/>
      <c r="D693" s="54"/>
      <c r="E693" s="54"/>
      <c r="F693" s="54"/>
      <c r="G693" s="54"/>
      <c r="H693" s="54"/>
      <c r="I693" s="54"/>
      <c r="J693" s="54"/>
      <c r="K693" s="63"/>
      <c r="L693" s="54"/>
      <c r="M693" s="54"/>
      <c r="N693" s="54"/>
      <c r="O693" s="54"/>
      <c r="P693" s="86"/>
      <c r="Q693" s="54"/>
      <c r="R693" s="249"/>
      <c r="T693" s="54"/>
      <c r="U693" s="54"/>
      <c r="V693" s="54"/>
      <c r="W693" s="54"/>
      <c r="X693" s="54"/>
      <c r="Y693" s="54"/>
      <c r="Z693" s="54"/>
      <c r="AA693" s="54"/>
      <c r="AB693" s="287"/>
      <c r="AC693" s="54"/>
      <c r="AD693" s="54"/>
    </row>
    <row r="694">
      <c r="A694" s="54"/>
      <c r="B694" s="312"/>
      <c r="C694" s="312"/>
      <c r="D694" s="54"/>
      <c r="E694" s="54"/>
      <c r="F694" s="54"/>
      <c r="G694" s="54"/>
      <c r="H694" s="54"/>
      <c r="I694" s="54"/>
      <c r="J694" s="54"/>
      <c r="K694" s="63"/>
      <c r="L694" s="54"/>
      <c r="M694" s="54"/>
      <c r="N694" s="54"/>
      <c r="O694" s="54"/>
      <c r="P694" s="86"/>
      <c r="Q694" s="54"/>
      <c r="R694" s="249"/>
      <c r="T694" s="54"/>
      <c r="U694" s="54"/>
      <c r="V694" s="54"/>
      <c r="W694" s="54"/>
      <c r="X694" s="54"/>
      <c r="Y694" s="54"/>
      <c r="Z694" s="54"/>
      <c r="AA694" s="54"/>
      <c r="AB694" s="287"/>
      <c r="AC694" s="54"/>
      <c r="AD694" s="54"/>
    </row>
    <row r="695">
      <c r="A695" s="54"/>
      <c r="B695" s="312"/>
      <c r="C695" s="312"/>
      <c r="D695" s="54"/>
      <c r="E695" s="54"/>
      <c r="F695" s="54"/>
      <c r="G695" s="54"/>
      <c r="H695" s="54"/>
      <c r="I695" s="54"/>
      <c r="J695" s="54"/>
      <c r="K695" s="63"/>
      <c r="L695" s="54"/>
      <c r="M695" s="54"/>
      <c r="N695" s="54"/>
      <c r="O695" s="54"/>
      <c r="P695" s="86"/>
      <c r="Q695" s="54"/>
      <c r="R695" s="249"/>
      <c r="T695" s="54"/>
      <c r="U695" s="54"/>
      <c r="V695" s="54"/>
      <c r="W695" s="54"/>
      <c r="X695" s="54"/>
      <c r="Y695" s="54"/>
      <c r="Z695" s="54"/>
      <c r="AA695" s="54"/>
      <c r="AB695" s="287"/>
      <c r="AC695" s="54"/>
      <c r="AD695" s="54"/>
    </row>
    <row r="696">
      <c r="A696" s="54"/>
      <c r="B696" s="312"/>
      <c r="C696" s="312"/>
      <c r="D696" s="54"/>
      <c r="E696" s="54"/>
      <c r="F696" s="54"/>
      <c r="G696" s="54"/>
      <c r="H696" s="54"/>
      <c r="I696" s="54"/>
      <c r="J696" s="54"/>
      <c r="K696" s="63"/>
      <c r="L696" s="54"/>
      <c r="M696" s="54"/>
      <c r="N696" s="54"/>
      <c r="O696" s="54"/>
      <c r="P696" s="86"/>
      <c r="Q696" s="54"/>
      <c r="R696" s="249"/>
      <c r="T696" s="54"/>
      <c r="U696" s="54"/>
      <c r="V696" s="54"/>
      <c r="W696" s="54"/>
      <c r="X696" s="54"/>
      <c r="Y696" s="54"/>
      <c r="Z696" s="54"/>
      <c r="AA696" s="54"/>
      <c r="AB696" s="287"/>
      <c r="AC696" s="54"/>
      <c r="AD696" s="54"/>
    </row>
    <row r="697">
      <c r="A697" s="54"/>
      <c r="B697" s="312"/>
      <c r="C697" s="312"/>
      <c r="D697" s="54"/>
      <c r="E697" s="54"/>
      <c r="F697" s="54"/>
      <c r="G697" s="54"/>
      <c r="H697" s="54"/>
      <c r="I697" s="54"/>
      <c r="J697" s="54"/>
      <c r="K697" s="63"/>
      <c r="L697" s="54"/>
      <c r="M697" s="54"/>
      <c r="N697" s="54"/>
      <c r="O697" s="54"/>
      <c r="P697" s="86"/>
      <c r="Q697" s="54"/>
      <c r="R697" s="249"/>
      <c r="T697" s="54"/>
      <c r="U697" s="54"/>
      <c r="V697" s="54"/>
      <c r="W697" s="54"/>
      <c r="X697" s="54"/>
      <c r="Y697" s="54"/>
      <c r="Z697" s="54"/>
      <c r="AA697" s="54"/>
      <c r="AB697" s="287"/>
      <c r="AC697" s="54"/>
      <c r="AD697" s="54"/>
    </row>
    <row r="698">
      <c r="A698" s="54"/>
      <c r="B698" s="312"/>
      <c r="C698" s="312"/>
      <c r="D698" s="54"/>
      <c r="E698" s="54"/>
      <c r="F698" s="54"/>
      <c r="G698" s="54"/>
      <c r="H698" s="54"/>
      <c r="I698" s="54"/>
      <c r="J698" s="54"/>
      <c r="K698" s="63"/>
      <c r="L698" s="54"/>
      <c r="M698" s="54"/>
      <c r="N698" s="54"/>
      <c r="O698" s="54"/>
      <c r="P698" s="86"/>
      <c r="Q698" s="54"/>
      <c r="R698" s="249"/>
      <c r="T698" s="54"/>
      <c r="U698" s="54"/>
      <c r="V698" s="54"/>
      <c r="W698" s="54"/>
      <c r="X698" s="54"/>
      <c r="Y698" s="54"/>
      <c r="Z698" s="54"/>
      <c r="AA698" s="54"/>
      <c r="AB698" s="287"/>
      <c r="AC698" s="54"/>
      <c r="AD698" s="54"/>
    </row>
    <row r="699">
      <c r="A699" s="54"/>
      <c r="B699" s="312"/>
      <c r="C699" s="312"/>
      <c r="D699" s="54"/>
      <c r="E699" s="54"/>
      <c r="F699" s="54"/>
      <c r="G699" s="54"/>
      <c r="H699" s="54"/>
      <c r="I699" s="54"/>
      <c r="J699" s="54"/>
      <c r="K699" s="63"/>
      <c r="L699" s="54"/>
      <c r="M699" s="54"/>
      <c r="N699" s="54"/>
      <c r="O699" s="54"/>
      <c r="P699" s="86"/>
      <c r="Q699" s="54"/>
      <c r="R699" s="249"/>
      <c r="T699" s="54"/>
      <c r="U699" s="54"/>
      <c r="V699" s="54"/>
      <c r="W699" s="54"/>
      <c r="X699" s="54"/>
      <c r="Y699" s="54"/>
      <c r="Z699" s="54"/>
      <c r="AA699" s="54"/>
      <c r="AB699" s="287"/>
      <c r="AC699" s="54"/>
      <c r="AD699" s="54"/>
    </row>
    <row r="700">
      <c r="A700" s="54"/>
      <c r="B700" s="312"/>
      <c r="C700" s="312"/>
      <c r="D700" s="54"/>
      <c r="E700" s="54"/>
      <c r="F700" s="54"/>
      <c r="G700" s="54"/>
      <c r="H700" s="54"/>
      <c r="I700" s="54"/>
      <c r="J700" s="54"/>
      <c r="K700" s="63"/>
      <c r="L700" s="54"/>
      <c r="M700" s="54"/>
      <c r="N700" s="54"/>
      <c r="O700" s="54"/>
      <c r="P700" s="86"/>
      <c r="Q700" s="54"/>
      <c r="R700" s="249"/>
      <c r="T700" s="54"/>
      <c r="U700" s="54"/>
      <c r="V700" s="54"/>
      <c r="W700" s="54"/>
      <c r="X700" s="54"/>
      <c r="Y700" s="54"/>
      <c r="Z700" s="54"/>
      <c r="AA700" s="54"/>
      <c r="AB700" s="287"/>
      <c r="AC700" s="54"/>
      <c r="AD700" s="54"/>
    </row>
    <row r="701">
      <c r="A701" s="54"/>
      <c r="B701" s="312"/>
      <c r="C701" s="312"/>
      <c r="D701" s="54"/>
      <c r="E701" s="54"/>
      <c r="F701" s="54"/>
      <c r="G701" s="54"/>
      <c r="H701" s="54"/>
      <c r="I701" s="54"/>
      <c r="J701" s="54"/>
      <c r="K701" s="63"/>
      <c r="L701" s="54"/>
      <c r="M701" s="54"/>
      <c r="N701" s="54"/>
      <c r="O701" s="54"/>
      <c r="P701" s="86"/>
      <c r="Q701" s="54"/>
      <c r="R701" s="249"/>
      <c r="T701" s="54"/>
      <c r="U701" s="54"/>
      <c r="V701" s="54"/>
      <c r="W701" s="54"/>
      <c r="X701" s="54"/>
      <c r="Y701" s="54"/>
      <c r="Z701" s="54"/>
      <c r="AA701" s="54"/>
      <c r="AB701" s="287"/>
      <c r="AC701" s="54"/>
      <c r="AD701" s="54"/>
    </row>
    <row r="702">
      <c r="A702" s="54"/>
      <c r="B702" s="312"/>
      <c r="C702" s="312"/>
      <c r="D702" s="54"/>
      <c r="E702" s="54"/>
      <c r="F702" s="54"/>
      <c r="G702" s="54"/>
      <c r="H702" s="54"/>
      <c r="I702" s="54"/>
      <c r="J702" s="54"/>
      <c r="K702" s="63"/>
      <c r="L702" s="54"/>
      <c r="M702" s="54"/>
      <c r="N702" s="54"/>
      <c r="O702" s="54"/>
      <c r="P702" s="86"/>
      <c r="Q702" s="54"/>
      <c r="R702" s="249"/>
      <c r="T702" s="54"/>
      <c r="U702" s="54"/>
      <c r="V702" s="54"/>
      <c r="W702" s="54"/>
      <c r="X702" s="54"/>
      <c r="Y702" s="54"/>
      <c r="Z702" s="54"/>
      <c r="AA702" s="54"/>
      <c r="AB702" s="287"/>
      <c r="AC702" s="54"/>
      <c r="AD702" s="54"/>
    </row>
    <row r="703">
      <c r="A703" s="54"/>
      <c r="B703" s="312"/>
      <c r="C703" s="312"/>
      <c r="D703" s="54"/>
      <c r="E703" s="54"/>
      <c r="F703" s="54"/>
      <c r="G703" s="54"/>
      <c r="H703" s="54"/>
      <c r="I703" s="54"/>
      <c r="J703" s="54"/>
      <c r="K703" s="63"/>
      <c r="L703" s="54"/>
      <c r="M703" s="54"/>
      <c r="N703" s="54"/>
      <c r="O703" s="54"/>
      <c r="P703" s="86"/>
      <c r="Q703" s="54"/>
      <c r="R703" s="249"/>
      <c r="T703" s="54"/>
      <c r="U703" s="54"/>
      <c r="V703" s="54"/>
      <c r="W703" s="54"/>
      <c r="X703" s="54"/>
      <c r="Y703" s="54"/>
      <c r="Z703" s="54"/>
      <c r="AA703" s="54"/>
      <c r="AB703" s="287"/>
      <c r="AC703" s="54"/>
      <c r="AD703" s="54"/>
    </row>
    <row r="704">
      <c r="A704" s="54"/>
      <c r="B704" s="312"/>
      <c r="C704" s="312"/>
      <c r="D704" s="54"/>
      <c r="E704" s="54"/>
      <c r="F704" s="54"/>
      <c r="G704" s="54"/>
      <c r="H704" s="54"/>
      <c r="I704" s="54"/>
      <c r="J704" s="54"/>
      <c r="K704" s="63"/>
      <c r="L704" s="54"/>
      <c r="M704" s="54"/>
      <c r="N704" s="54"/>
      <c r="O704" s="54"/>
      <c r="P704" s="86"/>
      <c r="Q704" s="54"/>
      <c r="R704" s="249"/>
      <c r="T704" s="54"/>
      <c r="U704" s="54"/>
      <c r="V704" s="54"/>
      <c r="W704" s="54"/>
      <c r="X704" s="54"/>
      <c r="Y704" s="54"/>
      <c r="Z704" s="54"/>
      <c r="AA704" s="54"/>
      <c r="AB704" s="287"/>
      <c r="AC704" s="54"/>
      <c r="AD704" s="54"/>
    </row>
    <row r="705">
      <c r="A705" s="54"/>
      <c r="B705" s="312"/>
      <c r="C705" s="312"/>
      <c r="D705" s="54"/>
      <c r="E705" s="54"/>
      <c r="F705" s="54"/>
      <c r="G705" s="54"/>
      <c r="H705" s="54"/>
      <c r="I705" s="54"/>
      <c r="J705" s="54"/>
      <c r="K705" s="63"/>
      <c r="L705" s="54"/>
      <c r="M705" s="54"/>
      <c r="N705" s="54"/>
      <c r="O705" s="54"/>
      <c r="P705" s="86"/>
      <c r="Q705" s="54"/>
      <c r="R705" s="249"/>
      <c r="T705" s="54"/>
      <c r="U705" s="54"/>
      <c r="V705" s="54"/>
      <c r="W705" s="54"/>
      <c r="X705" s="54"/>
      <c r="Y705" s="54"/>
      <c r="Z705" s="54"/>
      <c r="AA705" s="54"/>
      <c r="AB705" s="287"/>
      <c r="AC705" s="54"/>
      <c r="AD705" s="54"/>
    </row>
    <row r="706">
      <c r="A706" s="54"/>
      <c r="B706" s="312"/>
      <c r="C706" s="312"/>
      <c r="D706" s="54"/>
      <c r="E706" s="54"/>
      <c r="F706" s="54"/>
      <c r="G706" s="54"/>
      <c r="H706" s="54"/>
      <c r="I706" s="54"/>
      <c r="J706" s="54"/>
      <c r="K706" s="63"/>
      <c r="L706" s="54"/>
      <c r="M706" s="54"/>
      <c r="N706" s="54"/>
      <c r="O706" s="54"/>
      <c r="P706" s="86"/>
      <c r="Q706" s="54"/>
      <c r="R706" s="249"/>
      <c r="T706" s="54"/>
      <c r="U706" s="54"/>
      <c r="V706" s="54"/>
      <c r="W706" s="54"/>
      <c r="X706" s="54"/>
      <c r="Y706" s="54"/>
      <c r="Z706" s="54"/>
      <c r="AA706" s="54"/>
      <c r="AB706" s="287"/>
      <c r="AC706" s="54"/>
      <c r="AD706" s="54"/>
    </row>
    <row r="707">
      <c r="A707" s="54"/>
      <c r="B707" s="312"/>
      <c r="C707" s="312"/>
      <c r="D707" s="54"/>
      <c r="E707" s="54"/>
      <c r="F707" s="54"/>
      <c r="G707" s="54"/>
      <c r="H707" s="54"/>
      <c r="I707" s="54"/>
      <c r="J707" s="54"/>
      <c r="K707" s="63"/>
      <c r="L707" s="54"/>
      <c r="M707" s="54"/>
      <c r="N707" s="54"/>
      <c r="O707" s="54"/>
      <c r="P707" s="86"/>
      <c r="Q707" s="54"/>
      <c r="R707" s="249"/>
      <c r="T707" s="54"/>
      <c r="U707" s="54"/>
      <c r="V707" s="54"/>
      <c r="W707" s="54"/>
      <c r="X707" s="54"/>
      <c r="Y707" s="54"/>
      <c r="Z707" s="54"/>
      <c r="AA707" s="54"/>
      <c r="AB707" s="287"/>
      <c r="AC707" s="54"/>
      <c r="AD707" s="54"/>
    </row>
    <row r="708">
      <c r="A708" s="54"/>
      <c r="B708" s="312"/>
      <c r="C708" s="312"/>
      <c r="D708" s="54"/>
      <c r="E708" s="54"/>
      <c r="F708" s="54"/>
      <c r="G708" s="54"/>
      <c r="H708" s="54"/>
      <c r="I708" s="54"/>
      <c r="J708" s="54"/>
      <c r="K708" s="63"/>
      <c r="L708" s="54"/>
      <c r="M708" s="54"/>
      <c r="N708" s="54"/>
      <c r="O708" s="54"/>
      <c r="P708" s="86"/>
      <c r="Q708" s="54"/>
      <c r="R708" s="249"/>
      <c r="T708" s="54"/>
      <c r="U708" s="54"/>
      <c r="V708" s="54"/>
      <c r="W708" s="54"/>
      <c r="X708" s="54"/>
      <c r="Y708" s="54"/>
      <c r="Z708" s="54"/>
      <c r="AA708" s="54"/>
      <c r="AB708" s="287"/>
      <c r="AC708" s="54"/>
      <c r="AD708" s="54"/>
    </row>
    <row r="709">
      <c r="A709" s="54"/>
      <c r="B709" s="312"/>
      <c r="C709" s="312"/>
      <c r="D709" s="54"/>
      <c r="E709" s="54"/>
      <c r="F709" s="54"/>
      <c r="G709" s="54"/>
      <c r="H709" s="54"/>
      <c r="I709" s="54"/>
      <c r="J709" s="54"/>
      <c r="K709" s="63"/>
      <c r="L709" s="54"/>
      <c r="M709" s="54"/>
      <c r="N709" s="54"/>
      <c r="O709" s="54"/>
      <c r="P709" s="86"/>
      <c r="Q709" s="54"/>
      <c r="R709" s="249"/>
      <c r="T709" s="54"/>
      <c r="U709" s="54"/>
      <c r="V709" s="54"/>
      <c r="W709" s="54"/>
      <c r="X709" s="54"/>
      <c r="Y709" s="54"/>
      <c r="Z709" s="54"/>
      <c r="AA709" s="54"/>
      <c r="AB709" s="287"/>
      <c r="AC709" s="54"/>
      <c r="AD709" s="54"/>
    </row>
    <row r="710">
      <c r="A710" s="54"/>
      <c r="B710" s="312"/>
      <c r="C710" s="312"/>
      <c r="D710" s="54"/>
      <c r="E710" s="54"/>
      <c r="F710" s="54"/>
      <c r="G710" s="54"/>
      <c r="H710" s="54"/>
      <c r="I710" s="54"/>
      <c r="J710" s="54"/>
      <c r="K710" s="63"/>
      <c r="L710" s="54"/>
      <c r="M710" s="54"/>
      <c r="N710" s="54"/>
      <c r="O710" s="54"/>
      <c r="P710" s="86"/>
      <c r="Q710" s="54"/>
      <c r="R710" s="249"/>
      <c r="T710" s="54"/>
      <c r="U710" s="54"/>
      <c r="V710" s="54"/>
      <c r="W710" s="54"/>
      <c r="X710" s="54"/>
      <c r="Y710" s="54"/>
      <c r="Z710" s="54"/>
      <c r="AA710" s="54"/>
      <c r="AB710" s="287"/>
      <c r="AC710" s="54"/>
      <c r="AD710" s="54"/>
    </row>
    <row r="711">
      <c r="A711" s="54"/>
      <c r="B711" s="312"/>
      <c r="C711" s="312"/>
      <c r="D711" s="54"/>
      <c r="E711" s="54"/>
      <c r="F711" s="54"/>
      <c r="G711" s="54"/>
      <c r="H711" s="54"/>
      <c r="I711" s="54"/>
      <c r="J711" s="54"/>
      <c r="K711" s="63"/>
      <c r="L711" s="54"/>
      <c r="M711" s="54"/>
      <c r="N711" s="54"/>
      <c r="O711" s="54"/>
      <c r="P711" s="86"/>
      <c r="Q711" s="54"/>
      <c r="R711" s="249"/>
      <c r="T711" s="54"/>
      <c r="U711" s="54"/>
      <c r="V711" s="54"/>
      <c r="W711" s="54"/>
      <c r="X711" s="54"/>
      <c r="Y711" s="54"/>
      <c r="Z711" s="54"/>
      <c r="AA711" s="54"/>
      <c r="AB711" s="287"/>
      <c r="AC711" s="54"/>
      <c r="AD711" s="54"/>
    </row>
    <row r="712">
      <c r="A712" s="54"/>
      <c r="B712" s="312"/>
      <c r="C712" s="312"/>
      <c r="D712" s="54"/>
      <c r="E712" s="54"/>
      <c r="F712" s="54"/>
      <c r="G712" s="54"/>
      <c r="H712" s="54"/>
      <c r="I712" s="54"/>
      <c r="J712" s="54"/>
      <c r="K712" s="63"/>
      <c r="L712" s="54"/>
      <c r="M712" s="54"/>
      <c r="N712" s="54"/>
      <c r="O712" s="54"/>
      <c r="P712" s="86"/>
      <c r="Q712" s="54"/>
      <c r="R712" s="249"/>
      <c r="T712" s="54"/>
      <c r="U712" s="54"/>
      <c r="V712" s="54"/>
      <c r="W712" s="54"/>
      <c r="X712" s="54"/>
      <c r="Y712" s="54"/>
      <c r="Z712" s="54"/>
      <c r="AA712" s="54"/>
      <c r="AB712" s="287"/>
      <c r="AC712" s="54"/>
      <c r="AD712" s="54"/>
    </row>
    <row r="713">
      <c r="A713" s="54"/>
      <c r="B713" s="312"/>
      <c r="C713" s="312"/>
      <c r="D713" s="54"/>
      <c r="E713" s="54"/>
      <c r="F713" s="54"/>
      <c r="G713" s="54"/>
      <c r="H713" s="54"/>
      <c r="I713" s="54"/>
      <c r="J713" s="54"/>
      <c r="K713" s="63"/>
      <c r="L713" s="54"/>
      <c r="M713" s="54"/>
      <c r="N713" s="54"/>
      <c r="O713" s="54"/>
      <c r="P713" s="86"/>
      <c r="Q713" s="54"/>
      <c r="R713" s="249"/>
      <c r="T713" s="54"/>
      <c r="U713" s="54"/>
      <c r="V713" s="54"/>
      <c r="W713" s="54"/>
      <c r="X713" s="54"/>
      <c r="Y713" s="54"/>
      <c r="Z713" s="54"/>
      <c r="AA713" s="54"/>
      <c r="AB713" s="287"/>
      <c r="AC713" s="54"/>
      <c r="AD713" s="54"/>
    </row>
    <row r="714">
      <c r="A714" s="54"/>
      <c r="B714" s="312"/>
      <c r="C714" s="312"/>
      <c r="D714" s="54"/>
      <c r="E714" s="54"/>
      <c r="F714" s="54"/>
      <c r="G714" s="54"/>
      <c r="H714" s="54"/>
      <c r="I714" s="54"/>
      <c r="J714" s="54"/>
      <c r="K714" s="63"/>
      <c r="L714" s="54"/>
      <c r="M714" s="54"/>
      <c r="N714" s="54"/>
      <c r="O714" s="54"/>
      <c r="P714" s="86"/>
      <c r="Q714" s="54"/>
      <c r="R714" s="249"/>
      <c r="T714" s="54"/>
      <c r="U714" s="54"/>
      <c r="V714" s="54"/>
      <c r="W714" s="54"/>
      <c r="X714" s="54"/>
      <c r="Y714" s="54"/>
      <c r="Z714" s="54"/>
      <c r="AA714" s="54"/>
      <c r="AB714" s="287"/>
      <c r="AC714" s="54"/>
      <c r="AD714" s="54"/>
    </row>
    <row r="715">
      <c r="A715" s="54"/>
      <c r="B715" s="312"/>
      <c r="C715" s="312"/>
      <c r="D715" s="54"/>
      <c r="E715" s="54"/>
      <c r="F715" s="54"/>
      <c r="G715" s="54"/>
      <c r="H715" s="54"/>
      <c r="I715" s="54"/>
      <c r="J715" s="54"/>
      <c r="K715" s="63"/>
      <c r="L715" s="54"/>
      <c r="M715" s="54"/>
      <c r="N715" s="54"/>
      <c r="O715" s="54"/>
      <c r="P715" s="86"/>
      <c r="Q715" s="54"/>
      <c r="R715" s="249"/>
      <c r="T715" s="54"/>
      <c r="U715" s="54"/>
      <c r="V715" s="54"/>
      <c r="W715" s="54"/>
      <c r="X715" s="54"/>
      <c r="Y715" s="54"/>
      <c r="Z715" s="54"/>
      <c r="AA715" s="54"/>
      <c r="AB715" s="287"/>
      <c r="AC715" s="54"/>
      <c r="AD715" s="54"/>
    </row>
    <row r="716">
      <c r="A716" s="54"/>
      <c r="B716" s="312"/>
      <c r="C716" s="312"/>
      <c r="D716" s="54"/>
      <c r="E716" s="54"/>
      <c r="F716" s="54"/>
      <c r="G716" s="54"/>
      <c r="H716" s="54"/>
      <c r="I716" s="54"/>
      <c r="J716" s="54"/>
      <c r="K716" s="63"/>
      <c r="L716" s="54"/>
      <c r="M716" s="54"/>
      <c r="N716" s="54"/>
      <c r="O716" s="54"/>
      <c r="P716" s="86"/>
      <c r="Q716" s="54"/>
      <c r="R716" s="249"/>
      <c r="T716" s="54"/>
      <c r="U716" s="54"/>
      <c r="V716" s="54"/>
      <c r="W716" s="54"/>
      <c r="X716" s="54"/>
      <c r="Y716" s="54"/>
      <c r="Z716" s="54"/>
      <c r="AA716" s="54"/>
      <c r="AB716" s="287"/>
      <c r="AC716" s="54"/>
      <c r="AD716" s="54"/>
    </row>
    <row r="717">
      <c r="A717" s="54"/>
      <c r="B717" s="312"/>
      <c r="C717" s="312"/>
      <c r="D717" s="54"/>
      <c r="E717" s="54"/>
      <c r="F717" s="54"/>
      <c r="G717" s="54"/>
      <c r="H717" s="54"/>
      <c r="I717" s="54"/>
      <c r="J717" s="54"/>
      <c r="K717" s="63"/>
      <c r="L717" s="54"/>
      <c r="M717" s="54"/>
      <c r="N717" s="54"/>
      <c r="O717" s="54"/>
      <c r="P717" s="86"/>
      <c r="Q717" s="54"/>
      <c r="R717" s="249"/>
      <c r="T717" s="54"/>
      <c r="U717" s="54"/>
      <c r="V717" s="54"/>
      <c r="W717" s="54"/>
      <c r="X717" s="54"/>
      <c r="Y717" s="54"/>
      <c r="Z717" s="54"/>
      <c r="AA717" s="54"/>
      <c r="AB717" s="287"/>
      <c r="AC717" s="54"/>
      <c r="AD717" s="54"/>
    </row>
    <row r="718">
      <c r="A718" s="54"/>
      <c r="B718" s="312"/>
      <c r="C718" s="312"/>
      <c r="D718" s="54"/>
      <c r="E718" s="54"/>
      <c r="F718" s="54"/>
      <c r="G718" s="54"/>
      <c r="H718" s="54"/>
      <c r="I718" s="54"/>
      <c r="J718" s="54"/>
      <c r="K718" s="63"/>
      <c r="L718" s="54"/>
      <c r="M718" s="54"/>
      <c r="N718" s="54"/>
      <c r="O718" s="54"/>
      <c r="P718" s="86"/>
      <c r="Q718" s="54"/>
      <c r="R718" s="249"/>
      <c r="T718" s="54"/>
      <c r="U718" s="54"/>
      <c r="V718" s="54"/>
      <c r="W718" s="54"/>
      <c r="X718" s="54"/>
      <c r="Y718" s="54"/>
      <c r="Z718" s="54"/>
      <c r="AA718" s="54"/>
      <c r="AB718" s="287"/>
      <c r="AC718" s="54"/>
      <c r="AD718" s="54"/>
    </row>
    <row r="719">
      <c r="A719" s="54"/>
      <c r="B719" s="312"/>
      <c r="C719" s="312"/>
      <c r="D719" s="54"/>
      <c r="E719" s="54"/>
      <c r="F719" s="54"/>
      <c r="G719" s="54"/>
      <c r="H719" s="54"/>
      <c r="I719" s="54"/>
      <c r="J719" s="54"/>
      <c r="K719" s="63"/>
      <c r="L719" s="54"/>
      <c r="M719" s="54"/>
      <c r="N719" s="54"/>
      <c r="O719" s="54"/>
      <c r="P719" s="86"/>
      <c r="Q719" s="54"/>
      <c r="R719" s="249"/>
      <c r="T719" s="54"/>
      <c r="U719" s="54"/>
      <c r="V719" s="54"/>
      <c r="W719" s="54"/>
      <c r="X719" s="54"/>
      <c r="Y719" s="54"/>
      <c r="Z719" s="54"/>
      <c r="AA719" s="54"/>
      <c r="AB719" s="287"/>
      <c r="AC719" s="54"/>
      <c r="AD719" s="54"/>
    </row>
    <row r="720">
      <c r="A720" s="54"/>
      <c r="B720" s="312"/>
      <c r="C720" s="312"/>
      <c r="D720" s="54"/>
      <c r="E720" s="54"/>
      <c r="F720" s="54"/>
      <c r="G720" s="54"/>
      <c r="H720" s="54"/>
      <c r="I720" s="54"/>
      <c r="J720" s="54"/>
      <c r="K720" s="63"/>
      <c r="L720" s="54"/>
      <c r="M720" s="54"/>
      <c r="N720" s="54"/>
      <c r="O720" s="54"/>
      <c r="P720" s="86"/>
      <c r="Q720" s="54"/>
      <c r="R720" s="249"/>
      <c r="T720" s="54"/>
      <c r="U720" s="54"/>
      <c r="V720" s="54"/>
      <c r="W720" s="54"/>
      <c r="X720" s="54"/>
      <c r="Y720" s="54"/>
      <c r="Z720" s="54"/>
      <c r="AA720" s="54"/>
      <c r="AB720" s="287"/>
      <c r="AC720" s="54"/>
      <c r="AD720" s="54"/>
    </row>
    <row r="721">
      <c r="A721" s="54"/>
      <c r="B721" s="312"/>
      <c r="C721" s="312"/>
      <c r="D721" s="54"/>
      <c r="E721" s="54"/>
      <c r="F721" s="54"/>
      <c r="G721" s="54"/>
      <c r="H721" s="54"/>
      <c r="I721" s="54"/>
      <c r="J721" s="54"/>
      <c r="K721" s="63"/>
      <c r="L721" s="54"/>
      <c r="M721" s="54"/>
      <c r="N721" s="54"/>
      <c r="O721" s="54"/>
      <c r="P721" s="86"/>
      <c r="Q721" s="54"/>
      <c r="R721" s="249"/>
      <c r="T721" s="54"/>
      <c r="U721" s="54"/>
      <c r="V721" s="54"/>
      <c r="W721" s="54"/>
      <c r="X721" s="54"/>
      <c r="Y721" s="54"/>
      <c r="Z721" s="54"/>
      <c r="AA721" s="54"/>
      <c r="AB721" s="287"/>
      <c r="AC721" s="54"/>
      <c r="AD721" s="54"/>
    </row>
    <row r="722">
      <c r="A722" s="54"/>
      <c r="B722" s="312"/>
      <c r="C722" s="312"/>
      <c r="D722" s="54"/>
      <c r="E722" s="54"/>
      <c r="F722" s="54"/>
      <c r="G722" s="54"/>
      <c r="H722" s="54"/>
      <c r="I722" s="54"/>
      <c r="J722" s="54"/>
      <c r="K722" s="63"/>
      <c r="L722" s="54"/>
      <c r="M722" s="54"/>
      <c r="N722" s="54"/>
      <c r="O722" s="54"/>
      <c r="P722" s="86"/>
      <c r="Q722" s="54"/>
      <c r="R722" s="249"/>
      <c r="T722" s="54"/>
      <c r="U722" s="54"/>
      <c r="V722" s="54"/>
      <c r="W722" s="54"/>
      <c r="X722" s="54"/>
      <c r="Y722" s="54"/>
      <c r="Z722" s="54"/>
      <c r="AA722" s="54"/>
      <c r="AB722" s="287"/>
      <c r="AC722" s="54"/>
      <c r="AD722" s="54"/>
    </row>
    <row r="723">
      <c r="A723" s="54"/>
      <c r="B723" s="312"/>
      <c r="C723" s="312"/>
      <c r="D723" s="54"/>
      <c r="E723" s="54"/>
      <c r="F723" s="54"/>
      <c r="G723" s="54"/>
      <c r="H723" s="54"/>
      <c r="I723" s="54"/>
      <c r="J723" s="54"/>
      <c r="K723" s="63"/>
      <c r="L723" s="54"/>
      <c r="M723" s="54"/>
      <c r="N723" s="54"/>
      <c r="O723" s="54"/>
      <c r="P723" s="86"/>
      <c r="Q723" s="54"/>
      <c r="R723" s="249"/>
      <c r="T723" s="54"/>
      <c r="U723" s="54"/>
      <c r="V723" s="54"/>
      <c r="W723" s="54"/>
      <c r="X723" s="54"/>
      <c r="Y723" s="54"/>
      <c r="Z723" s="54"/>
      <c r="AA723" s="54"/>
      <c r="AB723" s="287"/>
      <c r="AC723" s="54"/>
      <c r="AD723" s="54"/>
    </row>
    <row r="724">
      <c r="A724" s="54"/>
      <c r="B724" s="312"/>
      <c r="C724" s="312"/>
      <c r="D724" s="54"/>
      <c r="E724" s="54"/>
      <c r="F724" s="54"/>
      <c r="G724" s="54"/>
      <c r="H724" s="54"/>
      <c r="I724" s="54"/>
      <c r="J724" s="54"/>
      <c r="K724" s="63"/>
      <c r="L724" s="54"/>
      <c r="M724" s="54"/>
      <c r="N724" s="54"/>
      <c r="O724" s="54"/>
      <c r="P724" s="86"/>
      <c r="Q724" s="54"/>
      <c r="R724" s="249"/>
      <c r="T724" s="54"/>
      <c r="U724" s="54"/>
      <c r="V724" s="54"/>
      <c r="W724" s="54"/>
      <c r="X724" s="54"/>
      <c r="Y724" s="54"/>
      <c r="Z724" s="54"/>
      <c r="AA724" s="54"/>
      <c r="AB724" s="287"/>
      <c r="AC724" s="54"/>
      <c r="AD724" s="54"/>
    </row>
    <row r="725">
      <c r="A725" s="54"/>
      <c r="B725" s="312"/>
      <c r="C725" s="312"/>
      <c r="D725" s="54"/>
      <c r="E725" s="54"/>
      <c r="F725" s="54"/>
      <c r="G725" s="54"/>
      <c r="H725" s="54"/>
      <c r="I725" s="54"/>
      <c r="J725" s="54"/>
      <c r="K725" s="63"/>
      <c r="L725" s="54"/>
      <c r="M725" s="54"/>
      <c r="N725" s="54"/>
      <c r="O725" s="54"/>
      <c r="P725" s="86"/>
      <c r="Q725" s="54"/>
      <c r="R725" s="249"/>
      <c r="T725" s="54"/>
      <c r="U725" s="54"/>
      <c r="V725" s="54"/>
      <c r="W725" s="54"/>
      <c r="X725" s="54"/>
      <c r="Y725" s="54"/>
      <c r="Z725" s="54"/>
      <c r="AA725" s="54"/>
      <c r="AB725" s="287"/>
      <c r="AC725" s="54"/>
      <c r="AD725" s="54"/>
    </row>
    <row r="726">
      <c r="A726" s="54"/>
      <c r="B726" s="312"/>
      <c r="C726" s="312"/>
      <c r="D726" s="54"/>
      <c r="E726" s="54"/>
      <c r="F726" s="54"/>
      <c r="G726" s="54"/>
      <c r="H726" s="54"/>
      <c r="I726" s="54"/>
      <c r="J726" s="54"/>
      <c r="K726" s="63"/>
      <c r="L726" s="54"/>
      <c r="M726" s="54"/>
      <c r="N726" s="54"/>
      <c r="O726" s="54"/>
      <c r="P726" s="86"/>
      <c r="Q726" s="54"/>
      <c r="R726" s="249"/>
      <c r="T726" s="54"/>
      <c r="U726" s="54"/>
      <c r="V726" s="54"/>
      <c r="W726" s="54"/>
      <c r="X726" s="54"/>
      <c r="Y726" s="54"/>
      <c r="Z726" s="54"/>
      <c r="AA726" s="54"/>
      <c r="AB726" s="287"/>
      <c r="AC726" s="54"/>
      <c r="AD726" s="54"/>
    </row>
    <row r="727">
      <c r="A727" s="54"/>
      <c r="B727" s="312"/>
      <c r="C727" s="312"/>
      <c r="D727" s="54"/>
      <c r="E727" s="54"/>
      <c r="F727" s="54"/>
      <c r="G727" s="54"/>
      <c r="H727" s="54"/>
      <c r="I727" s="54"/>
      <c r="J727" s="54"/>
      <c r="K727" s="63"/>
      <c r="L727" s="54"/>
      <c r="M727" s="54"/>
      <c r="N727" s="54"/>
      <c r="O727" s="54"/>
      <c r="P727" s="86"/>
      <c r="Q727" s="54"/>
      <c r="R727" s="249"/>
      <c r="T727" s="54"/>
      <c r="U727" s="54"/>
      <c r="V727" s="54"/>
      <c r="W727" s="54"/>
      <c r="X727" s="54"/>
      <c r="Y727" s="54"/>
      <c r="Z727" s="54"/>
      <c r="AA727" s="54"/>
      <c r="AB727" s="287"/>
      <c r="AC727" s="54"/>
      <c r="AD727" s="54"/>
    </row>
    <row r="728">
      <c r="A728" s="54"/>
      <c r="B728" s="312"/>
      <c r="C728" s="312"/>
      <c r="D728" s="54"/>
      <c r="E728" s="54"/>
      <c r="F728" s="54"/>
      <c r="G728" s="54"/>
      <c r="H728" s="54"/>
      <c r="I728" s="54"/>
      <c r="J728" s="54"/>
      <c r="K728" s="63"/>
      <c r="L728" s="54"/>
      <c r="M728" s="54"/>
      <c r="N728" s="54"/>
      <c r="O728" s="54"/>
      <c r="P728" s="86"/>
      <c r="Q728" s="54"/>
      <c r="R728" s="249"/>
      <c r="T728" s="54"/>
      <c r="U728" s="54"/>
      <c r="V728" s="54"/>
      <c r="W728" s="54"/>
      <c r="X728" s="54"/>
      <c r="Y728" s="54"/>
      <c r="Z728" s="54"/>
      <c r="AA728" s="54"/>
      <c r="AB728" s="287"/>
      <c r="AC728" s="54"/>
      <c r="AD728" s="54"/>
    </row>
    <row r="729">
      <c r="A729" s="54"/>
      <c r="B729" s="312"/>
      <c r="C729" s="312"/>
      <c r="D729" s="54"/>
      <c r="E729" s="54"/>
      <c r="F729" s="54"/>
      <c r="G729" s="54"/>
      <c r="H729" s="54"/>
      <c r="I729" s="54"/>
      <c r="J729" s="54"/>
      <c r="K729" s="63"/>
      <c r="L729" s="54"/>
      <c r="M729" s="54"/>
      <c r="N729" s="54"/>
      <c r="O729" s="54"/>
      <c r="P729" s="86"/>
      <c r="Q729" s="54"/>
      <c r="R729" s="249"/>
      <c r="T729" s="54"/>
      <c r="U729" s="54"/>
      <c r="V729" s="54"/>
      <c r="W729" s="54"/>
      <c r="X729" s="54"/>
      <c r="Y729" s="54"/>
      <c r="Z729" s="54"/>
      <c r="AA729" s="54"/>
      <c r="AB729" s="287"/>
      <c r="AC729" s="54"/>
      <c r="AD729" s="54"/>
    </row>
    <row r="730">
      <c r="A730" s="54"/>
      <c r="B730" s="312"/>
      <c r="C730" s="312"/>
      <c r="D730" s="54"/>
      <c r="E730" s="54"/>
      <c r="F730" s="54"/>
      <c r="G730" s="54"/>
      <c r="H730" s="54"/>
      <c r="I730" s="54"/>
      <c r="J730" s="54"/>
      <c r="K730" s="63"/>
      <c r="L730" s="54"/>
      <c r="M730" s="54"/>
      <c r="N730" s="54"/>
      <c r="O730" s="54"/>
      <c r="P730" s="86"/>
      <c r="Q730" s="54"/>
      <c r="R730" s="249"/>
      <c r="T730" s="54"/>
      <c r="U730" s="54"/>
      <c r="V730" s="54"/>
      <c r="W730" s="54"/>
      <c r="X730" s="54"/>
      <c r="Y730" s="54"/>
      <c r="Z730" s="54"/>
      <c r="AA730" s="54"/>
      <c r="AB730" s="287"/>
      <c r="AC730" s="54"/>
      <c r="AD730" s="54"/>
    </row>
    <row r="731">
      <c r="A731" s="54"/>
      <c r="B731" s="312"/>
      <c r="C731" s="312"/>
      <c r="D731" s="54"/>
      <c r="E731" s="54"/>
      <c r="F731" s="54"/>
      <c r="G731" s="54"/>
      <c r="H731" s="54"/>
      <c r="I731" s="54"/>
      <c r="J731" s="54"/>
      <c r="K731" s="63"/>
      <c r="L731" s="54"/>
      <c r="M731" s="54"/>
      <c r="N731" s="54"/>
      <c r="O731" s="54"/>
      <c r="P731" s="86"/>
      <c r="Q731" s="54"/>
      <c r="R731" s="249"/>
      <c r="T731" s="54"/>
      <c r="U731" s="54"/>
      <c r="V731" s="54"/>
      <c r="W731" s="54"/>
      <c r="X731" s="54"/>
      <c r="Y731" s="54"/>
      <c r="Z731" s="54"/>
      <c r="AA731" s="54"/>
      <c r="AB731" s="287"/>
      <c r="AC731" s="54"/>
      <c r="AD731" s="54"/>
    </row>
    <row r="732">
      <c r="A732" s="54"/>
      <c r="B732" s="312"/>
      <c r="C732" s="312"/>
      <c r="D732" s="54"/>
      <c r="E732" s="54"/>
      <c r="F732" s="54"/>
      <c r="G732" s="54"/>
      <c r="H732" s="54"/>
      <c r="I732" s="54"/>
      <c r="J732" s="54"/>
      <c r="K732" s="63"/>
      <c r="L732" s="54"/>
      <c r="M732" s="54"/>
      <c r="N732" s="54"/>
      <c r="O732" s="54"/>
      <c r="P732" s="86"/>
      <c r="Q732" s="54"/>
      <c r="R732" s="249"/>
      <c r="T732" s="54"/>
      <c r="U732" s="54"/>
      <c r="V732" s="54"/>
      <c r="W732" s="54"/>
      <c r="X732" s="54"/>
      <c r="Y732" s="54"/>
      <c r="Z732" s="54"/>
      <c r="AA732" s="54"/>
      <c r="AB732" s="287"/>
      <c r="AC732" s="54"/>
      <c r="AD732" s="54"/>
    </row>
    <row r="733">
      <c r="A733" s="54"/>
      <c r="B733" s="312"/>
      <c r="C733" s="312"/>
      <c r="D733" s="54"/>
      <c r="E733" s="54"/>
      <c r="F733" s="54"/>
      <c r="G733" s="54"/>
      <c r="H733" s="54"/>
      <c r="I733" s="54"/>
      <c r="J733" s="54"/>
      <c r="K733" s="63"/>
      <c r="L733" s="54"/>
      <c r="M733" s="54"/>
      <c r="N733" s="54"/>
      <c r="O733" s="54"/>
      <c r="P733" s="86"/>
      <c r="Q733" s="54"/>
      <c r="R733" s="249"/>
      <c r="T733" s="54"/>
      <c r="U733" s="54"/>
      <c r="V733" s="54"/>
      <c r="W733" s="54"/>
      <c r="X733" s="54"/>
      <c r="Y733" s="54"/>
      <c r="Z733" s="54"/>
      <c r="AA733" s="54"/>
      <c r="AB733" s="287"/>
      <c r="AC733" s="54"/>
      <c r="AD733" s="54"/>
    </row>
    <row r="734">
      <c r="A734" s="54"/>
      <c r="B734" s="312"/>
      <c r="C734" s="312"/>
      <c r="D734" s="54"/>
      <c r="E734" s="54"/>
      <c r="F734" s="54"/>
      <c r="G734" s="54"/>
      <c r="H734" s="54"/>
      <c r="I734" s="54"/>
      <c r="J734" s="54"/>
      <c r="K734" s="63"/>
      <c r="L734" s="54"/>
      <c r="M734" s="54"/>
      <c r="N734" s="54"/>
      <c r="O734" s="54"/>
      <c r="P734" s="86"/>
      <c r="Q734" s="54"/>
      <c r="R734" s="249"/>
      <c r="T734" s="54"/>
      <c r="U734" s="54"/>
      <c r="V734" s="54"/>
      <c r="W734" s="54"/>
      <c r="X734" s="54"/>
      <c r="Y734" s="54"/>
      <c r="Z734" s="54"/>
      <c r="AA734" s="54"/>
      <c r="AB734" s="287"/>
      <c r="AC734" s="54"/>
      <c r="AD734" s="54"/>
    </row>
    <row r="735">
      <c r="A735" s="54"/>
      <c r="B735" s="312"/>
      <c r="C735" s="312"/>
      <c r="D735" s="54"/>
      <c r="E735" s="54"/>
      <c r="F735" s="54"/>
      <c r="G735" s="54"/>
      <c r="H735" s="54"/>
      <c r="I735" s="54"/>
      <c r="J735" s="54"/>
      <c r="K735" s="63"/>
      <c r="L735" s="54"/>
      <c r="M735" s="54"/>
      <c r="N735" s="54"/>
      <c r="O735" s="54"/>
      <c r="P735" s="86"/>
      <c r="Q735" s="54"/>
      <c r="R735" s="249"/>
      <c r="T735" s="54"/>
      <c r="U735" s="54"/>
      <c r="V735" s="54"/>
      <c r="W735" s="54"/>
      <c r="X735" s="54"/>
      <c r="Y735" s="54"/>
      <c r="Z735" s="54"/>
      <c r="AA735" s="54"/>
      <c r="AB735" s="287"/>
      <c r="AC735" s="54"/>
      <c r="AD735" s="54"/>
    </row>
    <row r="736">
      <c r="A736" s="54"/>
      <c r="B736" s="312"/>
      <c r="C736" s="312"/>
      <c r="D736" s="54"/>
      <c r="E736" s="54"/>
      <c r="F736" s="54"/>
      <c r="G736" s="54"/>
      <c r="H736" s="54"/>
      <c r="I736" s="54"/>
      <c r="J736" s="54"/>
      <c r="K736" s="63"/>
      <c r="L736" s="54"/>
      <c r="M736" s="54"/>
      <c r="N736" s="54"/>
      <c r="O736" s="54"/>
      <c r="P736" s="86"/>
      <c r="Q736" s="54"/>
      <c r="R736" s="249"/>
      <c r="T736" s="54"/>
      <c r="U736" s="54"/>
      <c r="V736" s="54"/>
      <c r="W736" s="54"/>
      <c r="X736" s="54"/>
      <c r="Y736" s="54"/>
      <c r="Z736" s="54"/>
      <c r="AA736" s="54"/>
      <c r="AB736" s="287"/>
      <c r="AC736" s="54"/>
      <c r="AD736" s="54"/>
    </row>
    <row r="737">
      <c r="A737" s="54"/>
      <c r="B737" s="312"/>
      <c r="C737" s="312"/>
      <c r="D737" s="54"/>
      <c r="E737" s="54"/>
      <c r="F737" s="54"/>
      <c r="G737" s="54"/>
      <c r="H737" s="54"/>
      <c r="I737" s="54"/>
      <c r="J737" s="54"/>
      <c r="K737" s="63"/>
      <c r="L737" s="54"/>
      <c r="M737" s="54"/>
      <c r="N737" s="54"/>
      <c r="O737" s="54"/>
      <c r="P737" s="86"/>
      <c r="Q737" s="54"/>
      <c r="R737" s="249"/>
      <c r="T737" s="54"/>
      <c r="U737" s="54"/>
      <c r="V737" s="54"/>
      <c r="W737" s="54"/>
      <c r="X737" s="54"/>
      <c r="Y737" s="54"/>
      <c r="Z737" s="54"/>
      <c r="AA737" s="54"/>
      <c r="AB737" s="287"/>
      <c r="AC737" s="54"/>
      <c r="AD737" s="54"/>
    </row>
    <row r="738">
      <c r="A738" s="54"/>
      <c r="B738" s="312"/>
      <c r="C738" s="312"/>
      <c r="D738" s="54"/>
      <c r="E738" s="54"/>
      <c r="F738" s="54"/>
      <c r="G738" s="54"/>
      <c r="H738" s="54"/>
      <c r="I738" s="54"/>
      <c r="J738" s="54"/>
      <c r="K738" s="63"/>
      <c r="L738" s="54"/>
      <c r="M738" s="54"/>
      <c r="N738" s="54"/>
      <c r="O738" s="54"/>
      <c r="P738" s="86"/>
      <c r="Q738" s="54"/>
      <c r="R738" s="249"/>
      <c r="T738" s="54"/>
      <c r="U738" s="54"/>
      <c r="V738" s="54"/>
      <c r="W738" s="54"/>
      <c r="X738" s="54"/>
      <c r="Y738" s="54"/>
      <c r="Z738" s="54"/>
      <c r="AA738" s="54"/>
      <c r="AB738" s="287"/>
      <c r="AC738" s="54"/>
      <c r="AD738" s="54"/>
    </row>
    <row r="739">
      <c r="A739" s="54"/>
      <c r="B739" s="312"/>
      <c r="C739" s="312"/>
      <c r="D739" s="54"/>
      <c r="E739" s="54"/>
      <c r="F739" s="54"/>
      <c r="G739" s="54"/>
      <c r="H739" s="54"/>
      <c r="I739" s="54"/>
      <c r="J739" s="54"/>
      <c r="K739" s="63"/>
      <c r="L739" s="54"/>
      <c r="M739" s="54"/>
      <c r="N739" s="54"/>
      <c r="O739" s="54"/>
      <c r="P739" s="86"/>
      <c r="Q739" s="54"/>
      <c r="R739" s="249"/>
      <c r="T739" s="54"/>
      <c r="U739" s="54"/>
      <c r="V739" s="54"/>
      <c r="W739" s="54"/>
      <c r="X739" s="54"/>
      <c r="Y739" s="54"/>
      <c r="Z739" s="54"/>
      <c r="AA739" s="54"/>
      <c r="AB739" s="287"/>
      <c r="AC739" s="54"/>
      <c r="AD739" s="54"/>
    </row>
    <row r="740">
      <c r="A740" s="54"/>
      <c r="B740" s="312"/>
      <c r="C740" s="312"/>
      <c r="D740" s="54"/>
      <c r="E740" s="54"/>
      <c r="F740" s="54"/>
      <c r="G740" s="54"/>
      <c r="H740" s="54"/>
      <c r="I740" s="54"/>
      <c r="J740" s="54"/>
      <c r="K740" s="63"/>
      <c r="L740" s="54"/>
      <c r="M740" s="54"/>
      <c r="N740" s="54"/>
      <c r="O740" s="54"/>
      <c r="P740" s="86"/>
      <c r="Q740" s="54"/>
      <c r="R740" s="249"/>
      <c r="T740" s="54"/>
      <c r="U740" s="54"/>
      <c r="V740" s="54"/>
      <c r="W740" s="54"/>
      <c r="X740" s="54"/>
      <c r="Y740" s="54"/>
      <c r="Z740" s="54"/>
      <c r="AA740" s="54"/>
      <c r="AB740" s="287"/>
      <c r="AC740" s="54"/>
      <c r="AD740" s="54"/>
    </row>
    <row r="741">
      <c r="A741" s="54"/>
      <c r="B741" s="312"/>
      <c r="C741" s="312"/>
      <c r="D741" s="54"/>
      <c r="E741" s="54"/>
      <c r="F741" s="54"/>
      <c r="G741" s="54"/>
      <c r="H741" s="54"/>
      <c r="I741" s="54"/>
      <c r="J741" s="54"/>
      <c r="K741" s="63"/>
      <c r="L741" s="54"/>
      <c r="M741" s="54"/>
      <c r="N741" s="54"/>
      <c r="O741" s="54"/>
      <c r="P741" s="86"/>
      <c r="Q741" s="54"/>
      <c r="R741" s="249"/>
      <c r="T741" s="54"/>
      <c r="U741" s="54"/>
      <c r="V741" s="54"/>
      <c r="W741" s="54"/>
      <c r="X741" s="54"/>
      <c r="Y741" s="54"/>
      <c r="Z741" s="54"/>
      <c r="AA741" s="54"/>
      <c r="AB741" s="287"/>
      <c r="AC741" s="54"/>
      <c r="AD741" s="54"/>
    </row>
    <row r="742">
      <c r="A742" s="54"/>
      <c r="B742" s="312"/>
      <c r="C742" s="312"/>
      <c r="D742" s="54"/>
      <c r="E742" s="54"/>
      <c r="F742" s="54"/>
      <c r="G742" s="54"/>
      <c r="H742" s="54"/>
      <c r="I742" s="54"/>
      <c r="J742" s="54"/>
      <c r="K742" s="63"/>
      <c r="L742" s="54"/>
      <c r="M742" s="54"/>
      <c r="N742" s="54"/>
      <c r="O742" s="54"/>
      <c r="P742" s="86"/>
      <c r="Q742" s="54"/>
      <c r="R742" s="249"/>
      <c r="T742" s="54"/>
      <c r="U742" s="54"/>
      <c r="V742" s="54"/>
      <c r="W742" s="54"/>
      <c r="X742" s="54"/>
      <c r="Y742" s="54"/>
      <c r="Z742" s="54"/>
      <c r="AA742" s="54"/>
      <c r="AB742" s="287"/>
      <c r="AC742" s="54"/>
      <c r="AD742" s="54"/>
    </row>
    <row r="743">
      <c r="A743" s="54"/>
      <c r="B743" s="312"/>
      <c r="C743" s="312"/>
      <c r="D743" s="54"/>
      <c r="E743" s="54"/>
      <c r="F743" s="54"/>
      <c r="G743" s="54"/>
      <c r="H743" s="54"/>
      <c r="I743" s="54"/>
      <c r="J743" s="54"/>
      <c r="K743" s="63"/>
      <c r="L743" s="54"/>
      <c r="M743" s="54"/>
      <c r="N743" s="54"/>
      <c r="O743" s="54"/>
      <c r="P743" s="86"/>
      <c r="Q743" s="54"/>
      <c r="R743" s="249"/>
      <c r="T743" s="54"/>
      <c r="U743" s="54"/>
      <c r="V743" s="54"/>
      <c r="W743" s="54"/>
      <c r="X743" s="54"/>
      <c r="Y743" s="54"/>
      <c r="Z743" s="54"/>
      <c r="AA743" s="54"/>
      <c r="AB743" s="287"/>
      <c r="AC743" s="54"/>
      <c r="AD743" s="54"/>
    </row>
    <row r="744">
      <c r="A744" s="54"/>
      <c r="B744" s="312"/>
      <c r="C744" s="312"/>
      <c r="D744" s="54"/>
      <c r="E744" s="54"/>
      <c r="F744" s="54"/>
      <c r="G744" s="54"/>
      <c r="H744" s="54"/>
      <c r="I744" s="54"/>
      <c r="J744" s="54"/>
      <c r="K744" s="63"/>
      <c r="L744" s="54"/>
      <c r="M744" s="54"/>
      <c r="N744" s="54"/>
      <c r="O744" s="54"/>
      <c r="P744" s="86"/>
      <c r="Q744" s="54"/>
      <c r="R744" s="249"/>
      <c r="T744" s="54"/>
      <c r="U744" s="54"/>
      <c r="V744" s="54"/>
      <c r="W744" s="54"/>
      <c r="X744" s="54"/>
      <c r="Y744" s="54"/>
      <c r="Z744" s="54"/>
      <c r="AA744" s="54"/>
      <c r="AB744" s="287"/>
      <c r="AC744" s="54"/>
      <c r="AD744" s="54"/>
    </row>
    <row r="745">
      <c r="A745" s="54"/>
      <c r="B745" s="312"/>
      <c r="C745" s="312"/>
      <c r="D745" s="54"/>
      <c r="E745" s="54"/>
      <c r="F745" s="54"/>
      <c r="G745" s="54"/>
      <c r="H745" s="54"/>
      <c r="I745" s="54"/>
      <c r="J745" s="54"/>
      <c r="K745" s="63"/>
      <c r="L745" s="54"/>
      <c r="M745" s="54"/>
      <c r="N745" s="54"/>
      <c r="O745" s="54"/>
      <c r="P745" s="86"/>
      <c r="Q745" s="54"/>
      <c r="R745" s="249"/>
      <c r="T745" s="54"/>
      <c r="U745" s="54"/>
      <c r="V745" s="54"/>
      <c r="W745" s="54"/>
      <c r="X745" s="54"/>
      <c r="Y745" s="54"/>
      <c r="Z745" s="54"/>
      <c r="AA745" s="54"/>
      <c r="AB745" s="287"/>
      <c r="AC745" s="54"/>
      <c r="AD745" s="54"/>
    </row>
    <row r="746">
      <c r="A746" s="54"/>
      <c r="B746" s="312"/>
      <c r="C746" s="312"/>
      <c r="D746" s="54"/>
      <c r="E746" s="54"/>
      <c r="F746" s="54"/>
      <c r="G746" s="54"/>
      <c r="H746" s="54"/>
      <c r="I746" s="54"/>
      <c r="J746" s="54"/>
      <c r="K746" s="63"/>
      <c r="L746" s="54"/>
      <c r="M746" s="54"/>
      <c r="N746" s="54"/>
      <c r="O746" s="54"/>
      <c r="P746" s="86"/>
      <c r="Q746" s="54"/>
      <c r="R746" s="249"/>
      <c r="T746" s="54"/>
      <c r="U746" s="54"/>
      <c r="V746" s="54"/>
      <c r="W746" s="54"/>
      <c r="X746" s="54"/>
      <c r="Y746" s="54"/>
      <c r="Z746" s="54"/>
      <c r="AA746" s="54"/>
      <c r="AB746" s="287"/>
      <c r="AC746" s="54"/>
      <c r="AD746" s="54"/>
    </row>
    <row r="747">
      <c r="A747" s="54"/>
      <c r="B747" s="312"/>
      <c r="C747" s="312"/>
      <c r="D747" s="54"/>
      <c r="E747" s="54"/>
      <c r="F747" s="54"/>
      <c r="G747" s="54"/>
      <c r="H747" s="54"/>
      <c r="I747" s="54"/>
      <c r="J747" s="54"/>
      <c r="K747" s="63"/>
      <c r="L747" s="54"/>
      <c r="M747" s="54"/>
      <c r="N747" s="54"/>
      <c r="O747" s="54"/>
      <c r="P747" s="86"/>
      <c r="Q747" s="54"/>
      <c r="R747" s="249"/>
      <c r="T747" s="54"/>
      <c r="U747" s="54"/>
      <c r="V747" s="54"/>
      <c r="W747" s="54"/>
      <c r="X747" s="54"/>
      <c r="Y747" s="54"/>
      <c r="Z747" s="54"/>
      <c r="AA747" s="54"/>
      <c r="AB747" s="287"/>
      <c r="AC747" s="54"/>
      <c r="AD747" s="54"/>
    </row>
    <row r="748">
      <c r="A748" s="54"/>
      <c r="B748" s="312"/>
      <c r="C748" s="312"/>
      <c r="D748" s="54"/>
      <c r="E748" s="54"/>
      <c r="F748" s="54"/>
      <c r="G748" s="54"/>
      <c r="H748" s="54"/>
      <c r="I748" s="54"/>
      <c r="J748" s="54"/>
      <c r="K748" s="63"/>
      <c r="L748" s="54"/>
      <c r="M748" s="54"/>
      <c r="N748" s="54"/>
      <c r="O748" s="54"/>
      <c r="P748" s="86"/>
      <c r="Q748" s="54"/>
      <c r="R748" s="249"/>
      <c r="T748" s="54"/>
      <c r="U748" s="54"/>
      <c r="V748" s="54"/>
      <c r="W748" s="54"/>
      <c r="X748" s="54"/>
      <c r="Y748" s="54"/>
      <c r="Z748" s="54"/>
      <c r="AA748" s="54"/>
      <c r="AB748" s="287"/>
      <c r="AC748" s="54"/>
      <c r="AD748" s="54"/>
    </row>
    <row r="749">
      <c r="A749" s="54"/>
      <c r="B749" s="312"/>
      <c r="C749" s="312"/>
      <c r="D749" s="54"/>
      <c r="E749" s="54"/>
      <c r="F749" s="54"/>
      <c r="G749" s="54"/>
      <c r="H749" s="54"/>
      <c r="I749" s="54"/>
      <c r="J749" s="54"/>
      <c r="K749" s="63"/>
      <c r="L749" s="54"/>
      <c r="M749" s="54"/>
      <c r="N749" s="54"/>
      <c r="O749" s="54"/>
      <c r="P749" s="86"/>
      <c r="Q749" s="54"/>
      <c r="R749" s="249"/>
      <c r="T749" s="54"/>
      <c r="U749" s="54"/>
      <c r="V749" s="54"/>
      <c r="W749" s="54"/>
      <c r="X749" s="54"/>
      <c r="Y749" s="54"/>
      <c r="Z749" s="54"/>
      <c r="AA749" s="54"/>
      <c r="AB749" s="287"/>
      <c r="AC749" s="54"/>
      <c r="AD749" s="54"/>
    </row>
    <row r="750">
      <c r="A750" s="54"/>
      <c r="B750" s="312"/>
      <c r="C750" s="312"/>
      <c r="D750" s="54"/>
      <c r="E750" s="54"/>
      <c r="F750" s="54"/>
      <c r="G750" s="54"/>
      <c r="H750" s="54"/>
      <c r="I750" s="54"/>
      <c r="J750" s="54"/>
      <c r="K750" s="63"/>
      <c r="L750" s="54"/>
      <c r="M750" s="54"/>
      <c r="N750" s="54"/>
      <c r="O750" s="54"/>
      <c r="P750" s="86"/>
      <c r="Q750" s="54"/>
      <c r="R750" s="249"/>
      <c r="T750" s="54"/>
      <c r="U750" s="54"/>
      <c r="V750" s="54"/>
      <c r="W750" s="54"/>
      <c r="X750" s="54"/>
      <c r="Y750" s="54"/>
      <c r="Z750" s="54"/>
      <c r="AA750" s="54"/>
      <c r="AB750" s="287"/>
      <c r="AC750" s="54"/>
      <c r="AD750" s="54"/>
    </row>
    <row r="751">
      <c r="A751" s="54"/>
      <c r="B751" s="312"/>
      <c r="C751" s="312"/>
      <c r="D751" s="54"/>
      <c r="E751" s="54"/>
      <c r="F751" s="54"/>
      <c r="G751" s="54"/>
      <c r="H751" s="54"/>
      <c r="I751" s="54"/>
      <c r="J751" s="54"/>
      <c r="K751" s="63"/>
      <c r="L751" s="54"/>
      <c r="M751" s="54"/>
      <c r="N751" s="54"/>
      <c r="O751" s="54"/>
      <c r="P751" s="86"/>
      <c r="Q751" s="54"/>
      <c r="R751" s="249"/>
      <c r="T751" s="54"/>
      <c r="U751" s="54"/>
      <c r="V751" s="54"/>
      <c r="W751" s="54"/>
      <c r="X751" s="54"/>
      <c r="Y751" s="54"/>
      <c r="Z751" s="54"/>
      <c r="AA751" s="54"/>
      <c r="AB751" s="287"/>
      <c r="AC751" s="54"/>
      <c r="AD751" s="54"/>
    </row>
    <row r="752">
      <c r="A752" s="54"/>
      <c r="B752" s="312"/>
      <c r="C752" s="312"/>
      <c r="D752" s="54"/>
      <c r="E752" s="54"/>
      <c r="F752" s="54"/>
      <c r="G752" s="54"/>
      <c r="H752" s="54"/>
      <c r="I752" s="54"/>
      <c r="J752" s="54"/>
      <c r="K752" s="63"/>
      <c r="L752" s="54"/>
      <c r="M752" s="54"/>
      <c r="N752" s="54"/>
      <c r="O752" s="54"/>
      <c r="P752" s="86"/>
      <c r="Q752" s="54"/>
      <c r="R752" s="249"/>
      <c r="T752" s="54"/>
      <c r="U752" s="54"/>
      <c r="V752" s="54"/>
      <c r="W752" s="54"/>
      <c r="X752" s="54"/>
      <c r="Y752" s="54"/>
      <c r="Z752" s="54"/>
      <c r="AA752" s="54"/>
      <c r="AB752" s="287"/>
      <c r="AC752" s="54"/>
      <c r="AD752" s="54"/>
    </row>
    <row r="753">
      <c r="A753" s="54"/>
      <c r="B753" s="312"/>
      <c r="C753" s="312"/>
      <c r="D753" s="54"/>
      <c r="E753" s="54"/>
      <c r="F753" s="54"/>
      <c r="G753" s="54"/>
      <c r="H753" s="54"/>
      <c r="I753" s="54"/>
      <c r="J753" s="54"/>
      <c r="K753" s="63"/>
      <c r="L753" s="54"/>
      <c r="M753" s="54"/>
      <c r="N753" s="54"/>
      <c r="O753" s="54"/>
      <c r="P753" s="86"/>
      <c r="Q753" s="54"/>
      <c r="R753" s="249"/>
      <c r="T753" s="54"/>
      <c r="U753" s="54"/>
      <c r="V753" s="54"/>
      <c r="W753" s="54"/>
      <c r="X753" s="54"/>
      <c r="Y753" s="54"/>
      <c r="Z753" s="54"/>
      <c r="AA753" s="54"/>
      <c r="AB753" s="287"/>
      <c r="AC753" s="54"/>
      <c r="AD753" s="54"/>
    </row>
    <row r="754">
      <c r="A754" s="54"/>
      <c r="B754" s="312"/>
      <c r="C754" s="312"/>
      <c r="D754" s="54"/>
      <c r="E754" s="54"/>
      <c r="F754" s="54"/>
      <c r="G754" s="54"/>
      <c r="H754" s="54"/>
      <c r="I754" s="54"/>
      <c r="J754" s="54"/>
      <c r="K754" s="63"/>
      <c r="L754" s="54"/>
      <c r="M754" s="54"/>
      <c r="N754" s="54"/>
      <c r="O754" s="54"/>
      <c r="P754" s="86"/>
      <c r="Q754" s="54"/>
      <c r="R754" s="249"/>
      <c r="T754" s="54"/>
      <c r="U754" s="54"/>
      <c r="V754" s="54"/>
      <c r="W754" s="54"/>
      <c r="X754" s="54"/>
      <c r="Y754" s="54"/>
      <c r="Z754" s="54"/>
      <c r="AA754" s="54"/>
      <c r="AB754" s="287"/>
      <c r="AC754" s="54"/>
      <c r="AD754" s="54"/>
    </row>
    <row r="755">
      <c r="A755" s="54"/>
      <c r="B755" s="312"/>
      <c r="C755" s="312"/>
      <c r="D755" s="54"/>
      <c r="E755" s="54"/>
      <c r="F755" s="54"/>
      <c r="G755" s="54"/>
      <c r="H755" s="54"/>
      <c r="I755" s="54"/>
      <c r="J755" s="54"/>
      <c r="K755" s="63"/>
      <c r="L755" s="54"/>
      <c r="M755" s="54"/>
      <c r="N755" s="54"/>
      <c r="O755" s="54"/>
      <c r="P755" s="86"/>
      <c r="Q755" s="54"/>
      <c r="R755" s="249"/>
      <c r="T755" s="54"/>
      <c r="U755" s="54"/>
      <c r="V755" s="54"/>
      <c r="W755" s="54"/>
      <c r="X755" s="54"/>
      <c r="Y755" s="54"/>
      <c r="Z755" s="54"/>
      <c r="AA755" s="54"/>
      <c r="AB755" s="287"/>
      <c r="AC755" s="54"/>
      <c r="AD755" s="54"/>
    </row>
    <row r="756">
      <c r="A756" s="54"/>
      <c r="B756" s="312"/>
      <c r="C756" s="312"/>
      <c r="D756" s="54"/>
      <c r="E756" s="54"/>
      <c r="F756" s="54"/>
      <c r="G756" s="54"/>
      <c r="H756" s="54"/>
      <c r="I756" s="54"/>
      <c r="J756" s="54"/>
      <c r="K756" s="63"/>
      <c r="L756" s="54"/>
      <c r="M756" s="54"/>
      <c r="N756" s="54"/>
      <c r="O756" s="54"/>
      <c r="P756" s="86"/>
      <c r="Q756" s="54"/>
      <c r="R756" s="249"/>
      <c r="T756" s="54"/>
      <c r="U756" s="54"/>
      <c r="V756" s="54"/>
      <c r="W756" s="54"/>
      <c r="X756" s="54"/>
      <c r="Y756" s="54"/>
      <c r="Z756" s="54"/>
      <c r="AA756" s="54"/>
      <c r="AB756" s="287"/>
      <c r="AC756" s="54"/>
      <c r="AD756" s="54"/>
    </row>
    <row r="757">
      <c r="A757" s="54"/>
      <c r="B757" s="312"/>
      <c r="C757" s="312"/>
      <c r="D757" s="54"/>
      <c r="E757" s="54"/>
      <c r="F757" s="54"/>
      <c r="G757" s="54"/>
      <c r="H757" s="54"/>
      <c r="I757" s="54"/>
      <c r="J757" s="54"/>
      <c r="K757" s="63"/>
      <c r="L757" s="54"/>
      <c r="M757" s="54"/>
      <c r="N757" s="54"/>
      <c r="O757" s="54"/>
      <c r="P757" s="86"/>
      <c r="Q757" s="54"/>
      <c r="R757" s="249"/>
      <c r="T757" s="54"/>
      <c r="U757" s="54"/>
      <c r="V757" s="54"/>
      <c r="W757" s="54"/>
      <c r="X757" s="54"/>
      <c r="Y757" s="54"/>
      <c r="Z757" s="54"/>
      <c r="AA757" s="54"/>
      <c r="AB757" s="287"/>
      <c r="AC757" s="54"/>
      <c r="AD757" s="54"/>
    </row>
    <row r="758">
      <c r="A758" s="54"/>
      <c r="B758" s="312"/>
      <c r="C758" s="312"/>
      <c r="D758" s="54"/>
      <c r="E758" s="54"/>
      <c r="F758" s="54"/>
      <c r="G758" s="54"/>
      <c r="H758" s="54"/>
      <c r="I758" s="54"/>
      <c r="J758" s="54"/>
      <c r="K758" s="63"/>
      <c r="L758" s="54"/>
      <c r="M758" s="54"/>
      <c r="N758" s="54"/>
      <c r="O758" s="54"/>
      <c r="P758" s="86"/>
      <c r="Q758" s="54"/>
      <c r="R758" s="249"/>
      <c r="T758" s="54"/>
      <c r="U758" s="54"/>
      <c r="V758" s="54"/>
      <c r="W758" s="54"/>
      <c r="X758" s="54"/>
      <c r="Y758" s="54"/>
      <c r="Z758" s="54"/>
      <c r="AA758" s="54"/>
      <c r="AB758" s="287"/>
      <c r="AC758" s="54"/>
      <c r="AD758" s="54"/>
    </row>
    <row r="759">
      <c r="A759" s="54"/>
      <c r="B759" s="312"/>
      <c r="C759" s="312"/>
      <c r="D759" s="54"/>
      <c r="E759" s="54"/>
      <c r="F759" s="54"/>
      <c r="G759" s="54"/>
      <c r="H759" s="54"/>
      <c r="I759" s="54"/>
      <c r="J759" s="54"/>
      <c r="K759" s="63"/>
      <c r="L759" s="54"/>
      <c r="M759" s="54"/>
      <c r="N759" s="54"/>
      <c r="O759" s="54"/>
      <c r="P759" s="86"/>
      <c r="Q759" s="54"/>
      <c r="R759" s="249"/>
      <c r="T759" s="54"/>
      <c r="U759" s="54"/>
      <c r="V759" s="54"/>
      <c r="W759" s="54"/>
      <c r="X759" s="54"/>
      <c r="Y759" s="54"/>
      <c r="Z759" s="54"/>
      <c r="AA759" s="54"/>
      <c r="AB759" s="287"/>
      <c r="AC759" s="54"/>
      <c r="AD759" s="54"/>
    </row>
    <row r="760">
      <c r="A760" s="54"/>
      <c r="B760" s="312"/>
      <c r="C760" s="312"/>
      <c r="D760" s="54"/>
      <c r="E760" s="54"/>
      <c r="F760" s="54"/>
      <c r="G760" s="54"/>
      <c r="H760" s="54"/>
      <c r="I760" s="54"/>
      <c r="J760" s="54"/>
      <c r="K760" s="63"/>
      <c r="L760" s="54"/>
      <c r="M760" s="54"/>
      <c r="N760" s="54"/>
      <c r="O760" s="54"/>
      <c r="P760" s="86"/>
      <c r="Q760" s="54"/>
      <c r="R760" s="249"/>
      <c r="T760" s="54"/>
      <c r="U760" s="54"/>
      <c r="V760" s="54"/>
      <c r="W760" s="54"/>
      <c r="X760" s="54"/>
      <c r="Y760" s="54"/>
      <c r="Z760" s="54"/>
      <c r="AA760" s="54"/>
      <c r="AB760" s="287"/>
      <c r="AC760" s="54"/>
      <c r="AD760" s="54"/>
    </row>
    <row r="761">
      <c r="A761" s="54"/>
      <c r="B761" s="312"/>
      <c r="C761" s="312"/>
      <c r="D761" s="54"/>
      <c r="E761" s="54"/>
      <c r="F761" s="54"/>
      <c r="G761" s="54"/>
      <c r="H761" s="54"/>
      <c r="I761" s="54"/>
      <c r="J761" s="54"/>
      <c r="K761" s="63"/>
      <c r="L761" s="54"/>
      <c r="M761" s="54"/>
      <c r="N761" s="54"/>
      <c r="O761" s="54"/>
      <c r="P761" s="86"/>
      <c r="Q761" s="54"/>
      <c r="R761" s="249"/>
      <c r="T761" s="54"/>
      <c r="U761" s="54"/>
      <c r="V761" s="54"/>
      <c r="W761" s="54"/>
      <c r="X761" s="54"/>
      <c r="Y761" s="54"/>
      <c r="Z761" s="54"/>
      <c r="AA761" s="54"/>
      <c r="AB761" s="287"/>
      <c r="AC761" s="54"/>
      <c r="AD761" s="54"/>
    </row>
    <row r="762">
      <c r="A762" s="54"/>
      <c r="B762" s="312"/>
      <c r="C762" s="312"/>
      <c r="D762" s="54"/>
      <c r="E762" s="54"/>
      <c r="F762" s="54"/>
      <c r="G762" s="54"/>
      <c r="H762" s="54"/>
      <c r="I762" s="54"/>
      <c r="J762" s="54"/>
      <c r="K762" s="63"/>
      <c r="L762" s="54"/>
      <c r="M762" s="54"/>
      <c r="N762" s="54"/>
      <c r="O762" s="54"/>
      <c r="P762" s="86"/>
      <c r="Q762" s="54"/>
      <c r="R762" s="249"/>
      <c r="T762" s="54"/>
      <c r="U762" s="54"/>
      <c r="V762" s="54"/>
      <c r="W762" s="54"/>
      <c r="X762" s="54"/>
      <c r="Y762" s="54"/>
      <c r="Z762" s="54"/>
      <c r="AA762" s="54"/>
      <c r="AB762" s="287"/>
      <c r="AC762" s="54"/>
      <c r="AD762" s="54"/>
    </row>
    <row r="763">
      <c r="A763" s="54"/>
      <c r="B763" s="312"/>
      <c r="C763" s="312"/>
      <c r="D763" s="54"/>
      <c r="E763" s="54"/>
      <c r="F763" s="54"/>
      <c r="G763" s="54"/>
      <c r="H763" s="54"/>
      <c r="I763" s="54"/>
      <c r="J763" s="54"/>
      <c r="K763" s="63"/>
      <c r="L763" s="54"/>
      <c r="M763" s="54"/>
      <c r="N763" s="54"/>
      <c r="O763" s="54"/>
      <c r="P763" s="86"/>
      <c r="Q763" s="54"/>
      <c r="R763" s="249"/>
      <c r="T763" s="54"/>
      <c r="U763" s="54"/>
      <c r="V763" s="54"/>
      <c r="W763" s="54"/>
      <c r="X763" s="54"/>
      <c r="Y763" s="54"/>
      <c r="Z763" s="54"/>
      <c r="AA763" s="54"/>
      <c r="AB763" s="287"/>
      <c r="AC763" s="54"/>
      <c r="AD763" s="54"/>
    </row>
    <row r="764">
      <c r="A764" s="54"/>
      <c r="B764" s="312"/>
      <c r="C764" s="312"/>
      <c r="D764" s="54"/>
      <c r="E764" s="54"/>
      <c r="F764" s="54"/>
      <c r="G764" s="54"/>
      <c r="H764" s="54"/>
      <c r="I764" s="54"/>
      <c r="J764" s="54"/>
      <c r="K764" s="63"/>
      <c r="L764" s="54"/>
      <c r="M764" s="54"/>
      <c r="N764" s="54"/>
      <c r="O764" s="54"/>
      <c r="P764" s="86"/>
      <c r="Q764" s="54"/>
      <c r="R764" s="249"/>
      <c r="T764" s="54"/>
      <c r="U764" s="54"/>
      <c r="V764" s="54"/>
      <c r="W764" s="54"/>
      <c r="X764" s="54"/>
      <c r="Y764" s="54"/>
      <c r="Z764" s="54"/>
      <c r="AA764" s="54"/>
      <c r="AB764" s="287"/>
      <c r="AC764" s="54"/>
      <c r="AD764" s="54"/>
    </row>
    <row r="765">
      <c r="A765" s="54"/>
      <c r="B765" s="312"/>
      <c r="C765" s="312"/>
      <c r="D765" s="54"/>
      <c r="E765" s="54"/>
      <c r="F765" s="54"/>
      <c r="G765" s="54"/>
      <c r="H765" s="54"/>
      <c r="I765" s="54"/>
      <c r="J765" s="54"/>
      <c r="K765" s="63"/>
      <c r="L765" s="54"/>
      <c r="M765" s="54"/>
      <c r="N765" s="54"/>
      <c r="O765" s="54"/>
      <c r="P765" s="86"/>
      <c r="Q765" s="54"/>
      <c r="R765" s="249"/>
      <c r="T765" s="54"/>
      <c r="U765" s="54"/>
      <c r="V765" s="54"/>
      <c r="W765" s="54"/>
      <c r="X765" s="54"/>
      <c r="Y765" s="54"/>
      <c r="Z765" s="54"/>
      <c r="AA765" s="54"/>
      <c r="AB765" s="287"/>
      <c r="AC765" s="54"/>
      <c r="AD765" s="54"/>
    </row>
    <row r="766">
      <c r="A766" s="54"/>
      <c r="B766" s="312"/>
      <c r="C766" s="312"/>
      <c r="D766" s="54"/>
      <c r="E766" s="54"/>
      <c r="F766" s="54"/>
      <c r="G766" s="54"/>
      <c r="H766" s="54"/>
      <c r="I766" s="54"/>
      <c r="J766" s="54"/>
      <c r="K766" s="63"/>
      <c r="L766" s="54"/>
      <c r="M766" s="54"/>
      <c r="N766" s="54"/>
      <c r="O766" s="54"/>
      <c r="P766" s="86"/>
      <c r="Q766" s="54"/>
      <c r="R766" s="249"/>
      <c r="T766" s="54"/>
      <c r="U766" s="54"/>
      <c r="V766" s="54"/>
      <c r="W766" s="54"/>
      <c r="X766" s="54"/>
      <c r="Y766" s="54"/>
      <c r="Z766" s="54"/>
      <c r="AA766" s="54"/>
      <c r="AB766" s="287"/>
      <c r="AC766" s="54"/>
      <c r="AD766" s="54"/>
    </row>
    <row r="767">
      <c r="A767" s="54"/>
      <c r="B767" s="312"/>
      <c r="C767" s="312"/>
      <c r="D767" s="54"/>
      <c r="E767" s="54"/>
      <c r="F767" s="54"/>
      <c r="G767" s="54"/>
      <c r="H767" s="54"/>
      <c r="I767" s="54"/>
      <c r="J767" s="54"/>
      <c r="K767" s="63"/>
      <c r="L767" s="54"/>
      <c r="M767" s="54"/>
      <c r="N767" s="54"/>
      <c r="O767" s="54"/>
      <c r="P767" s="86"/>
      <c r="Q767" s="54"/>
      <c r="R767" s="249"/>
      <c r="T767" s="54"/>
      <c r="U767" s="54"/>
      <c r="V767" s="54"/>
      <c r="W767" s="54"/>
      <c r="X767" s="54"/>
      <c r="Y767" s="54"/>
      <c r="Z767" s="54"/>
      <c r="AA767" s="54"/>
      <c r="AB767" s="287"/>
      <c r="AC767" s="54"/>
      <c r="AD767" s="54"/>
    </row>
    <row r="768">
      <c r="A768" s="54"/>
      <c r="B768" s="312"/>
      <c r="C768" s="312"/>
      <c r="D768" s="54"/>
      <c r="E768" s="54"/>
      <c r="F768" s="54"/>
      <c r="G768" s="54"/>
      <c r="H768" s="54"/>
      <c r="I768" s="54"/>
      <c r="J768" s="54"/>
      <c r="K768" s="63"/>
      <c r="L768" s="54"/>
      <c r="M768" s="54"/>
      <c r="N768" s="54"/>
      <c r="O768" s="54"/>
      <c r="P768" s="86"/>
      <c r="Q768" s="54"/>
      <c r="R768" s="249"/>
      <c r="T768" s="54"/>
      <c r="U768" s="54"/>
      <c r="V768" s="54"/>
      <c r="W768" s="54"/>
      <c r="X768" s="54"/>
      <c r="Y768" s="54"/>
      <c r="Z768" s="54"/>
      <c r="AA768" s="54"/>
      <c r="AB768" s="287"/>
      <c r="AC768" s="54"/>
      <c r="AD768" s="54"/>
    </row>
    <row r="769">
      <c r="A769" s="54"/>
      <c r="B769" s="312"/>
      <c r="C769" s="312"/>
      <c r="D769" s="54"/>
      <c r="E769" s="54"/>
      <c r="F769" s="54"/>
      <c r="G769" s="54"/>
      <c r="H769" s="54"/>
      <c r="I769" s="54"/>
      <c r="J769" s="54"/>
      <c r="K769" s="63"/>
      <c r="L769" s="54"/>
      <c r="M769" s="54"/>
      <c r="N769" s="54"/>
      <c r="O769" s="54"/>
      <c r="P769" s="86"/>
      <c r="Q769" s="54"/>
      <c r="R769" s="249"/>
      <c r="T769" s="54"/>
      <c r="U769" s="54"/>
      <c r="V769" s="54"/>
      <c r="W769" s="54"/>
      <c r="X769" s="54"/>
      <c r="Y769" s="54"/>
      <c r="Z769" s="54"/>
      <c r="AA769" s="54"/>
      <c r="AB769" s="287"/>
      <c r="AC769" s="54"/>
      <c r="AD769" s="54"/>
    </row>
    <row r="770">
      <c r="A770" s="54"/>
      <c r="B770" s="312"/>
      <c r="C770" s="312"/>
      <c r="D770" s="54"/>
      <c r="E770" s="54"/>
      <c r="F770" s="54"/>
      <c r="G770" s="54"/>
      <c r="H770" s="54"/>
      <c r="I770" s="54"/>
      <c r="J770" s="54"/>
      <c r="K770" s="63"/>
      <c r="L770" s="54"/>
      <c r="M770" s="54"/>
      <c r="N770" s="54"/>
      <c r="O770" s="54"/>
      <c r="P770" s="86"/>
      <c r="Q770" s="54"/>
      <c r="R770" s="249"/>
      <c r="T770" s="54"/>
      <c r="U770" s="54"/>
      <c r="V770" s="54"/>
      <c r="W770" s="54"/>
      <c r="X770" s="54"/>
      <c r="Y770" s="54"/>
      <c r="Z770" s="54"/>
      <c r="AA770" s="54"/>
      <c r="AB770" s="287"/>
      <c r="AC770" s="54"/>
      <c r="AD770" s="54"/>
    </row>
    <row r="771">
      <c r="A771" s="54"/>
      <c r="B771" s="312"/>
      <c r="C771" s="312"/>
      <c r="D771" s="54"/>
      <c r="E771" s="54"/>
      <c r="F771" s="54"/>
      <c r="G771" s="54"/>
      <c r="H771" s="54"/>
      <c r="I771" s="54"/>
      <c r="J771" s="54"/>
      <c r="K771" s="63"/>
      <c r="L771" s="54"/>
      <c r="M771" s="54"/>
      <c r="N771" s="54"/>
      <c r="O771" s="54"/>
      <c r="P771" s="86"/>
      <c r="Q771" s="54"/>
      <c r="R771" s="249"/>
      <c r="T771" s="54"/>
      <c r="U771" s="54"/>
      <c r="V771" s="54"/>
      <c r="W771" s="54"/>
      <c r="X771" s="54"/>
      <c r="Y771" s="54"/>
      <c r="Z771" s="54"/>
      <c r="AA771" s="54"/>
      <c r="AB771" s="287"/>
      <c r="AC771" s="54"/>
      <c r="AD771" s="54"/>
    </row>
    <row r="772">
      <c r="A772" s="54"/>
      <c r="B772" s="312"/>
      <c r="C772" s="312"/>
      <c r="D772" s="54"/>
      <c r="E772" s="54"/>
      <c r="F772" s="54"/>
      <c r="G772" s="54"/>
      <c r="H772" s="54"/>
      <c r="I772" s="54"/>
      <c r="J772" s="54"/>
      <c r="K772" s="63"/>
      <c r="L772" s="54"/>
      <c r="M772" s="54"/>
      <c r="N772" s="54"/>
      <c r="O772" s="54"/>
      <c r="P772" s="86"/>
      <c r="Q772" s="54"/>
      <c r="R772" s="249"/>
      <c r="T772" s="54"/>
      <c r="U772" s="54"/>
      <c r="V772" s="54"/>
      <c r="W772" s="54"/>
      <c r="X772" s="54"/>
      <c r="Y772" s="54"/>
      <c r="Z772" s="54"/>
      <c r="AA772" s="54"/>
      <c r="AB772" s="287"/>
      <c r="AC772" s="54"/>
      <c r="AD772" s="54"/>
    </row>
    <row r="773">
      <c r="A773" s="54"/>
      <c r="B773" s="312"/>
      <c r="C773" s="312"/>
      <c r="D773" s="54"/>
      <c r="E773" s="54"/>
      <c r="F773" s="54"/>
      <c r="G773" s="54"/>
      <c r="H773" s="54"/>
      <c r="I773" s="54"/>
      <c r="J773" s="54"/>
      <c r="K773" s="63"/>
      <c r="L773" s="54"/>
      <c r="M773" s="54"/>
      <c r="N773" s="54"/>
      <c r="O773" s="54"/>
      <c r="P773" s="86"/>
      <c r="Q773" s="54"/>
      <c r="R773" s="249"/>
      <c r="T773" s="54"/>
      <c r="U773" s="54"/>
      <c r="V773" s="54"/>
      <c r="W773" s="54"/>
      <c r="X773" s="54"/>
      <c r="Y773" s="54"/>
      <c r="Z773" s="54"/>
      <c r="AA773" s="54"/>
      <c r="AB773" s="287"/>
      <c r="AC773" s="54"/>
      <c r="AD773" s="54"/>
    </row>
    <row r="774">
      <c r="A774" s="54"/>
      <c r="B774" s="312"/>
      <c r="C774" s="312"/>
      <c r="D774" s="54"/>
      <c r="E774" s="54"/>
      <c r="F774" s="54"/>
      <c r="G774" s="54"/>
      <c r="H774" s="54"/>
      <c r="I774" s="54"/>
      <c r="J774" s="54"/>
      <c r="K774" s="63"/>
      <c r="L774" s="54"/>
      <c r="M774" s="54"/>
      <c r="N774" s="54"/>
      <c r="O774" s="54"/>
      <c r="P774" s="86"/>
      <c r="Q774" s="54"/>
      <c r="R774" s="249"/>
      <c r="T774" s="54"/>
      <c r="U774" s="54"/>
      <c r="V774" s="54"/>
      <c r="W774" s="54"/>
      <c r="X774" s="54"/>
      <c r="Y774" s="54"/>
      <c r="Z774" s="54"/>
      <c r="AA774" s="54"/>
      <c r="AB774" s="287"/>
      <c r="AC774" s="54"/>
      <c r="AD774" s="54"/>
    </row>
    <row r="775">
      <c r="A775" s="54"/>
      <c r="B775" s="312"/>
      <c r="C775" s="312"/>
      <c r="D775" s="54"/>
      <c r="E775" s="54"/>
      <c r="F775" s="54"/>
      <c r="G775" s="54"/>
      <c r="H775" s="54"/>
      <c r="I775" s="54"/>
      <c r="J775" s="54"/>
      <c r="K775" s="63"/>
      <c r="L775" s="54"/>
      <c r="M775" s="54"/>
      <c r="N775" s="54"/>
      <c r="O775" s="54"/>
      <c r="P775" s="86"/>
      <c r="Q775" s="54"/>
      <c r="R775" s="249"/>
      <c r="T775" s="54"/>
      <c r="U775" s="54"/>
      <c r="V775" s="54"/>
      <c r="W775" s="54"/>
      <c r="X775" s="54"/>
      <c r="Y775" s="54"/>
      <c r="Z775" s="54"/>
      <c r="AA775" s="54"/>
      <c r="AB775" s="287"/>
      <c r="AC775" s="54"/>
      <c r="AD775" s="54"/>
    </row>
    <row r="776">
      <c r="A776" s="54"/>
      <c r="B776" s="312"/>
      <c r="C776" s="312"/>
      <c r="D776" s="54"/>
      <c r="E776" s="54"/>
      <c r="F776" s="54"/>
      <c r="G776" s="54"/>
      <c r="H776" s="54"/>
      <c r="I776" s="54"/>
      <c r="J776" s="54"/>
      <c r="K776" s="63"/>
      <c r="L776" s="54"/>
      <c r="M776" s="54"/>
      <c r="N776" s="54"/>
      <c r="O776" s="54"/>
      <c r="P776" s="86"/>
      <c r="Q776" s="54"/>
      <c r="R776" s="249"/>
      <c r="T776" s="54"/>
      <c r="U776" s="54"/>
      <c r="V776" s="54"/>
      <c r="W776" s="54"/>
      <c r="X776" s="54"/>
      <c r="Y776" s="54"/>
      <c r="Z776" s="54"/>
      <c r="AA776" s="54"/>
      <c r="AB776" s="287"/>
      <c r="AC776" s="54"/>
      <c r="AD776" s="54"/>
    </row>
    <row r="777">
      <c r="A777" s="54"/>
      <c r="B777" s="312"/>
      <c r="C777" s="312"/>
      <c r="D777" s="54"/>
      <c r="E777" s="54"/>
      <c r="F777" s="54"/>
      <c r="G777" s="54"/>
      <c r="H777" s="54"/>
      <c r="I777" s="54"/>
      <c r="J777" s="54"/>
      <c r="K777" s="63"/>
      <c r="L777" s="54"/>
      <c r="M777" s="54"/>
      <c r="N777" s="54"/>
      <c r="O777" s="54"/>
      <c r="P777" s="86"/>
      <c r="Q777" s="54"/>
      <c r="R777" s="249"/>
      <c r="T777" s="54"/>
      <c r="U777" s="54"/>
      <c r="V777" s="54"/>
      <c r="W777" s="54"/>
      <c r="X777" s="54"/>
      <c r="Y777" s="54"/>
      <c r="Z777" s="54"/>
      <c r="AA777" s="54"/>
      <c r="AB777" s="287"/>
      <c r="AC777" s="54"/>
      <c r="AD777" s="54"/>
    </row>
    <row r="778">
      <c r="A778" s="54"/>
      <c r="B778" s="312"/>
      <c r="C778" s="312"/>
      <c r="D778" s="54"/>
      <c r="E778" s="54"/>
      <c r="F778" s="54"/>
      <c r="G778" s="54"/>
      <c r="H778" s="54"/>
      <c r="I778" s="54"/>
      <c r="J778" s="54"/>
      <c r="K778" s="63"/>
      <c r="L778" s="54"/>
      <c r="M778" s="54"/>
      <c r="N778" s="54"/>
      <c r="O778" s="54"/>
      <c r="P778" s="86"/>
      <c r="Q778" s="54"/>
      <c r="R778" s="249"/>
      <c r="T778" s="54"/>
      <c r="U778" s="54"/>
      <c r="V778" s="54"/>
      <c r="W778" s="54"/>
      <c r="X778" s="54"/>
      <c r="Y778" s="54"/>
      <c r="Z778" s="54"/>
      <c r="AA778" s="54"/>
      <c r="AB778" s="287"/>
      <c r="AC778" s="54"/>
      <c r="AD778" s="54"/>
    </row>
    <row r="779">
      <c r="A779" s="54"/>
      <c r="B779" s="312"/>
      <c r="C779" s="312"/>
      <c r="D779" s="54"/>
      <c r="E779" s="54"/>
      <c r="F779" s="54"/>
      <c r="G779" s="54"/>
      <c r="H779" s="54"/>
      <c r="I779" s="54"/>
      <c r="J779" s="54"/>
      <c r="K779" s="63"/>
      <c r="L779" s="54"/>
      <c r="M779" s="54"/>
      <c r="N779" s="54"/>
      <c r="O779" s="54"/>
      <c r="P779" s="86"/>
      <c r="Q779" s="54"/>
      <c r="R779" s="249"/>
      <c r="T779" s="54"/>
      <c r="U779" s="54"/>
      <c r="V779" s="54"/>
      <c r="W779" s="54"/>
      <c r="X779" s="54"/>
      <c r="Y779" s="54"/>
      <c r="Z779" s="54"/>
      <c r="AA779" s="54"/>
      <c r="AB779" s="287"/>
      <c r="AC779" s="54"/>
      <c r="AD779" s="54"/>
    </row>
    <row r="780">
      <c r="A780" s="54"/>
      <c r="B780" s="312"/>
      <c r="C780" s="312"/>
      <c r="D780" s="54"/>
      <c r="E780" s="54"/>
      <c r="F780" s="54"/>
      <c r="G780" s="54"/>
      <c r="H780" s="54"/>
      <c r="I780" s="54"/>
      <c r="J780" s="54"/>
      <c r="K780" s="63"/>
      <c r="L780" s="54"/>
      <c r="M780" s="54"/>
      <c r="N780" s="54"/>
      <c r="O780" s="54"/>
      <c r="P780" s="86"/>
      <c r="Q780" s="54"/>
      <c r="R780" s="249"/>
      <c r="T780" s="54"/>
      <c r="U780" s="54"/>
      <c r="V780" s="54"/>
      <c r="W780" s="54"/>
      <c r="X780" s="54"/>
      <c r="Y780" s="54"/>
      <c r="Z780" s="54"/>
      <c r="AA780" s="54"/>
      <c r="AB780" s="287"/>
      <c r="AC780" s="54"/>
      <c r="AD780" s="54"/>
    </row>
    <row r="781">
      <c r="A781" s="54"/>
      <c r="B781" s="312"/>
      <c r="C781" s="312"/>
      <c r="D781" s="54"/>
      <c r="E781" s="54"/>
      <c r="F781" s="54"/>
      <c r="G781" s="54"/>
      <c r="H781" s="54"/>
      <c r="I781" s="54"/>
      <c r="J781" s="54"/>
      <c r="K781" s="63"/>
      <c r="L781" s="54"/>
      <c r="M781" s="54"/>
      <c r="N781" s="54"/>
      <c r="O781" s="54"/>
      <c r="P781" s="86"/>
      <c r="Q781" s="54"/>
      <c r="R781" s="249"/>
      <c r="T781" s="54"/>
      <c r="U781" s="54"/>
      <c r="V781" s="54"/>
      <c r="W781" s="54"/>
      <c r="X781" s="54"/>
      <c r="Y781" s="54"/>
      <c r="Z781" s="54"/>
      <c r="AA781" s="54"/>
      <c r="AB781" s="287"/>
      <c r="AC781" s="54"/>
      <c r="AD781" s="54"/>
    </row>
    <row r="782">
      <c r="A782" s="54"/>
      <c r="B782" s="312"/>
      <c r="C782" s="312"/>
      <c r="D782" s="54"/>
      <c r="E782" s="54"/>
      <c r="F782" s="54"/>
      <c r="G782" s="54"/>
      <c r="H782" s="54"/>
      <c r="I782" s="54"/>
      <c r="J782" s="54"/>
      <c r="K782" s="63"/>
      <c r="L782" s="54"/>
      <c r="M782" s="54"/>
      <c r="N782" s="54"/>
      <c r="O782" s="54"/>
      <c r="P782" s="86"/>
      <c r="Q782" s="54"/>
      <c r="R782" s="249"/>
      <c r="T782" s="54"/>
      <c r="U782" s="54"/>
      <c r="V782" s="54"/>
      <c r="W782" s="54"/>
      <c r="X782" s="54"/>
      <c r="Y782" s="54"/>
      <c r="Z782" s="54"/>
      <c r="AA782" s="54"/>
      <c r="AB782" s="287"/>
      <c r="AC782" s="54"/>
      <c r="AD782" s="54"/>
    </row>
    <row r="783">
      <c r="A783" s="54"/>
      <c r="B783" s="312"/>
      <c r="C783" s="312"/>
      <c r="D783" s="54"/>
      <c r="E783" s="54"/>
      <c r="F783" s="54"/>
      <c r="G783" s="54"/>
      <c r="H783" s="54"/>
      <c r="I783" s="54"/>
      <c r="J783" s="54"/>
      <c r="K783" s="63"/>
      <c r="L783" s="54"/>
      <c r="M783" s="54"/>
      <c r="N783" s="54"/>
      <c r="O783" s="54"/>
      <c r="P783" s="86"/>
      <c r="Q783" s="54"/>
      <c r="R783" s="249"/>
      <c r="T783" s="54"/>
      <c r="U783" s="54"/>
      <c r="V783" s="54"/>
      <c r="W783" s="54"/>
      <c r="X783" s="54"/>
      <c r="Y783" s="54"/>
      <c r="Z783" s="54"/>
      <c r="AA783" s="54"/>
      <c r="AB783" s="287"/>
      <c r="AC783" s="54"/>
      <c r="AD783" s="54"/>
    </row>
    <row r="784">
      <c r="A784" s="54"/>
      <c r="B784" s="312"/>
      <c r="C784" s="312"/>
      <c r="D784" s="54"/>
      <c r="E784" s="54"/>
      <c r="F784" s="54"/>
      <c r="G784" s="54"/>
      <c r="H784" s="54"/>
      <c r="I784" s="54"/>
      <c r="J784" s="54"/>
      <c r="K784" s="63"/>
      <c r="L784" s="54"/>
      <c r="M784" s="54"/>
      <c r="N784" s="54"/>
      <c r="O784" s="54"/>
      <c r="P784" s="86"/>
      <c r="Q784" s="54"/>
      <c r="R784" s="249"/>
      <c r="T784" s="54"/>
      <c r="U784" s="54"/>
      <c r="V784" s="54"/>
      <c r="W784" s="54"/>
      <c r="X784" s="54"/>
      <c r="Y784" s="54"/>
      <c r="Z784" s="54"/>
      <c r="AA784" s="54"/>
      <c r="AB784" s="287"/>
      <c r="AC784" s="54"/>
      <c r="AD784" s="54"/>
    </row>
    <row r="785">
      <c r="A785" s="54"/>
      <c r="B785" s="312"/>
      <c r="C785" s="312"/>
      <c r="D785" s="54"/>
      <c r="E785" s="54"/>
      <c r="F785" s="54"/>
      <c r="G785" s="54"/>
      <c r="H785" s="54"/>
      <c r="I785" s="54"/>
      <c r="J785" s="54"/>
      <c r="K785" s="63"/>
      <c r="L785" s="54"/>
      <c r="M785" s="54"/>
      <c r="N785" s="54"/>
      <c r="O785" s="54"/>
      <c r="P785" s="86"/>
      <c r="Q785" s="54"/>
      <c r="R785" s="249"/>
      <c r="T785" s="54"/>
      <c r="U785" s="54"/>
      <c r="V785" s="54"/>
      <c r="W785" s="54"/>
      <c r="X785" s="54"/>
      <c r="Y785" s="54"/>
      <c r="Z785" s="54"/>
      <c r="AA785" s="54"/>
      <c r="AB785" s="287"/>
      <c r="AC785" s="54"/>
      <c r="AD785" s="54"/>
    </row>
    <row r="786">
      <c r="A786" s="54"/>
      <c r="B786" s="312"/>
      <c r="C786" s="312"/>
      <c r="D786" s="54"/>
      <c r="E786" s="54"/>
      <c r="F786" s="54"/>
      <c r="G786" s="54"/>
      <c r="H786" s="54"/>
      <c r="I786" s="54"/>
      <c r="J786" s="54"/>
      <c r="K786" s="63"/>
      <c r="L786" s="54"/>
      <c r="M786" s="54"/>
      <c r="N786" s="54"/>
      <c r="O786" s="54"/>
      <c r="P786" s="86"/>
      <c r="Q786" s="54"/>
      <c r="R786" s="249"/>
      <c r="T786" s="54"/>
      <c r="U786" s="54"/>
      <c r="V786" s="54"/>
      <c r="W786" s="54"/>
      <c r="X786" s="54"/>
      <c r="Y786" s="54"/>
      <c r="Z786" s="54"/>
      <c r="AA786" s="54"/>
      <c r="AB786" s="287"/>
      <c r="AC786" s="54"/>
      <c r="AD786" s="54"/>
    </row>
    <row r="787">
      <c r="A787" s="54"/>
      <c r="B787" s="312"/>
      <c r="C787" s="312"/>
      <c r="D787" s="54"/>
      <c r="E787" s="54"/>
      <c r="F787" s="54"/>
      <c r="G787" s="54"/>
      <c r="H787" s="54"/>
      <c r="I787" s="54"/>
      <c r="J787" s="54"/>
      <c r="K787" s="63"/>
      <c r="L787" s="54"/>
      <c r="M787" s="54"/>
      <c r="N787" s="54"/>
      <c r="O787" s="54"/>
      <c r="P787" s="86"/>
      <c r="Q787" s="54"/>
      <c r="R787" s="249"/>
      <c r="T787" s="54"/>
      <c r="U787" s="54"/>
      <c r="V787" s="54"/>
      <c r="W787" s="54"/>
      <c r="X787" s="54"/>
      <c r="Y787" s="54"/>
      <c r="Z787" s="54"/>
      <c r="AA787" s="54"/>
      <c r="AB787" s="287"/>
      <c r="AC787" s="54"/>
      <c r="AD787" s="54"/>
    </row>
    <row r="788">
      <c r="A788" s="54"/>
      <c r="B788" s="312"/>
      <c r="C788" s="312"/>
      <c r="D788" s="54"/>
      <c r="E788" s="54"/>
      <c r="F788" s="54"/>
      <c r="G788" s="54"/>
      <c r="H788" s="54"/>
      <c r="I788" s="54"/>
      <c r="J788" s="54"/>
      <c r="K788" s="63"/>
      <c r="L788" s="54"/>
      <c r="M788" s="54"/>
      <c r="N788" s="54"/>
      <c r="O788" s="54"/>
      <c r="P788" s="86"/>
      <c r="Q788" s="54"/>
      <c r="R788" s="249"/>
      <c r="T788" s="54"/>
      <c r="U788" s="54"/>
      <c r="V788" s="54"/>
      <c r="W788" s="54"/>
      <c r="X788" s="54"/>
      <c r="Y788" s="54"/>
      <c r="Z788" s="54"/>
      <c r="AA788" s="54"/>
      <c r="AB788" s="287"/>
      <c r="AC788" s="54"/>
      <c r="AD788" s="54"/>
    </row>
    <row r="789">
      <c r="A789" s="54"/>
      <c r="B789" s="312"/>
      <c r="C789" s="312"/>
      <c r="D789" s="54"/>
      <c r="E789" s="54"/>
      <c r="F789" s="54"/>
      <c r="G789" s="54"/>
      <c r="H789" s="54"/>
      <c r="I789" s="54"/>
      <c r="J789" s="54"/>
      <c r="K789" s="63"/>
      <c r="L789" s="54"/>
      <c r="M789" s="54"/>
      <c r="N789" s="54"/>
      <c r="O789" s="54"/>
      <c r="P789" s="86"/>
      <c r="Q789" s="54"/>
      <c r="R789" s="249"/>
      <c r="T789" s="54"/>
      <c r="U789" s="54"/>
      <c r="V789" s="54"/>
      <c r="W789" s="54"/>
      <c r="X789" s="54"/>
      <c r="Y789" s="54"/>
      <c r="Z789" s="54"/>
      <c r="AA789" s="54"/>
      <c r="AB789" s="287"/>
      <c r="AC789" s="54"/>
      <c r="AD789" s="54"/>
    </row>
    <row r="790">
      <c r="A790" s="54"/>
      <c r="B790" s="312"/>
      <c r="C790" s="312"/>
      <c r="D790" s="54"/>
      <c r="E790" s="54"/>
      <c r="F790" s="54"/>
      <c r="G790" s="54"/>
      <c r="H790" s="54"/>
      <c r="I790" s="54"/>
      <c r="J790" s="54"/>
      <c r="K790" s="63"/>
      <c r="L790" s="54"/>
      <c r="M790" s="54"/>
      <c r="N790" s="54"/>
      <c r="O790" s="54"/>
      <c r="P790" s="86"/>
      <c r="Q790" s="54"/>
      <c r="R790" s="249"/>
      <c r="T790" s="54"/>
      <c r="U790" s="54"/>
      <c r="V790" s="54"/>
      <c r="W790" s="54"/>
      <c r="X790" s="54"/>
      <c r="Y790" s="54"/>
      <c r="Z790" s="54"/>
      <c r="AA790" s="54"/>
      <c r="AB790" s="287"/>
      <c r="AC790" s="54"/>
      <c r="AD790" s="54"/>
    </row>
    <row r="791">
      <c r="A791" s="54"/>
      <c r="B791" s="312"/>
      <c r="C791" s="312"/>
      <c r="D791" s="54"/>
      <c r="E791" s="54"/>
      <c r="F791" s="54"/>
      <c r="G791" s="54"/>
      <c r="H791" s="54"/>
      <c r="I791" s="54"/>
      <c r="J791" s="54"/>
      <c r="K791" s="63"/>
      <c r="L791" s="54"/>
      <c r="M791" s="54"/>
      <c r="N791" s="54"/>
      <c r="O791" s="54"/>
      <c r="P791" s="86"/>
      <c r="Q791" s="54"/>
      <c r="R791" s="249"/>
      <c r="T791" s="54"/>
      <c r="U791" s="54"/>
      <c r="V791" s="54"/>
      <c r="W791" s="54"/>
      <c r="X791" s="54"/>
      <c r="Y791" s="54"/>
      <c r="Z791" s="54"/>
      <c r="AA791" s="54"/>
      <c r="AB791" s="287"/>
      <c r="AC791" s="54"/>
      <c r="AD791" s="54"/>
    </row>
    <row r="792">
      <c r="A792" s="54"/>
      <c r="B792" s="312"/>
      <c r="C792" s="312"/>
      <c r="D792" s="54"/>
      <c r="E792" s="54"/>
      <c r="F792" s="54"/>
      <c r="G792" s="54"/>
      <c r="H792" s="54"/>
      <c r="I792" s="54"/>
      <c r="J792" s="54"/>
      <c r="K792" s="63"/>
      <c r="L792" s="54"/>
      <c r="M792" s="54"/>
      <c r="N792" s="54"/>
      <c r="O792" s="54"/>
      <c r="P792" s="86"/>
      <c r="Q792" s="54"/>
      <c r="R792" s="249"/>
      <c r="T792" s="54"/>
      <c r="U792" s="54"/>
      <c r="V792" s="54"/>
      <c r="W792" s="54"/>
      <c r="X792" s="54"/>
      <c r="Y792" s="54"/>
      <c r="Z792" s="54"/>
      <c r="AA792" s="54"/>
      <c r="AB792" s="287"/>
      <c r="AC792" s="54"/>
      <c r="AD792" s="54"/>
    </row>
    <row r="793">
      <c r="A793" s="54"/>
      <c r="B793" s="312"/>
      <c r="C793" s="312"/>
      <c r="D793" s="54"/>
      <c r="E793" s="54"/>
      <c r="F793" s="54"/>
      <c r="G793" s="54"/>
      <c r="H793" s="54"/>
      <c r="I793" s="54"/>
      <c r="J793" s="54"/>
      <c r="K793" s="63"/>
      <c r="L793" s="54"/>
      <c r="M793" s="54"/>
      <c r="N793" s="54"/>
      <c r="O793" s="54"/>
      <c r="P793" s="86"/>
      <c r="Q793" s="54"/>
      <c r="R793" s="249"/>
      <c r="T793" s="54"/>
      <c r="U793" s="54"/>
      <c r="V793" s="54"/>
      <c r="W793" s="54"/>
      <c r="X793" s="54"/>
      <c r="Y793" s="54"/>
      <c r="Z793" s="54"/>
      <c r="AA793" s="54"/>
      <c r="AB793" s="287"/>
      <c r="AC793" s="54"/>
      <c r="AD793" s="54"/>
    </row>
    <row r="794">
      <c r="A794" s="54"/>
      <c r="B794" s="312"/>
      <c r="C794" s="312"/>
      <c r="D794" s="54"/>
      <c r="E794" s="54"/>
      <c r="F794" s="54"/>
      <c r="G794" s="54"/>
      <c r="H794" s="54"/>
      <c r="I794" s="54"/>
      <c r="J794" s="54"/>
      <c r="K794" s="63"/>
      <c r="L794" s="54"/>
      <c r="M794" s="54"/>
      <c r="N794" s="54"/>
      <c r="O794" s="54"/>
      <c r="P794" s="86"/>
      <c r="Q794" s="54"/>
      <c r="R794" s="249"/>
      <c r="T794" s="54"/>
      <c r="U794" s="54"/>
      <c r="V794" s="54"/>
      <c r="W794" s="54"/>
      <c r="X794" s="54"/>
      <c r="Y794" s="54"/>
      <c r="Z794" s="54"/>
      <c r="AA794" s="54"/>
      <c r="AB794" s="287"/>
      <c r="AC794" s="54"/>
      <c r="AD794" s="54"/>
    </row>
    <row r="795">
      <c r="A795" s="54"/>
      <c r="B795" s="312"/>
      <c r="C795" s="312"/>
      <c r="D795" s="54"/>
      <c r="E795" s="54"/>
      <c r="F795" s="54"/>
      <c r="G795" s="54"/>
      <c r="H795" s="54"/>
      <c r="I795" s="54"/>
      <c r="J795" s="54"/>
      <c r="K795" s="63"/>
      <c r="L795" s="54"/>
      <c r="M795" s="54"/>
      <c r="N795" s="54"/>
      <c r="O795" s="54"/>
      <c r="P795" s="86"/>
      <c r="Q795" s="54"/>
      <c r="R795" s="249"/>
      <c r="T795" s="54"/>
      <c r="U795" s="54"/>
      <c r="V795" s="54"/>
      <c r="W795" s="54"/>
      <c r="X795" s="54"/>
      <c r="Y795" s="54"/>
      <c r="Z795" s="54"/>
      <c r="AA795" s="54"/>
      <c r="AB795" s="287"/>
      <c r="AC795" s="54"/>
      <c r="AD795" s="54"/>
    </row>
    <row r="796">
      <c r="A796" s="54"/>
      <c r="B796" s="312"/>
      <c r="C796" s="312"/>
      <c r="D796" s="54"/>
      <c r="E796" s="54"/>
      <c r="F796" s="54"/>
      <c r="G796" s="54"/>
      <c r="H796" s="54"/>
      <c r="I796" s="54"/>
      <c r="J796" s="54"/>
      <c r="K796" s="63"/>
      <c r="L796" s="54"/>
      <c r="M796" s="54"/>
      <c r="N796" s="54"/>
      <c r="O796" s="54"/>
      <c r="P796" s="86"/>
      <c r="Q796" s="54"/>
      <c r="R796" s="249"/>
      <c r="T796" s="54"/>
      <c r="U796" s="54"/>
      <c r="V796" s="54"/>
      <c r="W796" s="54"/>
      <c r="X796" s="54"/>
      <c r="Y796" s="54"/>
      <c r="Z796" s="54"/>
      <c r="AA796" s="54"/>
      <c r="AB796" s="287"/>
      <c r="AC796" s="54"/>
      <c r="AD796" s="54"/>
    </row>
    <row r="797">
      <c r="A797" s="54"/>
      <c r="B797" s="312"/>
      <c r="C797" s="312"/>
      <c r="D797" s="54"/>
      <c r="E797" s="54"/>
      <c r="F797" s="54"/>
      <c r="G797" s="54"/>
      <c r="H797" s="54"/>
      <c r="I797" s="54"/>
      <c r="J797" s="54"/>
      <c r="K797" s="63"/>
      <c r="L797" s="54"/>
      <c r="M797" s="54"/>
      <c r="N797" s="54"/>
      <c r="O797" s="54"/>
      <c r="P797" s="86"/>
      <c r="Q797" s="54"/>
      <c r="R797" s="249"/>
      <c r="T797" s="54"/>
      <c r="U797" s="54"/>
      <c r="V797" s="54"/>
      <c r="W797" s="54"/>
      <c r="X797" s="54"/>
      <c r="Y797" s="54"/>
      <c r="Z797" s="54"/>
      <c r="AA797" s="54"/>
      <c r="AB797" s="287"/>
      <c r="AC797" s="54"/>
      <c r="AD797" s="54"/>
    </row>
    <row r="798">
      <c r="A798" s="54"/>
      <c r="B798" s="312"/>
      <c r="C798" s="312"/>
      <c r="D798" s="54"/>
      <c r="E798" s="54"/>
      <c r="F798" s="54"/>
      <c r="G798" s="54"/>
      <c r="H798" s="54"/>
      <c r="I798" s="54"/>
      <c r="J798" s="54"/>
      <c r="K798" s="63"/>
      <c r="L798" s="54"/>
      <c r="M798" s="54"/>
      <c r="N798" s="54"/>
      <c r="O798" s="54"/>
      <c r="P798" s="86"/>
      <c r="Q798" s="54"/>
      <c r="R798" s="249"/>
      <c r="T798" s="54"/>
      <c r="U798" s="54"/>
      <c r="V798" s="54"/>
      <c r="W798" s="54"/>
      <c r="X798" s="54"/>
      <c r="Y798" s="54"/>
      <c r="Z798" s="54"/>
      <c r="AA798" s="54"/>
      <c r="AB798" s="287"/>
      <c r="AC798" s="54"/>
      <c r="AD798" s="54"/>
    </row>
    <row r="799">
      <c r="A799" s="54"/>
      <c r="B799" s="312"/>
      <c r="C799" s="312"/>
      <c r="D799" s="54"/>
      <c r="E799" s="54"/>
      <c r="F799" s="54"/>
      <c r="G799" s="54"/>
      <c r="H799" s="54"/>
      <c r="I799" s="54"/>
      <c r="J799" s="54"/>
      <c r="K799" s="63"/>
      <c r="L799" s="54"/>
      <c r="M799" s="54"/>
      <c r="N799" s="54"/>
      <c r="O799" s="54"/>
      <c r="P799" s="86"/>
      <c r="Q799" s="54"/>
      <c r="R799" s="249"/>
      <c r="T799" s="54"/>
      <c r="U799" s="54"/>
      <c r="V799" s="54"/>
      <c r="W799" s="54"/>
      <c r="X799" s="54"/>
      <c r="Y799" s="54"/>
      <c r="Z799" s="54"/>
      <c r="AA799" s="54"/>
      <c r="AB799" s="287"/>
      <c r="AC799" s="54"/>
      <c r="AD799" s="54"/>
    </row>
    <row r="800">
      <c r="A800" s="54"/>
      <c r="B800" s="312"/>
      <c r="C800" s="312"/>
      <c r="D800" s="54"/>
      <c r="E800" s="54"/>
      <c r="F800" s="54"/>
      <c r="G800" s="54"/>
      <c r="H800" s="54"/>
      <c r="I800" s="54"/>
      <c r="J800" s="54"/>
      <c r="K800" s="63"/>
      <c r="L800" s="54"/>
      <c r="M800" s="54"/>
      <c r="N800" s="54"/>
      <c r="O800" s="54"/>
      <c r="P800" s="86"/>
      <c r="Q800" s="54"/>
      <c r="R800" s="249"/>
      <c r="T800" s="54"/>
      <c r="U800" s="54"/>
      <c r="V800" s="54"/>
      <c r="W800" s="54"/>
      <c r="X800" s="54"/>
      <c r="Y800" s="54"/>
      <c r="Z800" s="54"/>
      <c r="AA800" s="54"/>
      <c r="AB800" s="287"/>
      <c r="AC800" s="54"/>
      <c r="AD800" s="54"/>
    </row>
    <row r="801">
      <c r="A801" s="54"/>
      <c r="B801" s="312"/>
      <c r="C801" s="312"/>
      <c r="D801" s="54"/>
      <c r="E801" s="54"/>
      <c r="F801" s="54"/>
      <c r="G801" s="54"/>
      <c r="H801" s="54"/>
      <c r="I801" s="54"/>
      <c r="J801" s="54"/>
      <c r="K801" s="63"/>
      <c r="L801" s="54"/>
      <c r="M801" s="54"/>
      <c r="N801" s="54"/>
      <c r="O801" s="54"/>
      <c r="P801" s="86"/>
      <c r="Q801" s="54"/>
      <c r="R801" s="249"/>
      <c r="T801" s="54"/>
      <c r="U801" s="54"/>
      <c r="V801" s="54"/>
      <c r="W801" s="54"/>
      <c r="X801" s="54"/>
      <c r="Y801" s="54"/>
      <c r="Z801" s="54"/>
      <c r="AA801" s="54"/>
      <c r="AB801" s="287"/>
      <c r="AC801" s="54"/>
      <c r="AD801" s="54"/>
    </row>
    <row r="802">
      <c r="A802" s="54"/>
      <c r="B802" s="312"/>
      <c r="C802" s="312"/>
      <c r="D802" s="54"/>
      <c r="E802" s="54"/>
      <c r="F802" s="54"/>
      <c r="G802" s="54"/>
      <c r="H802" s="54"/>
      <c r="I802" s="54"/>
      <c r="J802" s="54"/>
      <c r="K802" s="63"/>
      <c r="L802" s="54"/>
      <c r="M802" s="54"/>
      <c r="N802" s="54"/>
      <c r="O802" s="54"/>
      <c r="P802" s="86"/>
      <c r="Q802" s="54"/>
      <c r="R802" s="249"/>
      <c r="T802" s="54"/>
      <c r="U802" s="54"/>
      <c r="V802" s="54"/>
      <c r="W802" s="54"/>
      <c r="X802" s="54"/>
      <c r="Y802" s="54"/>
      <c r="Z802" s="54"/>
      <c r="AA802" s="54"/>
      <c r="AB802" s="287"/>
      <c r="AC802" s="54"/>
      <c r="AD802" s="54"/>
    </row>
    <row r="803">
      <c r="A803" s="54"/>
      <c r="B803" s="312"/>
      <c r="C803" s="312"/>
      <c r="D803" s="54"/>
      <c r="E803" s="54"/>
      <c r="F803" s="54"/>
      <c r="G803" s="54"/>
      <c r="H803" s="54"/>
      <c r="I803" s="54"/>
      <c r="J803" s="54"/>
      <c r="K803" s="63"/>
      <c r="L803" s="54"/>
      <c r="M803" s="54"/>
      <c r="N803" s="54"/>
      <c r="O803" s="54"/>
      <c r="P803" s="86"/>
      <c r="Q803" s="54"/>
      <c r="R803" s="249"/>
      <c r="T803" s="54"/>
      <c r="U803" s="54"/>
      <c r="V803" s="54"/>
      <c r="W803" s="54"/>
      <c r="X803" s="54"/>
      <c r="Y803" s="54"/>
      <c r="Z803" s="54"/>
      <c r="AA803" s="54"/>
      <c r="AB803" s="287"/>
      <c r="AC803" s="54"/>
      <c r="AD803" s="54"/>
    </row>
    <row r="804">
      <c r="A804" s="54"/>
      <c r="B804" s="312"/>
      <c r="C804" s="312"/>
      <c r="D804" s="54"/>
      <c r="E804" s="54"/>
      <c r="F804" s="54"/>
      <c r="G804" s="54"/>
      <c r="H804" s="54"/>
      <c r="I804" s="54"/>
      <c r="J804" s="54"/>
      <c r="K804" s="63"/>
      <c r="L804" s="54"/>
      <c r="M804" s="54"/>
      <c r="N804" s="54"/>
      <c r="O804" s="54"/>
      <c r="P804" s="86"/>
      <c r="Q804" s="54"/>
      <c r="R804" s="249"/>
      <c r="T804" s="54"/>
      <c r="U804" s="54"/>
      <c r="V804" s="54"/>
      <c r="W804" s="54"/>
      <c r="X804" s="54"/>
      <c r="Y804" s="54"/>
      <c r="Z804" s="54"/>
      <c r="AA804" s="54"/>
      <c r="AB804" s="287"/>
      <c r="AC804" s="54"/>
      <c r="AD804" s="54"/>
    </row>
    <row r="805">
      <c r="A805" s="54"/>
      <c r="B805" s="312"/>
      <c r="C805" s="312"/>
      <c r="D805" s="54"/>
      <c r="E805" s="54"/>
      <c r="F805" s="54"/>
      <c r="G805" s="54"/>
      <c r="H805" s="54"/>
      <c r="I805" s="54"/>
      <c r="J805" s="54"/>
      <c r="K805" s="63"/>
      <c r="L805" s="54"/>
      <c r="M805" s="54"/>
      <c r="N805" s="54"/>
      <c r="O805" s="54"/>
      <c r="P805" s="86"/>
      <c r="Q805" s="54"/>
      <c r="R805" s="249"/>
      <c r="T805" s="54"/>
      <c r="U805" s="54"/>
      <c r="V805" s="54"/>
      <c r="W805" s="54"/>
      <c r="X805" s="54"/>
      <c r="Y805" s="54"/>
      <c r="Z805" s="54"/>
      <c r="AA805" s="54"/>
      <c r="AB805" s="287"/>
      <c r="AC805" s="54"/>
      <c r="AD805" s="54"/>
    </row>
    <row r="806">
      <c r="A806" s="54"/>
      <c r="B806" s="312"/>
      <c r="C806" s="312"/>
      <c r="D806" s="54"/>
      <c r="E806" s="54"/>
      <c r="F806" s="54"/>
      <c r="G806" s="54"/>
      <c r="H806" s="54"/>
      <c r="I806" s="54"/>
      <c r="J806" s="54"/>
      <c r="K806" s="63"/>
      <c r="L806" s="54"/>
      <c r="M806" s="54"/>
      <c r="N806" s="54"/>
      <c r="O806" s="54"/>
      <c r="P806" s="86"/>
      <c r="Q806" s="54"/>
      <c r="R806" s="249"/>
      <c r="T806" s="54"/>
      <c r="U806" s="54"/>
      <c r="V806" s="54"/>
      <c r="W806" s="54"/>
      <c r="X806" s="54"/>
      <c r="Y806" s="54"/>
      <c r="Z806" s="54"/>
      <c r="AA806" s="54"/>
      <c r="AB806" s="287"/>
      <c r="AC806" s="54"/>
      <c r="AD806" s="54"/>
    </row>
    <row r="807">
      <c r="A807" s="54"/>
      <c r="B807" s="312"/>
      <c r="C807" s="312"/>
      <c r="D807" s="54"/>
      <c r="E807" s="54"/>
      <c r="F807" s="54"/>
      <c r="G807" s="54"/>
      <c r="H807" s="54"/>
      <c r="I807" s="54"/>
      <c r="J807" s="54"/>
      <c r="K807" s="63"/>
      <c r="L807" s="54"/>
      <c r="M807" s="54"/>
      <c r="N807" s="54"/>
      <c r="O807" s="54"/>
      <c r="P807" s="86"/>
      <c r="Q807" s="54"/>
      <c r="R807" s="249"/>
      <c r="T807" s="54"/>
      <c r="U807" s="54"/>
      <c r="V807" s="54"/>
      <c r="W807" s="54"/>
      <c r="X807" s="54"/>
      <c r="Y807" s="54"/>
      <c r="Z807" s="54"/>
      <c r="AA807" s="54"/>
      <c r="AB807" s="287"/>
      <c r="AC807" s="54"/>
      <c r="AD807" s="54"/>
    </row>
    <row r="808">
      <c r="A808" s="54"/>
      <c r="B808" s="312"/>
      <c r="C808" s="312"/>
      <c r="D808" s="54"/>
      <c r="E808" s="54"/>
      <c r="F808" s="54"/>
      <c r="G808" s="54"/>
      <c r="H808" s="54"/>
      <c r="I808" s="54"/>
      <c r="J808" s="54"/>
      <c r="K808" s="63"/>
      <c r="L808" s="54"/>
      <c r="M808" s="54"/>
      <c r="N808" s="54"/>
      <c r="O808" s="54"/>
      <c r="P808" s="86"/>
      <c r="Q808" s="54"/>
      <c r="R808" s="249"/>
      <c r="T808" s="54"/>
      <c r="U808" s="54"/>
      <c r="V808" s="54"/>
      <c r="W808" s="54"/>
      <c r="X808" s="54"/>
      <c r="Y808" s="54"/>
      <c r="Z808" s="54"/>
      <c r="AA808" s="54"/>
      <c r="AB808" s="287"/>
      <c r="AC808" s="54"/>
      <c r="AD808" s="54"/>
    </row>
    <row r="809">
      <c r="A809" s="54"/>
      <c r="B809" s="312"/>
      <c r="C809" s="312"/>
      <c r="D809" s="54"/>
      <c r="E809" s="54"/>
      <c r="F809" s="54"/>
      <c r="G809" s="54"/>
      <c r="H809" s="54"/>
      <c r="I809" s="54"/>
      <c r="J809" s="54"/>
      <c r="K809" s="63"/>
      <c r="L809" s="54"/>
      <c r="M809" s="54"/>
      <c r="N809" s="54"/>
      <c r="O809" s="54"/>
      <c r="P809" s="86"/>
      <c r="Q809" s="54"/>
      <c r="R809" s="249"/>
      <c r="T809" s="54"/>
      <c r="U809" s="54"/>
      <c r="V809" s="54"/>
      <c r="W809" s="54"/>
      <c r="X809" s="54"/>
      <c r="Y809" s="54"/>
      <c r="Z809" s="54"/>
      <c r="AA809" s="54"/>
      <c r="AB809" s="287"/>
      <c r="AC809" s="54"/>
      <c r="AD809" s="54"/>
    </row>
    <row r="810">
      <c r="A810" s="54"/>
      <c r="B810" s="312"/>
      <c r="C810" s="312"/>
      <c r="D810" s="54"/>
      <c r="E810" s="54"/>
      <c r="F810" s="54"/>
      <c r="G810" s="54"/>
      <c r="H810" s="54"/>
      <c r="I810" s="54"/>
      <c r="J810" s="54"/>
      <c r="K810" s="63"/>
      <c r="L810" s="54"/>
      <c r="M810" s="54"/>
      <c r="N810" s="54"/>
      <c r="O810" s="54"/>
      <c r="P810" s="86"/>
      <c r="Q810" s="54"/>
      <c r="R810" s="249"/>
      <c r="T810" s="54"/>
      <c r="U810" s="54"/>
      <c r="V810" s="54"/>
      <c r="W810" s="54"/>
      <c r="X810" s="54"/>
      <c r="Y810" s="54"/>
      <c r="Z810" s="54"/>
      <c r="AA810" s="54"/>
      <c r="AB810" s="287"/>
      <c r="AC810" s="54"/>
      <c r="AD810" s="54"/>
    </row>
    <row r="811">
      <c r="A811" s="54"/>
      <c r="B811" s="312"/>
      <c r="C811" s="312"/>
      <c r="D811" s="54"/>
      <c r="E811" s="54"/>
      <c r="F811" s="54"/>
      <c r="G811" s="54"/>
      <c r="H811" s="54"/>
      <c r="I811" s="54"/>
      <c r="J811" s="54"/>
      <c r="K811" s="63"/>
      <c r="L811" s="54"/>
      <c r="M811" s="54"/>
      <c r="N811" s="54"/>
      <c r="O811" s="54"/>
      <c r="P811" s="86"/>
      <c r="Q811" s="54"/>
      <c r="R811" s="249"/>
      <c r="T811" s="54"/>
      <c r="U811" s="54"/>
      <c r="V811" s="54"/>
      <c r="W811" s="54"/>
      <c r="X811" s="54"/>
      <c r="Y811" s="54"/>
      <c r="Z811" s="54"/>
      <c r="AA811" s="54"/>
      <c r="AB811" s="287"/>
      <c r="AC811" s="54"/>
      <c r="AD811" s="54"/>
    </row>
    <row r="812">
      <c r="A812" s="54"/>
      <c r="B812" s="312"/>
      <c r="C812" s="312"/>
      <c r="D812" s="54"/>
      <c r="E812" s="54"/>
      <c r="F812" s="54"/>
      <c r="G812" s="54"/>
      <c r="H812" s="54"/>
      <c r="I812" s="54"/>
      <c r="J812" s="54"/>
      <c r="K812" s="63"/>
      <c r="L812" s="54"/>
      <c r="M812" s="54"/>
      <c r="N812" s="54"/>
      <c r="O812" s="54"/>
      <c r="P812" s="86"/>
      <c r="Q812" s="54"/>
      <c r="R812" s="249"/>
      <c r="T812" s="54"/>
      <c r="U812" s="54"/>
      <c r="V812" s="54"/>
      <c r="W812" s="54"/>
      <c r="X812" s="54"/>
      <c r="Y812" s="54"/>
      <c r="Z812" s="54"/>
      <c r="AA812" s="54"/>
      <c r="AB812" s="287"/>
      <c r="AC812" s="54"/>
      <c r="AD812" s="54"/>
    </row>
    <row r="813">
      <c r="A813" s="54"/>
      <c r="B813" s="312"/>
      <c r="C813" s="312"/>
      <c r="D813" s="54"/>
      <c r="E813" s="54"/>
      <c r="F813" s="54"/>
      <c r="G813" s="54"/>
      <c r="H813" s="54"/>
      <c r="I813" s="54"/>
      <c r="J813" s="54"/>
      <c r="K813" s="63"/>
      <c r="L813" s="54"/>
      <c r="M813" s="54"/>
      <c r="N813" s="54"/>
      <c r="O813" s="54"/>
      <c r="P813" s="86"/>
      <c r="Q813" s="54"/>
      <c r="R813" s="249"/>
      <c r="T813" s="54"/>
      <c r="U813" s="54"/>
      <c r="V813" s="54"/>
      <c r="W813" s="54"/>
      <c r="X813" s="54"/>
      <c r="Y813" s="54"/>
      <c r="Z813" s="54"/>
      <c r="AA813" s="54"/>
      <c r="AB813" s="287"/>
      <c r="AC813" s="54"/>
      <c r="AD813" s="54"/>
    </row>
    <row r="814">
      <c r="A814" s="54"/>
      <c r="B814" s="312"/>
      <c r="C814" s="312"/>
      <c r="D814" s="54"/>
      <c r="E814" s="54"/>
      <c r="F814" s="54"/>
      <c r="G814" s="54"/>
      <c r="H814" s="54"/>
      <c r="I814" s="54"/>
      <c r="J814" s="54"/>
      <c r="K814" s="63"/>
      <c r="L814" s="54"/>
      <c r="M814" s="54"/>
      <c r="N814" s="54"/>
      <c r="O814" s="54"/>
      <c r="P814" s="86"/>
      <c r="Q814" s="54"/>
      <c r="R814" s="249"/>
      <c r="T814" s="54"/>
      <c r="U814" s="54"/>
      <c r="V814" s="54"/>
      <c r="W814" s="54"/>
      <c r="X814" s="54"/>
      <c r="Y814" s="54"/>
      <c r="Z814" s="54"/>
      <c r="AA814" s="54"/>
      <c r="AB814" s="287"/>
      <c r="AC814" s="54"/>
      <c r="AD814" s="54"/>
    </row>
    <row r="815">
      <c r="A815" s="54"/>
      <c r="B815" s="312"/>
      <c r="C815" s="312"/>
      <c r="D815" s="54"/>
      <c r="E815" s="54"/>
      <c r="F815" s="54"/>
      <c r="G815" s="54"/>
      <c r="H815" s="54"/>
      <c r="I815" s="54"/>
      <c r="J815" s="54"/>
      <c r="K815" s="63"/>
      <c r="L815" s="54"/>
      <c r="M815" s="54"/>
      <c r="N815" s="54"/>
      <c r="O815" s="54"/>
      <c r="P815" s="86"/>
      <c r="Q815" s="54"/>
      <c r="R815" s="249"/>
      <c r="T815" s="54"/>
      <c r="U815" s="54"/>
      <c r="V815" s="54"/>
      <c r="W815" s="54"/>
      <c r="X815" s="54"/>
      <c r="Y815" s="54"/>
      <c r="Z815" s="54"/>
      <c r="AA815" s="54"/>
      <c r="AB815" s="287"/>
      <c r="AC815" s="54"/>
      <c r="AD815" s="54"/>
    </row>
    <row r="816">
      <c r="A816" s="54"/>
      <c r="B816" s="312"/>
      <c r="C816" s="312"/>
      <c r="D816" s="54"/>
      <c r="E816" s="54"/>
      <c r="F816" s="54"/>
      <c r="G816" s="54"/>
      <c r="H816" s="54"/>
      <c r="I816" s="54"/>
      <c r="J816" s="54"/>
      <c r="K816" s="63"/>
      <c r="L816" s="54"/>
      <c r="M816" s="54"/>
      <c r="N816" s="54"/>
      <c r="O816" s="54"/>
      <c r="P816" s="86"/>
      <c r="Q816" s="54"/>
      <c r="R816" s="249"/>
      <c r="T816" s="54"/>
      <c r="U816" s="54"/>
      <c r="V816" s="54"/>
      <c r="W816" s="54"/>
      <c r="X816" s="54"/>
      <c r="Y816" s="54"/>
      <c r="Z816" s="54"/>
      <c r="AA816" s="54"/>
      <c r="AB816" s="287"/>
      <c r="AC816" s="54"/>
      <c r="AD816" s="54"/>
    </row>
    <row r="817">
      <c r="A817" s="54"/>
      <c r="B817" s="312"/>
      <c r="C817" s="312"/>
      <c r="D817" s="54"/>
      <c r="E817" s="54"/>
      <c r="F817" s="54"/>
      <c r="G817" s="54"/>
      <c r="H817" s="54"/>
      <c r="I817" s="54"/>
      <c r="J817" s="54"/>
      <c r="K817" s="63"/>
      <c r="L817" s="54"/>
      <c r="M817" s="54"/>
      <c r="N817" s="54"/>
      <c r="O817" s="54"/>
      <c r="P817" s="86"/>
      <c r="Q817" s="54"/>
      <c r="R817" s="249"/>
      <c r="T817" s="54"/>
      <c r="U817" s="54"/>
      <c r="V817" s="54"/>
      <c r="W817" s="54"/>
      <c r="X817" s="54"/>
      <c r="Y817" s="54"/>
      <c r="Z817" s="54"/>
      <c r="AA817" s="54"/>
      <c r="AB817" s="287"/>
      <c r="AC817" s="54"/>
      <c r="AD817" s="54"/>
    </row>
    <row r="818">
      <c r="A818" s="54"/>
      <c r="B818" s="312"/>
      <c r="C818" s="312"/>
      <c r="D818" s="54"/>
      <c r="E818" s="54"/>
      <c r="F818" s="54"/>
      <c r="G818" s="54"/>
      <c r="H818" s="54"/>
      <c r="I818" s="54"/>
      <c r="J818" s="54"/>
      <c r="K818" s="63"/>
      <c r="L818" s="54"/>
      <c r="M818" s="54"/>
      <c r="N818" s="54"/>
      <c r="O818" s="54"/>
      <c r="P818" s="86"/>
      <c r="Q818" s="54"/>
      <c r="R818" s="249"/>
      <c r="T818" s="54"/>
      <c r="U818" s="54"/>
      <c r="V818" s="54"/>
      <c r="W818" s="54"/>
      <c r="X818" s="54"/>
      <c r="Y818" s="54"/>
      <c r="Z818" s="54"/>
      <c r="AA818" s="54"/>
      <c r="AB818" s="287"/>
      <c r="AC818" s="54"/>
      <c r="AD818" s="54"/>
    </row>
    <row r="819">
      <c r="A819" s="54"/>
      <c r="B819" s="312"/>
      <c r="C819" s="312"/>
      <c r="D819" s="54"/>
      <c r="E819" s="54"/>
      <c r="F819" s="54"/>
      <c r="G819" s="54"/>
      <c r="H819" s="54"/>
      <c r="I819" s="54"/>
      <c r="J819" s="54"/>
      <c r="K819" s="63"/>
      <c r="L819" s="54"/>
      <c r="M819" s="54"/>
      <c r="N819" s="54"/>
      <c r="O819" s="54"/>
      <c r="P819" s="86"/>
      <c r="Q819" s="54"/>
      <c r="R819" s="249"/>
      <c r="T819" s="54"/>
      <c r="U819" s="54"/>
      <c r="V819" s="54"/>
      <c r="W819" s="54"/>
      <c r="X819" s="54"/>
      <c r="Y819" s="54"/>
      <c r="Z819" s="54"/>
      <c r="AA819" s="54"/>
      <c r="AB819" s="287"/>
      <c r="AC819" s="54"/>
      <c r="AD819" s="54"/>
    </row>
    <row r="820">
      <c r="A820" s="54"/>
      <c r="B820" s="312"/>
      <c r="C820" s="312"/>
      <c r="D820" s="54"/>
      <c r="E820" s="54"/>
      <c r="F820" s="54"/>
      <c r="G820" s="54"/>
      <c r="H820" s="54"/>
      <c r="I820" s="54"/>
      <c r="J820" s="54"/>
      <c r="K820" s="63"/>
      <c r="L820" s="54"/>
      <c r="M820" s="54"/>
      <c r="N820" s="54"/>
      <c r="O820" s="54"/>
      <c r="P820" s="86"/>
      <c r="Q820" s="54"/>
      <c r="R820" s="249"/>
      <c r="T820" s="54"/>
      <c r="U820" s="54"/>
      <c r="V820" s="54"/>
      <c r="W820" s="54"/>
      <c r="X820" s="54"/>
      <c r="Y820" s="54"/>
      <c r="Z820" s="54"/>
      <c r="AA820" s="54"/>
      <c r="AB820" s="287"/>
      <c r="AC820" s="54"/>
      <c r="AD820" s="54"/>
    </row>
    <row r="821">
      <c r="A821" s="54"/>
      <c r="B821" s="312"/>
      <c r="C821" s="312"/>
      <c r="D821" s="54"/>
      <c r="E821" s="54"/>
      <c r="F821" s="54"/>
      <c r="G821" s="54"/>
      <c r="H821" s="54"/>
      <c r="I821" s="54"/>
      <c r="J821" s="54"/>
      <c r="K821" s="63"/>
      <c r="L821" s="54"/>
      <c r="M821" s="54"/>
      <c r="N821" s="54"/>
      <c r="O821" s="54"/>
      <c r="P821" s="86"/>
      <c r="Q821" s="54"/>
      <c r="R821" s="249"/>
      <c r="T821" s="54"/>
      <c r="U821" s="54"/>
      <c r="V821" s="54"/>
      <c r="W821" s="54"/>
      <c r="X821" s="54"/>
      <c r="Y821" s="54"/>
      <c r="Z821" s="54"/>
      <c r="AA821" s="54"/>
      <c r="AB821" s="287"/>
      <c r="AC821" s="54"/>
      <c r="AD821" s="54"/>
    </row>
    <row r="822">
      <c r="A822" s="54"/>
      <c r="B822" s="312"/>
      <c r="C822" s="312"/>
      <c r="D822" s="54"/>
      <c r="E822" s="54"/>
      <c r="F822" s="54"/>
      <c r="G822" s="54"/>
      <c r="H822" s="54"/>
      <c r="I822" s="54"/>
      <c r="J822" s="54"/>
      <c r="K822" s="63"/>
      <c r="L822" s="54"/>
      <c r="M822" s="54"/>
      <c r="N822" s="54"/>
      <c r="O822" s="54"/>
      <c r="P822" s="86"/>
      <c r="Q822" s="54"/>
      <c r="R822" s="249"/>
      <c r="T822" s="54"/>
      <c r="U822" s="54"/>
      <c r="V822" s="54"/>
      <c r="W822" s="54"/>
      <c r="X822" s="54"/>
      <c r="Y822" s="54"/>
      <c r="Z822" s="54"/>
      <c r="AA822" s="54"/>
      <c r="AB822" s="287"/>
      <c r="AC822" s="54"/>
      <c r="AD822" s="54"/>
    </row>
    <row r="823">
      <c r="A823" s="54"/>
      <c r="B823" s="312"/>
      <c r="C823" s="312"/>
      <c r="D823" s="54"/>
      <c r="E823" s="54"/>
      <c r="F823" s="54"/>
      <c r="G823" s="54"/>
      <c r="H823" s="54"/>
      <c r="I823" s="54"/>
      <c r="J823" s="54"/>
      <c r="K823" s="63"/>
      <c r="L823" s="54"/>
      <c r="M823" s="54"/>
      <c r="N823" s="54"/>
      <c r="O823" s="54"/>
      <c r="P823" s="86"/>
      <c r="Q823" s="54"/>
      <c r="R823" s="249"/>
      <c r="T823" s="54"/>
      <c r="U823" s="54"/>
      <c r="V823" s="54"/>
      <c r="W823" s="54"/>
      <c r="X823" s="54"/>
      <c r="Y823" s="54"/>
      <c r="Z823" s="54"/>
      <c r="AA823" s="54"/>
      <c r="AB823" s="287"/>
      <c r="AC823" s="54"/>
      <c r="AD823" s="54"/>
    </row>
    <row r="824">
      <c r="A824" s="54"/>
      <c r="B824" s="312"/>
      <c r="C824" s="312"/>
      <c r="D824" s="54"/>
      <c r="E824" s="54"/>
      <c r="F824" s="54"/>
      <c r="G824" s="54"/>
      <c r="H824" s="54"/>
      <c r="I824" s="54"/>
      <c r="J824" s="54"/>
      <c r="K824" s="63"/>
      <c r="L824" s="54"/>
      <c r="M824" s="54"/>
      <c r="N824" s="54"/>
      <c r="O824" s="54"/>
      <c r="P824" s="86"/>
      <c r="Q824" s="54"/>
      <c r="R824" s="249"/>
      <c r="T824" s="54"/>
      <c r="U824" s="54"/>
      <c r="V824" s="54"/>
      <c r="W824" s="54"/>
      <c r="X824" s="54"/>
      <c r="Y824" s="54"/>
      <c r="Z824" s="54"/>
      <c r="AA824" s="54"/>
      <c r="AB824" s="287"/>
      <c r="AC824" s="54"/>
      <c r="AD824" s="54"/>
    </row>
    <row r="825">
      <c r="A825" s="54"/>
      <c r="B825" s="312"/>
      <c r="C825" s="312"/>
      <c r="D825" s="54"/>
      <c r="E825" s="54"/>
      <c r="F825" s="54"/>
      <c r="G825" s="54"/>
      <c r="H825" s="54"/>
      <c r="I825" s="54"/>
      <c r="J825" s="54"/>
      <c r="K825" s="63"/>
      <c r="L825" s="54"/>
      <c r="M825" s="54"/>
      <c r="N825" s="54"/>
      <c r="O825" s="54"/>
      <c r="P825" s="86"/>
      <c r="Q825" s="54"/>
      <c r="R825" s="249"/>
      <c r="T825" s="54"/>
      <c r="U825" s="54"/>
      <c r="V825" s="54"/>
      <c r="W825" s="54"/>
      <c r="X825" s="54"/>
      <c r="Y825" s="54"/>
      <c r="Z825" s="54"/>
      <c r="AA825" s="54"/>
      <c r="AB825" s="287"/>
      <c r="AC825" s="54"/>
      <c r="AD825" s="54"/>
    </row>
    <row r="826">
      <c r="A826" s="54"/>
      <c r="B826" s="312"/>
      <c r="C826" s="312"/>
      <c r="D826" s="54"/>
      <c r="E826" s="54"/>
      <c r="F826" s="54"/>
      <c r="G826" s="54"/>
      <c r="H826" s="54"/>
      <c r="I826" s="54"/>
      <c r="J826" s="54"/>
      <c r="K826" s="63"/>
      <c r="L826" s="54"/>
      <c r="M826" s="54"/>
      <c r="N826" s="54"/>
      <c r="O826" s="54"/>
      <c r="P826" s="86"/>
      <c r="Q826" s="54"/>
      <c r="R826" s="249"/>
      <c r="T826" s="54"/>
      <c r="U826" s="54"/>
      <c r="V826" s="54"/>
      <c r="W826" s="54"/>
      <c r="X826" s="54"/>
      <c r="Y826" s="54"/>
      <c r="Z826" s="54"/>
      <c r="AA826" s="54"/>
      <c r="AB826" s="287"/>
      <c r="AC826" s="54"/>
      <c r="AD826" s="54"/>
    </row>
    <row r="827">
      <c r="A827" s="54"/>
      <c r="B827" s="312"/>
      <c r="C827" s="312"/>
      <c r="D827" s="54"/>
      <c r="E827" s="54"/>
      <c r="F827" s="54"/>
      <c r="G827" s="54"/>
      <c r="H827" s="54"/>
      <c r="I827" s="54"/>
      <c r="J827" s="54"/>
      <c r="K827" s="63"/>
      <c r="L827" s="54"/>
      <c r="M827" s="54"/>
      <c r="N827" s="54"/>
      <c r="O827" s="54"/>
      <c r="P827" s="86"/>
      <c r="Q827" s="54"/>
      <c r="R827" s="249"/>
      <c r="T827" s="54"/>
      <c r="U827" s="54"/>
      <c r="V827" s="54"/>
      <c r="W827" s="54"/>
      <c r="X827" s="54"/>
      <c r="Y827" s="54"/>
      <c r="Z827" s="54"/>
      <c r="AA827" s="54"/>
      <c r="AB827" s="287"/>
      <c r="AC827" s="54"/>
      <c r="AD827" s="54"/>
    </row>
    <row r="828">
      <c r="A828" s="54"/>
      <c r="B828" s="312"/>
      <c r="C828" s="312"/>
      <c r="D828" s="54"/>
      <c r="E828" s="54"/>
      <c r="F828" s="54"/>
      <c r="G828" s="54"/>
      <c r="H828" s="54"/>
      <c r="I828" s="54"/>
      <c r="J828" s="54"/>
      <c r="K828" s="63"/>
      <c r="L828" s="54"/>
      <c r="M828" s="54"/>
      <c r="N828" s="54"/>
      <c r="O828" s="54"/>
      <c r="P828" s="86"/>
      <c r="Q828" s="54"/>
      <c r="R828" s="249"/>
      <c r="T828" s="54"/>
      <c r="U828" s="54"/>
      <c r="V828" s="54"/>
      <c r="W828" s="54"/>
      <c r="X828" s="54"/>
      <c r="Y828" s="54"/>
      <c r="Z828" s="54"/>
      <c r="AA828" s="54"/>
      <c r="AB828" s="287"/>
      <c r="AC828" s="54"/>
      <c r="AD828" s="54"/>
    </row>
    <row r="829">
      <c r="A829" s="54"/>
      <c r="B829" s="312"/>
      <c r="C829" s="312"/>
      <c r="D829" s="54"/>
      <c r="E829" s="54"/>
      <c r="F829" s="54"/>
      <c r="G829" s="54"/>
      <c r="H829" s="54"/>
      <c r="I829" s="54"/>
      <c r="J829" s="54"/>
      <c r="K829" s="63"/>
      <c r="L829" s="54"/>
      <c r="M829" s="54"/>
      <c r="N829" s="54"/>
      <c r="O829" s="54"/>
      <c r="P829" s="86"/>
      <c r="Q829" s="54"/>
      <c r="R829" s="249"/>
      <c r="T829" s="54"/>
      <c r="U829" s="54"/>
      <c r="V829" s="54"/>
      <c r="W829" s="54"/>
      <c r="X829" s="54"/>
      <c r="Y829" s="54"/>
      <c r="Z829" s="54"/>
      <c r="AA829" s="54"/>
      <c r="AB829" s="287"/>
      <c r="AC829" s="54"/>
      <c r="AD829" s="54"/>
    </row>
    <row r="830">
      <c r="A830" s="54"/>
      <c r="B830" s="312"/>
      <c r="C830" s="312"/>
      <c r="D830" s="54"/>
      <c r="E830" s="54"/>
      <c r="F830" s="54"/>
      <c r="G830" s="54"/>
      <c r="H830" s="54"/>
      <c r="I830" s="54"/>
      <c r="J830" s="54"/>
      <c r="K830" s="63"/>
      <c r="L830" s="54"/>
      <c r="M830" s="54"/>
      <c r="N830" s="54"/>
      <c r="O830" s="54"/>
      <c r="P830" s="86"/>
      <c r="Q830" s="54"/>
      <c r="R830" s="249"/>
      <c r="T830" s="54"/>
      <c r="U830" s="54"/>
      <c r="V830" s="54"/>
      <c r="W830" s="54"/>
      <c r="X830" s="54"/>
      <c r="Y830" s="54"/>
      <c r="Z830" s="54"/>
      <c r="AA830" s="54"/>
      <c r="AB830" s="287"/>
      <c r="AC830" s="54"/>
      <c r="AD830" s="54"/>
    </row>
    <row r="831">
      <c r="A831" s="54"/>
      <c r="B831" s="312"/>
      <c r="C831" s="312"/>
      <c r="D831" s="54"/>
      <c r="E831" s="54"/>
      <c r="F831" s="54"/>
      <c r="G831" s="54"/>
      <c r="H831" s="54"/>
      <c r="I831" s="54"/>
      <c r="J831" s="54"/>
      <c r="K831" s="63"/>
      <c r="L831" s="54"/>
      <c r="M831" s="54"/>
      <c r="N831" s="54"/>
      <c r="O831" s="54"/>
      <c r="P831" s="86"/>
      <c r="Q831" s="54"/>
      <c r="R831" s="249"/>
      <c r="T831" s="54"/>
      <c r="U831" s="54"/>
      <c r="V831" s="54"/>
      <c r="W831" s="54"/>
      <c r="X831" s="54"/>
      <c r="Y831" s="54"/>
      <c r="Z831" s="54"/>
      <c r="AA831" s="54"/>
      <c r="AB831" s="287"/>
      <c r="AC831" s="54"/>
      <c r="AD831" s="54"/>
    </row>
    <row r="832">
      <c r="A832" s="54"/>
      <c r="B832" s="312"/>
      <c r="C832" s="312"/>
      <c r="D832" s="54"/>
      <c r="E832" s="54"/>
      <c r="F832" s="54"/>
      <c r="G832" s="54"/>
      <c r="H832" s="54"/>
      <c r="I832" s="54"/>
      <c r="J832" s="54"/>
      <c r="K832" s="63"/>
      <c r="L832" s="54"/>
      <c r="M832" s="54"/>
      <c r="N832" s="54"/>
      <c r="O832" s="54"/>
      <c r="P832" s="86"/>
      <c r="Q832" s="54"/>
      <c r="R832" s="249"/>
      <c r="T832" s="54"/>
      <c r="U832" s="54"/>
      <c r="V832" s="54"/>
      <c r="W832" s="54"/>
      <c r="X832" s="54"/>
      <c r="Y832" s="54"/>
      <c r="Z832" s="54"/>
      <c r="AA832" s="54"/>
      <c r="AB832" s="287"/>
      <c r="AC832" s="54"/>
      <c r="AD832" s="54"/>
    </row>
    <row r="833">
      <c r="A833" s="54"/>
      <c r="B833" s="312"/>
      <c r="C833" s="312"/>
      <c r="D833" s="54"/>
      <c r="E833" s="54"/>
      <c r="F833" s="54"/>
      <c r="G833" s="54"/>
      <c r="H833" s="54"/>
      <c r="I833" s="54"/>
      <c r="J833" s="54"/>
      <c r="K833" s="63"/>
      <c r="L833" s="54"/>
      <c r="M833" s="54"/>
      <c r="N833" s="54"/>
      <c r="O833" s="54"/>
      <c r="P833" s="86"/>
      <c r="Q833" s="54"/>
      <c r="R833" s="249"/>
      <c r="T833" s="54"/>
      <c r="U833" s="54"/>
      <c r="V833" s="54"/>
      <c r="W833" s="54"/>
      <c r="X833" s="54"/>
      <c r="Y833" s="54"/>
      <c r="Z833" s="54"/>
      <c r="AA833" s="54"/>
      <c r="AB833" s="287"/>
      <c r="AC833" s="54"/>
      <c r="AD833" s="54"/>
    </row>
    <row r="834">
      <c r="A834" s="54"/>
      <c r="B834" s="312"/>
      <c r="C834" s="312"/>
      <c r="D834" s="54"/>
      <c r="E834" s="54"/>
      <c r="F834" s="54"/>
      <c r="G834" s="54"/>
      <c r="H834" s="54"/>
      <c r="I834" s="54"/>
      <c r="J834" s="54"/>
      <c r="K834" s="63"/>
      <c r="L834" s="54"/>
      <c r="M834" s="54"/>
      <c r="N834" s="54"/>
      <c r="O834" s="54"/>
      <c r="P834" s="86"/>
      <c r="Q834" s="54"/>
      <c r="R834" s="249"/>
      <c r="T834" s="54"/>
      <c r="U834" s="54"/>
      <c r="V834" s="54"/>
      <c r="W834" s="54"/>
      <c r="X834" s="54"/>
      <c r="Y834" s="54"/>
      <c r="Z834" s="54"/>
      <c r="AA834" s="54"/>
      <c r="AB834" s="287"/>
      <c r="AC834" s="54"/>
      <c r="AD834" s="54"/>
    </row>
    <row r="835">
      <c r="A835" s="54"/>
      <c r="B835" s="312"/>
      <c r="C835" s="312"/>
      <c r="D835" s="54"/>
      <c r="E835" s="54"/>
      <c r="F835" s="54"/>
      <c r="G835" s="54"/>
      <c r="H835" s="54"/>
      <c r="I835" s="54"/>
      <c r="J835" s="54"/>
      <c r="K835" s="63"/>
      <c r="L835" s="54"/>
      <c r="M835" s="54"/>
      <c r="N835" s="54"/>
      <c r="O835" s="54"/>
      <c r="P835" s="86"/>
      <c r="Q835" s="54"/>
      <c r="R835" s="249"/>
      <c r="T835" s="54"/>
      <c r="U835" s="54"/>
      <c r="V835" s="54"/>
      <c r="W835" s="54"/>
      <c r="X835" s="54"/>
      <c r="Y835" s="54"/>
      <c r="Z835" s="54"/>
      <c r="AA835" s="54"/>
      <c r="AB835" s="287"/>
      <c r="AC835" s="54"/>
      <c r="AD835" s="54"/>
    </row>
    <row r="836">
      <c r="A836" s="54"/>
      <c r="B836" s="312"/>
      <c r="C836" s="312"/>
      <c r="D836" s="54"/>
      <c r="E836" s="54"/>
      <c r="F836" s="54"/>
      <c r="G836" s="54"/>
      <c r="H836" s="54"/>
      <c r="I836" s="54"/>
      <c r="J836" s="54"/>
      <c r="K836" s="63"/>
      <c r="L836" s="54"/>
      <c r="M836" s="54"/>
      <c r="N836" s="54"/>
      <c r="O836" s="54"/>
      <c r="P836" s="86"/>
      <c r="Q836" s="54"/>
      <c r="R836" s="249"/>
      <c r="T836" s="54"/>
      <c r="U836" s="54"/>
      <c r="V836" s="54"/>
      <c r="W836" s="54"/>
      <c r="X836" s="54"/>
      <c r="Y836" s="54"/>
      <c r="Z836" s="54"/>
      <c r="AA836" s="54"/>
      <c r="AB836" s="287"/>
      <c r="AC836" s="54"/>
      <c r="AD836" s="54"/>
    </row>
    <row r="837">
      <c r="A837" s="54"/>
      <c r="B837" s="312"/>
      <c r="C837" s="312"/>
      <c r="D837" s="54"/>
      <c r="E837" s="54"/>
      <c r="F837" s="54"/>
      <c r="G837" s="54"/>
      <c r="H837" s="54"/>
      <c r="I837" s="54"/>
      <c r="J837" s="54"/>
      <c r="K837" s="63"/>
      <c r="L837" s="54"/>
      <c r="M837" s="54"/>
      <c r="N837" s="54"/>
      <c r="O837" s="54"/>
      <c r="P837" s="86"/>
      <c r="Q837" s="54"/>
      <c r="R837" s="249"/>
      <c r="T837" s="54"/>
      <c r="U837" s="54"/>
      <c r="V837" s="54"/>
      <c r="W837" s="54"/>
      <c r="X837" s="54"/>
      <c r="Y837" s="54"/>
      <c r="Z837" s="54"/>
      <c r="AA837" s="54"/>
      <c r="AB837" s="287"/>
      <c r="AC837" s="54"/>
      <c r="AD837" s="54"/>
    </row>
    <row r="838">
      <c r="A838" s="54"/>
      <c r="B838" s="312"/>
      <c r="C838" s="312"/>
      <c r="D838" s="54"/>
      <c r="E838" s="54"/>
      <c r="F838" s="54"/>
      <c r="G838" s="54"/>
      <c r="H838" s="54"/>
      <c r="I838" s="54"/>
      <c r="J838" s="54"/>
      <c r="K838" s="63"/>
      <c r="L838" s="54"/>
      <c r="M838" s="54"/>
      <c r="N838" s="54"/>
      <c r="O838" s="54"/>
      <c r="P838" s="86"/>
      <c r="Q838" s="54"/>
      <c r="R838" s="249"/>
      <c r="T838" s="54"/>
      <c r="U838" s="54"/>
      <c r="V838" s="54"/>
      <c r="W838" s="54"/>
      <c r="X838" s="54"/>
      <c r="Y838" s="54"/>
      <c r="Z838" s="54"/>
      <c r="AA838" s="54"/>
      <c r="AB838" s="287"/>
      <c r="AC838" s="54"/>
      <c r="AD838" s="54"/>
    </row>
    <row r="839">
      <c r="A839" s="54"/>
      <c r="B839" s="312"/>
      <c r="C839" s="312"/>
      <c r="D839" s="54"/>
      <c r="E839" s="54"/>
      <c r="F839" s="54"/>
      <c r="G839" s="54"/>
      <c r="H839" s="54"/>
      <c r="I839" s="54"/>
      <c r="J839" s="54"/>
      <c r="K839" s="63"/>
      <c r="L839" s="54"/>
      <c r="M839" s="54"/>
      <c r="N839" s="54"/>
      <c r="O839" s="54"/>
      <c r="P839" s="86"/>
      <c r="Q839" s="54"/>
      <c r="R839" s="249"/>
      <c r="T839" s="54"/>
      <c r="U839" s="54"/>
      <c r="V839" s="54"/>
      <c r="W839" s="54"/>
      <c r="X839" s="54"/>
      <c r="Y839" s="54"/>
      <c r="Z839" s="54"/>
      <c r="AA839" s="54"/>
      <c r="AB839" s="287"/>
      <c r="AC839" s="54"/>
      <c r="AD839" s="54"/>
    </row>
    <row r="840">
      <c r="A840" s="54"/>
      <c r="B840" s="312"/>
      <c r="C840" s="312"/>
      <c r="D840" s="54"/>
      <c r="E840" s="54"/>
      <c r="F840" s="54"/>
      <c r="G840" s="54"/>
      <c r="H840" s="54"/>
      <c r="I840" s="54"/>
      <c r="J840" s="54"/>
      <c r="K840" s="63"/>
      <c r="L840" s="54"/>
      <c r="M840" s="54"/>
      <c r="N840" s="54"/>
      <c r="O840" s="54"/>
      <c r="P840" s="86"/>
      <c r="Q840" s="54"/>
      <c r="R840" s="249"/>
      <c r="T840" s="54"/>
      <c r="U840" s="54"/>
      <c r="V840" s="54"/>
      <c r="W840" s="54"/>
      <c r="X840" s="54"/>
      <c r="Y840" s="54"/>
      <c r="Z840" s="54"/>
      <c r="AA840" s="54"/>
      <c r="AB840" s="287"/>
      <c r="AC840" s="54"/>
      <c r="AD840" s="54"/>
    </row>
    <row r="841">
      <c r="A841" s="54"/>
      <c r="B841" s="312"/>
      <c r="C841" s="312"/>
      <c r="D841" s="54"/>
      <c r="E841" s="54"/>
      <c r="F841" s="54"/>
      <c r="G841" s="54"/>
      <c r="H841" s="54"/>
      <c r="I841" s="54"/>
      <c r="J841" s="54"/>
      <c r="K841" s="63"/>
      <c r="L841" s="54"/>
      <c r="M841" s="54"/>
      <c r="N841" s="54"/>
      <c r="O841" s="54"/>
      <c r="P841" s="86"/>
      <c r="Q841" s="54"/>
      <c r="R841" s="249"/>
      <c r="T841" s="54"/>
      <c r="U841" s="54"/>
      <c r="V841" s="54"/>
      <c r="W841" s="54"/>
      <c r="X841" s="54"/>
      <c r="Y841" s="54"/>
      <c r="Z841" s="54"/>
      <c r="AA841" s="54"/>
      <c r="AB841" s="287"/>
      <c r="AC841" s="54"/>
      <c r="AD841" s="54"/>
    </row>
    <row r="842">
      <c r="A842" s="54"/>
      <c r="B842" s="312"/>
      <c r="C842" s="312"/>
      <c r="D842" s="54"/>
      <c r="E842" s="54"/>
      <c r="F842" s="54"/>
      <c r="G842" s="54"/>
      <c r="H842" s="54"/>
      <c r="I842" s="54"/>
      <c r="J842" s="54"/>
      <c r="K842" s="63"/>
      <c r="L842" s="54"/>
      <c r="M842" s="54"/>
      <c r="N842" s="54"/>
      <c r="O842" s="54"/>
      <c r="P842" s="86"/>
      <c r="Q842" s="54"/>
      <c r="R842" s="249"/>
      <c r="T842" s="54"/>
      <c r="U842" s="54"/>
      <c r="V842" s="54"/>
      <c r="W842" s="54"/>
      <c r="X842" s="54"/>
      <c r="Y842" s="54"/>
      <c r="Z842" s="54"/>
      <c r="AA842" s="54"/>
      <c r="AB842" s="287"/>
      <c r="AC842" s="54"/>
      <c r="AD842" s="54"/>
    </row>
    <row r="843">
      <c r="A843" s="54"/>
      <c r="B843" s="312"/>
      <c r="C843" s="312"/>
      <c r="D843" s="54"/>
      <c r="E843" s="54"/>
      <c r="F843" s="54"/>
      <c r="G843" s="54"/>
      <c r="H843" s="54"/>
      <c r="I843" s="54"/>
      <c r="J843" s="54"/>
      <c r="K843" s="63"/>
      <c r="L843" s="54"/>
      <c r="M843" s="54"/>
      <c r="N843" s="54"/>
      <c r="O843" s="54"/>
      <c r="P843" s="86"/>
      <c r="Q843" s="54"/>
      <c r="R843" s="249"/>
      <c r="T843" s="54"/>
      <c r="U843" s="54"/>
      <c r="V843" s="54"/>
      <c r="W843" s="54"/>
      <c r="X843" s="54"/>
      <c r="Y843" s="54"/>
      <c r="Z843" s="54"/>
      <c r="AA843" s="54"/>
      <c r="AB843" s="287"/>
      <c r="AC843" s="54"/>
      <c r="AD843" s="54"/>
    </row>
    <row r="844">
      <c r="A844" s="54"/>
      <c r="B844" s="312"/>
      <c r="C844" s="312"/>
      <c r="D844" s="54"/>
      <c r="E844" s="54"/>
      <c r="F844" s="54"/>
      <c r="G844" s="54"/>
      <c r="H844" s="54"/>
      <c r="I844" s="54"/>
      <c r="J844" s="54"/>
      <c r="K844" s="63"/>
      <c r="L844" s="54"/>
      <c r="M844" s="54"/>
      <c r="N844" s="54"/>
      <c r="O844" s="54"/>
      <c r="P844" s="86"/>
      <c r="Q844" s="54"/>
      <c r="R844" s="249"/>
      <c r="T844" s="54"/>
      <c r="U844" s="54"/>
      <c r="V844" s="54"/>
      <c r="W844" s="54"/>
      <c r="X844" s="54"/>
      <c r="Y844" s="54"/>
      <c r="Z844" s="54"/>
      <c r="AA844" s="54"/>
      <c r="AB844" s="287"/>
      <c r="AC844" s="54"/>
      <c r="AD844" s="54"/>
    </row>
    <row r="845">
      <c r="A845" s="54"/>
      <c r="B845" s="312"/>
      <c r="C845" s="312"/>
      <c r="D845" s="54"/>
      <c r="E845" s="54"/>
      <c r="F845" s="54"/>
      <c r="G845" s="54"/>
      <c r="H845" s="54"/>
      <c r="I845" s="54"/>
      <c r="J845" s="54"/>
      <c r="K845" s="63"/>
      <c r="L845" s="54"/>
      <c r="M845" s="54"/>
      <c r="N845" s="54"/>
      <c r="O845" s="54"/>
      <c r="P845" s="86"/>
      <c r="Q845" s="54"/>
      <c r="R845" s="249"/>
      <c r="T845" s="54"/>
      <c r="U845" s="54"/>
      <c r="V845" s="54"/>
      <c r="W845" s="54"/>
      <c r="X845" s="54"/>
      <c r="Y845" s="54"/>
      <c r="Z845" s="54"/>
      <c r="AA845" s="54"/>
      <c r="AB845" s="287"/>
      <c r="AC845" s="54"/>
      <c r="AD845" s="54"/>
    </row>
    <row r="846">
      <c r="A846" s="54"/>
      <c r="B846" s="312"/>
      <c r="C846" s="312"/>
      <c r="D846" s="54"/>
      <c r="E846" s="54"/>
      <c r="F846" s="54"/>
      <c r="G846" s="54"/>
      <c r="H846" s="54"/>
      <c r="I846" s="54"/>
      <c r="J846" s="54"/>
      <c r="K846" s="63"/>
      <c r="L846" s="54"/>
      <c r="M846" s="54"/>
      <c r="N846" s="54"/>
      <c r="O846" s="54"/>
      <c r="P846" s="86"/>
      <c r="Q846" s="54"/>
      <c r="R846" s="249"/>
      <c r="T846" s="54"/>
      <c r="U846" s="54"/>
      <c r="V846" s="54"/>
      <c r="W846" s="54"/>
      <c r="X846" s="54"/>
      <c r="Y846" s="54"/>
      <c r="Z846" s="54"/>
      <c r="AA846" s="54"/>
      <c r="AB846" s="287"/>
      <c r="AC846" s="54"/>
      <c r="AD846" s="54"/>
    </row>
    <row r="847">
      <c r="A847" s="54"/>
      <c r="B847" s="312"/>
      <c r="C847" s="312"/>
      <c r="D847" s="54"/>
      <c r="E847" s="54"/>
      <c r="F847" s="54"/>
      <c r="G847" s="54"/>
      <c r="H847" s="54"/>
      <c r="I847" s="54"/>
      <c r="J847" s="54"/>
      <c r="K847" s="63"/>
      <c r="L847" s="54"/>
      <c r="M847" s="54"/>
      <c r="N847" s="54"/>
      <c r="O847" s="54"/>
      <c r="P847" s="86"/>
      <c r="Q847" s="54"/>
      <c r="R847" s="249"/>
      <c r="T847" s="54"/>
      <c r="U847" s="54"/>
      <c r="V847" s="54"/>
      <c r="W847" s="54"/>
      <c r="X847" s="54"/>
      <c r="Y847" s="54"/>
      <c r="Z847" s="54"/>
      <c r="AA847" s="54"/>
      <c r="AB847" s="287"/>
      <c r="AC847" s="54"/>
      <c r="AD847" s="54"/>
    </row>
    <row r="848">
      <c r="A848" s="54"/>
      <c r="B848" s="312"/>
      <c r="C848" s="312"/>
      <c r="D848" s="54"/>
      <c r="E848" s="54"/>
      <c r="F848" s="54"/>
      <c r="G848" s="54"/>
      <c r="H848" s="54"/>
      <c r="I848" s="54"/>
      <c r="J848" s="54"/>
      <c r="K848" s="63"/>
      <c r="L848" s="54"/>
      <c r="M848" s="54"/>
      <c r="N848" s="54"/>
      <c r="O848" s="54"/>
      <c r="P848" s="86"/>
      <c r="Q848" s="54"/>
      <c r="R848" s="249"/>
      <c r="T848" s="54"/>
      <c r="U848" s="54"/>
      <c r="V848" s="54"/>
      <c r="W848" s="54"/>
      <c r="X848" s="54"/>
      <c r="Y848" s="54"/>
      <c r="Z848" s="54"/>
      <c r="AA848" s="54"/>
      <c r="AB848" s="287"/>
      <c r="AC848" s="54"/>
      <c r="AD848" s="54"/>
    </row>
    <row r="849">
      <c r="A849" s="54"/>
      <c r="B849" s="312"/>
      <c r="C849" s="312"/>
      <c r="D849" s="54"/>
      <c r="E849" s="54"/>
      <c r="F849" s="54"/>
      <c r="G849" s="54"/>
      <c r="H849" s="54"/>
      <c r="I849" s="54"/>
      <c r="J849" s="54"/>
      <c r="K849" s="63"/>
      <c r="L849" s="54"/>
      <c r="M849" s="54"/>
      <c r="N849" s="54"/>
      <c r="O849" s="54"/>
      <c r="P849" s="86"/>
      <c r="Q849" s="54"/>
      <c r="R849" s="249"/>
      <c r="T849" s="54"/>
      <c r="U849" s="54"/>
      <c r="V849" s="54"/>
      <c r="W849" s="54"/>
      <c r="X849" s="54"/>
      <c r="Y849" s="54"/>
      <c r="Z849" s="54"/>
      <c r="AA849" s="54"/>
      <c r="AB849" s="287"/>
      <c r="AC849" s="54"/>
      <c r="AD849" s="54"/>
    </row>
    <row r="850">
      <c r="A850" s="54"/>
      <c r="B850" s="312"/>
      <c r="C850" s="312"/>
      <c r="D850" s="54"/>
      <c r="E850" s="54"/>
      <c r="F850" s="54"/>
      <c r="G850" s="54"/>
      <c r="H850" s="54"/>
      <c r="I850" s="54"/>
      <c r="J850" s="54"/>
      <c r="K850" s="63"/>
      <c r="L850" s="54"/>
      <c r="M850" s="54"/>
      <c r="N850" s="54"/>
      <c r="O850" s="54"/>
      <c r="P850" s="86"/>
      <c r="Q850" s="54"/>
      <c r="R850" s="249"/>
      <c r="T850" s="54"/>
      <c r="U850" s="54"/>
      <c r="V850" s="54"/>
      <c r="W850" s="54"/>
      <c r="X850" s="54"/>
      <c r="Y850" s="54"/>
      <c r="Z850" s="54"/>
      <c r="AA850" s="54"/>
      <c r="AB850" s="287"/>
      <c r="AC850" s="54"/>
      <c r="AD850" s="54"/>
    </row>
    <row r="851">
      <c r="A851" s="54"/>
      <c r="B851" s="312"/>
      <c r="C851" s="312"/>
      <c r="D851" s="54"/>
      <c r="E851" s="54"/>
      <c r="F851" s="54"/>
      <c r="G851" s="54"/>
      <c r="H851" s="54"/>
      <c r="I851" s="54"/>
      <c r="J851" s="54"/>
      <c r="K851" s="63"/>
      <c r="L851" s="54"/>
      <c r="M851" s="54"/>
      <c r="N851" s="54"/>
      <c r="O851" s="54"/>
      <c r="P851" s="86"/>
      <c r="Q851" s="54"/>
      <c r="R851" s="249"/>
      <c r="T851" s="54"/>
      <c r="U851" s="54"/>
      <c r="V851" s="54"/>
      <c r="W851" s="54"/>
      <c r="X851" s="54"/>
      <c r="Y851" s="54"/>
      <c r="Z851" s="54"/>
      <c r="AA851" s="54"/>
      <c r="AB851" s="287"/>
      <c r="AC851" s="54"/>
      <c r="AD851" s="54"/>
    </row>
    <row r="852">
      <c r="A852" s="54"/>
      <c r="B852" s="312"/>
      <c r="C852" s="312"/>
      <c r="D852" s="54"/>
      <c r="E852" s="54"/>
      <c r="F852" s="54"/>
      <c r="G852" s="54"/>
      <c r="H852" s="54"/>
      <c r="I852" s="54"/>
      <c r="J852" s="54"/>
      <c r="K852" s="63"/>
      <c r="L852" s="54"/>
      <c r="M852" s="54"/>
      <c r="N852" s="54"/>
      <c r="O852" s="54"/>
      <c r="P852" s="86"/>
      <c r="Q852" s="54"/>
      <c r="R852" s="249"/>
      <c r="T852" s="54"/>
      <c r="U852" s="54"/>
      <c r="V852" s="54"/>
      <c r="W852" s="54"/>
      <c r="X852" s="54"/>
      <c r="Y852" s="54"/>
      <c r="Z852" s="54"/>
      <c r="AA852" s="54"/>
      <c r="AB852" s="287"/>
      <c r="AC852" s="54"/>
      <c r="AD852" s="54"/>
    </row>
    <row r="853">
      <c r="A853" s="54"/>
      <c r="B853" s="312"/>
      <c r="C853" s="312"/>
      <c r="D853" s="54"/>
      <c r="E853" s="54"/>
      <c r="F853" s="54"/>
      <c r="G853" s="54"/>
      <c r="H853" s="54"/>
      <c r="I853" s="54"/>
      <c r="J853" s="54"/>
      <c r="K853" s="63"/>
      <c r="L853" s="54"/>
      <c r="M853" s="54"/>
      <c r="N853" s="54"/>
      <c r="O853" s="54"/>
      <c r="P853" s="86"/>
      <c r="Q853" s="54"/>
      <c r="R853" s="249"/>
      <c r="T853" s="54"/>
      <c r="U853" s="54"/>
      <c r="V853" s="54"/>
      <c r="W853" s="54"/>
      <c r="X853" s="54"/>
      <c r="Y853" s="54"/>
      <c r="Z853" s="54"/>
      <c r="AA853" s="54"/>
      <c r="AB853" s="287"/>
      <c r="AC853" s="54"/>
      <c r="AD853" s="54"/>
    </row>
    <row r="854">
      <c r="A854" s="54"/>
      <c r="B854" s="312"/>
      <c r="C854" s="312"/>
      <c r="D854" s="54"/>
      <c r="E854" s="54"/>
      <c r="F854" s="54"/>
      <c r="G854" s="54"/>
      <c r="H854" s="54"/>
      <c r="I854" s="54"/>
      <c r="J854" s="54"/>
      <c r="K854" s="63"/>
      <c r="L854" s="54"/>
      <c r="M854" s="54"/>
      <c r="N854" s="54"/>
      <c r="O854" s="54"/>
      <c r="P854" s="86"/>
      <c r="Q854" s="54"/>
      <c r="R854" s="249"/>
      <c r="T854" s="54"/>
      <c r="U854" s="54"/>
      <c r="V854" s="54"/>
      <c r="W854" s="54"/>
      <c r="X854" s="54"/>
      <c r="Y854" s="54"/>
      <c r="Z854" s="54"/>
      <c r="AA854" s="54"/>
      <c r="AB854" s="287"/>
      <c r="AC854" s="54"/>
      <c r="AD854" s="54"/>
    </row>
    <row r="855">
      <c r="A855" s="54"/>
      <c r="B855" s="312"/>
      <c r="C855" s="312"/>
      <c r="D855" s="54"/>
      <c r="E855" s="54"/>
      <c r="F855" s="54"/>
      <c r="G855" s="54"/>
      <c r="H855" s="54"/>
      <c r="I855" s="54"/>
      <c r="J855" s="54"/>
      <c r="K855" s="63"/>
      <c r="L855" s="54"/>
      <c r="M855" s="54"/>
      <c r="N855" s="54"/>
      <c r="O855" s="54"/>
      <c r="P855" s="86"/>
      <c r="Q855" s="54"/>
      <c r="R855" s="249"/>
      <c r="T855" s="54"/>
      <c r="U855" s="54"/>
      <c r="V855" s="54"/>
      <c r="W855" s="54"/>
      <c r="X855" s="54"/>
      <c r="Y855" s="54"/>
      <c r="Z855" s="54"/>
      <c r="AA855" s="54"/>
      <c r="AB855" s="287"/>
      <c r="AC855" s="54"/>
      <c r="AD855" s="54"/>
    </row>
    <row r="856">
      <c r="A856" s="54"/>
      <c r="B856" s="312"/>
      <c r="C856" s="312"/>
      <c r="D856" s="54"/>
      <c r="E856" s="54"/>
      <c r="F856" s="54"/>
      <c r="G856" s="54"/>
      <c r="H856" s="54"/>
      <c r="I856" s="54"/>
      <c r="J856" s="54"/>
      <c r="K856" s="63"/>
      <c r="L856" s="54"/>
      <c r="M856" s="54"/>
      <c r="N856" s="54"/>
      <c r="O856" s="54"/>
      <c r="P856" s="86"/>
      <c r="Q856" s="54"/>
      <c r="R856" s="249"/>
      <c r="T856" s="54"/>
      <c r="U856" s="54"/>
      <c r="V856" s="54"/>
      <c r="W856" s="54"/>
      <c r="X856" s="54"/>
      <c r="Y856" s="54"/>
      <c r="Z856" s="54"/>
      <c r="AA856" s="54"/>
      <c r="AB856" s="287"/>
      <c r="AC856" s="54"/>
      <c r="AD856" s="54"/>
    </row>
    <row r="857">
      <c r="A857" s="54"/>
      <c r="B857" s="312"/>
      <c r="C857" s="312"/>
      <c r="D857" s="54"/>
      <c r="E857" s="54"/>
      <c r="F857" s="54"/>
      <c r="G857" s="54"/>
      <c r="H857" s="54"/>
      <c r="I857" s="54"/>
      <c r="J857" s="54"/>
      <c r="K857" s="63"/>
      <c r="L857" s="54"/>
      <c r="M857" s="54"/>
      <c r="N857" s="54"/>
      <c r="O857" s="54"/>
      <c r="P857" s="86"/>
      <c r="Q857" s="54"/>
      <c r="R857" s="249"/>
      <c r="T857" s="54"/>
      <c r="U857" s="54"/>
      <c r="V857" s="54"/>
      <c r="W857" s="54"/>
      <c r="X857" s="54"/>
      <c r="Y857" s="54"/>
      <c r="Z857" s="54"/>
      <c r="AA857" s="54"/>
      <c r="AB857" s="287"/>
      <c r="AC857" s="54"/>
      <c r="AD857" s="54"/>
    </row>
    <row r="858">
      <c r="A858" s="54"/>
      <c r="B858" s="312"/>
      <c r="C858" s="312"/>
      <c r="D858" s="54"/>
      <c r="E858" s="54"/>
      <c r="F858" s="54"/>
      <c r="G858" s="54"/>
      <c r="H858" s="54"/>
      <c r="I858" s="54"/>
      <c r="J858" s="54"/>
      <c r="K858" s="63"/>
      <c r="L858" s="54"/>
      <c r="M858" s="54"/>
      <c r="N858" s="54"/>
      <c r="O858" s="54"/>
      <c r="P858" s="86"/>
      <c r="Q858" s="54"/>
      <c r="R858" s="249"/>
      <c r="T858" s="54"/>
      <c r="U858" s="54"/>
      <c r="V858" s="54"/>
      <c r="W858" s="54"/>
      <c r="X858" s="54"/>
      <c r="Y858" s="54"/>
      <c r="Z858" s="54"/>
      <c r="AA858" s="54"/>
      <c r="AB858" s="287"/>
      <c r="AC858" s="54"/>
      <c r="AD858" s="54"/>
    </row>
    <row r="859">
      <c r="A859" s="54"/>
      <c r="B859" s="312"/>
      <c r="C859" s="312"/>
      <c r="D859" s="54"/>
      <c r="E859" s="54"/>
      <c r="F859" s="54"/>
      <c r="G859" s="54"/>
      <c r="H859" s="54"/>
      <c r="I859" s="54"/>
      <c r="J859" s="54"/>
      <c r="K859" s="63"/>
      <c r="L859" s="54"/>
      <c r="M859" s="54"/>
      <c r="N859" s="54"/>
      <c r="O859" s="54"/>
      <c r="P859" s="86"/>
      <c r="Q859" s="54"/>
      <c r="R859" s="249"/>
      <c r="T859" s="54"/>
      <c r="U859" s="54"/>
      <c r="V859" s="54"/>
      <c r="W859" s="54"/>
      <c r="X859" s="54"/>
      <c r="Y859" s="54"/>
      <c r="Z859" s="54"/>
      <c r="AA859" s="54"/>
      <c r="AB859" s="287"/>
      <c r="AC859" s="54"/>
      <c r="AD859" s="54"/>
    </row>
    <row r="860">
      <c r="A860" s="54"/>
      <c r="B860" s="312"/>
      <c r="C860" s="312"/>
      <c r="D860" s="54"/>
      <c r="E860" s="54"/>
      <c r="F860" s="54"/>
      <c r="G860" s="54"/>
      <c r="H860" s="54"/>
      <c r="I860" s="54"/>
      <c r="J860" s="54"/>
      <c r="K860" s="63"/>
      <c r="L860" s="54"/>
      <c r="M860" s="54"/>
      <c r="N860" s="54"/>
      <c r="O860" s="54"/>
      <c r="P860" s="86"/>
      <c r="Q860" s="54"/>
      <c r="R860" s="249"/>
      <c r="T860" s="54"/>
      <c r="U860" s="54"/>
      <c r="V860" s="54"/>
      <c r="W860" s="54"/>
      <c r="X860" s="54"/>
      <c r="Y860" s="54"/>
      <c r="Z860" s="54"/>
      <c r="AA860" s="54"/>
      <c r="AB860" s="287"/>
      <c r="AC860" s="54"/>
      <c r="AD860" s="54"/>
    </row>
    <row r="861">
      <c r="A861" s="54"/>
      <c r="B861" s="312"/>
      <c r="C861" s="312"/>
      <c r="D861" s="54"/>
      <c r="E861" s="54"/>
      <c r="F861" s="54"/>
      <c r="G861" s="54"/>
      <c r="H861" s="54"/>
      <c r="I861" s="54"/>
      <c r="J861" s="54"/>
      <c r="K861" s="63"/>
      <c r="L861" s="54"/>
      <c r="M861" s="54"/>
      <c r="N861" s="54"/>
      <c r="O861" s="54"/>
      <c r="P861" s="86"/>
      <c r="Q861" s="54"/>
      <c r="R861" s="249"/>
      <c r="T861" s="54"/>
      <c r="U861" s="54"/>
      <c r="V861" s="54"/>
      <c r="W861" s="54"/>
      <c r="X861" s="54"/>
      <c r="Y861" s="54"/>
      <c r="Z861" s="54"/>
      <c r="AA861" s="54"/>
      <c r="AB861" s="287"/>
      <c r="AC861" s="54"/>
      <c r="AD861" s="54"/>
    </row>
    <row r="862">
      <c r="A862" s="54"/>
      <c r="B862" s="312"/>
      <c r="C862" s="312"/>
      <c r="D862" s="54"/>
      <c r="E862" s="54"/>
      <c r="F862" s="54"/>
      <c r="G862" s="54"/>
      <c r="H862" s="54"/>
      <c r="I862" s="54"/>
      <c r="J862" s="54"/>
      <c r="K862" s="63"/>
      <c r="L862" s="54"/>
      <c r="M862" s="54"/>
      <c r="N862" s="54"/>
      <c r="O862" s="54"/>
      <c r="P862" s="86"/>
      <c r="Q862" s="54"/>
      <c r="R862" s="249"/>
      <c r="T862" s="54"/>
      <c r="U862" s="54"/>
      <c r="V862" s="54"/>
      <c r="W862" s="54"/>
      <c r="X862" s="54"/>
      <c r="Y862" s="54"/>
      <c r="Z862" s="54"/>
      <c r="AA862" s="54"/>
      <c r="AB862" s="287"/>
      <c r="AC862" s="54"/>
      <c r="AD862" s="54"/>
    </row>
    <row r="863">
      <c r="A863" s="54"/>
      <c r="B863" s="312"/>
      <c r="C863" s="312"/>
      <c r="D863" s="54"/>
      <c r="E863" s="54"/>
      <c r="F863" s="54"/>
      <c r="G863" s="54"/>
      <c r="H863" s="54"/>
      <c r="I863" s="54"/>
      <c r="J863" s="54"/>
      <c r="K863" s="63"/>
      <c r="L863" s="54"/>
      <c r="M863" s="54"/>
      <c r="N863" s="54"/>
      <c r="O863" s="54"/>
      <c r="P863" s="86"/>
      <c r="Q863" s="54"/>
      <c r="R863" s="249"/>
      <c r="T863" s="54"/>
      <c r="U863" s="54"/>
      <c r="V863" s="54"/>
      <c r="W863" s="54"/>
      <c r="X863" s="54"/>
      <c r="Y863" s="54"/>
      <c r="Z863" s="54"/>
      <c r="AA863" s="54"/>
      <c r="AB863" s="287"/>
      <c r="AC863" s="54"/>
      <c r="AD863" s="54"/>
    </row>
    <row r="864">
      <c r="A864" s="54"/>
      <c r="B864" s="312"/>
      <c r="C864" s="312"/>
      <c r="D864" s="54"/>
      <c r="E864" s="54"/>
      <c r="F864" s="54"/>
      <c r="G864" s="54"/>
      <c r="H864" s="54"/>
      <c r="I864" s="54"/>
      <c r="J864" s="54"/>
      <c r="K864" s="63"/>
      <c r="L864" s="54"/>
      <c r="M864" s="54"/>
      <c r="N864" s="54"/>
      <c r="O864" s="54"/>
      <c r="P864" s="86"/>
      <c r="Q864" s="54"/>
      <c r="R864" s="249"/>
      <c r="T864" s="54"/>
      <c r="U864" s="54"/>
      <c r="V864" s="54"/>
      <c r="W864" s="54"/>
      <c r="X864" s="54"/>
      <c r="Y864" s="54"/>
      <c r="Z864" s="54"/>
      <c r="AA864" s="54"/>
      <c r="AB864" s="287"/>
      <c r="AC864" s="54"/>
      <c r="AD864" s="54"/>
    </row>
    <row r="865">
      <c r="A865" s="54"/>
      <c r="B865" s="312"/>
      <c r="C865" s="312"/>
      <c r="D865" s="54"/>
      <c r="E865" s="54"/>
      <c r="F865" s="54"/>
      <c r="G865" s="54"/>
      <c r="H865" s="54"/>
      <c r="I865" s="54"/>
      <c r="J865" s="54"/>
      <c r="K865" s="63"/>
      <c r="L865" s="54"/>
      <c r="M865" s="54"/>
      <c r="N865" s="54"/>
      <c r="O865" s="54"/>
      <c r="P865" s="86"/>
      <c r="Q865" s="54"/>
      <c r="R865" s="249"/>
      <c r="T865" s="54"/>
      <c r="U865" s="54"/>
      <c r="V865" s="54"/>
      <c r="W865" s="54"/>
      <c r="X865" s="54"/>
      <c r="Y865" s="54"/>
      <c r="Z865" s="54"/>
      <c r="AA865" s="54"/>
      <c r="AB865" s="287"/>
      <c r="AC865" s="54"/>
      <c r="AD865" s="54"/>
    </row>
    <row r="866">
      <c r="A866" s="54"/>
      <c r="B866" s="312"/>
      <c r="C866" s="312"/>
      <c r="D866" s="54"/>
      <c r="E866" s="54"/>
      <c r="F866" s="54"/>
      <c r="G866" s="54"/>
      <c r="H866" s="54"/>
      <c r="I866" s="54"/>
      <c r="J866" s="54"/>
      <c r="K866" s="63"/>
      <c r="L866" s="54"/>
      <c r="M866" s="54"/>
      <c r="N866" s="54"/>
      <c r="O866" s="54"/>
      <c r="P866" s="86"/>
      <c r="Q866" s="54"/>
      <c r="R866" s="249"/>
      <c r="T866" s="54"/>
      <c r="U866" s="54"/>
      <c r="V866" s="54"/>
      <c r="W866" s="54"/>
      <c r="X866" s="54"/>
      <c r="Y866" s="54"/>
      <c r="Z866" s="54"/>
      <c r="AA866" s="54"/>
      <c r="AB866" s="287"/>
      <c r="AC866" s="54"/>
      <c r="AD866" s="54"/>
    </row>
    <row r="867">
      <c r="A867" s="54"/>
      <c r="B867" s="312"/>
      <c r="C867" s="312"/>
      <c r="D867" s="54"/>
      <c r="E867" s="54"/>
      <c r="F867" s="54"/>
      <c r="G867" s="54"/>
      <c r="H867" s="54"/>
      <c r="I867" s="54"/>
      <c r="J867" s="54"/>
      <c r="K867" s="63"/>
      <c r="L867" s="54"/>
      <c r="M867" s="54"/>
      <c r="N867" s="54"/>
      <c r="O867" s="54"/>
      <c r="P867" s="86"/>
      <c r="Q867" s="54"/>
      <c r="R867" s="249"/>
      <c r="T867" s="54"/>
      <c r="U867" s="54"/>
      <c r="V867" s="54"/>
      <c r="W867" s="54"/>
      <c r="X867" s="54"/>
      <c r="Y867" s="54"/>
      <c r="Z867" s="54"/>
      <c r="AA867" s="54"/>
      <c r="AB867" s="287"/>
      <c r="AC867" s="54"/>
      <c r="AD867" s="54"/>
    </row>
    <row r="868">
      <c r="A868" s="54"/>
      <c r="B868" s="312"/>
      <c r="C868" s="312"/>
      <c r="D868" s="54"/>
      <c r="E868" s="54"/>
      <c r="F868" s="54"/>
      <c r="G868" s="54"/>
      <c r="H868" s="54"/>
      <c r="I868" s="54"/>
      <c r="J868" s="54"/>
      <c r="K868" s="63"/>
      <c r="L868" s="54"/>
      <c r="M868" s="54"/>
      <c r="N868" s="54"/>
      <c r="O868" s="54"/>
      <c r="P868" s="86"/>
      <c r="Q868" s="54"/>
      <c r="R868" s="249"/>
      <c r="T868" s="54"/>
      <c r="U868" s="54"/>
      <c r="V868" s="54"/>
      <c r="W868" s="54"/>
      <c r="X868" s="54"/>
      <c r="Y868" s="54"/>
      <c r="Z868" s="54"/>
      <c r="AA868" s="54"/>
      <c r="AB868" s="287"/>
      <c r="AC868" s="54"/>
      <c r="AD868" s="54"/>
    </row>
    <row r="869">
      <c r="A869" s="54"/>
      <c r="B869" s="312"/>
      <c r="C869" s="312"/>
      <c r="D869" s="54"/>
      <c r="E869" s="54"/>
      <c r="F869" s="54"/>
      <c r="G869" s="54"/>
      <c r="H869" s="54"/>
      <c r="I869" s="54"/>
      <c r="J869" s="54"/>
      <c r="K869" s="63"/>
      <c r="L869" s="54"/>
      <c r="M869" s="54"/>
      <c r="N869" s="54"/>
      <c r="O869" s="54"/>
      <c r="P869" s="86"/>
      <c r="Q869" s="54"/>
      <c r="R869" s="249"/>
      <c r="T869" s="54"/>
      <c r="U869" s="54"/>
      <c r="V869" s="54"/>
      <c r="W869" s="54"/>
      <c r="X869" s="54"/>
      <c r="Y869" s="54"/>
      <c r="Z869" s="54"/>
      <c r="AA869" s="54"/>
      <c r="AB869" s="287"/>
      <c r="AC869" s="54"/>
      <c r="AD869" s="54"/>
    </row>
    <row r="870">
      <c r="A870" s="54"/>
      <c r="B870" s="312"/>
      <c r="C870" s="312"/>
      <c r="D870" s="54"/>
      <c r="E870" s="54"/>
      <c r="F870" s="54"/>
      <c r="G870" s="54"/>
      <c r="H870" s="54"/>
      <c r="I870" s="54"/>
      <c r="J870" s="54"/>
      <c r="K870" s="63"/>
      <c r="L870" s="54"/>
      <c r="M870" s="54"/>
      <c r="N870" s="54"/>
      <c r="O870" s="54"/>
      <c r="P870" s="86"/>
      <c r="Q870" s="54"/>
      <c r="R870" s="249"/>
      <c r="T870" s="54"/>
      <c r="U870" s="54"/>
      <c r="V870" s="54"/>
      <c r="W870" s="54"/>
      <c r="X870" s="54"/>
      <c r="Y870" s="54"/>
      <c r="Z870" s="54"/>
      <c r="AA870" s="54"/>
      <c r="AB870" s="287"/>
      <c r="AC870" s="54"/>
      <c r="AD870" s="54"/>
    </row>
    <row r="871">
      <c r="A871" s="54"/>
      <c r="B871" s="312"/>
      <c r="C871" s="312"/>
      <c r="D871" s="54"/>
      <c r="E871" s="54"/>
      <c r="F871" s="54"/>
      <c r="G871" s="54"/>
      <c r="H871" s="54"/>
      <c r="I871" s="54"/>
      <c r="J871" s="54"/>
      <c r="K871" s="63"/>
      <c r="L871" s="54"/>
      <c r="M871" s="54"/>
      <c r="N871" s="54"/>
      <c r="O871" s="54"/>
      <c r="P871" s="86"/>
      <c r="Q871" s="54"/>
      <c r="R871" s="249"/>
      <c r="T871" s="54"/>
      <c r="U871" s="54"/>
      <c r="V871" s="54"/>
      <c r="W871" s="54"/>
      <c r="X871" s="54"/>
      <c r="Y871" s="54"/>
      <c r="Z871" s="54"/>
      <c r="AA871" s="54"/>
      <c r="AB871" s="287"/>
      <c r="AC871" s="54"/>
      <c r="AD871" s="54"/>
    </row>
    <row r="872">
      <c r="A872" s="54"/>
      <c r="B872" s="312"/>
      <c r="C872" s="312"/>
      <c r="D872" s="54"/>
      <c r="E872" s="54"/>
      <c r="F872" s="54"/>
      <c r="G872" s="54"/>
      <c r="H872" s="54"/>
      <c r="I872" s="54"/>
      <c r="J872" s="54"/>
      <c r="K872" s="63"/>
      <c r="L872" s="54"/>
      <c r="M872" s="54"/>
      <c r="N872" s="54"/>
      <c r="O872" s="54"/>
      <c r="P872" s="86"/>
      <c r="Q872" s="54"/>
      <c r="R872" s="249"/>
      <c r="T872" s="54"/>
      <c r="U872" s="54"/>
      <c r="V872" s="54"/>
      <c r="W872" s="54"/>
      <c r="X872" s="54"/>
      <c r="Y872" s="54"/>
      <c r="Z872" s="54"/>
      <c r="AA872" s="54"/>
      <c r="AB872" s="287"/>
      <c r="AC872" s="54"/>
      <c r="AD872" s="54"/>
    </row>
    <row r="873">
      <c r="A873" s="54"/>
      <c r="B873" s="312"/>
      <c r="C873" s="312"/>
      <c r="D873" s="54"/>
      <c r="E873" s="54"/>
      <c r="F873" s="54"/>
      <c r="G873" s="54"/>
      <c r="H873" s="54"/>
      <c r="I873" s="54"/>
      <c r="J873" s="54"/>
      <c r="K873" s="63"/>
      <c r="L873" s="54"/>
      <c r="M873" s="54"/>
      <c r="N873" s="54"/>
      <c r="O873" s="54"/>
      <c r="P873" s="86"/>
      <c r="Q873" s="54"/>
      <c r="R873" s="249"/>
      <c r="T873" s="54"/>
      <c r="U873" s="54"/>
      <c r="V873" s="54"/>
      <c r="W873" s="54"/>
      <c r="X873" s="54"/>
      <c r="Y873" s="54"/>
      <c r="Z873" s="54"/>
      <c r="AA873" s="54"/>
      <c r="AB873" s="287"/>
      <c r="AC873" s="54"/>
      <c r="AD873" s="54"/>
    </row>
    <row r="874">
      <c r="A874" s="54"/>
      <c r="B874" s="312"/>
      <c r="C874" s="312"/>
      <c r="D874" s="54"/>
      <c r="E874" s="54"/>
      <c r="F874" s="54"/>
      <c r="G874" s="54"/>
      <c r="H874" s="54"/>
      <c r="I874" s="54"/>
      <c r="J874" s="54"/>
      <c r="K874" s="63"/>
      <c r="L874" s="54"/>
      <c r="M874" s="54"/>
      <c r="N874" s="54"/>
      <c r="O874" s="54"/>
      <c r="P874" s="86"/>
      <c r="Q874" s="54"/>
      <c r="R874" s="249"/>
      <c r="T874" s="54"/>
      <c r="U874" s="54"/>
      <c r="V874" s="54"/>
      <c r="W874" s="54"/>
      <c r="X874" s="54"/>
      <c r="Y874" s="54"/>
      <c r="Z874" s="54"/>
      <c r="AA874" s="54"/>
      <c r="AB874" s="287"/>
      <c r="AC874" s="54"/>
      <c r="AD874" s="54"/>
    </row>
    <row r="875">
      <c r="A875" s="54"/>
      <c r="B875" s="312"/>
      <c r="C875" s="312"/>
      <c r="D875" s="54"/>
      <c r="E875" s="54"/>
      <c r="F875" s="54"/>
      <c r="G875" s="54"/>
      <c r="H875" s="54"/>
      <c r="I875" s="54"/>
      <c r="J875" s="54"/>
      <c r="K875" s="63"/>
      <c r="L875" s="54"/>
      <c r="M875" s="54"/>
      <c r="N875" s="54"/>
      <c r="O875" s="54"/>
      <c r="P875" s="86"/>
      <c r="Q875" s="54"/>
      <c r="R875" s="249"/>
      <c r="T875" s="54"/>
      <c r="U875" s="54"/>
      <c r="V875" s="54"/>
      <c r="W875" s="54"/>
      <c r="X875" s="54"/>
      <c r="Y875" s="54"/>
      <c r="Z875" s="54"/>
      <c r="AA875" s="54"/>
      <c r="AB875" s="287"/>
      <c r="AC875" s="54"/>
      <c r="AD875" s="54"/>
    </row>
    <row r="876">
      <c r="A876" s="54"/>
      <c r="B876" s="312"/>
      <c r="C876" s="312"/>
      <c r="D876" s="54"/>
      <c r="E876" s="54"/>
      <c r="F876" s="54"/>
      <c r="G876" s="54"/>
      <c r="H876" s="54"/>
      <c r="I876" s="54"/>
      <c r="J876" s="54"/>
      <c r="K876" s="63"/>
      <c r="L876" s="54"/>
      <c r="M876" s="54"/>
      <c r="N876" s="54"/>
      <c r="O876" s="54"/>
      <c r="P876" s="86"/>
      <c r="Q876" s="54"/>
      <c r="R876" s="249"/>
      <c r="T876" s="54"/>
      <c r="U876" s="54"/>
      <c r="V876" s="54"/>
      <c r="W876" s="54"/>
      <c r="X876" s="54"/>
      <c r="Y876" s="54"/>
      <c r="Z876" s="54"/>
      <c r="AA876" s="54"/>
      <c r="AB876" s="287"/>
      <c r="AC876" s="54"/>
      <c r="AD876" s="54"/>
    </row>
    <row r="877">
      <c r="A877" s="54"/>
      <c r="B877" s="312"/>
      <c r="C877" s="312"/>
      <c r="D877" s="54"/>
      <c r="E877" s="54"/>
      <c r="F877" s="54"/>
      <c r="G877" s="54"/>
      <c r="H877" s="54"/>
      <c r="I877" s="54"/>
      <c r="J877" s="54"/>
      <c r="K877" s="63"/>
      <c r="L877" s="54"/>
      <c r="M877" s="54"/>
      <c r="N877" s="54"/>
      <c r="O877" s="54"/>
      <c r="P877" s="86"/>
      <c r="Q877" s="54"/>
      <c r="R877" s="249"/>
      <c r="T877" s="54"/>
      <c r="U877" s="54"/>
      <c r="V877" s="54"/>
      <c r="W877" s="54"/>
      <c r="X877" s="54"/>
      <c r="Y877" s="54"/>
      <c r="Z877" s="54"/>
      <c r="AA877" s="54"/>
      <c r="AB877" s="287"/>
      <c r="AC877" s="54"/>
      <c r="AD877" s="54"/>
    </row>
    <row r="878">
      <c r="A878" s="54"/>
      <c r="B878" s="312"/>
      <c r="C878" s="312"/>
      <c r="D878" s="54"/>
      <c r="E878" s="54"/>
      <c r="F878" s="54"/>
      <c r="G878" s="54"/>
      <c r="H878" s="54"/>
      <c r="I878" s="54"/>
      <c r="J878" s="54"/>
      <c r="K878" s="63"/>
      <c r="L878" s="54"/>
      <c r="M878" s="54"/>
      <c r="N878" s="54"/>
      <c r="O878" s="54"/>
      <c r="P878" s="86"/>
      <c r="Q878" s="54"/>
      <c r="R878" s="249"/>
      <c r="T878" s="54"/>
      <c r="U878" s="54"/>
      <c r="V878" s="54"/>
      <c r="W878" s="54"/>
      <c r="X878" s="54"/>
      <c r="Y878" s="54"/>
      <c r="Z878" s="54"/>
      <c r="AA878" s="54"/>
      <c r="AB878" s="287"/>
      <c r="AC878" s="54"/>
      <c r="AD878" s="54"/>
    </row>
    <row r="879">
      <c r="A879" s="54"/>
      <c r="B879" s="312"/>
      <c r="C879" s="312"/>
      <c r="D879" s="54"/>
      <c r="E879" s="54"/>
      <c r="F879" s="54"/>
      <c r="G879" s="54"/>
      <c r="H879" s="54"/>
      <c r="I879" s="54"/>
      <c r="J879" s="54"/>
      <c r="K879" s="63"/>
      <c r="L879" s="54"/>
      <c r="M879" s="54"/>
      <c r="N879" s="54"/>
      <c r="O879" s="54"/>
      <c r="P879" s="86"/>
      <c r="Q879" s="54"/>
      <c r="R879" s="249"/>
      <c r="T879" s="54"/>
      <c r="U879" s="54"/>
      <c r="V879" s="54"/>
      <c r="W879" s="54"/>
      <c r="X879" s="54"/>
      <c r="Y879" s="54"/>
      <c r="Z879" s="54"/>
      <c r="AA879" s="54"/>
      <c r="AB879" s="287"/>
      <c r="AC879" s="54"/>
      <c r="AD879" s="54"/>
    </row>
    <row r="880">
      <c r="A880" s="54"/>
      <c r="B880" s="312"/>
      <c r="C880" s="312"/>
      <c r="D880" s="54"/>
      <c r="E880" s="54"/>
      <c r="F880" s="54"/>
      <c r="G880" s="54"/>
      <c r="H880" s="54"/>
      <c r="I880" s="54"/>
      <c r="J880" s="54"/>
      <c r="K880" s="63"/>
      <c r="L880" s="54"/>
      <c r="M880" s="54"/>
      <c r="N880" s="54"/>
      <c r="O880" s="54"/>
      <c r="P880" s="86"/>
      <c r="Q880" s="54"/>
      <c r="R880" s="249"/>
      <c r="T880" s="54"/>
      <c r="U880" s="54"/>
      <c r="V880" s="54"/>
      <c r="W880" s="54"/>
      <c r="X880" s="54"/>
      <c r="Y880" s="54"/>
      <c r="Z880" s="54"/>
      <c r="AA880" s="54"/>
      <c r="AB880" s="287"/>
      <c r="AC880" s="54"/>
      <c r="AD880" s="54"/>
    </row>
    <row r="881">
      <c r="A881" s="54"/>
      <c r="B881" s="312"/>
      <c r="C881" s="312"/>
      <c r="D881" s="54"/>
      <c r="E881" s="54"/>
      <c r="F881" s="54"/>
      <c r="G881" s="54"/>
      <c r="H881" s="54"/>
      <c r="I881" s="54"/>
      <c r="J881" s="54"/>
      <c r="K881" s="63"/>
      <c r="L881" s="54"/>
      <c r="M881" s="54"/>
      <c r="N881" s="54"/>
      <c r="O881" s="54"/>
      <c r="P881" s="86"/>
      <c r="Q881" s="54"/>
      <c r="R881" s="249"/>
      <c r="T881" s="54"/>
      <c r="U881" s="54"/>
      <c r="V881" s="54"/>
      <c r="W881" s="54"/>
      <c r="X881" s="54"/>
      <c r="Y881" s="54"/>
      <c r="Z881" s="54"/>
      <c r="AA881" s="54"/>
      <c r="AB881" s="287"/>
      <c r="AC881" s="54"/>
      <c r="AD881" s="54"/>
    </row>
    <row r="882">
      <c r="A882" s="54"/>
      <c r="B882" s="312"/>
      <c r="C882" s="312"/>
      <c r="D882" s="54"/>
      <c r="E882" s="54"/>
      <c r="F882" s="54"/>
      <c r="G882" s="54"/>
      <c r="H882" s="54"/>
      <c r="I882" s="54"/>
      <c r="J882" s="54"/>
      <c r="K882" s="63"/>
      <c r="L882" s="54"/>
      <c r="M882" s="54"/>
      <c r="N882" s="54"/>
      <c r="O882" s="54"/>
      <c r="P882" s="86"/>
      <c r="Q882" s="54"/>
      <c r="R882" s="249"/>
      <c r="T882" s="54"/>
      <c r="U882" s="54"/>
      <c r="V882" s="54"/>
      <c r="W882" s="54"/>
      <c r="X882" s="54"/>
      <c r="Y882" s="54"/>
      <c r="Z882" s="54"/>
      <c r="AA882" s="54"/>
      <c r="AB882" s="287"/>
      <c r="AC882" s="54"/>
      <c r="AD882" s="54"/>
    </row>
    <row r="883">
      <c r="A883" s="54"/>
      <c r="B883" s="312"/>
      <c r="C883" s="312"/>
      <c r="D883" s="54"/>
      <c r="E883" s="54"/>
      <c r="F883" s="54"/>
      <c r="G883" s="54"/>
      <c r="H883" s="54"/>
      <c r="I883" s="54"/>
      <c r="J883" s="54"/>
      <c r="K883" s="63"/>
      <c r="L883" s="54"/>
      <c r="M883" s="54"/>
      <c r="N883" s="54"/>
      <c r="O883" s="54"/>
      <c r="P883" s="86"/>
      <c r="Q883" s="54"/>
      <c r="R883" s="249"/>
      <c r="T883" s="54"/>
      <c r="U883" s="54"/>
      <c r="V883" s="54"/>
      <c r="W883" s="54"/>
      <c r="X883" s="54"/>
      <c r="Y883" s="54"/>
      <c r="Z883" s="54"/>
      <c r="AA883" s="54"/>
      <c r="AB883" s="287"/>
      <c r="AC883" s="54"/>
      <c r="AD883" s="54"/>
    </row>
    <row r="884">
      <c r="A884" s="54"/>
      <c r="B884" s="312"/>
      <c r="C884" s="312"/>
      <c r="D884" s="54"/>
      <c r="E884" s="54"/>
      <c r="F884" s="54"/>
      <c r="G884" s="54"/>
      <c r="H884" s="54"/>
      <c r="I884" s="54"/>
      <c r="J884" s="54"/>
      <c r="K884" s="63"/>
      <c r="L884" s="54"/>
      <c r="M884" s="54"/>
      <c r="N884" s="54"/>
      <c r="O884" s="54"/>
      <c r="P884" s="86"/>
      <c r="Q884" s="54"/>
      <c r="R884" s="249"/>
      <c r="T884" s="54"/>
      <c r="U884" s="54"/>
      <c r="V884" s="54"/>
      <c r="W884" s="54"/>
      <c r="X884" s="54"/>
      <c r="Y884" s="54"/>
      <c r="Z884" s="54"/>
      <c r="AA884" s="54"/>
      <c r="AB884" s="287"/>
      <c r="AC884" s="54"/>
      <c r="AD884" s="54"/>
    </row>
    <row r="885">
      <c r="A885" s="54"/>
      <c r="B885" s="312"/>
      <c r="C885" s="312"/>
      <c r="D885" s="54"/>
      <c r="E885" s="54"/>
      <c r="F885" s="54"/>
      <c r="G885" s="54"/>
      <c r="H885" s="54"/>
      <c r="I885" s="54"/>
      <c r="J885" s="54"/>
      <c r="K885" s="63"/>
      <c r="L885" s="54"/>
      <c r="M885" s="54"/>
      <c r="N885" s="54"/>
      <c r="O885" s="54"/>
      <c r="P885" s="86"/>
      <c r="Q885" s="54"/>
      <c r="R885" s="249"/>
      <c r="T885" s="54"/>
      <c r="U885" s="54"/>
      <c r="V885" s="54"/>
      <c r="W885" s="54"/>
      <c r="X885" s="54"/>
      <c r="Y885" s="54"/>
      <c r="Z885" s="54"/>
      <c r="AA885" s="54"/>
      <c r="AB885" s="287"/>
      <c r="AC885" s="54"/>
      <c r="AD885" s="54"/>
    </row>
    <row r="886">
      <c r="A886" s="54"/>
      <c r="B886" s="312"/>
      <c r="C886" s="312"/>
      <c r="D886" s="54"/>
      <c r="E886" s="54"/>
      <c r="F886" s="54"/>
      <c r="G886" s="54"/>
      <c r="H886" s="54"/>
      <c r="I886" s="54"/>
      <c r="J886" s="54"/>
      <c r="K886" s="63"/>
      <c r="L886" s="54"/>
      <c r="M886" s="54"/>
      <c r="N886" s="54"/>
      <c r="O886" s="54"/>
      <c r="P886" s="86"/>
      <c r="Q886" s="54"/>
      <c r="R886" s="249"/>
      <c r="T886" s="54"/>
      <c r="U886" s="54"/>
      <c r="V886" s="54"/>
      <c r="W886" s="54"/>
      <c r="X886" s="54"/>
      <c r="Y886" s="54"/>
      <c r="Z886" s="54"/>
      <c r="AA886" s="54"/>
      <c r="AB886" s="287"/>
      <c r="AC886" s="54"/>
      <c r="AD886" s="54"/>
    </row>
    <row r="887">
      <c r="A887" s="54"/>
      <c r="B887" s="312"/>
      <c r="C887" s="312"/>
      <c r="D887" s="54"/>
      <c r="E887" s="54"/>
      <c r="F887" s="54"/>
      <c r="G887" s="54"/>
      <c r="H887" s="54"/>
      <c r="I887" s="54"/>
      <c r="J887" s="54"/>
      <c r="K887" s="63"/>
      <c r="L887" s="54"/>
      <c r="M887" s="54"/>
      <c r="N887" s="54"/>
      <c r="O887" s="54"/>
      <c r="P887" s="86"/>
      <c r="Q887" s="54"/>
      <c r="R887" s="249"/>
      <c r="T887" s="54"/>
      <c r="U887" s="54"/>
      <c r="V887" s="54"/>
      <c r="W887" s="54"/>
      <c r="X887" s="54"/>
      <c r="Y887" s="54"/>
      <c r="Z887" s="54"/>
      <c r="AA887" s="54"/>
      <c r="AB887" s="287"/>
      <c r="AC887" s="54"/>
      <c r="AD887" s="54"/>
    </row>
    <row r="888">
      <c r="A888" s="54"/>
      <c r="B888" s="312"/>
      <c r="C888" s="312"/>
      <c r="D888" s="54"/>
      <c r="E888" s="54"/>
      <c r="F888" s="54"/>
      <c r="G888" s="54"/>
      <c r="H888" s="54"/>
      <c r="I888" s="54"/>
      <c r="J888" s="54"/>
      <c r="K888" s="63"/>
      <c r="L888" s="54"/>
      <c r="M888" s="54"/>
      <c r="N888" s="54"/>
      <c r="O888" s="54"/>
      <c r="P888" s="86"/>
      <c r="Q888" s="54"/>
      <c r="R888" s="249"/>
      <c r="T888" s="54"/>
      <c r="U888" s="54"/>
      <c r="V888" s="54"/>
      <c r="W888" s="54"/>
      <c r="X888" s="54"/>
      <c r="Y888" s="54"/>
      <c r="Z888" s="54"/>
      <c r="AA888" s="54"/>
      <c r="AB888" s="287"/>
      <c r="AC888" s="54"/>
      <c r="AD888" s="54"/>
    </row>
    <row r="889">
      <c r="A889" s="54"/>
      <c r="B889" s="312"/>
      <c r="C889" s="312"/>
      <c r="D889" s="54"/>
      <c r="E889" s="54"/>
      <c r="F889" s="54"/>
      <c r="G889" s="54"/>
      <c r="H889" s="54"/>
      <c r="I889" s="54"/>
      <c r="J889" s="54"/>
      <c r="K889" s="63"/>
      <c r="L889" s="54"/>
      <c r="M889" s="54"/>
      <c r="N889" s="54"/>
      <c r="O889" s="54"/>
      <c r="P889" s="86"/>
      <c r="Q889" s="54"/>
      <c r="R889" s="249"/>
      <c r="T889" s="54"/>
      <c r="U889" s="54"/>
      <c r="V889" s="54"/>
      <c r="W889" s="54"/>
      <c r="X889" s="54"/>
      <c r="Y889" s="54"/>
      <c r="Z889" s="54"/>
      <c r="AA889" s="54"/>
      <c r="AB889" s="287"/>
      <c r="AC889" s="54"/>
      <c r="AD889" s="54"/>
    </row>
    <row r="890">
      <c r="A890" s="54"/>
      <c r="B890" s="312"/>
      <c r="C890" s="312"/>
      <c r="D890" s="54"/>
      <c r="E890" s="54"/>
      <c r="F890" s="54"/>
      <c r="G890" s="54"/>
      <c r="H890" s="54"/>
      <c r="I890" s="54"/>
      <c r="J890" s="54"/>
      <c r="K890" s="63"/>
      <c r="L890" s="54"/>
      <c r="M890" s="54"/>
      <c r="N890" s="54"/>
      <c r="O890" s="54"/>
      <c r="P890" s="86"/>
      <c r="Q890" s="54"/>
      <c r="R890" s="249"/>
      <c r="T890" s="54"/>
      <c r="U890" s="54"/>
      <c r="V890" s="54"/>
      <c r="W890" s="54"/>
      <c r="X890" s="54"/>
      <c r="Y890" s="54"/>
      <c r="Z890" s="54"/>
      <c r="AA890" s="54"/>
      <c r="AB890" s="287"/>
      <c r="AC890" s="54"/>
      <c r="AD890" s="54"/>
    </row>
    <row r="891">
      <c r="A891" s="54"/>
      <c r="B891" s="312"/>
      <c r="C891" s="312"/>
      <c r="D891" s="54"/>
      <c r="E891" s="54"/>
      <c r="F891" s="54"/>
      <c r="G891" s="54"/>
      <c r="H891" s="54"/>
      <c r="I891" s="54"/>
      <c r="J891" s="54"/>
      <c r="K891" s="63"/>
      <c r="L891" s="54"/>
      <c r="M891" s="54"/>
      <c r="N891" s="54"/>
      <c r="O891" s="54"/>
      <c r="P891" s="86"/>
      <c r="Q891" s="54"/>
      <c r="R891" s="249"/>
      <c r="T891" s="54"/>
      <c r="U891" s="54"/>
      <c r="V891" s="54"/>
      <c r="W891" s="54"/>
      <c r="X891" s="54"/>
      <c r="Y891" s="54"/>
      <c r="Z891" s="54"/>
      <c r="AA891" s="54"/>
      <c r="AB891" s="287"/>
      <c r="AC891" s="54"/>
      <c r="AD891" s="54"/>
    </row>
    <row r="892">
      <c r="A892" s="54"/>
      <c r="B892" s="312"/>
      <c r="C892" s="312"/>
      <c r="D892" s="54"/>
      <c r="E892" s="54"/>
      <c r="F892" s="54"/>
      <c r="G892" s="54"/>
      <c r="H892" s="54"/>
      <c r="I892" s="54"/>
      <c r="J892" s="54"/>
      <c r="K892" s="63"/>
      <c r="L892" s="54"/>
      <c r="M892" s="54"/>
      <c r="N892" s="54"/>
      <c r="O892" s="54"/>
      <c r="P892" s="86"/>
      <c r="Q892" s="54"/>
      <c r="R892" s="249"/>
      <c r="T892" s="54"/>
      <c r="U892" s="54"/>
      <c r="V892" s="54"/>
      <c r="W892" s="54"/>
      <c r="X892" s="54"/>
      <c r="Y892" s="54"/>
      <c r="Z892" s="54"/>
      <c r="AA892" s="54"/>
      <c r="AB892" s="287"/>
      <c r="AC892" s="54"/>
      <c r="AD892" s="54"/>
    </row>
    <row r="893">
      <c r="A893" s="54"/>
      <c r="B893" s="312"/>
      <c r="C893" s="312"/>
      <c r="D893" s="54"/>
      <c r="E893" s="54"/>
      <c r="F893" s="54"/>
      <c r="G893" s="54"/>
      <c r="H893" s="54"/>
      <c r="I893" s="54"/>
      <c r="J893" s="54"/>
      <c r="K893" s="63"/>
      <c r="L893" s="54"/>
      <c r="M893" s="54"/>
      <c r="N893" s="54"/>
      <c r="O893" s="54"/>
      <c r="P893" s="86"/>
      <c r="Q893" s="54"/>
      <c r="R893" s="249"/>
      <c r="T893" s="54"/>
      <c r="U893" s="54"/>
      <c r="V893" s="54"/>
      <c r="W893" s="54"/>
      <c r="X893" s="54"/>
      <c r="Y893" s="54"/>
      <c r="Z893" s="54"/>
      <c r="AA893" s="54"/>
      <c r="AB893" s="287"/>
      <c r="AC893" s="54"/>
      <c r="AD893" s="54"/>
    </row>
    <row r="894">
      <c r="A894" s="54"/>
      <c r="B894" s="312"/>
      <c r="C894" s="312"/>
      <c r="D894" s="54"/>
      <c r="E894" s="54"/>
      <c r="F894" s="54"/>
      <c r="G894" s="54"/>
      <c r="H894" s="54"/>
      <c r="I894" s="54"/>
      <c r="J894" s="54"/>
      <c r="K894" s="63"/>
      <c r="L894" s="54"/>
      <c r="M894" s="54"/>
      <c r="N894" s="54"/>
      <c r="O894" s="54"/>
      <c r="P894" s="86"/>
      <c r="Q894" s="54"/>
      <c r="R894" s="249"/>
      <c r="T894" s="54"/>
      <c r="U894" s="54"/>
      <c r="V894" s="54"/>
      <c r="W894" s="54"/>
      <c r="X894" s="54"/>
      <c r="Y894" s="54"/>
      <c r="Z894" s="54"/>
      <c r="AA894" s="54"/>
      <c r="AB894" s="287"/>
      <c r="AC894" s="54"/>
      <c r="AD894" s="54"/>
    </row>
    <row r="895">
      <c r="A895" s="54"/>
      <c r="B895" s="312"/>
      <c r="C895" s="312"/>
      <c r="D895" s="54"/>
      <c r="E895" s="54"/>
      <c r="F895" s="54"/>
      <c r="G895" s="54"/>
      <c r="H895" s="54"/>
      <c r="I895" s="54"/>
      <c r="J895" s="54"/>
      <c r="K895" s="63"/>
      <c r="L895" s="54"/>
      <c r="M895" s="54"/>
      <c r="N895" s="54"/>
      <c r="O895" s="54"/>
      <c r="P895" s="86"/>
      <c r="Q895" s="54"/>
      <c r="R895" s="249"/>
      <c r="T895" s="54"/>
      <c r="U895" s="54"/>
      <c r="V895" s="54"/>
      <c r="W895" s="54"/>
      <c r="X895" s="54"/>
      <c r="Y895" s="54"/>
      <c r="Z895" s="54"/>
      <c r="AA895" s="54"/>
      <c r="AB895" s="287"/>
      <c r="AC895" s="54"/>
      <c r="AD895" s="54"/>
    </row>
    <row r="896">
      <c r="A896" s="54"/>
      <c r="B896" s="312"/>
      <c r="C896" s="312"/>
      <c r="D896" s="54"/>
      <c r="E896" s="54"/>
      <c r="F896" s="54"/>
      <c r="G896" s="54"/>
      <c r="H896" s="54"/>
      <c r="I896" s="54"/>
      <c r="J896" s="54"/>
      <c r="K896" s="63"/>
      <c r="L896" s="54"/>
      <c r="M896" s="54"/>
      <c r="N896" s="54"/>
      <c r="O896" s="54"/>
      <c r="P896" s="86"/>
      <c r="Q896" s="54"/>
      <c r="R896" s="249"/>
      <c r="T896" s="54"/>
      <c r="U896" s="54"/>
      <c r="V896" s="54"/>
      <c r="W896" s="54"/>
      <c r="X896" s="54"/>
      <c r="Y896" s="54"/>
      <c r="Z896" s="54"/>
      <c r="AA896" s="54"/>
      <c r="AB896" s="287"/>
      <c r="AC896" s="54"/>
      <c r="AD896" s="54"/>
    </row>
    <row r="897">
      <c r="A897" s="54"/>
      <c r="B897" s="312"/>
      <c r="C897" s="312"/>
      <c r="D897" s="54"/>
      <c r="E897" s="54"/>
      <c r="F897" s="54"/>
      <c r="G897" s="54"/>
      <c r="H897" s="54"/>
      <c r="I897" s="54"/>
      <c r="J897" s="54"/>
      <c r="K897" s="63"/>
      <c r="L897" s="54"/>
      <c r="M897" s="54"/>
      <c r="N897" s="54"/>
      <c r="O897" s="54"/>
      <c r="P897" s="86"/>
      <c r="Q897" s="54"/>
      <c r="R897" s="249"/>
      <c r="T897" s="54"/>
      <c r="U897" s="54"/>
      <c r="V897" s="54"/>
      <c r="W897" s="54"/>
      <c r="X897" s="54"/>
      <c r="Y897" s="54"/>
      <c r="Z897" s="54"/>
      <c r="AA897" s="54"/>
      <c r="AB897" s="287"/>
      <c r="AC897" s="54"/>
      <c r="AD897" s="54"/>
    </row>
    <row r="898">
      <c r="A898" s="54"/>
      <c r="B898" s="312"/>
      <c r="C898" s="312"/>
      <c r="D898" s="54"/>
      <c r="E898" s="54"/>
      <c r="F898" s="54"/>
      <c r="G898" s="54"/>
      <c r="H898" s="54"/>
      <c r="I898" s="54"/>
      <c r="J898" s="54"/>
      <c r="K898" s="63"/>
      <c r="L898" s="54"/>
      <c r="M898" s="54"/>
      <c r="N898" s="54"/>
      <c r="O898" s="54"/>
      <c r="P898" s="86"/>
      <c r="Q898" s="54"/>
      <c r="R898" s="249"/>
      <c r="T898" s="54"/>
      <c r="U898" s="54"/>
      <c r="V898" s="54"/>
      <c r="W898" s="54"/>
      <c r="X898" s="54"/>
      <c r="Y898" s="54"/>
      <c r="Z898" s="54"/>
      <c r="AA898" s="54"/>
      <c r="AB898" s="287"/>
      <c r="AC898" s="54"/>
      <c r="AD898" s="54"/>
    </row>
    <row r="899">
      <c r="A899" s="54"/>
      <c r="B899" s="312"/>
      <c r="C899" s="312"/>
      <c r="D899" s="54"/>
      <c r="E899" s="54"/>
      <c r="F899" s="54"/>
      <c r="G899" s="54"/>
      <c r="H899" s="54"/>
      <c r="I899" s="54"/>
      <c r="J899" s="54"/>
      <c r="K899" s="63"/>
      <c r="L899" s="54"/>
      <c r="M899" s="54"/>
      <c r="N899" s="54"/>
      <c r="O899" s="54"/>
      <c r="P899" s="86"/>
      <c r="Q899" s="54"/>
      <c r="R899" s="249"/>
      <c r="T899" s="54"/>
      <c r="U899" s="54"/>
      <c r="V899" s="54"/>
      <c r="W899" s="54"/>
      <c r="X899" s="54"/>
      <c r="Y899" s="54"/>
      <c r="Z899" s="54"/>
      <c r="AA899" s="54"/>
      <c r="AB899" s="287"/>
      <c r="AC899" s="54"/>
      <c r="AD899" s="54"/>
    </row>
    <row r="900">
      <c r="A900" s="54"/>
      <c r="B900" s="312"/>
      <c r="C900" s="312"/>
      <c r="D900" s="54"/>
      <c r="E900" s="54"/>
      <c r="F900" s="54"/>
      <c r="G900" s="54"/>
      <c r="H900" s="54"/>
      <c r="I900" s="54"/>
      <c r="J900" s="54"/>
      <c r="K900" s="63"/>
      <c r="L900" s="54"/>
      <c r="M900" s="54"/>
      <c r="N900" s="54"/>
      <c r="O900" s="54"/>
      <c r="P900" s="86"/>
      <c r="Q900" s="54"/>
      <c r="R900" s="249"/>
      <c r="T900" s="54"/>
      <c r="U900" s="54"/>
      <c r="V900" s="54"/>
      <c r="W900" s="54"/>
      <c r="X900" s="54"/>
      <c r="Y900" s="54"/>
      <c r="Z900" s="54"/>
      <c r="AA900" s="54"/>
      <c r="AB900" s="287"/>
      <c r="AC900" s="54"/>
      <c r="AD900" s="54"/>
    </row>
    <row r="901">
      <c r="A901" s="54"/>
      <c r="B901" s="312"/>
      <c r="C901" s="312"/>
      <c r="D901" s="54"/>
      <c r="E901" s="54"/>
      <c r="F901" s="54"/>
      <c r="G901" s="54"/>
      <c r="H901" s="54"/>
      <c r="I901" s="54"/>
      <c r="J901" s="54"/>
      <c r="K901" s="63"/>
      <c r="L901" s="54"/>
      <c r="M901" s="54"/>
      <c r="N901" s="54"/>
      <c r="O901" s="54"/>
      <c r="P901" s="86"/>
      <c r="Q901" s="54"/>
      <c r="R901" s="249"/>
      <c r="T901" s="54"/>
      <c r="U901" s="54"/>
      <c r="V901" s="54"/>
      <c r="W901" s="54"/>
      <c r="X901" s="54"/>
      <c r="Y901" s="54"/>
      <c r="Z901" s="54"/>
      <c r="AA901" s="54"/>
      <c r="AB901" s="287"/>
      <c r="AC901" s="54"/>
      <c r="AD901" s="54"/>
    </row>
    <row r="902">
      <c r="A902" s="54"/>
      <c r="B902" s="312"/>
      <c r="C902" s="312"/>
      <c r="D902" s="54"/>
      <c r="E902" s="54"/>
      <c r="F902" s="54"/>
      <c r="G902" s="54"/>
      <c r="H902" s="54"/>
      <c r="I902" s="54"/>
      <c r="J902" s="54"/>
      <c r="K902" s="63"/>
      <c r="L902" s="54"/>
      <c r="M902" s="54"/>
      <c r="N902" s="54"/>
      <c r="O902" s="54"/>
      <c r="P902" s="86"/>
      <c r="Q902" s="54"/>
      <c r="R902" s="249"/>
      <c r="T902" s="54"/>
      <c r="U902" s="54"/>
      <c r="V902" s="54"/>
      <c r="W902" s="54"/>
      <c r="X902" s="54"/>
      <c r="Y902" s="54"/>
      <c r="Z902" s="54"/>
      <c r="AA902" s="54"/>
      <c r="AB902" s="287"/>
      <c r="AC902" s="54"/>
      <c r="AD902" s="54"/>
    </row>
    <row r="903">
      <c r="A903" s="54"/>
      <c r="B903" s="312"/>
      <c r="C903" s="312"/>
      <c r="D903" s="54"/>
      <c r="E903" s="54"/>
      <c r="F903" s="54"/>
      <c r="G903" s="54"/>
      <c r="H903" s="54"/>
      <c r="I903" s="54"/>
      <c r="J903" s="54"/>
      <c r="K903" s="63"/>
      <c r="L903" s="54"/>
      <c r="M903" s="54"/>
      <c r="N903" s="54"/>
      <c r="O903" s="54"/>
      <c r="P903" s="86"/>
      <c r="Q903" s="54"/>
      <c r="R903" s="249"/>
      <c r="T903" s="54"/>
      <c r="U903" s="54"/>
      <c r="V903" s="54"/>
      <c r="W903" s="54"/>
      <c r="X903" s="54"/>
      <c r="Y903" s="54"/>
      <c r="Z903" s="54"/>
      <c r="AA903" s="54"/>
      <c r="AB903" s="287"/>
      <c r="AC903" s="54"/>
      <c r="AD903" s="54"/>
    </row>
    <row r="904">
      <c r="A904" s="54"/>
      <c r="B904" s="312"/>
      <c r="C904" s="312"/>
      <c r="D904" s="54"/>
      <c r="E904" s="54"/>
      <c r="F904" s="54"/>
      <c r="G904" s="54"/>
      <c r="H904" s="54"/>
      <c r="I904" s="54"/>
      <c r="J904" s="54"/>
      <c r="K904" s="63"/>
      <c r="L904" s="54"/>
      <c r="M904" s="54"/>
      <c r="N904" s="54"/>
      <c r="O904" s="54"/>
      <c r="P904" s="86"/>
      <c r="Q904" s="54"/>
      <c r="R904" s="249"/>
      <c r="T904" s="54"/>
      <c r="U904" s="54"/>
      <c r="V904" s="54"/>
      <c r="W904" s="54"/>
      <c r="X904" s="54"/>
      <c r="Y904" s="54"/>
      <c r="Z904" s="54"/>
      <c r="AA904" s="54"/>
      <c r="AB904" s="287"/>
      <c r="AC904" s="54"/>
      <c r="AD904" s="54"/>
    </row>
    <row r="905">
      <c r="A905" s="54"/>
      <c r="B905" s="312"/>
      <c r="C905" s="312"/>
      <c r="D905" s="54"/>
      <c r="E905" s="54"/>
      <c r="F905" s="54"/>
      <c r="G905" s="54"/>
      <c r="H905" s="54"/>
      <c r="I905" s="54"/>
      <c r="J905" s="54"/>
      <c r="K905" s="63"/>
      <c r="L905" s="54"/>
      <c r="M905" s="54"/>
      <c r="N905" s="54"/>
      <c r="O905" s="54"/>
      <c r="P905" s="86"/>
      <c r="Q905" s="54"/>
      <c r="R905" s="249"/>
      <c r="T905" s="54"/>
      <c r="U905" s="54"/>
      <c r="V905" s="54"/>
      <c r="W905" s="54"/>
      <c r="X905" s="54"/>
      <c r="Y905" s="54"/>
      <c r="Z905" s="54"/>
      <c r="AA905" s="54"/>
      <c r="AB905" s="287"/>
      <c r="AC905" s="54"/>
      <c r="AD905" s="54"/>
    </row>
    <row r="906">
      <c r="A906" s="54"/>
      <c r="B906" s="312"/>
      <c r="C906" s="312"/>
      <c r="D906" s="54"/>
      <c r="E906" s="54"/>
      <c r="F906" s="54"/>
      <c r="G906" s="54"/>
      <c r="H906" s="54"/>
      <c r="I906" s="54"/>
      <c r="J906" s="54"/>
      <c r="K906" s="63"/>
      <c r="L906" s="54"/>
      <c r="M906" s="54"/>
      <c r="N906" s="54"/>
      <c r="O906" s="54"/>
      <c r="P906" s="86"/>
      <c r="Q906" s="54"/>
      <c r="R906" s="249"/>
      <c r="T906" s="54"/>
      <c r="U906" s="54"/>
      <c r="V906" s="54"/>
      <c r="W906" s="54"/>
      <c r="X906" s="54"/>
      <c r="Y906" s="54"/>
      <c r="Z906" s="54"/>
      <c r="AA906" s="54"/>
      <c r="AB906" s="287"/>
      <c r="AC906" s="54"/>
      <c r="AD906" s="54"/>
    </row>
    <row r="907">
      <c r="A907" s="54"/>
      <c r="B907" s="312"/>
      <c r="C907" s="312"/>
      <c r="D907" s="54"/>
      <c r="E907" s="54"/>
      <c r="F907" s="54"/>
      <c r="G907" s="54"/>
      <c r="H907" s="54"/>
      <c r="I907" s="54"/>
      <c r="J907" s="54"/>
      <c r="K907" s="63"/>
      <c r="L907" s="54"/>
      <c r="M907" s="54"/>
      <c r="N907" s="54"/>
      <c r="O907" s="54"/>
      <c r="P907" s="86"/>
      <c r="Q907" s="54"/>
      <c r="R907" s="249"/>
      <c r="T907" s="54"/>
      <c r="U907" s="54"/>
      <c r="V907" s="54"/>
      <c r="W907" s="54"/>
      <c r="X907" s="54"/>
      <c r="Y907" s="54"/>
      <c r="Z907" s="54"/>
      <c r="AA907" s="54"/>
      <c r="AB907" s="287"/>
      <c r="AC907" s="54"/>
      <c r="AD907" s="54"/>
    </row>
    <row r="908">
      <c r="A908" s="54"/>
      <c r="B908" s="312"/>
      <c r="C908" s="312"/>
      <c r="D908" s="54"/>
      <c r="E908" s="54"/>
      <c r="F908" s="54"/>
      <c r="G908" s="54"/>
      <c r="H908" s="54"/>
      <c r="I908" s="54"/>
      <c r="J908" s="54"/>
      <c r="K908" s="63"/>
      <c r="L908" s="54"/>
      <c r="M908" s="54"/>
      <c r="N908" s="54"/>
      <c r="O908" s="54"/>
      <c r="P908" s="86"/>
      <c r="Q908" s="54"/>
      <c r="R908" s="249"/>
      <c r="T908" s="54"/>
      <c r="U908" s="54"/>
      <c r="V908" s="54"/>
      <c r="W908" s="54"/>
      <c r="X908" s="54"/>
      <c r="Y908" s="54"/>
      <c r="Z908" s="54"/>
      <c r="AA908" s="54"/>
      <c r="AB908" s="287"/>
      <c r="AC908" s="54"/>
      <c r="AD908" s="54"/>
    </row>
    <row r="909">
      <c r="A909" s="54"/>
      <c r="B909" s="312"/>
      <c r="C909" s="312"/>
      <c r="D909" s="54"/>
      <c r="E909" s="54"/>
      <c r="F909" s="54"/>
      <c r="G909" s="54"/>
      <c r="H909" s="54"/>
      <c r="I909" s="54"/>
      <c r="J909" s="54"/>
      <c r="K909" s="63"/>
      <c r="L909" s="54"/>
      <c r="M909" s="54"/>
      <c r="N909" s="54"/>
      <c r="O909" s="54"/>
      <c r="P909" s="86"/>
      <c r="Q909" s="54"/>
      <c r="R909" s="249"/>
      <c r="T909" s="54"/>
      <c r="U909" s="54"/>
      <c r="V909" s="54"/>
      <c r="W909" s="54"/>
      <c r="X909" s="54"/>
      <c r="Y909" s="54"/>
      <c r="Z909" s="54"/>
      <c r="AA909" s="54"/>
      <c r="AB909" s="287"/>
      <c r="AC909" s="54"/>
      <c r="AD909" s="54"/>
    </row>
    <row r="910">
      <c r="A910" s="54"/>
      <c r="B910" s="312"/>
      <c r="C910" s="312"/>
      <c r="D910" s="54"/>
      <c r="E910" s="54"/>
      <c r="F910" s="54"/>
      <c r="G910" s="54"/>
      <c r="H910" s="54"/>
      <c r="I910" s="54"/>
      <c r="J910" s="54"/>
      <c r="K910" s="63"/>
      <c r="L910" s="54"/>
      <c r="M910" s="54"/>
      <c r="N910" s="54"/>
      <c r="O910" s="54"/>
      <c r="P910" s="86"/>
      <c r="Q910" s="54"/>
      <c r="R910" s="249"/>
      <c r="T910" s="54"/>
      <c r="U910" s="54"/>
      <c r="V910" s="54"/>
      <c r="W910" s="54"/>
      <c r="X910" s="54"/>
      <c r="Y910" s="54"/>
      <c r="Z910" s="54"/>
      <c r="AA910" s="54"/>
      <c r="AB910" s="287"/>
      <c r="AC910" s="54"/>
      <c r="AD910" s="54"/>
    </row>
    <row r="911">
      <c r="A911" s="54"/>
      <c r="B911" s="312"/>
      <c r="C911" s="312"/>
      <c r="D911" s="54"/>
      <c r="E911" s="54"/>
      <c r="F911" s="54"/>
      <c r="G911" s="54"/>
      <c r="H911" s="54"/>
      <c r="I911" s="54"/>
      <c r="J911" s="54"/>
      <c r="K911" s="63"/>
      <c r="L911" s="54"/>
      <c r="M911" s="54"/>
      <c r="N911" s="54"/>
      <c r="O911" s="54"/>
      <c r="P911" s="86"/>
      <c r="Q911" s="54"/>
      <c r="R911" s="249"/>
      <c r="T911" s="54"/>
      <c r="U911" s="54"/>
      <c r="V911" s="54"/>
      <c r="W911" s="54"/>
      <c r="X911" s="54"/>
      <c r="Y911" s="54"/>
      <c r="Z911" s="54"/>
      <c r="AA911" s="54"/>
      <c r="AB911" s="287"/>
      <c r="AC911" s="54"/>
      <c r="AD911" s="54"/>
    </row>
    <row r="912">
      <c r="A912" s="54"/>
      <c r="B912" s="312"/>
      <c r="C912" s="312"/>
      <c r="D912" s="54"/>
      <c r="E912" s="54"/>
      <c r="F912" s="54"/>
      <c r="G912" s="54"/>
      <c r="H912" s="54"/>
      <c r="I912" s="54"/>
      <c r="J912" s="54"/>
      <c r="K912" s="63"/>
      <c r="L912" s="54"/>
      <c r="M912" s="54"/>
      <c r="N912" s="54"/>
      <c r="O912" s="54"/>
      <c r="P912" s="86"/>
      <c r="Q912" s="54"/>
      <c r="R912" s="249"/>
      <c r="T912" s="54"/>
      <c r="U912" s="54"/>
      <c r="V912" s="54"/>
      <c r="W912" s="54"/>
      <c r="X912" s="54"/>
      <c r="Y912" s="54"/>
      <c r="Z912" s="54"/>
      <c r="AA912" s="54"/>
      <c r="AB912" s="287"/>
      <c r="AC912" s="54"/>
      <c r="AD912" s="54"/>
    </row>
    <row r="913">
      <c r="A913" s="54"/>
      <c r="B913" s="312"/>
      <c r="C913" s="312"/>
      <c r="D913" s="54"/>
      <c r="E913" s="54"/>
      <c r="F913" s="54"/>
      <c r="G913" s="54"/>
      <c r="H913" s="54"/>
      <c r="I913" s="54"/>
      <c r="J913" s="54"/>
      <c r="K913" s="63"/>
      <c r="L913" s="54"/>
      <c r="M913" s="54"/>
      <c r="N913" s="54"/>
      <c r="O913" s="54"/>
      <c r="P913" s="86"/>
      <c r="Q913" s="54"/>
      <c r="R913" s="249"/>
      <c r="T913" s="54"/>
      <c r="U913" s="54"/>
      <c r="V913" s="54"/>
      <c r="W913" s="54"/>
      <c r="X913" s="54"/>
      <c r="Y913" s="54"/>
      <c r="Z913" s="54"/>
      <c r="AA913" s="54"/>
      <c r="AB913" s="287"/>
      <c r="AC913" s="54"/>
      <c r="AD913" s="54"/>
    </row>
    <row r="914">
      <c r="A914" s="54"/>
      <c r="B914" s="312"/>
      <c r="C914" s="312"/>
      <c r="D914" s="54"/>
      <c r="E914" s="54"/>
      <c r="F914" s="54"/>
      <c r="G914" s="54"/>
      <c r="H914" s="54"/>
      <c r="I914" s="54"/>
      <c r="J914" s="54"/>
      <c r="K914" s="63"/>
      <c r="L914" s="54"/>
      <c r="M914" s="54"/>
      <c r="N914" s="54"/>
      <c r="O914" s="54"/>
      <c r="P914" s="86"/>
      <c r="Q914" s="54"/>
      <c r="R914" s="249"/>
      <c r="T914" s="54"/>
      <c r="U914" s="54"/>
      <c r="V914" s="54"/>
      <c r="W914" s="54"/>
      <c r="X914" s="54"/>
      <c r="Y914" s="54"/>
      <c r="Z914" s="54"/>
      <c r="AA914" s="54"/>
      <c r="AB914" s="287"/>
      <c r="AC914" s="54"/>
      <c r="AD914" s="54"/>
    </row>
    <row r="915">
      <c r="A915" s="54"/>
      <c r="B915" s="312"/>
      <c r="C915" s="312"/>
      <c r="D915" s="54"/>
      <c r="E915" s="54"/>
      <c r="F915" s="54"/>
      <c r="G915" s="54"/>
      <c r="H915" s="54"/>
      <c r="I915" s="54"/>
      <c r="J915" s="54"/>
      <c r="K915" s="63"/>
      <c r="L915" s="54"/>
      <c r="M915" s="54"/>
      <c r="N915" s="54"/>
      <c r="O915" s="54"/>
      <c r="P915" s="86"/>
      <c r="Q915" s="54"/>
      <c r="R915" s="249"/>
      <c r="T915" s="54"/>
      <c r="U915" s="54"/>
      <c r="V915" s="54"/>
      <c r="W915" s="54"/>
      <c r="X915" s="54"/>
      <c r="Y915" s="54"/>
      <c r="Z915" s="54"/>
      <c r="AA915" s="54"/>
      <c r="AB915" s="287"/>
      <c r="AC915" s="54"/>
      <c r="AD915" s="54"/>
    </row>
    <row r="916">
      <c r="A916" s="54"/>
      <c r="B916" s="312"/>
      <c r="C916" s="312"/>
      <c r="D916" s="54"/>
      <c r="E916" s="54"/>
      <c r="F916" s="54"/>
      <c r="G916" s="54"/>
      <c r="H916" s="54"/>
      <c r="I916" s="54"/>
      <c r="J916" s="54"/>
      <c r="K916" s="63"/>
      <c r="L916" s="54"/>
      <c r="M916" s="54"/>
      <c r="N916" s="54"/>
      <c r="O916" s="54"/>
      <c r="P916" s="86"/>
      <c r="Q916" s="54"/>
      <c r="R916" s="249"/>
      <c r="T916" s="54"/>
      <c r="U916" s="54"/>
      <c r="V916" s="54"/>
      <c r="W916" s="54"/>
      <c r="X916" s="54"/>
      <c r="Y916" s="54"/>
      <c r="Z916" s="54"/>
      <c r="AA916" s="54"/>
      <c r="AB916" s="287"/>
      <c r="AC916" s="54"/>
      <c r="AD916" s="54"/>
    </row>
    <row r="917">
      <c r="A917" s="54"/>
      <c r="B917" s="312"/>
      <c r="C917" s="312"/>
      <c r="D917" s="54"/>
      <c r="E917" s="54"/>
      <c r="F917" s="54"/>
      <c r="G917" s="54"/>
      <c r="H917" s="54"/>
      <c r="I917" s="54"/>
      <c r="J917" s="54"/>
      <c r="K917" s="63"/>
      <c r="L917" s="54"/>
      <c r="M917" s="54"/>
      <c r="N917" s="54"/>
      <c r="O917" s="54"/>
      <c r="P917" s="86"/>
      <c r="Q917" s="54"/>
      <c r="R917" s="249"/>
      <c r="T917" s="54"/>
      <c r="U917" s="54"/>
      <c r="V917" s="54"/>
      <c r="W917" s="54"/>
      <c r="X917" s="54"/>
      <c r="Y917" s="54"/>
      <c r="Z917" s="54"/>
      <c r="AA917" s="54"/>
      <c r="AB917" s="287"/>
      <c r="AC917" s="54"/>
      <c r="AD917" s="54"/>
    </row>
    <row r="918">
      <c r="A918" s="54"/>
      <c r="B918" s="312"/>
      <c r="C918" s="312"/>
      <c r="D918" s="54"/>
      <c r="E918" s="54"/>
      <c r="F918" s="54"/>
      <c r="G918" s="54"/>
      <c r="H918" s="54"/>
      <c r="I918" s="54"/>
      <c r="J918" s="54"/>
      <c r="K918" s="63"/>
      <c r="L918" s="54"/>
      <c r="M918" s="54"/>
      <c r="N918" s="54"/>
      <c r="O918" s="54"/>
      <c r="P918" s="86"/>
      <c r="Q918" s="54"/>
      <c r="R918" s="249"/>
      <c r="T918" s="54"/>
      <c r="U918" s="54"/>
      <c r="V918" s="54"/>
      <c r="W918" s="54"/>
      <c r="X918" s="54"/>
      <c r="Y918" s="54"/>
      <c r="Z918" s="54"/>
      <c r="AA918" s="54"/>
      <c r="AB918" s="287"/>
      <c r="AC918" s="54"/>
      <c r="AD918" s="54"/>
    </row>
    <row r="919">
      <c r="A919" s="54"/>
      <c r="B919" s="312"/>
      <c r="C919" s="312"/>
      <c r="D919" s="54"/>
      <c r="E919" s="54"/>
      <c r="F919" s="54"/>
      <c r="G919" s="54"/>
      <c r="H919" s="54"/>
      <c r="I919" s="54"/>
      <c r="J919" s="54"/>
      <c r="K919" s="63"/>
      <c r="L919" s="54"/>
      <c r="M919" s="54"/>
      <c r="N919" s="54"/>
      <c r="O919" s="54"/>
      <c r="P919" s="86"/>
      <c r="Q919" s="54"/>
      <c r="R919" s="249"/>
      <c r="T919" s="54"/>
      <c r="U919" s="54"/>
      <c r="V919" s="54"/>
      <c r="W919" s="54"/>
      <c r="X919" s="54"/>
      <c r="Y919" s="54"/>
      <c r="Z919" s="54"/>
      <c r="AA919" s="54"/>
      <c r="AB919" s="287"/>
      <c r="AC919" s="54"/>
      <c r="AD919" s="54"/>
    </row>
    <row r="920">
      <c r="A920" s="54"/>
      <c r="B920" s="312"/>
      <c r="C920" s="312"/>
      <c r="D920" s="54"/>
      <c r="E920" s="54"/>
      <c r="F920" s="54"/>
      <c r="G920" s="54"/>
      <c r="H920" s="54"/>
      <c r="I920" s="54"/>
      <c r="J920" s="54"/>
      <c r="K920" s="63"/>
      <c r="L920" s="54"/>
      <c r="M920" s="54"/>
      <c r="N920" s="54"/>
      <c r="O920" s="54"/>
      <c r="P920" s="86"/>
      <c r="Q920" s="54"/>
      <c r="R920" s="249"/>
      <c r="T920" s="54"/>
      <c r="U920" s="54"/>
      <c r="V920" s="54"/>
      <c r="W920" s="54"/>
      <c r="X920" s="54"/>
      <c r="Y920" s="54"/>
      <c r="Z920" s="54"/>
      <c r="AA920" s="54"/>
      <c r="AB920" s="287"/>
      <c r="AC920" s="54"/>
      <c r="AD920" s="54"/>
    </row>
    <row r="921">
      <c r="A921" s="54"/>
      <c r="B921" s="312"/>
      <c r="C921" s="312"/>
      <c r="D921" s="54"/>
      <c r="E921" s="54"/>
      <c r="F921" s="54"/>
      <c r="G921" s="54"/>
      <c r="H921" s="54"/>
      <c r="I921" s="54"/>
      <c r="J921" s="54"/>
      <c r="K921" s="63"/>
      <c r="L921" s="54"/>
      <c r="M921" s="54"/>
      <c r="N921" s="54"/>
      <c r="O921" s="54"/>
      <c r="P921" s="86"/>
      <c r="Q921" s="54"/>
      <c r="R921" s="249"/>
      <c r="T921" s="54"/>
      <c r="U921" s="54"/>
      <c r="V921" s="54"/>
      <c r="W921" s="54"/>
      <c r="X921" s="54"/>
      <c r="Y921" s="54"/>
      <c r="Z921" s="54"/>
      <c r="AA921" s="54"/>
      <c r="AB921" s="287"/>
      <c r="AC921" s="54"/>
      <c r="AD921" s="54"/>
    </row>
    <row r="922">
      <c r="A922" s="54"/>
      <c r="B922" s="312"/>
      <c r="C922" s="312"/>
      <c r="D922" s="54"/>
      <c r="E922" s="54"/>
      <c r="F922" s="54"/>
      <c r="G922" s="54"/>
      <c r="H922" s="54"/>
      <c r="I922" s="54"/>
      <c r="J922" s="54"/>
      <c r="K922" s="63"/>
      <c r="L922" s="54"/>
      <c r="M922" s="54"/>
      <c r="N922" s="54"/>
      <c r="O922" s="54"/>
      <c r="P922" s="86"/>
      <c r="Q922" s="54"/>
      <c r="R922" s="249"/>
      <c r="T922" s="54"/>
      <c r="U922" s="54"/>
      <c r="V922" s="54"/>
      <c r="W922" s="54"/>
      <c r="X922" s="54"/>
      <c r="Y922" s="54"/>
      <c r="Z922" s="54"/>
      <c r="AA922" s="54"/>
      <c r="AB922" s="287"/>
      <c r="AC922" s="54"/>
      <c r="AD922" s="54"/>
    </row>
    <row r="923">
      <c r="A923" s="54"/>
      <c r="B923" s="312"/>
      <c r="C923" s="312"/>
      <c r="D923" s="54"/>
      <c r="E923" s="54"/>
      <c r="F923" s="54"/>
      <c r="G923" s="54"/>
      <c r="H923" s="54"/>
      <c r="I923" s="54"/>
      <c r="J923" s="54"/>
      <c r="K923" s="63"/>
      <c r="L923" s="54"/>
      <c r="M923" s="54"/>
      <c r="N923" s="54"/>
      <c r="O923" s="54"/>
      <c r="P923" s="86"/>
      <c r="Q923" s="54"/>
      <c r="R923" s="249"/>
      <c r="T923" s="54"/>
      <c r="U923" s="54"/>
      <c r="V923" s="54"/>
      <c r="W923" s="54"/>
      <c r="X923" s="54"/>
      <c r="Y923" s="54"/>
      <c r="Z923" s="54"/>
      <c r="AA923" s="54"/>
      <c r="AB923" s="287"/>
      <c r="AC923" s="54"/>
      <c r="AD923" s="54"/>
    </row>
    <row r="924">
      <c r="A924" s="54"/>
      <c r="B924" s="312"/>
      <c r="C924" s="312"/>
      <c r="D924" s="54"/>
      <c r="E924" s="54"/>
      <c r="F924" s="54"/>
      <c r="G924" s="54"/>
      <c r="H924" s="54"/>
      <c r="I924" s="54"/>
      <c r="J924" s="54"/>
      <c r="K924" s="63"/>
      <c r="L924" s="54"/>
      <c r="M924" s="54"/>
      <c r="N924" s="54"/>
      <c r="O924" s="54"/>
      <c r="P924" s="86"/>
      <c r="Q924" s="54"/>
      <c r="R924" s="249"/>
      <c r="T924" s="54"/>
      <c r="U924" s="54"/>
      <c r="V924" s="54"/>
      <c r="W924" s="54"/>
      <c r="X924" s="54"/>
      <c r="Y924" s="54"/>
      <c r="Z924" s="54"/>
      <c r="AA924" s="54"/>
      <c r="AB924" s="287"/>
      <c r="AC924" s="54"/>
      <c r="AD924" s="54"/>
    </row>
    <row r="925">
      <c r="A925" s="54"/>
      <c r="B925" s="312"/>
      <c r="C925" s="312"/>
      <c r="D925" s="54"/>
      <c r="E925" s="54"/>
      <c r="F925" s="54"/>
      <c r="G925" s="54"/>
      <c r="H925" s="54"/>
      <c r="I925" s="54"/>
      <c r="J925" s="54"/>
      <c r="K925" s="63"/>
      <c r="L925" s="54"/>
      <c r="M925" s="54"/>
      <c r="N925" s="54"/>
      <c r="O925" s="54"/>
      <c r="P925" s="86"/>
      <c r="Q925" s="54"/>
      <c r="R925" s="249"/>
      <c r="T925" s="54"/>
      <c r="U925" s="54"/>
      <c r="V925" s="54"/>
      <c r="W925" s="54"/>
      <c r="X925" s="54"/>
      <c r="Y925" s="54"/>
      <c r="Z925" s="54"/>
      <c r="AA925" s="54"/>
      <c r="AB925" s="287"/>
      <c r="AC925" s="54"/>
      <c r="AD925" s="54"/>
    </row>
    <row r="926">
      <c r="A926" s="54"/>
      <c r="B926" s="312"/>
      <c r="C926" s="312"/>
      <c r="D926" s="54"/>
      <c r="E926" s="54"/>
      <c r="F926" s="54"/>
      <c r="G926" s="54"/>
      <c r="H926" s="54"/>
      <c r="I926" s="54"/>
      <c r="J926" s="54"/>
      <c r="K926" s="63"/>
      <c r="L926" s="54"/>
      <c r="M926" s="54"/>
      <c r="N926" s="54"/>
      <c r="O926" s="54"/>
      <c r="P926" s="86"/>
      <c r="Q926" s="54"/>
      <c r="R926" s="249"/>
      <c r="T926" s="54"/>
      <c r="U926" s="54"/>
      <c r="V926" s="54"/>
      <c r="W926" s="54"/>
      <c r="X926" s="54"/>
      <c r="Y926" s="54"/>
      <c r="Z926" s="54"/>
      <c r="AA926" s="54"/>
      <c r="AB926" s="287"/>
      <c r="AC926" s="54"/>
      <c r="AD926" s="54"/>
    </row>
    <row r="927">
      <c r="A927" s="54"/>
      <c r="B927" s="312"/>
      <c r="C927" s="312"/>
      <c r="D927" s="54"/>
      <c r="E927" s="54"/>
      <c r="F927" s="54"/>
      <c r="G927" s="54"/>
      <c r="H927" s="54"/>
      <c r="I927" s="54"/>
      <c r="J927" s="54"/>
      <c r="K927" s="63"/>
      <c r="L927" s="54"/>
      <c r="M927" s="54"/>
      <c r="N927" s="54"/>
      <c r="O927" s="54"/>
      <c r="P927" s="86"/>
      <c r="Q927" s="54"/>
      <c r="R927" s="249"/>
      <c r="T927" s="54"/>
      <c r="U927" s="54"/>
      <c r="V927" s="54"/>
      <c r="W927" s="54"/>
      <c r="X927" s="54"/>
      <c r="Y927" s="54"/>
      <c r="Z927" s="54"/>
      <c r="AA927" s="54"/>
      <c r="AB927" s="287"/>
      <c r="AC927" s="54"/>
      <c r="AD927" s="54"/>
    </row>
    <row r="928">
      <c r="A928" s="54"/>
      <c r="B928" s="312"/>
      <c r="C928" s="312"/>
      <c r="D928" s="54"/>
      <c r="E928" s="54"/>
      <c r="F928" s="54"/>
      <c r="G928" s="54"/>
      <c r="H928" s="54"/>
      <c r="I928" s="54"/>
      <c r="J928" s="54"/>
      <c r="K928" s="63"/>
      <c r="L928" s="54"/>
      <c r="M928" s="54"/>
      <c r="N928" s="54"/>
      <c r="O928" s="54"/>
      <c r="P928" s="86"/>
      <c r="Q928" s="54"/>
      <c r="R928" s="249"/>
      <c r="T928" s="54"/>
      <c r="U928" s="54"/>
      <c r="V928" s="54"/>
      <c r="W928" s="54"/>
      <c r="X928" s="54"/>
      <c r="Y928" s="54"/>
      <c r="Z928" s="54"/>
      <c r="AA928" s="54"/>
      <c r="AB928" s="287"/>
      <c r="AC928" s="54"/>
      <c r="AD928" s="54"/>
    </row>
    <row r="929">
      <c r="A929" s="54"/>
      <c r="B929" s="312"/>
      <c r="C929" s="312"/>
      <c r="D929" s="54"/>
      <c r="E929" s="54"/>
      <c r="F929" s="54"/>
      <c r="G929" s="54"/>
      <c r="H929" s="54"/>
      <c r="I929" s="54"/>
      <c r="J929" s="54"/>
      <c r="K929" s="63"/>
      <c r="L929" s="54"/>
      <c r="M929" s="54"/>
      <c r="N929" s="54"/>
      <c r="O929" s="54"/>
      <c r="P929" s="86"/>
      <c r="Q929" s="54"/>
      <c r="R929" s="249"/>
      <c r="T929" s="54"/>
      <c r="U929" s="54"/>
      <c r="V929" s="54"/>
      <c r="W929" s="54"/>
      <c r="X929" s="54"/>
      <c r="Y929" s="54"/>
      <c r="Z929" s="54"/>
      <c r="AA929" s="54"/>
      <c r="AB929" s="287"/>
      <c r="AC929" s="54"/>
      <c r="AD929" s="54"/>
    </row>
    <row r="930">
      <c r="A930" s="54"/>
      <c r="B930" s="312"/>
      <c r="C930" s="312"/>
      <c r="D930" s="54"/>
      <c r="E930" s="54"/>
      <c r="F930" s="54"/>
      <c r="G930" s="54"/>
      <c r="H930" s="54"/>
      <c r="I930" s="54"/>
      <c r="J930" s="54"/>
      <c r="K930" s="63"/>
      <c r="L930" s="54"/>
      <c r="M930" s="54"/>
      <c r="N930" s="54"/>
      <c r="O930" s="54"/>
      <c r="P930" s="86"/>
      <c r="Q930" s="54"/>
      <c r="R930" s="249"/>
      <c r="T930" s="54"/>
      <c r="U930" s="54"/>
      <c r="V930" s="54"/>
      <c r="W930" s="54"/>
      <c r="X930" s="54"/>
      <c r="Y930" s="54"/>
      <c r="Z930" s="54"/>
      <c r="AA930" s="54"/>
      <c r="AB930" s="287"/>
      <c r="AC930" s="54"/>
      <c r="AD930" s="54"/>
    </row>
    <row r="931">
      <c r="A931" s="54"/>
      <c r="B931" s="312"/>
      <c r="C931" s="312"/>
      <c r="D931" s="54"/>
      <c r="E931" s="54"/>
      <c r="F931" s="54"/>
      <c r="G931" s="54"/>
      <c r="H931" s="54"/>
      <c r="I931" s="54"/>
      <c r="J931" s="54"/>
      <c r="K931" s="63"/>
      <c r="L931" s="54"/>
      <c r="M931" s="54"/>
      <c r="N931" s="54"/>
      <c r="O931" s="54"/>
      <c r="P931" s="86"/>
      <c r="Q931" s="54"/>
      <c r="R931" s="249"/>
      <c r="T931" s="54"/>
      <c r="U931" s="54"/>
      <c r="V931" s="54"/>
      <c r="W931" s="54"/>
      <c r="X931" s="54"/>
      <c r="Y931" s="54"/>
      <c r="Z931" s="54"/>
      <c r="AA931" s="54"/>
      <c r="AB931" s="287"/>
      <c r="AC931" s="54"/>
      <c r="AD931" s="54"/>
    </row>
    <row r="932">
      <c r="A932" s="54"/>
      <c r="B932" s="312"/>
      <c r="C932" s="312"/>
      <c r="D932" s="54"/>
      <c r="E932" s="54"/>
      <c r="F932" s="54"/>
      <c r="G932" s="54"/>
      <c r="H932" s="54"/>
      <c r="I932" s="54"/>
      <c r="J932" s="54"/>
      <c r="K932" s="63"/>
      <c r="L932" s="54"/>
      <c r="M932" s="54"/>
      <c r="N932" s="54"/>
      <c r="O932" s="54"/>
      <c r="P932" s="86"/>
      <c r="Q932" s="54"/>
      <c r="R932" s="249"/>
      <c r="T932" s="54"/>
      <c r="U932" s="54"/>
      <c r="V932" s="54"/>
      <c r="W932" s="54"/>
      <c r="X932" s="54"/>
      <c r="Y932" s="54"/>
      <c r="Z932" s="54"/>
      <c r="AA932" s="54"/>
      <c r="AB932" s="287"/>
      <c r="AC932" s="54"/>
      <c r="AD932" s="54"/>
    </row>
    <row r="933">
      <c r="A933" s="54"/>
      <c r="B933" s="312"/>
      <c r="C933" s="312"/>
      <c r="D933" s="54"/>
      <c r="E933" s="54"/>
      <c r="F933" s="54"/>
      <c r="G933" s="54"/>
      <c r="H933" s="54"/>
      <c r="I933" s="54"/>
      <c r="J933" s="54"/>
      <c r="K933" s="63"/>
      <c r="L933" s="54"/>
      <c r="M933" s="54"/>
      <c r="N933" s="54"/>
      <c r="O933" s="54"/>
      <c r="P933" s="86"/>
      <c r="Q933" s="54"/>
      <c r="R933" s="249"/>
      <c r="T933" s="54"/>
      <c r="U933" s="54"/>
      <c r="V933" s="54"/>
      <c r="W933" s="54"/>
      <c r="X933" s="54"/>
      <c r="Y933" s="54"/>
      <c r="Z933" s="54"/>
      <c r="AA933" s="54"/>
      <c r="AB933" s="287"/>
      <c r="AC933" s="54"/>
      <c r="AD933" s="54"/>
    </row>
    <row r="934">
      <c r="A934" s="54"/>
      <c r="B934" s="312"/>
      <c r="C934" s="312"/>
      <c r="D934" s="54"/>
      <c r="E934" s="54"/>
      <c r="F934" s="54"/>
      <c r="G934" s="54"/>
      <c r="H934" s="54"/>
      <c r="I934" s="54"/>
      <c r="J934" s="54"/>
      <c r="K934" s="63"/>
      <c r="L934" s="54"/>
      <c r="M934" s="54"/>
      <c r="N934" s="54"/>
      <c r="O934" s="54"/>
      <c r="P934" s="86"/>
      <c r="Q934" s="54"/>
      <c r="R934" s="249"/>
      <c r="T934" s="54"/>
      <c r="U934" s="54"/>
      <c r="V934" s="54"/>
      <c r="W934" s="54"/>
      <c r="X934" s="54"/>
      <c r="Y934" s="54"/>
      <c r="Z934" s="54"/>
      <c r="AA934" s="54"/>
      <c r="AB934" s="287"/>
      <c r="AC934" s="54"/>
      <c r="AD934" s="54"/>
    </row>
    <row r="935">
      <c r="A935" s="54"/>
      <c r="B935" s="312"/>
      <c r="C935" s="312"/>
      <c r="D935" s="54"/>
      <c r="E935" s="54"/>
      <c r="F935" s="54"/>
      <c r="G935" s="54"/>
      <c r="H935" s="54"/>
      <c r="I935" s="54"/>
      <c r="J935" s="54"/>
      <c r="K935" s="63"/>
      <c r="L935" s="54"/>
      <c r="M935" s="54"/>
      <c r="N935" s="54"/>
      <c r="O935" s="54"/>
      <c r="P935" s="86"/>
      <c r="Q935" s="54"/>
      <c r="R935" s="249"/>
      <c r="T935" s="54"/>
      <c r="U935" s="54"/>
      <c r="V935" s="54"/>
      <c r="W935" s="54"/>
      <c r="X935" s="54"/>
      <c r="Y935" s="54"/>
      <c r="Z935" s="54"/>
      <c r="AA935" s="54"/>
      <c r="AB935" s="287"/>
      <c r="AC935" s="54"/>
      <c r="AD935" s="54"/>
    </row>
    <row r="936">
      <c r="A936" s="54"/>
      <c r="B936" s="312"/>
      <c r="C936" s="312"/>
      <c r="D936" s="54"/>
      <c r="E936" s="54"/>
      <c r="F936" s="54"/>
      <c r="G936" s="54"/>
      <c r="H936" s="54"/>
      <c r="I936" s="54"/>
      <c r="J936" s="54"/>
      <c r="K936" s="63"/>
      <c r="L936" s="54"/>
      <c r="M936" s="54"/>
      <c r="N936" s="54"/>
      <c r="O936" s="54"/>
      <c r="P936" s="86"/>
      <c r="Q936" s="54"/>
      <c r="R936" s="249"/>
      <c r="T936" s="54"/>
      <c r="U936" s="54"/>
      <c r="V936" s="54"/>
      <c r="W936" s="54"/>
      <c r="X936" s="54"/>
      <c r="Y936" s="54"/>
      <c r="Z936" s="54"/>
      <c r="AA936" s="54"/>
      <c r="AB936" s="287"/>
      <c r="AC936" s="54"/>
      <c r="AD936" s="54"/>
    </row>
    <row r="937">
      <c r="A937" s="54"/>
      <c r="B937" s="312"/>
      <c r="C937" s="312"/>
      <c r="D937" s="54"/>
      <c r="E937" s="54"/>
      <c r="F937" s="54"/>
      <c r="G937" s="54"/>
      <c r="H937" s="54"/>
      <c r="I937" s="54"/>
      <c r="J937" s="54"/>
      <c r="K937" s="63"/>
      <c r="L937" s="54"/>
      <c r="M937" s="54"/>
      <c r="N937" s="54"/>
      <c r="O937" s="54"/>
      <c r="P937" s="86"/>
      <c r="Q937" s="54"/>
      <c r="R937" s="249"/>
      <c r="T937" s="54"/>
      <c r="U937" s="54"/>
      <c r="V937" s="54"/>
      <c r="W937" s="54"/>
      <c r="X937" s="54"/>
      <c r="Y937" s="54"/>
      <c r="Z937" s="54"/>
      <c r="AA937" s="54"/>
      <c r="AB937" s="287"/>
      <c r="AC937" s="54"/>
      <c r="AD937" s="54"/>
    </row>
    <row r="938">
      <c r="A938" s="54"/>
      <c r="B938" s="312"/>
      <c r="C938" s="312"/>
      <c r="D938" s="54"/>
      <c r="E938" s="54"/>
      <c r="F938" s="54"/>
      <c r="G938" s="54"/>
      <c r="H938" s="54"/>
      <c r="I938" s="54"/>
      <c r="J938" s="54"/>
      <c r="K938" s="63"/>
      <c r="L938" s="54"/>
      <c r="M938" s="54"/>
      <c r="N938" s="54"/>
      <c r="O938" s="54"/>
      <c r="P938" s="86"/>
      <c r="Q938" s="54"/>
      <c r="R938" s="249"/>
      <c r="T938" s="54"/>
      <c r="U938" s="54"/>
      <c r="V938" s="54"/>
      <c r="W938" s="54"/>
      <c r="X938" s="54"/>
      <c r="Y938" s="54"/>
      <c r="Z938" s="54"/>
      <c r="AA938" s="54"/>
      <c r="AB938" s="287"/>
      <c r="AC938" s="54"/>
      <c r="AD938" s="54"/>
    </row>
    <row r="939">
      <c r="A939" s="54"/>
      <c r="B939" s="312"/>
      <c r="C939" s="312"/>
      <c r="D939" s="54"/>
      <c r="E939" s="54"/>
      <c r="F939" s="54"/>
      <c r="G939" s="54"/>
      <c r="H939" s="54"/>
      <c r="I939" s="54"/>
      <c r="J939" s="54"/>
      <c r="K939" s="63"/>
      <c r="L939" s="54"/>
      <c r="M939" s="54"/>
      <c r="N939" s="54"/>
      <c r="O939" s="54"/>
      <c r="P939" s="86"/>
      <c r="Q939" s="54"/>
      <c r="R939" s="249"/>
      <c r="T939" s="54"/>
      <c r="U939" s="54"/>
      <c r="V939" s="54"/>
      <c r="W939" s="54"/>
      <c r="X939" s="54"/>
      <c r="Y939" s="54"/>
      <c r="Z939" s="54"/>
      <c r="AA939" s="54"/>
      <c r="AB939" s="287"/>
      <c r="AC939" s="54"/>
      <c r="AD939" s="54"/>
    </row>
    <row r="940">
      <c r="A940" s="54"/>
      <c r="B940" s="312"/>
      <c r="C940" s="312"/>
      <c r="D940" s="54"/>
      <c r="E940" s="54"/>
      <c r="F940" s="54"/>
      <c r="G940" s="54"/>
      <c r="H940" s="54"/>
      <c r="I940" s="54"/>
      <c r="J940" s="54"/>
      <c r="K940" s="63"/>
      <c r="L940" s="54"/>
      <c r="M940" s="54"/>
      <c r="N940" s="54"/>
      <c r="O940" s="54"/>
      <c r="P940" s="86"/>
      <c r="Q940" s="54"/>
      <c r="R940" s="249"/>
      <c r="T940" s="54"/>
      <c r="U940" s="54"/>
      <c r="V940" s="54"/>
      <c r="W940" s="54"/>
      <c r="X940" s="54"/>
      <c r="Y940" s="54"/>
      <c r="Z940" s="54"/>
      <c r="AA940" s="54"/>
      <c r="AB940" s="287"/>
      <c r="AC940" s="54"/>
      <c r="AD940" s="54"/>
    </row>
    <row r="941">
      <c r="A941" s="54"/>
      <c r="B941" s="312"/>
      <c r="C941" s="312"/>
      <c r="D941" s="54"/>
      <c r="E941" s="54"/>
      <c r="F941" s="54"/>
      <c r="G941" s="54"/>
      <c r="H941" s="54"/>
      <c r="I941" s="54"/>
      <c r="J941" s="54"/>
      <c r="K941" s="63"/>
      <c r="L941" s="54"/>
      <c r="M941" s="54"/>
      <c r="N941" s="54"/>
      <c r="O941" s="54"/>
      <c r="P941" s="86"/>
      <c r="Q941" s="54"/>
      <c r="R941" s="249"/>
      <c r="T941" s="54"/>
      <c r="U941" s="54"/>
      <c r="V941" s="54"/>
      <c r="W941" s="54"/>
      <c r="X941" s="54"/>
      <c r="Y941" s="54"/>
      <c r="Z941" s="54"/>
      <c r="AA941" s="54"/>
      <c r="AB941" s="287"/>
      <c r="AC941" s="54"/>
      <c r="AD941" s="54"/>
    </row>
    <row r="942">
      <c r="A942" s="54"/>
      <c r="B942" s="312"/>
      <c r="C942" s="312"/>
      <c r="D942" s="54"/>
      <c r="E942" s="54"/>
      <c r="F942" s="54"/>
      <c r="G942" s="54"/>
      <c r="H942" s="54"/>
      <c r="I942" s="54"/>
      <c r="J942" s="54"/>
      <c r="K942" s="63"/>
      <c r="L942" s="54"/>
      <c r="M942" s="54"/>
      <c r="N942" s="54"/>
      <c r="O942" s="54"/>
      <c r="P942" s="86"/>
      <c r="Q942" s="54"/>
      <c r="R942" s="249"/>
      <c r="T942" s="54"/>
      <c r="U942" s="54"/>
      <c r="V942" s="54"/>
      <c r="W942" s="54"/>
      <c r="X942" s="54"/>
      <c r="Y942" s="54"/>
      <c r="Z942" s="54"/>
      <c r="AA942" s="54"/>
      <c r="AB942" s="287"/>
      <c r="AC942" s="54"/>
      <c r="AD942" s="54"/>
    </row>
    <row r="943">
      <c r="A943" s="54"/>
      <c r="B943" s="312"/>
      <c r="C943" s="312"/>
      <c r="D943" s="54"/>
      <c r="E943" s="54"/>
      <c r="F943" s="54"/>
      <c r="G943" s="54"/>
      <c r="H943" s="54"/>
      <c r="I943" s="54"/>
      <c r="J943" s="54"/>
      <c r="K943" s="63"/>
      <c r="L943" s="54"/>
      <c r="M943" s="54"/>
      <c r="N943" s="54"/>
      <c r="O943" s="54"/>
      <c r="P943" s="86"/>
      <c r="Q943" s="54"/>
      <c r="R943" s="249"/>
      <c r="T943" s="54"/>
      <c r="U943" s="54"/>
      <c r="V943" s="54"/>
      <c r="W943" s="54"/>
      <c r="X943" s="54"/>
      <c r="Y943" s="54"/>
      <c r="Z943" s="54"/>
      <c r="AA943" s="54"/>
      <c r="AB943" s="287"/>
      <c r="AC943" s="54"/>
      <c r="AD943" s="54"/>
    </row>
    <row r="944">
      <c r="A944" s="54"/>
      <c r="B944" s="312"/>
      <c r="C944" s="312"/>
      <c r="D944" s="54"/>
      <c r="E944" s="54"/>
      <c r="F944" s="54"/>
      <c r="G944" s="54"/>
      <c r="H944" s="54"/>
      <c r="I944" s="54"/>
      <c r="J944" s="54"/>
      <c r="K944" s="63"/>
      <c r="L944" s="54"/>
      <c r="M944" s="54"/>
      <c r="N944" s="54"/>
      <c r="O944" s="54"/>
      <c r="P944" s="86"/>
      <c r="Q944" s="54"/>
      <c r="R944" s="249"/>
      <c r="T944" s="54"/>
      <c r="U944" s="54"/>
      <c r="V944" s="54"/>
      <c r="W944" s="54"/>
      <c r="X944" s="54"/>
      <c r="Y944" s="54"/>
      <c r="Z944" s="54"/>
      <c r="AA944" s="54"/>
      <c r="AB944" s="287"/>
      <c r="AC944" s="54"/>
      <c r="AD944" s="54"/>
    </row>
    <row r="945">
      <c r="A945" s="54"/>
      <c r="B945" s="312"/>
      <c r="C945" s="312"/>
      <c r="D945" s="54"/>
      <c r="E945" s="54"/>
      <c r="F945" s="54"/>
      <c r="G945" s="54"/>
      <c r="H945" s="54"/>
      <c r="I945" s="54"/>
      <c r="J945" s="54"/>
      <c r="K945" s="63"/>
      <c r="L945" s="54"/>
      <c r="M945" s="54"/>
      <c r="N945" s="54"/>
      <c r="O945" s="54"/>
      <c r="P945" s="86"/>
      <c r="Q945" s="54"/>
      <c r="R945" s="249"/>
      <c r="T945" s="54"/>
      <c r="U945" s="54"/>
      <c r="V945" s="54"/>
      <c r="W945" s="54"/>
      <c r="X945" s="54"/>
      <c r="Y945" s="54"/>
      <c r="Z945" s="54"/>
      <c r="AA945" s="54"/>
      <c r="AB945" s="287"/>
      <c r="AC945" s="54"/>
      <c r="AD945" s="54"/>
    </row>
    <row r="946">
      <c r="A946" s="54"/>
      <c r="B946" s="312"/>
      <c r="C946" s="312"/>
      <c r="D946" s="54"/>
      <c r="E946" s="54"/>
      <c r="F946" s="54"/>
      <c r="G946" s="54"/>
      <c r="H946" s="54"/>
      <c r="I946" s="54"/>
      <c r="J946" s="54"/>
      <c r="K946" s="63"/>
      <c r="L946" s="54"/>
      <c r="M946" s="54"/>
      <c r="N946" s="54"/>
      <c r="O946" s="54"/>
      <c r="P946" s="86"/>
      <c r="Q946" s="54"/>
      <c r="R946" s="249"/>
      <c r="T946" s="54"/>
      <c r="U946" s="54"/>
      <c r="V946" s="54"/>
      <c r="W946" s="54"/>
      <c r="X946" s="54"/>
      <c r="Y946" s="54"/>
      <c r="Z946" s="54"/>
      <c r="AA946" s="54"/>
      <c r="AB946" s="287"/>
      <c r="AC946" s="54"/>
      <c r="AD946" s="54"/>
    </row>
    <row r="947">
      <c r="A947" s="54"/>
      <c r="B947" s="312"/>
      <c r="C947" s="312"/>
      <c r="D947" s="54"/>
      <c r="E947" s="54"/>
      <c r="F947" s="54"/>
      <c r="G947" s="54"/>
      <c r="H947" s="54"/>
      <c r="I947" s="54"/>
      <c r="J947" s="54"/>
      <c r="K947" s="63"/>
      <c r="L947" s="54"/>
      <c r="M947" s="54"/>
      <c r="N947" s="54"/>
      <c r="O947" s="54"/>
      <c r="P947" s="86"/>
      <c r="Q947" s="54"/>
      <c r="R947" s="249"/>
      <c r="T947" s="54"/>
      <c r="U947" s="54"/>
      <c r="V947" s="54"/>
      <c r="W947" s="54"/>
      <c r="X947" s="54"/>
      <c r="Y947" s="54"/>
      <c r="Z947" s="54"/>
      <c r="AA947" s="54"/>
      <c r="AB947" s="287"/>
      <c r="AC947" s="54"/>
      <c r="AD947" s="54"/>
    </row>
    <row r="948">
      <c r="A948" s="54"/>
      <c r="B948" s="312"/>
      <c r="C948" s="312"/>
      <c r="D948" s="54"/>
      <c r="E948" s="54"/>
      <c r="F948" s="54"/>
      <c r="G948" s="54"/>
      <c r="H948" s="54"/>
      <c r="I948" s="54"/>
      <c r="J948" s="54"/>
      <c r="K948" s="63"/>
      <c r="L948" s="54"/>
      <c r="M948" s="54"/>
      <c r="N948" s="54"/>
      <c r="O948" s="54"/>
      <c r="P948" s="86"/>
      <c r="Q948" s="54"/>
      <c r="R948" s="249"/>
      <c r="T948" s="54"/>
      <c r="U948" s="54"/>
      <c r="V948" s="54"/>
      <c r="W948" s="54"/>
      <c r="X948" s="54"/>
      <c r="Y948" s="54"/>
      <c r="Z948" s="54"/>
      <c r="AA948" s="54"/>
      <c r="AB948" s="287"/>
      <c r="AC948" s="54"/>
      <c r="AD948" s="54"/>
    </row>
    <row r="949">
      <c r="A949" s="54"/>
      <c r="B949" s="312"/>
      <c r="C949" s="312"/>
      <c r="D949" s="54"/>
      <c r="E949" s="54"/>
      <c r="F949" s="54"/>
      <c r="G949" s="54"/>
      <c r="H949" s="54"/>
      <c r="I949" s="54"/>
      <c r="J949" s="54"/>
      <c r="K949" s="63"/>
      <c r="L949" s="54"/>
      <c r="M949" s="54"/>
      <c r="N949" s="54"/>
      <c r="O949" s="54"/>
      <c r="P949" s="86"/>
      <c r="Q949" s="54"/>
      <c r="R949" s="249"/>
      <c r="T949" s="54"/>
      <c r="U949" s="54"/>
      <c r="V949" s="54"/>
      <c r="W949" s="54"/>
      <c r="X949" s="54"/>
      <c r="Y949" s="54"/>
      <c r="Z949" s="54"/>
      <c r="AA949" s="54"/>
      <c r="AB949" s="287"/>
      <c r="AC949" s="54"/>
      <c r="AD949" s="54"/>
    </row>
    <row r="950">
      <c r="A950" s="54"/>
      <c r="B950" s="312"/>
      <c r="C950" s="312"/>
      <c r="D950" s="54"/>
      <c r="E950" s="54"/>
      <c r="F950" s="54"/>
      <c r="G950" s="54"/>
      <c r="H950" s="54"/>
      <c r="I950" s="54"/>
      <c r="J950" s="54"/>
      <c r="K950" s="63"/>
      <c r="L950" s="54"/>
      <c r="M950" s="54"/>
      <c r="N950" s="54"/>
      <c r="O950" s="54"/>
      <c r="P950" s="86"/>
      <c r="Q950" s="54"/>
      <c r="R950" s="249"/>
      <c r="T950" s="54"/>
      <c r="U950" s="54"/>
      <c r="V950" s="54"/>
      <c r="W950" s="54"/>
      <c r="X950" s="54"/>
      <c r="Y950" s="54"/>
      <c r="Z950" s="54"/>
      <c r="AA950" s="54"/>
      <c r="AB950" s="287"/>
      <c r="AC950" s="54"/>
      <c r="AD950" s="54"/>
    </row>
    <row r="951">
      <c r="A951" s="54"/>
      <c r="B951" s="312"/>
      <c r="C951" s="312"/>
      <c r="D951" s="54"/>
      <c r="E951" s="54"/>
      <c r="F951" s="54"/>
      <c r="G951" s="54"/>
      <c r="H951" s="54"/>
      <c r="I951" s="54"/>
      <c r="J951" s="54"/>
      <c r="K951" s="63"/>
      <c r="L951" s="54"/>
      <c r="M951" s="54"/>
      <c r="N951" s="54"/>
      <c r="O951" s="54"/>
      <c r="P951" s="86"/>
      <c r="Q951" s="54"/>
      <c r="R951" s="249"/>
      <c r="T951" s="54"/>
      <c r="U951" s="54"/>
      <c r="V951" s="54"/>
      <c r="W951" s="54"/>
      <c r="X951" s="54"/>
      <c r="Y951" s="54"/>
      <c r="Z951" s="54"/>
      <c r="AA951" s="54"/>
      <c r="AB951" s="287"/>
      <c r="AC951" s="54"/>
      <c r="AD951" s="54"/>
    </row>
    <row r="952">
      <c r="A952" s="54"/>
      <c r="B952" s="312"/>
      <c r="C952" s="312"/>
      <c r="D952" s="54"/>
      <c r="E952" s="54"/>
      <c r="F952" s="54"/>
      <c r="G952" s="54"/>
      <c r="H952" s="54"/>
      <c r="I952" s="54"/>
      <c r="J952" s="54"/>
      <c r="K952" s="63"/>
      <c r="L952" s="54"/>
      <c r="M952" s="54"/>
      <c r="N952" s="54"/>
      <c r="O952" s="54"/>
      <c r="P952" s="86"/>
      <c r="Q952" s="54"/>
      <c r="R952" s="249"/>
      <c r="T952" s="54"/>
      <c r="U952" s="54"/>
      <c r="V952" s="54"/>
      <c r="W952" s="54"/>
      <c r="X952" s="54"/>
      <c r="Y952" s="54"/>
      <c r="Z952" s="54"/>
      <c r="AA952" s="54"/>
      <c r="AB952" s="287"/>
      <c r="AC952" s="54"/>
      <c r="AD952" s="54"/>
    </row>
    <row r="953">
      <c r="A953" s="54"/>
      <c r="B953" s="312"/>
      <c r="C953" s="312"/>
      <c r="D953" s="54"/>
      <c r="E953" s="54"/>
      <c r="F953" s="54"/>
      <c r="G953" s="54"/>
      <c r="H953" s="54"/>
      <c r="I953" s="54"/>
      <c r="J953" s="54"/>
      <c r="K953" s="63"/>
      <c r="L953" s="54"/>
      <c r="M953" s="54"/>
      <c r="N953" s="54"/>
      <c r="O953" s="54"/>
      <c r="P953" s="86"/>
      <c r="Q953" s="54"/>
      <c r="R953" s="249"/>
      <c r="T953" s="54"/>
      <c r="U953" s="54"/>
      <c r="V953" s="54"/>
      <c r="W953" s="54"/>
      <c r="X953" s="54"/>
      <c r="Y953" s="54"/>
      <c r="Z953" s="54"/>
      <c r="AA953" s="54"/>
      <c r="AB953" s="287"/>
      <c r="AC953" s="54"/>
      <c r="AD953" s="54"/>
    </row>
    <row r="954">
      <c r="A954" s="54"/>
      <c r="B954" s="312"/>
      <c r="C954" s="312"/>
      <c r="D954" s="54"/>
      <c r="E954" s="54"/>
      <c r="F954" s="54"/>
      <c r="G954" s="54"/>
      <c r="H954" s="54"/>
      <c r="I954" s="54"/>
      <c r="J954" s="54"/>
      <c r="K954" s="63"/>
      <c r="L954" s="54"/>
      <c r="M954" s="54"/>
      <c r="N954" s="54"/>
      <c r="O954" s="54"/>
      <c r="P954" s="86"/>
      <c r="Q954" s="54"/>
      <c r="R954" s="249"/>
      <c r="T954" s="54"/>
      <c r="U954" s="54"/>
      <c r="V954" s="54"/>
      <c r="W954" s="54"/>
      <c r="X954" s="54"/>
      <c r="Y954" s="54"/>
      <c r="Z954" s="54"/>
      <c r="AA954" s="54"/>
      <c r="AB954" s="287"/>
      <c r="AC954" s="54"/>
      <c r="AD954" s="54"/>
    </row>
    <row r="955">
      <c r="A955" s="54"/>
      <c r="B955" s="312"/>
      <c r="C955" s="312"/>
      <c r="D955" s="54"/>
      <c r="E955" s="54"/>
      <c r="F955" s="54"/>
      <c r="G955" s="54"/>
      <c r="H955" s="54"/>
      <c r="I955" s="54"/>
      <c r="J955" s="54"/>
      <c r="K955" s="63"/>
      <c r="L955" s="54"/>
      <c r="M955" s="54"/>
      <c r="N955" s="54"/>
      <c r="O955" s="54"/>
      <c r="P955" s="86"/>
      <c r="Q955" s="54"/>
      <c r="R955" s="249"/>
      <c r="T955" s="54"/>
      <c r="U955" s="54"/>
      <c r="V955" s="54"/>
      <c r="W955" s="54"/>
      <c r="X955" s="54"/>
      <c r="Y955" s="54"/>
      <c r="Z955" s="54"/>
      <c r="AA955" s="54"/>
      <c r="AB955" s="287"/>
      <c r="AC955" s="54"/>
      <c r="AD955" s="54"/>
    </row>
    <row r="956">
      <c r="A956" s="54"/>
      <c r="B956" s="312"/>
      <c r="C956" s="312"/>
      <c r="D956" s="54"/>
      <c r="E956" s="54"/>
      <c r="F956" s="54"/>
      <c r="G956" s="54"/>
      <c r="H956" s="54"/>
      <c r="I956" s="54"/>
      <c r="J956" s="54"/>
      <c r="K956" s="63"/>
      <c r="L956" s="54"/>
      <c r="M956" s="54"/>
      <c r="N956" s="54"/>
      <c r="O956" s="54"/>
      <c r="P956" s="86"/>
      <c r="Q956" s="54"/>
      <c r="R956" s="249"/>
      <c r="T956" s="54"/>
      <c r="U956" s="54"/>
      <c r="V956" s="54"/>
      <c r="W956" s="54"/>
      <c r="X956" s="54"/>
      <c r="Y956" s="54"/>
      <c r="Z956" s="54"/>
      <c r="AA956" s="54"/>
      <c r="AB956" s="287"/>
      <c r="AC956" s="54"/>
      <c r="AD956" s="54"/>
    </row>
    <row r="957">
      <c r="A957" s="54"/>
      <c r="B957" s="312"/>
      <c r="C957" s="312"/>
      <c r="D957" s="54"/>
      <c r="E957" s="54"/>
      <c r="F957" s="54"/>
      <c r="G957" s="54"/>
      <c r="H957" s="54"/>
      <c r="I957" s="54"/>
      <c r="J957" s="54"/>
      <c r="K957" s="63"/>
      <c r="L957" s="54"/>
      <c r="M957" s="54"/>
      <c r="N957" s="54"/>
      <c r="O957" s="54"/>
      <c r="P957" s="86"/>
      <c r="Q957" s="54"/>
      <c r="R957" s="249"/>
      <c r="T957" s="54"/>
      <c r="U957" s="54"/>
      <c r="V957" s="54"/>
      <c r="W957" s="54"/>
      <c r="X957" s="54"/>
      <c r="Y957" s="54"/>
      <c r="Z957" s="54"/>
      <c r="AA957" s="54"/>
      <c r="AB957" s="287"/>
      <c r="AC957" s="54"/>
      <c r="AD957" s="54"/>
    </row>
    <row r="958">
      <c r="A958" s="54"/>
      <c r="B958" s="312"/>
      <c r="C958" s="312"/>
      <c r="D958" s="54"/>
      <c r="E958" s="54"/>
      <c r="F958" s="54"/>
      <c r="G958" s="54"/>
      <c r="H958" s="54"/>
      <c r="I958" s="54"/>
      <c r="J958" s="54"/>
      <c r="K958" s="63"/>
      <c r="L958" s="54"/>
      <c r="M958" s="54"/>
      <c r="N958" s="54"/>
      <c r="O958" s="54"/>
      <c r="P958" s="86"/>
      <c r="Q958" s="54"/>
      <c r="R958" s="249"/>
      <c r="T958" s="54"/>
      <c r="U958" s="54"/>
      <c r="V958" s="54"/>
      <c r="W958" s="54"/>
      <c r="X958" s="54"/>
      <c r="Y958" s="54"/>
      <c r="Z958" s="54"/>
      <c r="AA958" s="54"/>
      <c r="AB958" s="287"/>
      <c r="AC958" s="54"/>
      <c r="AD958" s="54"/>
    </row>
    <row r="959">
      <c r="A959" s="54"/>
      <c r="B959" s="312"/>
      <c r="C959" s="312"/>
      <c r="D959" s="54"/>
      <c r="E959" s="54"/>
      <c r="F959" s="54"/>
      <c r="G959" s="54"/>
      <c r="H959" s="54"/>
      <c r="I959" s="54"/>
      <c r="J959" s="54"/>
      <c r="K959" s="63"/>
      <c r="L959" s="54"/>
      <c r="M959" s="54"/>
      <c r="N959" s="54"/>
      <c r="O959" s="54"/>
      <c r="P959" s="86"/>
      <c r="Q959" s="54"/>
      <c r="R959" s="249"/>
      <c r="T959" s="54"/>
      <c r="U959" s="54"/>
      <c r="V959" s="54"/>
      <c r="W959" s="54"/>
      <c r="X959" s="54"/>
      <c r="Y959" s="54"/>
      <c r="Z959" s="54"/>
      <c r="AA959" s="54"/>
      <c r="AB959" s="287"/>
      <c r="AC959" s="54"/>
      <c r="AD959" s="54"/>
    </row>
    <row r="960">
      <c r="A960" s="54"/>
      <c r="B960" s="312"/>
      <c r="C960" s="312"/>
      <c r="D960" s="54"/>
      <c r="E960" s="54"/>
      <c r="F960" s="54"/>
      <c r="G960" s="54"/>
      <c r="H960" s="54"/>
      <c r="I960" s="54"/>
      <c r="J960" s="54"/>
      <c r="K960" s="63"/>
      <c r="L960" s="54"/>
      <c r="M960" s="54"/>
      <c r="N960" s="54"/>
      <c r="O960" s="54"/>
      <c r="P960" s="86"/>
      <c r="Q960" s="54"/>
      <c r="R960" s="249"/>
      <c r="T960" s="54"/>
      <c r="U960" s="54"/>
      <c r="V960" s="54"/>
      <c r="W960" s="54"/>
      <c r="X960" s="54"/>
      <c r="Y960" s="54"/>
      <c r="Z960" s="54"/>
      <c r="AA960" s="54"/>
      <c r="AB960" s="287"/>
      <c r="AC960" s="54"/>
      <c r="AD960" s="54"/>
    </row>
    <row r="961">
      <c r="A961" s="54"/>
      <c r="B961" s="312"/>
      <c r="C961" s="312"/>
      <c r="D961" s="54"/>
      <c r="E961" s="54"/>
      <c r="F961" s="54"/>
      <c r="G961" s="54"/>
      <c r="H961" s="54"/>
      <c r="I961" s="54"/>
      <c r="J961" s="54"/>
      <c r="K961" s="63"/>
      <c r="L961" s="54"/>
      <c r="M961" s="54"/>
      <c r="N961" s="54"/>
      <c r="O961" s="54"/>
      <c r="P961" s="86"/>
      <c r="Q961" s="54"/>
      <c r="R961" s="249"/>
      <c r="T961" s="54"/>
      <c r="U961" s="54"/>
      <c r="V961" s="54"/>
      <c r="W961" s="54"/>
      <c r="X961" s="54"/>
      <c r="Y961" s="54"/>
      <c r="Z961" s="54"/>
      <c r="AA961" s="54"/>
      <c r="AB961" s="287"/>
      <c r="AC961" s="54"/>
      <c r="AD961" s="54"/>
    </row>
    <row r="962">
      <c r="A962" s="54"/>
      <c r="B962" s="312"/>
      <c r="C962" s="312"/>
      <c r="D962" s="54"/>
      <c r="E962" s="54"/>
      <c r="F962" s="54"/>
      <c r="G962" s="54"/>
      <c r="H962" s="54"/>
      <c r="I962" s="54"/>
      <c r="J962" s="54"/>
      <c r="K962" s="63"/>
      <c r="L962" s="54"/>
      <c r="M962" s="54"/>
      <c r="N962" s="54"/>
      <c r="O962" s="54"/>
      <c r="P962" s="86"/>
      <c r="Q962" s="54"/>
      <c r="R962" s="249"/>
      <c r="T962" s="54"/>
      <c r="U962" s="54"/>
      <c r="V962" s="54"/>
      <c r="W962" s="54"/>
      <c r="X962" s="54"/>
      <c r="Y962" s="54"/>
      <c r="Z962" s="54"/>
      <c r="AA962" s="54"/>
      <c r="AB962" s="287"/>
      <c r="AC962" s="54"/>
      <c r="AD962" s="54"/>
    </row>
    <row r="963">
      <c r="A963" s="54"/>
      <c r="B963" s="312"/>
      <c r="C963" s="312"/>
      <c r="D963" s="54"/>
      <c r="E963" s="54"/>
      <c r="F963" s="54"/>
      <c r="G963" s="54"/>
      <c r="H963" s="54"/>
      <c r="I963" s="54"/>
      <c r="J963" s="54"/>
      <c r="K963" s="63"/>
      <c r="L963" s="54"/>
      <c r="M963" s="54"/>
      <c r="N963" s="54"/>
      <c r="O963" s="54"/>
      <c r="P963" s="86"/>
      <c r="Q963" s="54"/>
      <c r="R963" s="249"/>
      <c r="T963" s="54"/>
      <c r="U963" s="54"/>
      <c r="V963" s="54"/>
      <c r="W963" s="54"/>
      <c r="X963" s="54"/>
      <c r="Y963" s="54"/>
      <c r="Z963" s="54"/>
      <c r="AA963" s="54"/>
      <c r="AB963" s="287"/>
      <c r="AC963" s="54"/>
      <c r="AD963" s="54"/>
    </row>
    <row r="964">
      <c r="A964" s="54"/>
      <c r="B964" s="312"/>
      <c r="C964" s="312"/>
      <c r="D964" s="54"/>
      <c r="E964" s="54"/>
      <c r="F964" s="54"/>
      <c r="G964" s="54"/>
      <c r="H964" s="54"/>
      <c r="I964" s="54"/>
      <c r="J964" s="54"/>
      <c r="K964" s="63"/>
      <c r="L964" s="54"/>
      <c r="M964" s="54"/>
      <c r="N964" s="54"/>
      <c r="O964" s="54"/>
      <c r="P964" s="86"/>
      <c r="Q964" s="54"/>
      <c r="R964" s="249"/>
      <c r="T964" s="54"/>
      <c r="U964" s="54"/>
      <c r="V964" s="54"/>
      <c r="W964" s="54"/>
      <c r="X964" s="54"/>
      <c r="Y964" s="54"/>
      <c r="Z964" s="54"/>
      <c r="AA964" s="54"/>
      <c r="AB964" s="287"/>
      <c r="AC964" s="54"/>
      <c r="AD964" s="54"/>
    </row>
    <row r="965">
      <c r="A965" s="54"/>
      <c r="B965" s="312"/>
      <c r="C965" s="312"/>
      <c r="D965" s="54"/>
      <c r="E965" s="54"/>
      <c r="F965" s="54"/>
      <c r="G965" s="54"/>
      <c r="H965" s="54"/>
      <c r="I965" s="54"/>
      <c r="J965" s="54"/>
      <c r="K965" s="63"/>
      <c r="L965" s="54"/>
      <c r="M965" s="54"/>
      <c r="N965" s="54"/>
      <c r="O965" s="54"/>
      <c r="P965" s="86"/>
      <c r="Q965" s="54"/>
      <c r="R965" s="249"/>
      <c r="T965" s="54"/>
      <c r="U965" s="54"/>
      <c r="V965" s="54"/>
      <c r="W965" s="54"/>
      <c r="X965" s="54"/>
      <c r="Y965" s="54"/>
      <c r="Z965" s="54"/>
      <c r="AA965" s="54"/>
      <c r="AB965" s="287"/>
      <c r="AC965" s="54"/>
      <c r="AD965" s="54"/>
    </row>
    <row r="966">
      <c r="A966" s="54"/>
      <c r="B966" s="312"/>
      <c r="C966" s="312"/>
      <c r="D966" s="54"/>
      <c r="E966" s="54"/>
      <c r="F966" s="54"/>
      <c r="G966" s="54"/>
      <c r="H966" s="54"/>
      <c r="I966" s="54"/>
      <c r="J966" s="54"/>
      <c r="K966" s="63"/>
      <c r="L966" s="54"/>
      <c r="M966" s="54"/>
      <c r="N966" s="54"/>
      <c r="O966" s="54"/>
      <c r="P966" s="86"/>
      <c r="Q966" s="54"/>
      <c r="R966" s="249"/>
      <c r="T966" s="54"/>
      <c r="U966" s="54"/>
      <c r="V966" s="54"/>
      <c r="W966" s="54"/>
      <c r="X966" s="54"/>
      <c r="Y966" s="54"/>
      <c r="Z966" s="54"/>
      <c r="AA966" s="54"/>
      <c r="AB966" s="287"/>
      <c r="AC966" s="54"/>
      <c r="AD966" s="54"/>
    </row>
    <row r="967">
      <c r="A967" s="54"/>
      <c r="B967" s="312"/>
      <c r="C967" s="312"/>
      <c r="D967" s="54"/>
      <c r="E967" s="54"/>
      <c r="F967" s="54"/>
      <c r="G967" s="54"/>
      <c r="H967" s="54"/>
      <c r="I967" s="54"/>
      <c r="J967" s="54"/>
      <c r="K967" s="63"/>
      <c r="L967" s="54"/>
      <c r="M967" s="54"/>
      <c r="N967" s="54"/>
      <c r="O967" s="54"/>
      <c r="P967" s="86"/>
      <c r="Q967" s="54"/>
      <c r="R967" s="249"/>
      <c r="T967" s="54"/>
      <c r="U967" s="54"/>
      <c r="V967" s="54"/>
      <c r="W967" s="54"/>
      <c r="X967" s="54"/>
      <c r="Y967" s="54"/>
      <c r="Z967" s="54"/>
      <c r="AA967" s="54"/>
      <c r="AB967" s="287"/>
      <c r="AC967" s="54"/>
      <c r="AD967" s="54"/>
    </row>
    <row r="968">
      <c r="A968" s="54"/>
      <c r="B968" s="312"/>
      <c r="C968" s="312"/>
      <c r="D968" s="54"/>
      <c r="E968" s="54"/>
      <c r="F968" s="54"/>
      <c r="G968" s="54"/>
      <c r="H968" s="54"/>
      <c r="I968" s="54"/>
      <c r="J968" s="54"/>
      <c r="K968" s="63"/>
      <c r="L968" s="54"/>
      <c r="M968" s="54"/>
      <c r="N968" s="54"/>
      <c r="O968" s="54"/>
      <c r="P968" s="86"/>
      <c r="Q968" s="54"/>
      <c r="R968" s="249"/>
      <c r="T968" s="54"/>
      <c r="U968" s="54"/>
      <c r="V968" s="54"/>
      <c r="W968" s="54"/>
      <c r="X968" s="54"/>
      <c r="Y968" s="54"/>
      <c r="Z968" s="54"/>
      <c r="AA968" s="54"/>
      <c r="AB968" s="287"/>
      <c r="AC968" s="54"/>
      <c r="AD968" s="54"/>
    </row>
    <row r="969">
      <c r="A969" s="54"/>
      <c r="B969" s="312"/>
      <c r="C969" s="312"/>
      <c r="D969" s="54"/>
      <c r="E969" s="54"/>
      <c r="F969" s="54"/>
      <c r="G969" s="54"/>
      <c r="H969" s="54"/>
      <c r="I969" s="54"/>
      <c r="J969" s="54"/>
      <c r="K969" s="63"/>
      <c r="L969" s="54"/>
      <c r="M969" s="54"/>
      <c r="N969" s="54"/>
      <c r="O969" s="54"/>
      <c r="P969" s="86"/>
      <c r="Q969" s="54"/>
      <c r="R969" s="249"/>
      <c r="T969" s="54"/>
      <c r="U969" s="54"/>
      <c r="V969" s="54"/>
      <c r="W969" s="54"/>
      <c r="X969" s="54"/>
      <c r="Y969" s="54"/>
      <c r="Z969" s="54"/>
      <c r="AA969" s="54"/>
      <c r="AB969" s="287"/>
      <c r="AC969" s="54"/>
      <c r="AD969" s="54"/>
    </row>
    <row r="970">
      <c r="A970" s="54"/>
      <c r="B970" s="312"/>
      <c r="C970" s="312"/>
      <c r="D970" s="54"/>
      <c r="E970" s="54"/>
      <c r="F970" s="54"/>
      <c r="G970" s="54"/>
      <c r="H970" s="54"/>
      <c r="I970" s="54"/>
      <c r="J970" s="54"/>
      <c r="K970" s="63"/>
      <c r="L970" s="54"/>
      <c r="M970" s="54"/>
      <c r="N970" s="54"/>
      <c r="O970" s="54"/>
      <c r="P970" s="86"/>
      <c r="Q970" s="54"/>
      <c r="R970" s="249"/>
      <c r="T970" s="54"/>
      <c r="U970" s="54"/>
      <c r="V970" s="54"/>
      <c r="W970" s="54"/>
      <c r="X970" s="54"/>
      <c r="Y970" s="54"/>
      <c r="Z970" s="54"/>
      <c r="AA970" s="54"/>
      <c r="AB970" s="287"/>
      <c r="AC970" s="54"/>
      <c r="AD970" s="54"/>
    </row>
    <row r="971">
      <c r="A971" s="54"/>
      <c r="B971" s="312"/>
      <c r="C971" s="312"/>
      <c r="D971" s="54"/>
      <c r="E971" s="54"/>
      <c r="F971" s="54"/>
      <c r="G971" s="54"/>
      <c r="H971" s="54"/>
      <c r="I971" s="54"/>
      <c r="J971" s="54"/>
      <c r="K971" s="63"/>
      <c r="L971" s="54"/>
      <c r="M971" s="54"/>
      <c r="N971" s="54"/>
      <c r="O971" s="54"/>
      <c r="P971" s="86"/>
      <c r="Q971" s="54"/>
      <c r="R971" s="249"/>
      <c r="T971" s="54"/>
      <c r="U971" s="54"/>
      <c r="V971" s="54"/>
      <c r="W971" s="54"/>
      <c r="X971" s="54"/>
      <c r="Y971" s="54"/>
      <c r="Z971" s="54"/>
      <c r="AA971" s="54"/>
      <c r="AB971" s="287"/>
      <c r="AC971" s="54"/>
      <c r="AD971" s="54"/>
    </row>
    <row r="972">
      <c r="A972" s="54"/>
      <c r="B972" s="312"/>
      <c r="C972" s="312"/>
      <c r="D972" s="54"/>
      <c r="E972" s="54"/>
      <c r="F972" s="54"/>
      <c r="G972" s="54"/>
      <c r="H972" s="54"/>
      <c r="I972" s="54"/>
      <c r="J972" s="54"/>
      <c r="K972" s="63"/>
      <c r="L972" s="54"/>
      <c r="M972" s="54"/>
      <c r="N972" s="54"/>
      <c r="O972" s="54"/>
      <c r="P972" s="86"/>
      <c r="Q972" s="54"/>
      <c r="R972" s="249"/>
      <c r="T972" s="54"/>
      <c r="U972" s="54"/>
      <c r="V972" s="54"/>
      <c r="W972" s="54"/>
      <c r="X972" s="54"/>
      <c r="Y972" s="54"/>
      <c r="Z972" s="54"/>
      <c r="AA972" s="54"/>
      <c r="AB972" s="287"/>
      <c r="AC972" s="54"/>
      <c r="AD972" s="54"/>
    </row>
    <row r="973">
      <c r="A973" s="54"/>
      <c r="B973" s="312"/>
      <c r="C973" s="312"/>
      <c r="D973" s="54"/>
      <c r="E973" s="54"/>
      <c r="F973" s="54"/>
      <c r="G973" s="54"/>
      <c r="H973" s="54"/>
      <c r="I973" s="54"/>
      <c r="J973" s="54"/>
      <c r="K973" s="63"/>
      <c r="L973" s="54"/>
      <c r="M973" s="54"/>
      <c r="N973" s="54"/>
      <c r="O973" s="54"/>
      <c r="P973" s="86"/>
      <c r="Q973" s="54"/>
      <c r="R973" s="249"/>
      <c r="T973" s="54"/>
      <c r="U973" s="54"/>
      <c r="V973" s="54"/>
      <c r="W973" s="54"/>
      <c r="X973" s="54"/>
      <c r="Y973" s="54"/>
      <c r="Z973" s="54"/>
      <c r="AA973" s="54"/>
      <c r="AB973" s="287"/>
      <c r="AC973" s="54"/>
      <c r="AD973" s="54"/>
    </row>
    <row r="974">
      <c r="A974" s="54"/>
      <c r="B974" s="312"/>
      <c r="C974" s="312"/>
      <c r="D974" s="54"/>
      <c r="E974" s="54"/>
      <c r="F974" s="54"/>
      <c r="G974" s="54"/>
      <c r="H974" s="54"/>
      <c r="I974" s="54"/>
      <c r="J974" s="54"/>
      <c r="K974" s="63"/>
      <c r="L974" s="54"/>
      <c r="M974" s="54"/>
      <c r="N974" s="54"/>
      <c r="O974" s="54"/>
      <c r="P974" s="86"/>
      <c r="Q974" s="54"/>
      <c r="R974" s="249"/>
      <c r="T974" s="54"/>
      <c r="U974" s="54"/>
      <c r="V974" s="54"/>
      <c r="W974" s="54"/>
      <c r="X974" s="54"/>
      <c r="Y974" s="54"/>
      <c r="Z974" s="54"/>
      <c r="AA974" s="54"/>
      <c r="AB974" s="287"/>
      <c r="AC974" s="54"/>
      <c r="AD974" s="54"/>
    </row>
    <row r="975">
      <c r="A975" s="54"/>
      <c r="B975" s="312"/>
      <c r="C975" s="312"/>
      <c r="D975" s="54"/>
      <c r="E975" s="54"/>
      <c r="F975" s="54"/>
      <c r="G975" s="54"/>
      <c r="H975" s="54"/>
      <c r="I975" s="54"/>
      <c r="J975" s="54"/>
      <c r="K975" s="63"/>
      <c r="L975" s="54"/>
      <c r="M975" s="54"/>
      <c r="N975" s="54"/>
      <c r="O975" s="54"/>
      <c r="P975" s="86"/>
      <c r="Q975" s="54"/>
      <c r="R975" s="249"/>
      <c r="T975" s="54"/>
      <c r="U975" s="54"/>
      <c r="V975" s="54"/>
      <c r="W975" s="54"/>
      <c r="X975" s="54"/>
      <c r="Y975" s="54"/>
      <c r="Z975" s="54"/>
      <c r="AA975" s="54"/>
      <c r="AB975" s="287"/>
      <c r="AC975" s="54"/>
      <c r="AD975" s="54"/>
    </row>
    <row r="976">
      <c r="A976" s="54"/>
      <c r="B976" s="312"/>
      <c r="C976" s="312"/>
      <c r="D976" s="54"/>
      <c r="E976" s="54"/>
      <c r="F976" s="54"/>
      <c r="G976" s="54"/>
      <c r="H976" s="54"/>
      <c r="I976" s="54"/>
      <c r="J976" s="54"/>
      <c r="K976" s="63"/>
      <c r="L976" s="54"/>
      <c r="M976" s="54"/>
      <c r="N976" s="54"/>
      <c r="O976" s="54"/>
      <c r="P976" s="86"/>
      <c r="Q976" s="54"/>
      <c r="R976" s="249"/>
      <c r="T976" s="54"/>
      <c r="U976" s="54"/>
      <c r="V976" s="54"/>
      <c r="W976" s="54"/>
      <c r="X976" s="54"/>
      <c r="Y976" s="54"/>
      <c r="Z976" s="54"/>
      <c r="AA976" s="54"/>
      <c r="AB976" s="287"/>
      <c r="AC976" s="54"/>
      <c r="AD976" s="54"/>
    </row>
    <row r="977">
      <c r="A977" s="54"/>
      <c r="B977" s="312"/>
      <c r="C977" s="312"/>
      <c r="D977" s="54"/>
      <c r="E977" s="54"/>
      <c r="F977" s="54"/>
      <c r="G977" s="54"/>
      <c r="H977" s="54"/>
      <c r="I977" s="54"/>
      <c r="J977" s="54"/>
      <c r="K977" s="63"/>
      <c r="L977" s="54"/>
      <c r="M977" s="54"/>
      <c r="N977" s="54"/>
      <c r="O977" s="54"/>
      <c r="P977" s="86"/>
      <c r="Q977" s="54"/>
      <c r="R977" s="249"/>
      <c r="T977" s="54"/>
      <c r="U977" s="54"/>
      <c r="V977" s="54"/>
      <c r="W977" s="54"/>
      <c r="X977" s="54"/>
      <c r="Y977" s="54"/>
      <c r="Z977" s="54"/>
      <c r="AA977" s="54"/>
      <c r="AB977" s="287"/>
      <c r="AC977" s="54"/>
      <c r="AD977" s="54"/>
    </row>
    <row r="978">
      <c r="A978" s="54"/>
      <c r="B978" s="312"/>
      <c r="C978" s="312"/>
      <c r="D978" s="54"/>
      <c r="E978" s="54"/>
      <c r="F978" s="54"/>
      <c r="G978" s="54"/>
      <c r="H978" s="54"/>
      <c r="I978" s="54"/>
      <c r="J978" s="54"/>
      <c r="K978" s="63"/>
      <c r="L978" s="54"/>
      <c r="M978" s="54"/>
      <c r="N978" s="54"/>
      <c r="O978" s="54"/>
      <c r="P978" s="86"/>
      <c r="Q978" s="54"/>
      <c r="R978" s="249"/>
      <c r="T978" s="54"/>
      <c r="U978" s="54"/>
      <c r="V978" s="54"/>
      <c r="W978" s="54"/>
      <c r="X978" s="54"/>
      <c r="Y978" s="54"/>
      <c r="Z978" s="54"/>
      <c r="AA978" s="54"/>
      <c r="AB978" s="287"/>
      <c r="AC978" s="54"/>
      <c r="AD978" s="54"/>
    </row>
    <row r="979">
      <c r="A979" s="54"/>
      <c r="B979" s="312"/>
      <c r="C979" s="312"/>
      <c r="D979" s="54"/>
      <c r="E979" s="54"/>
      <c r="F979" s="54"/>
      <c r="G979" s="54"/>
      <c r="H979" s="54"/>
      <c r="I979" s="54"/>
      <c r="J979" s="54"/>
      <c r="K979" s="63"/>
      <c r="L979" s="54"/>
      <c r="M979" s="54"/>
      <c r="N979" s="54"/>
      <c r="O979" s="54"/>
      <c r="P979" s="86"/>
      <c r="Q979" s="54"/>
      <c r="R979" s="249"/>
      <c r="T979" s="54"/>
      <c r="U979" s="54"/>
      <c r="V979" s="54"/>
      <c r="W979" s="54"/>
      <c r="X979" s="54"/>
      <c r="Y979" s="54"/>
      <c r="Z979" s="54"/>
      <c r="AA979" s="54"/>
      <c r="AB979" s="287"/>
      <c r="AC979" s="54"/>
      <c r="AD979" s="54"/>
    </row>
    <row r="980">
      <c r="A980" s="54"/>
      <c r="B980" s="312"/>
      <c r="C980" s="312"/>
      <c r="D980" s="54"/>
      <c r="E980" s="54"/>
      <c r="F980" s="54"/>
      <c r="G980" s="54"/>
      <c r="H980" s="54"/>
      <c r="I980" s="54"/>
      <c r="J980" s="54"/>
      <c r="K980" s="63"/>
      <c r="L980" s="54"/>
      <c r="M980" s="54"/>
      <c r="N980" s="54"/>
      <c r="O980" s="54"/>
      <c r="P980" s="86"/>
      <c r="Q980" s="54"/>
      <c r="R980" s="249"/>
      <c r="T980" s="54"/>
      <c r="U980" s="54"/>
      <c r="V980" s="54"/>
      <c r="W980" s="54"/>
      <c r="X980" s="54"/>
      <c r="Y980" s="54"/>
      <c r="Z980" s="54"/>
      <c r="AA980" s="54"/>
      <c r="AB980" s="287"/>
      <c r="AC980" s="54"/>
      <c r="AD980" s="54"/>
    </row>
    <row r="981">
      <c r="A981" s="54"/>
      <c r="B981" s="312"/>
      <c r="C981" s="312"/>
      <c r="D981" s="54"/>
      <c r="E981" s="54"/>
      <c r="F981" s="54"/>
      <c r="G981" s="54"/>
      <c r="H981" s="54"/>
      <c r="I981" s="54"/>
      <c r="J981" s="54"/>
      <c r="K981" s="63"/>
      <c r="L981" s="54"/>
      <c r="M981" s="54"/>
      <c r="N981" s="54"/>
      <c r="O981" s="54"/>
      <c r="P981" s="86"/>
      <c r="Q981" s="54"/>
      <c r="R981" s="249"/>
      <c r="T981" s="54"/>
      <c r="U981" s="54"/>
      <c r="V981" s="54"/>
      <c r="W981" s="54"/>
      <c r="X981" s="54"/>
      <c r="Y981" s="54"/>
      <c r="Z981" s="54"/>
      <c r="AA981" s="54"/>
      <c r="AB981" s="287"/>
      <c r="AC981" s="54"/>
      <c r="AD981" s="54"/>
    </row>
    <row r="982">
      <c r="A982" s="54"/>
      <c r="B982" s="312"/>
      <c r="C982" s="312"/>
      <c r="D982" s="54"/>
      <c r="E982" s="54"/>
      <c r="F982" s="54"/>
      <c r="G982" s="54"/>
      <c r="H982" s="54"/>
      <c r="I982" s="54"/>
      <c r="J982" s="54"/>
      <c r="K982" s="63"/>
      <c r="L982" s="54"/>
      <c r="M982" s="54"/>
      <c r="N982" s="54"/>
      <c r="O982" s="54"/>
      <c r="P982" s="86"/>
      <c r="Q982" s="54"/>
      <c r="R982" s="249"/>
      <c r="T982" s="54"/>
      <c r="U982" s="54"/>
      <c r="V982" s="54"/>
      <c r="W982" s="54"/>
      <c r="X982" s="54"/>
      <c r="Y982" s="54"/>
      <c r="Z982" s="54"/>
      <c r="AA982" s="54"/>
      <c r="AB982" s="287"/>
      <c r="AC982" s="54"/>
      <c r="AD982" s="54"/>
    </row>
    <row r="983">
      <c r="A983" s="54"/>
      <c r="B983" s="312"/>
      <c r="C983" s="312"/>
      <c r="D983" s="54"/>
      <c r="E983" s="54"/>
      <c r="F983" s="54"/>
      <c r="G983" s="54"/>
      <c r="H983" s="54"/>
      <c r="I983" s="54"/>
      <c r="J983" s="54"/>
      <c r="K983" s="63"/>
      <c r="L983" s="54"/>
      <c r="M983" s="54"/>
      <c r="N983" s="54"/>
      <c r="O983" s="54"/>
      <c r="P983" s="86"/>
      <c r="Q983" s="54"/>
      <c r="R983" s="249"/>
      <c r="T983" s="54"/>
      <c r="U983" s="54"/>
      <c r="V983" s="54"/>
      <c r="W983" s="54"/>
      <c r="X983" s="54"/>
      <c r="Y983" s="54"/>
      <c r="Z983" s="54"/>
      <c r="AA983" s="54"/>
      <c r="AB983" s="287"/>
      <c r="AC983" s="54"/>
      <c r="AD983" s="54"/>
    </row>
    <row r="984">
      <c r="A984" s="54"/>
      <c r="B984" s="312"/>
      <c r="C984" s="312"/>
      <c r="D984" s="54"/>
      <c r="E984" s="54"/>
      <c r="F984" s="54"/>
      <c r="G984" s="54"/>
      <c r="H984" s="54"/>
      <c r="I984" s="54"/>
      <c r="J984" s="54"/>
      <c r="K984" s="63"/>
      <c r="L984" s="54"/>
      <c r="M984" s="54"/>
      <c r="N984" s="54"/>
      <c r="O984" s="54"/>
      <c r="P984" s="86"/>
      <c r="Q984" s="54"/>
      <c r="R984" s="249"/>
      <c r="T984" s="54"/>
      <c r="U984" s="54"/>
      <c r="V984" s="54"/>
      <c r="W984" s="54"/>
      <c r="X984" s="54"/>
      <c r="Y984" s="54"/>
      <c r="Z984" s="54"/>
      <c r="AA984" s="54"/>
      <c r="AB984" s="287"/>
      <c r="AC984" s="54"/>
      <c r="AD984" s="54"/>
    </row>
    <row r="985">
      <c r="A985" s="54"/>
      <c r="B985" s="312"/>
      <c r="C985" s="312"/>
      <c r="D985" s="54"/>
      <c r="E985" s="54"/>
      <c r="F985" s="54"/>
      <c r="G985" s="54"/>
      <c r="H985" s="54"/>
      <c r="I985" s="54"/>
      <c r="J985" s="54"/>
      <c r="K985" s="63"/>
      <c r="L985" s="54"/>
      <c r="M985" s="54"/>
      <c r="N985" s="54"/>
      <c r="O985" s="54"/>
      <c r="P985" s="86"/>
      <c r="Q985" s="54"/>
      <c r="R985" s="249"/>
      <c r="T985" s="54"/>
      <c r="U985" s="54"/>
      <c r="V985" s="54"/>
      <c r="W985" s="54"/>
      <c r="X985" s="54"/>
      <c r="Y985" s="54"/>
      <c r="Z985" s="54"/>
      <c r="AA985" s="54"/>
      <c r="AB985" s="287"/>
      <c r="AC985" s="54"/>
      <c r="AD985" s="54"/>
    </row>
    <row r="986">
      <c r="A986" s="54"/>
      <c r="B986" s="312"/>
      <c r="C986" s="312"/>
      <c r="D986" s="54"/>
      <c r="E986" s="54"/>
      <c r="F986" s="54"/>
      <c r="G986" s="54"/>
      <c r="H986" s="54"/>
      <c r="I986" s="54"/>
      <c r="J986" s="54"/>
      <c r="K986" s="63"/>
      <c r="L986" s="54"/>
      <c r="M986" s="54"/>
      <c r="N986" s="54"/>
      <c r="O986" s="54"/>
      <c r="P986" s="86"/>
      <c r="Q986" s="54"/>
      <c r="R986" s="249"/>
      <c r="T986" s="54"/>
      <c r="U986" s="54"/>
      <c r="V986" s="54"/>
      <c r="W986" s="54"/>
      <c r="X986" s="54"/>
      <c r="Y986" s="54"/>
      <c r="Z986" s="54"/>
      <c r="AA986" s="54"/>
      <c r="AB986" s="287"/>
      <c r="AC986" s="54"/>
      <c r="AD986" s="54"/>
    </row>
    <row r="987">
      <c r="A987" s="54"/>
      <c r="B987" s="312"/>
      <c r="C987" s="312"/>
      <c r="D987" s="54"/>
      <c r="E987" s="54"/>
      <c r="F987" s="54"/>
      <c r="G987" s="54"/>
      <c r="H987" s="54"/>
      <c r="I987" s="54"/>
      <c r="J987" s="54"/>
      <c r="K987" s="63"/>
      <c r="L987" s="54"/>
      <c r="M987" s="54"/>
      <c r="N987" s="54"/>
      <c r="O987" s="54"/>
      <c r="P987" s="86"/>
      <c r="Q987" s="54"/>
      <c r="R987" s="249"/>
      <c r="T987" s="54"/>
      <c r="U987" s="54"/>
      <c r="V987" s="54"/>
      <c r="W987" s="54"/>
      <c r="X987" s="54"/>
      <c r="Y987" s="54"/>
      <c r="Z987" s="54"/>
      <c r="AA987" s="54"/>
      <c r="AB987" s="287"/>
      <c r="AC987" s="54"/>
      <c r="AD987" s="54"/>
    </row>
    <row r="988">
      <c r="A988" s="54"/>
      <c r="B988" s="312"/>
      <c r="C988" s="312"/>
      <c r="D988" s="54"/>
      <c r="E988" s="54"/>
      <c r="F988" s="54"/>
      <c r="G988" s="54"/>
      <c r="H988" s="54"/>
      <c r="I988" s="54"/>
      <c r="J988" s="54"/>
      <c r="K988" s="63"/>
      <c r="L988" s="54"/>
      <c r="M988" s="54"/>
      <c r="N988" s="54"/>
      <c r="O988" s="54"/>
      <c r="P988" s="86"/>
      <c r="Q988" s="54"/>
      <c r="R988" s="249"/>
      <c r="T988" s="54"/>
      <c r="U988" s="54"/>
      <c r="V988" s="54"/>
      <c r="W988" s="54"/>
      <c r="X988" s="54"/>
      <c r="Y988" s="54"/>
      <c r="Z988" s="54"/>
      <c r="AA988" s="54"/>
      <c r="AB988" s="287"/>
      <c r="AC988" s="54"/>
      <c r="AD988" s="54"/>
    </row>
    <row r="989">
      <c r="A989" s="54"/>
      <c r="B989" s="312"/>
      <c r="C989" s="312"/>
      <c r="D989" s="54"/>
      <c r="E989" s="54"/>
      <c r="F989" s="54"/>
      <c r="G989" s="54"/>
      <c r="H989" s="54"/>
      <c r="I989" s="54"/>
      <c r="J989" s="54"/>
      <c r="K989" s="63"/>
      <c r="L989" s="54"/>
      <c r="M989" s="54"/>
      <c r="N989" s="54"/>
      <c r="O989" s="54"/>
      <c r="P989" s="86"/>
      <c r="Q989" s="54"/>
      <c r="R989" s="249"/>
      <c r="T989" s="54"/>
      <c r="U989" s="54"/>
      <c r="V989" s="54"/>
      <c r="W989" s="54"/>
      <c r="X989" s="54"/>
      <c r="Y989" s="54"/>
      <c r="Z989" s="54"/>
      <c r="AA989" s="54"/>
      <c r="AB989" s="287"/>
      <c r="AC989" s="54"/>
      <c r="AD989" s="54"/>
    </row>
    <row r="990">
      <c r="A990" s="54"/>
      <c r="B990" s="312"/>
      <c r="C990" s="312"/>
      <c r="D990" s="54"/>
      <c r="E990" s="54"/>
      <c r="F990" s="54"/>
      <c r="G990" s="54"/>
      <c r="H990" s="54"/>
      <c r="I990" s="54"/>
      <c r="J990" s="54"/>
      <c r="K990" s="63"/>
      <c r="L990" s="54"/>
      <c r="M990" s="54"/>
      <c r="N990" s="54"/>
      <c r="O990" s="54"/>
      <c r="P990" s="86"/>
      <c r="Q990" s="54"/>
      <c r="R990" s="249"/>
      <c r="T990" s="54"/>
      <c r="U990" s="54"/>
      <c r="V990" s="54"/>
      <c r="W990" s="54"/>
      <c r="X990" s="54"/>
      <c r="Y990" s="54"/>
      <c r="Z990" s="54"/>
      <c r="AA990" s="54"/>
      <c r="AB990" s="287"/>
      <c r="AC990" s="54"/>
      <c r="AD990" s="54"/>
    </row>
    <row r="991">
      <c r="A991" s="54"/>
      <c r="B991" s="312"/>
      <c r="C991" s="312"/>
      <c r="D991" s="54"/>
      <c r="E991" s="54"/>
      <c r="F991" s="54"/>
      <c r="G991" s="54"/>
      <c r="H991" s="54"/>
      <c r="I991" s="54"/>
      <c r="J991" s="54"/>
      <c r="K991" s="63"/>
      <c r="L991" s="54"/>
      <c r="M991" s="54"/>
      <c r="N991" s="54"/>
      <c r="O991" s="54"/>
      <c r="P991" s="86"/>
      <c r="Q991" s="54"/>
      <c r="R991" s="249"/>
      <c r="T991" s="54"/>
      <c r="U991" s="54"/>
      <c r="V991" s="54"/>
      <c r="W991" s="54"/>
      <c r="X991" s="54"/>
      <c r="Y991" s="54"/>
      <c r="Z991" s="54"/>
      <c r="AA991" s="54"/>
      <c r="AB991" s="287"/>
      <c r="AC991" s="54"/>
      <c r="AD991" s="54"/>
    </row>
    <row r="992">
      <c r="A992" s="54"/>
      <c r="B992" s="312"/>
      <c r="C992" s="312"/>
      <c r="D992" s="54"/>
      <c r="E992" s="54"/>
      <c r="F992" s="54"/>
      <c r="G992" s="54"/>
      <c r="H992" s="54"/>
      <c r="I992" s="54"/>
      <c r="J992" s="54"/>
      <c r="K992" s="63"/>
      <c r="L992" s="54"/>
      <c r="M992" s="54"/>
      <c r="N992" s="54"/>
      <c r="O992" s="54"/>
      <c r="P992" s="86"/>
      <c r="Q992" s="54"/>
      <c r="R992" s="249"/>
      <c r="T992" s="54"/>
      <c r="U992" s="54"/>
      <c r="V992" s="54"/>
      <c r="W992" s="54"/>
      <c r="X992" s="54"/>
      <c r="Y992" s="54"/>
      <c r="Z992" s="54"/>
      <c r="AA992" s="54"/>
      <c r="AB992" s="287"/>
      <c r="AC992" s="54"/>
      <c r="AD992" s="54"/>
    </row>
    <row r="993">
      <c r="A993" s="54"/>
      <c r="B993" s="312"/>
      <c r="C993" s="312"/>
      <c r="D993" s="54"/>
      <c r="E993" s="54"/>
      <c r="F993" s="54"/>
      <c r="G993" s="54"/>
      <c r="H993" s="54"/>
      <c r="I993" s="54"/>
      <c r="J993" s="54"/>
      <c r="K993" s="63"/>
      <c r="L993" s="54"/>
      <c r="M993" s="54"/>
      <c r="N993" s="54"/>
      <c r="O993" s="54"/>
      <c r="P993" s="86"/>
      <c r="Q993" s="54"/>
      <c r="R993" s="249"/>
      <c r="T993" s="54"/>
      <c r="U993" s="54"/>
      <c r="V993" s="54"/>
      <c r="W993" s="54"/>
      <c r="X993" s="54"/>
      <c r="Y993" s="54"/>
      <c r="Z993" s="54"/>
      <c r="AA993" s="54"/>
      <c r="AB993" s="287"/>
      <c r="AC993" s="54"/>
      <c r="AD993" s="54"/>
    </row>
    <row r="994">
      <c r="A994" s="54"/>
      <c r="B994" s="312"/>
      <c r="C994" s="312"/>
      <c r="D994" s="54"/>
      <c r="E994" s="54"/>
      <c r="F994" s="54"/>
      <c r="G994" s="54"/>
      <c r="H994" s="54"/>
      <c r="I994" s="54"/>
      <c r="J994" s="54"/>
      <c r="K994" s="63"/>
      <c r="L994" s="54"/>
      <c r="M994" s="54"/>
      <c r="N994" s="54"/>
      <c r="O994" s="54"/>
      <c r="P994" s="86"/>
      <c r="Q994" s="54"/>
      <c r="R994" s="249"/>
      <c r="T994" s="54"/>
      <c r="U994" s="54"/>
      <c r="V994" s="54"/>
      <c r="W994" s="54"/>
      <c r="X994" s="54"/>
      <c r="Y994" s="54"/>
      <c r="Z994" s="54"/>
      <c r="AA994" s="54"/>
      <c r="AB994" s="287"/>
      <c r="AC994" s="54"/>
      <c r="AD994" s="54"/>
    </row>
    <row r="995">
      <c r="A995" s="54"/>
      <c r="B995" s="312"/>
      <c r="C995" s="312"/>
      <c r="D995" s="54"/>
      <c r="E995" s="54"/>
      <c r="F995" s="54"/>
      <c r="G995" s="54"/>
      <c r="H995" s="54"/>
      <c r="I995" s="54"/>
      <c r="J995" s="54"/>
      <c r="K995" s="63"/>
      <c r="L995" s="54"/>
      <c r="M995" s="54"/>
      <c r="N995" s="54"/>
      <c r="O995" s="54"/>
      <c r="P995" s="86"/>
      <c r="Q995" s="54"/>
      <c r="R995" s="249"/>
      <c r="T995" s="54"/>
      <c r="U995" s="54"/>
      <c r="V995" s="54"/>
      <c r="W995" s="54"/>
      <c r="X995" s="54"/>
      <c r="Y995" s="54"/>
      <c r="Z995" s="54"/>
      <c r="AA995" s="54"/>
      <c r="AB995" s="287"/>
      <c r="AC995" s="54"/>
      <c r="AD995" s="54"/>
    </row>
    <row r="996">
      <c r="A996" s="54"/>
      <c r="B996" s="312"/>
      <c r="C996" s="312"/>
      <c r="D996" s="54"/>
      <c r="E996" s="54"/>
      <c r="F996" s="54"/>
      <c r="G996" s="54"/>
      <c r="H996" s="54"/>
      <c r="I996" s="54"/>
      <c r="J996" s="54"/>
      <c r="K996" s="63"/>
      <c r="L996" s="54"/>
      <c r="M996" s="54"/>
      <c r="N996" s="54"/>
      <c r="O996" s="54"/>
      <c r="P996" s="86"/>
      <c r="Q996" s="54"/>
      <c r="R996" s="249"/>
      <c r="T996" s="54"/>
      <c r="U996" s="54"/>
      <c r="V996" s="54"/>
      <c r="W996" s="54"/>
      <c r="X996" s="54"/>
      <c r="Y996" s="54"/>
      <c r="Z996" s="54"/>
      <c r="AA996" s="54"/>
      <c r="AB996" s="287"/>
      <c r="AC996" s="54"/>
      <c r="AD996" s="54"/>
    </row>
    <row r="997">
      <c r="A997" s="54"/>
      <c r="B997" s="312"/>
      <c r="C997" s="312"/>
      <c r="D997" s="54"/>
      <c r="E997" s="54"/>
      <c r="F997" s="54"/>
      <c r="G997" s="54"/>
      <c r="H997" s="54"/>
      <c r="I997" s="54"/>
      <c r="J997" s="54"/>
      <c r="K997" s="63"/>
      <c r="L997" s="54"/>
      <c r="M997" s="54"/>
      <c r="N997" s="54"/>
      <c r="O997" s="54"/>
      <c r="P997" s="86"/>
      <c r="Q997" s="54"/>
      <c r="R997" s="249"/>
      <c r="T997" s="54"/>
      <c r="U997" s="54"/>
      <c r="V997" s="54"/>
      <c r="W997" s="54"/>
      <c r="X997" s="54"/>
      <c r="Y997" s="54"/>
      <c r="Z997" s="54"/>
      <c r="AA997" s="54"/>
      <c r="AB997" s="287"/>
      <c r="AC997" s="54"/>
      <c r="AD997" s="54"/>
    </row>
    <row r="998">
      <c r="A998" s="54"/>
      <c r="B998" s="312"/>
      <c r="C998" s="312"/>
      <c r="D998" s="54"/>
      <c r="E998" s="54"/>
      <c r="F998" s="54"/>
      <c r="G998" s="54"/>
      <c r="H998" s="54"/>
      <c r="I998" s="54"/>
      <c r="J998" s="54"/>
      <c r="K998" s="63"/>
      <c r="L998" s="54"/>
      <c r="M998" s="54"/>
      <c r="N998" s="54"/>
      <c r="O998" s="54"/>
      <c r="P998" s="86"/>
      <c r="Q998" s="54"/>
      <c r="R998" s="249"/>
      <c r="T998" s="54"/>
      <c r="U998" s="54"/>
      <c r="V998" s="54"/>
      <c r="W998" s="54"/>
      <c r="X998" s="54"/>
      <c r="Y998" s="54"/>
      <c r="Z998" s="54"/>
      <c r="AA998" s="54"/>
      <c r="AB998" s="287"/>
      <c r="AC998" s="54"/>
      <c r="AD998" s="54"/>
    </row>
  </sheetData>
  <mergeCells count="48">
    <mergeCell ref="R1:R2"/>
    <mergeCell ref="M4:Q4"/>
    <mergeCell ref="M24:Q24"/>
    <mergeCell ref="B47:I47"/>
    <mergeCell ref="M48:Q48"/>
    <mergeCell ref="M68:O68"/>
    <mergeCell ref="M71:O71"/>
    <mergeCell ref="B67:I67"/>
    <mergeCell ref="B93:I93"/>
    <mergeCell ref="M94:O94"/>
    <mergeCell ref="B105:I105"/>
    <mergeCell ref="M106:Q106"/>
    <mergeCell ref="B123:I123"/>
    <mergeCell ref="M126:O126"/>
    <mergeCell ref="M142:Q144"/>
    <mergeCell ref="B145:I145"/>
    <mergeCell ref="M146:O146"/>
    <mergeCell ref="B164:I164"/>
    <mergeCell ref="M165:O165"/>
    <mergeCell ref="B191:I191"/>
    <mergeCell ref="M192:Q192"/>
    <mergeCell ref="M211:Q213"/>
    <mergeCell ref="B214:I214"/>
    <mergeCell ref="M215:Q215"/>
    <mergeCell ref="B227:I227"/>
    <mergeCell ref="M228:Q228"/>
    <mergeCell ref="B234:I234"/>
    <mergeCell ref="M235:Q235"/>
    <mergeCell ref="B235:I235"/>
    <mergeCell ref="B238:I238"/>
    <mergeCell ref="M238:O238"/>
    <mergeCell ref="M239:Q239"/>
    <mergeCell ref="B247:I247"/>
    <mergeCell ref="M248:Q248"/>
    <mergeCell ref="M270:Q270"/>
    <mergeCell ref="B342:I342"/>
    <mergeCell ref="M343:Q343"/>
    <mergeCell ref="B351:I351"/>
    <mergeCell ref="M352:Q352"/>
    <mergeCell ref="B361:I361"/>
    <mergeCell ref="M362:Q362"/>
    <mergeCell ref="B269:I269"/>
    <mergeCell ref="B282:I282"/>
    <mergeCell ref="M283:Q283"/>
    <mergeCell ref="B301:I301"/>
    <mergeCell ref="M302:Q302"/>
    <mergeCell ref="B316:I316"/>
    <mergeCell ref="M317:Q317"/>
  </mergeCells>
  <conditionalFormatting sqref="Q131">
    <cfRule type="expression" dxfId="0" priority="1">
      <formula>ABS(J138:J1135)&gt;5</formula>
    </cfRule>
  </conditionalFormatting>
  <conditionalFormatting sqref="J1:J163 AA1:AA3 J165:J998 K347">
    <cfRule type="expression" dxfId="0" priority="2">
      <formula>ABS(J1:J998)&gt;5</formula>
    </cfRule>
  </conditionalFormatting>
  <conditionalFormatting sqref="AB1:AB998">
    <cfRule type="cellIs" dxfId="1" priority="3" operator="greaterThanOrEqual">
      <formula>30</formula>
    </cfRule>
  </conditionalFormatting>
  <conditionalFormatting sqref="AB1:AB998">
    <cfRule type="cellIs" dxfId="2" priority="4" operator="greaterThanOrEqual">
      <formula>28</formula>
    </cfRule>
  </conditionalFormatting>
  <conditionalFormatting sqref="L140">
    <cfRule type="notContainsBlanks" dxfId="0" priority="5">
      <formula>LEN(TRIM(L140))&gt;0</formula>
    </cfRule>
  </conditionalFormatting>
  <conditionalFormatting sqref="K1:K163 K165:K998">
    <cfRule type="cellIs" dxfId="5" priority="6" operator="greaterThan">
      <formula>30</formula>
    </cfRule>
  </conditionalFormatting>
  <conditionalFormatting sqref="K1:K163 K165:K998">
    <cfRule type="cellIs" dxfId="6" priority="7" operator="greaterThan">
      <formula>28</formula>
    </cfRule>
  </conditionalFormatting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42</v>
      </c>
      <c r="M1" s="195">
        <v>28.0</v>
      </c>
      <c r="N1" s="9" t="s">
        <v>129</v>
      </c>
      <c r="O1" s="9">
        <v>70.0</v>
      </c>
      <c r="P1" s="86"/>
      <c r="Q1" s="54"/>
      <c r="R1" s="54"/>
    </row>
    <row r="2">
      <c r="A2" s="216" t="s">
        <v>278</v>
      </c>
      <c r="B2" s="54"/>
      <c r="C2" s="54"/>
      <c r="D2" s="54"/>
      <c r="E2" s="54"/>
      <c r="F2" s="54">
        <f>SUM(F4:F1007)</f>
        <v>179873</v>
      </c>
      <c r="G2" s="54">
        <f>MAX(G4:G1007)</f>
        <v>515</v>
      </c>
      <c r="H2" s="54">
        <f t="shared" ref="H2:I2" si="1">SUM(H4:H1007)</f>
        <v>56094.39</v>
      </c>
      <c r="I2" s="54">
        <f t="shared" si="1"/>
        <v>57566.48</v>
      </c>
      <c r="J2" s="54">
        <f>H2-I2</f>
        <v>-1472.09</v>
      </c>
      <c r="K2" s="63">
        <f>I2/F2*100</f>
        <v>32.00395835</v>
      </c>
      <c r="L2" s="64" t="s">
        <v>65</v>
      </c>
      <c r="M2" s="65"/>
      <c r="N2" s="54"/>
      <c r="O2" s="54"/>
      <c r="P2" s="86"/>
      <c r="Q2" s="54"/>
      <c r="R2" s="54"/>
    </row>
    <row r="3">
      <c r="A3" s="66"/>
      <c r="B3" s="67" t="s">
        <v>66</v>
      </c>
      <c r="J3" s="66"/>
      <c r="K3" s="66"/>
      <c r="L3" s="66"/>
      <c r="M3" s="66"/>
      <c r="N3" s="66"/>
      <c r="O3" s="66"/>
      <c r="P3" s="113"/>
      <c r="Q3" s="66"/>
      <c r="R3" s="66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70">
        <v>45300.0</v>
      </c>
      <c r="C4" s="313"/>
      <c r="D4" s="260" t="s">
        <v>279</v>
      </c>
      <c r="E4" s="260">
        <v>1394098.0</v>
      </c>
      <c r="F4" s="260">
        <v>479.0</v>
      </c>
      <c r="G4" s="260">
        <v>502.0</v>
      </c>
      <c r="H4" s="261">
        <v>181.0</v>
      </c>
      <c r="I4" s="261">
        <v>252.37</v>
      </c>
      <c r="J4" s="261">
        <v>-71.37</v>
      </c>
      <c r="K4" s="290">
        <v>52.69</v>
      </c>
      <c r="L4" s="54"/>
      <c r="M4" s="82" t="str">
        <f>"тотал"&amp;" "&amp;B3</f>
        <v>тотал ЯНВАРЬ</v>
      </c>
      <c r="N4" s="75"/>
      <c r="O4" s="76"/>
      <c r="P4" s="86"/>
      <c r="Q4" s="54"/>
      <c r="R4" s="54"/>
    </row>
    <row r="5">
      <c r="A5" s="54"/>
      <c r="B5" s="262">
        <v>45301.0</v>
      </c>
      <c r="C5" s="314"/>
      <c r="D5" s="263" t="s">
        <v>279</v>
      </c>
      <c r="E5" s="263">
        <v>1395177.0</v>
      </c>
      <c r="F5" s="263">
        <v>1079.0</v>
      </c>
      <c r="G5" s="263">
        <v>515.0</v>
      </c>
      <c r="H5" s="264">
        <v>363.0</v>
      </c>
      <c r="I5" s="264">
        <v>361.74</v>
      </c>
      <c r="J5" s="264">
        <v>1.26</v>
      </c>
      <c r="K5" s="290">
        <v>33.53</v>
      </c>
      <c r="L5" s="54"/>
      <c r="M5" s="83" t="s">
        <v>70</v>
      </c>
      <c r="N5" s="83" t="s">
        <v>71</v>
      </c>
      <c r="O5" s="83" t="s">
        <v>27</v>
      </c>
      <c r="P5" s="86"/>
      <c r="Q5" s="54"/>
      <c r="R5" s="54"/>
    </row>
    <row r="6">
      <c r="A6" s="54"/>
      <c r="B6" s="262">
        <v>45304.0</v>
      </c>
      <c r="C6" s="314"/>
      <c r="D6" s="263" t="s">
        <v>279</v>
      </c>
      <c r="E6" s="263">
        <v>1395732.0</v>
      </c>
      <c r="F6" s="263">
        <v>555.0</v>
      </c>
      <c r="G6" s="263">
        <v>507.0</v>
      </c>
      <c r="H6" s="264">
        <v>240.0</v>
      </c>
      <c r="I6" s="264">
        <v>259.43</v>
      </c>
      <c r="J6" s="264">
        <v>-19.43</v>
      </c>
      <c r="K6" s="290">
        <v>46.74</v>
      </c>
      <c r="L6" s="54"/>
      <c r="M6" s="84">
        <f>SUM(F4:F18)</f>
        <v>11299</v>
      </c>
      <c r="N6" s="84">
        <f>SUM(I4:I18)</f>
        <v>3975.69</v>
      </c>
      <c r="O6" s="85">
        <f>N6/M6*100</f>
        <v>35.18621117</v>
      </c>
      <c r="P6" s="86"/>
      <c r="Q6" s="54"/>
      <c r="R6" s="54"/>
    </row>
    <row r="7">
      <c r="A7" s="54"/>
      <c r="B7" s="262">
        <v>45305.0</v>
      </c>
      <c r="C7" s="314"/>
      <c r="D7" s="263" t="s">
        <v>279</v>
      </c>
      <c r="E7" s="263">
        <v>1396559.0</v>
      </c>
      <c r="F7" s="263">
        <v>827.0</v>
      </c>
      <c r="G7" s="263">
        <v>515.0</v>
      </c>
      <c r="H7" s="264">
        <v>325.0</v>
      </c>
      <c r="I7" s="264">
        <v>325.52</v>
      </c>
      <c r="J7" s="264">
        <v>-0.52</v>
      </c>
      <c r="K7" s="290">
        <v>39.36</v>
      </c>
      <c r="L7" s="54"/>
      <c r="M7" s="54"/>
      <c r="N7" s="54"/>
      <c r="O7" s="54"/>
      <c r="P7" s="86"/>
      <c r="Q7" s="54"/>
      <c r="R7" s="54"/>
    </row>
    <row r="8">
      <c r="A8" s="54"/>
      <c r="B8" s="262">
        <v>45307.0</v>
      </c>
      <c r="C8" s="314"/>
      <c r="D8" s="263" t="s">
        <v>279</v>
      </c>
      <c r="E8" s="263">
        <v>1397320.0</v>
      </c>
      <c r="F8" s="263">
        <v>761.0</v>
      </c>
      <c r="G8" s="263">
        <v>515.0</v>
      </c>
      <c r="H8" s="264">
        <v>240.0</v>
      </c>
      <c r="I8" s="264">
        <v>248.23</v>
      </c>
      <c r="J8" s="264">
        <v>-8.23</v>
      </c>
      <c r="K8" s="290">
        <v>32.62</v>
      </c>
      <c r="L8" s="54"/>
      <c r="M8" s="54"/>
      <c r="N8" s="54"/>
      <c r="O8" s="54"/>
      <c r="P8" s="86"/>
      <c r="Q8" s="54"/>
      <c r="R8" s="54"/>
    </row>
    <row r="9">
      <c r="A9" s="54"/>
      <c r="B9" s="262">
        <v>45309.0</v>
      </c>
      <c r="C9" s="314"/>
      <c r="D9" s="263" t="s">
        <v>280</v>
      </c>
      <c r="E9" s="263">
        <v>1398298.0</v>
      </c>
      <c r="F9" s="263">
        <v>978.0</v>
      </c>
      <c r="G9" s="263">
        <v>515.0</v>
      </c>
      <c r="H9" s="264">
        <v>346.0</v>
      </c>
      <c r="I9" s="264">
        <v>347.42</v>
      </c>
      <c r="J9" s="264">
        <v>-1.42</v>
      </c>
      <c r="K9" s="290">
        <v>35.52</v>
      </c>
      <c r="L9" s="54"/>
      <c r="M9" s="54"/>
      <c r="N9" s="54"/>
      <c r="O9" s="54"/>
      <c r="P9" s="86"/>
      <c r="Q9" s="54"/>
      <c r="R9" s="54"/>
    </row>
    <row r="10">
      <c r="A10" s="54"/>
      <c r="B10" s="262">
        <v>45311.0</v>
      </c>
      <c r="C10" s="314"/>
      <c r="D10" s="263" t="s">
        <v>280</v>
      </c>
      <c r="E10" s="263">
        <v>1399388.0</v>
      </c>
      <c r="F10" s="263">
        <v>1090.0</v>
      </c>
      <c r="G10" s="263">
        <v>515.0</v>
      </c>
      <c r="H10" s="264">
        <v>392.0</v>
      </c>
      <c r="I10" s="264">
        <v>385.79</v>
      </c>
      <c r="J10" s="264">
        <v>6.21</v>
      </c>
      <c r="K10" s="290">
        <v>35.39</v>
      </c>
      <c r="L10" s="54"/>
      <c r="M10" s="54"/>
      <c r="N10" s="54"/>
      <c r="O10" s="54"/>
      <c r="P10" s="86"/>
      <c r="Q10" s="54"/>
      <c r="R10" s="54"/>
    </row>
    <row r="11">
      <c r="A11" s="54"/>
      <c r="B11" s="262">
        <v>45312.0</v>
      </c>
      <c r="C11" s="314"/>
      <c r="D11" s="263" t="s">
        <v>279</v>
      </c>
      <c r="E11" s="263">
        <v>1399967.0</v>
      </c>
      <c r="F11" s="263">
        <v>579.0</v>
      </c>
      <c r="G11" s="263">
        <v>513.0</v>
      </c>
      <c r="H11" s="264">
        <v>178.0</v>
      </c>
      <c r="I11" s="264">
        <v>173.52</v>
      </c>
      <c r="J11" s="264">
        <v>4.48</v>
      </c>
      <c r="K11" s="290">
        <v>29.97</v>
      </c>
      <c r="L11" s="54"/>
      <c r="M11" s="54"/>
      <c r="N11" s="54"/>
      <c r="O11" s="54"/>
      <c r="P11" s="86"/>
      <c r="Q11" s="54"/>
      <c r="R11" s="54"/>
    </row>
    <row r="12">
      <c r="A12" s="54"/>
      <c r="B12" s="262">
        <v>45313.0</v>
      </c>
      <c r="C12" s="314"/>
      <c r="D12" s="263" t="s">
        <v>279</v>
      </c>
      <c r="E12" s="263">
        <v>1400600.0</v>
      </c>
      <c r="F12" s="263">
        <v>633.0</v>
      </c>
      <c r="G12" s="263">
        <v>512.0</v>
      </c>
      <c r="H12" s="264">
        <v>245.0</v>
      </c>
      <c r="I12" s="264">
        <v>240.06</v>
      </c>
      <c r="J12" s="264">
        <v>4.94</v>
      </c>
      <c r="K12" s="290">
        <v>37.92</v>
      </c>
      <c r="L12" s="54"/>
      <c r="M12" s="54"/>
      <c r="N12" s="54"/>
      <c r="O12" s="54"/>
      <c r="P12" s="86"/>
      <c r="Q12" s="54"/>
      <c r="R12" s="54"/>
    </row>
    <row r="13">
      <c r="A13" s="54"/>
      <c r="B13" s="262">
        <v>45315.0</v>
      </c>
      <c r="C13" s="314"/>
      <c r="D13" s="263" t="s">
        <v>279</v>
      </c>
      <c r="E13" s="263">
        <v>1401401.0</v>
      </c>
      <c r="F13" s="263">
        <v>801.0</v>
      </c>
      <c r="G13" s="263">
        <v>515.0</v>
      </c>
      <c r="H13" s="264">
        <v>251.0</v>
      </c>
      <c r="I13" s="264">
        <v>245.91</v>
      </c>
      <c r="J13" s="264">
        <v>5.09</v>
      </c>
      <c r="K13" s="290">
        <v>30.7</v>
      </c>
      <c r="L13" s="54"/>
      <c r="M13" s="54"/>
      <c r="N13" s="54"/>
      <c r="O13" s="54"/>
      <c r="P13" s="86"/>
      <c r="Q13" s="54"/>
      <c r="R13" s="54"/>
    </row>
    <row r="14">
      <c r="A14" s="54"/>
      <c r="B14" s="262">
        <v>45316.0</v>
      </c>
      <c r="C14" s="314"/>
      <c r="D14" s="263" t="s">
        <v>279</v>
      </c>
      <c r="E14" s="263">
        <v>1402226.0</v>
      </c>
      <c r="F14" s="263">
        <v>825.0</v>
      </c>
      <c r="G14" s="263">
        <v>515.0</v>
      </c>
      <c r="H14" s="264">
        <v>255.0</v>
      </c>
      <c r="I14" s="264">
        <v>253.56</v>
      </c>
      <c r="J14" s="264">
        <v>1.44</v>
      </c>
      <c r="K14" s="290">
        <v>30.73</v>
      </c>
      <c r="L14" s="54"/>
      <c r="M14" s="54"/>
      <c r="N14" s="54"/>
      <c r="O14" s="54"/>
      <c r="P14" s="86"/>
      <c r="Q14" s="54"/>
      <c r="R14" s="54"/>
    </row>
    <row r="15">
      <c r="A15" s="54"/>
      <c r="B15" s="262">
        <v>45317.0</v>
      </c>
      <c r="C15" s="314"/>
      <c r="D15" s="263" t="s">
        <v>279</v>
      </c>
      <c r="E15" s="263">
        <v>1403130.0</v>
      </c>
      <c r="F15" s="263">
        <v>904.0</v>
      </c>
      <c r="G15" s="263">
        <v>515.0</v>
      </c>
      <c r="H15" s="264">
        <v>277.0</v>
      </c>
      <c r="I15" s="264">
        <v>274.75</v>
      </c>
      <c r="J15" s="264">
        <v>2.25</v>
      </c>
      <c r="K15" s="290">
        <v>30.39</v>
      </c>
      <c r="L15" s="54"/>
      <c r="M15" s="54"/>
      <c r="N15" s="54"/>
      <c r="O15" s="54"/>
      <c r="P15" s="86"/>
      <c r="Q15" s="54"/>
      <c r="R15" s="54"/>
    </row>
    <row r="16">
      <c r="A16" s="54"/>
      <c r="B16" s="262">
        <v>45319.0</v>
      </c>
      <c r="C16" s="314"/>
      <c r="D16" s="263" t="s">
        <v>279</v>
      </c>
      <c r="E16" s="263">
        <v>1403130.0</v>
      </c>
      <c r="F16" s="263">
        <v>0.0</v>
      </c>
      <c r="G16" s="263" t="s">
        <v>87</v>
      </c>
      <c r="H16" s="264">
        <v>38.39</v>
      </c>
      <c r="I16" s="286"/>
      <c r="J16" s="264">
        <v>38.39</v>
      </c>
      <c r="K16" s="290" t="s">
        <v>140</v>
      </c>
      <c r="L16" s="54"/>
      <c r="M16" s="54"/>
      <c r="N16" s="54"/>
      <c r="O16" s="54"/>
      <c r="P16" s="86"/>
      <c r="Q16" s="54"/>
      <c r="R16" s="54"/>
    </row>
    <row r="17">
      <c r="A17" s="54"/>
      <c r="B17" s="262">
        <v>45320.0</v>
      </c>
      <c r="C17" s="314"/>
      <c r="D17" s="263" t="s">
        <v>279</v>
      </c>
      <c r="E17" s="263">
        <v>1404122.0</v>
      </c>
      <c r="F17" s="263">
        <v>992.0</v>
      </c>
      <c r="G17" s="263">
        <v>515.0</v>
      </c>
      <c r="H17" s="264">
        <v>334.0</v>
      </c>
      <c r="I17" s="264">
        <v>358.92</v>
      </c>
      <c r="J17" s="264">
        <v>-24.92</v>
      </c>
      <c r="K17" s="290">
        <v>36.18</v>
      </c>
      <c r="L17" s="54"/>
      <c r="M17" s="54"/>
      <c r="N17" s="54"/>
      <c r="O17" s="54"/>
      <c r="P17" s="86"/>
      <c r="Q17" s="54"/>
      <c r="R17" s="54"/>
    </row>
    <row r="18">
      <c r="A18" s="54"/>
      <c r="B18" s="262">
        <v>45321.0</v>
      </c>
      <c r="C18" s="314"/>
      <c r="D18" s="263" t="s">
        <v>279</v>
      </c>
      <c r="E18" s="263">
        <v>1404918.0</v>
      </c>
      <c r="F18" s="263">
        <v>796.0</v>
      </c>
      <c r="G18" s="263">
        <v>515.0</v>
      </c>
      <c r="H18" s="264">
        <v>251.0</v>
      </c>
      <c r="I18" s="264">
        <v>248.47</v>
      </c>
      <c r="J18" s="264">
        <v>2.53</v>
      </c>
      <c r="K18" s="290">
        <v>31.21</v>
      </c>
      <c r="L18" s="54"/>
      <c r="M18" s="54"/>
      <c r="N18" s="54"/>
      <c r="O18" s="54"/>
      <c r="P18" s="86"/>
      <c r="Q18" s="54"/>
      <c r="R18" s="54"/>
    </row>
    <row r="19">
      <c r="A19" s="66"/>
      <c r="B19" s="67" t="s">
        <v>68</v>
      </c>
      <c r="J19" s="66"/>
      <c r="K19" s="66"/>
      <c r="L19" s="66"/>
      <c r="M19" s="66"/>
      <c r="N19" s="66"/>
      <c r="O19" s="66"/>
      <c r="P19" s="113"/>
      <c r="Q19" s="66"/>
      <c r="R19" s="66"/>
      <c r="S19" s="68"/>
      <c r="T19" s="68"/>
      <c r="U19" s="68"/>
      <c r="V19" s="68"/>
      <c r="W19" s="68"/>
      <c r="X19" s="68"/>
      <c r="Y19" s="68"/>
      <c r="Z19" s="68"/>
      <c r="AA19" s="68"/>
    </row>
    <row r="20">
      <c r="A20" s="54"/>
      <c r="B20" s="70">
        <v>45329.0</v>
      </c>
      <c r="C20" s="313"/>
      <c r="D20" s="315"/>
      <c r="E20" s="260">
        <v>1405822.0</v>
      </c>
      <c r="F20" s="260">
        <v>904.0</v>
      </c>
      <c r="G20" s="260">
        <v>515.0</v>
      </c>
      <c r="H20" s="261">
        <v>333.0</v>
      </c>
      <c r="I20" s="261">
        <v>336.45</v>
      </c>
      <c r="J20" s="261">
        <v>-3.45</v>
      </c>
      <c r="K20" s="290">
        <v>37.22</v>
      </c>
      <c r="L20" s="54"/>
      <c r="M20" s="54"/>
      <c r="N20" s="54"/>
      <c r="O20" s="54"/>
      <c r="P20" s="86"/>
      <c r="Q20" s="54"/>
      <c r="R20" s="54"/>
    </row>
    <row r="21">
      <c r="A21" s="54"/>
      <c r="B21" s="262">
        <v>45330.0</v>
      </c>
      <c r="C21" s="314"/>
      <c r="D21" s="316"/>
      <c r="E21" s="263">
        <v>1406606.0</v>
      </c>
      <c r="F21" s="263">
        <v>784.0</v>
      </c>
      <c r="G21" s="263">
        <v>446.0</v>
      </c>
      <c r="H21" s="264">
        <v>169.0</v>
      </c>
      <c r="I21" s="264">
        <v>163.0</v>
      </c>
      <c r="J21" s="264">
        <v>6.0</v>
      </c>
      <c r="K21" s="290">
        <v>20.79</v>
      </c>
      <c r="L21" s="54"/>
      <c r="M21" s="74" t="s">
        <v>69</v>
      </c>
      <c r="N21" s="75"/>
      <c r="O21" s="76"/>
      <c r="P21" s="86"/>
      <c r="Q21" s="54"/>
      <c r="R21" s="54"/>
    </row>
    <row r="22">
      <c r="A22" s="54"/>
      <c r="B22" s="262">
        <v>45331.0</v>
      </c>
      <c r="C22" s="314"/>
      <c r="D22" s="316"/>
      <c r="E22" s="263">
        <v>1407433.0</v>
      </c>
      <c r="F22" s="263">
        <v>827.0</v>
      </c>
      <c r="G22" s="263">
        <v>515.0</v>
      </c>
      <c r="H22" s="264">
        <v>346.0</v>
      </c>
      <c r="I22" s="264">
        <v>348.43</v>
      </c>
      <c r="J22" s="264">
        <v>-2.43</v>
      </c>
      <c r="K22" s="290">
        <v>42.13</v>
      </c>
      <c r="L22" s="54"/>
      <c r="M22" s="77" t="s">
        <v>70</v>
      </c>
      <c r="N22" s="77" t="s">
        <v>71</v>
      </c>
      <c r="O22" s="77" t="s">
        <v>27</v>
      </c>
      <c r="P22" s="86"/>
      <c r="Q22" s="54"/>
      <c r="R22" s="54"/>
    </row>
    <row r="23">
      <c r="A23" s="54"/>
      <c r="B23" s="262">
        <v>45334.0</v>
      </c>
      <c r="C23" s="314"/>
      <c r="D23" s="316"/>
      <c r="E23" s="263">
        <v>1408310.0</v>
      </c>
      <c r="F23" s="263">
        <v>877.0</v>
      </c>
      <c r="G23" s="263">
        <v>515.0</v>
      </c>
      <c r="H23" s="264">
        <v>366.0</v>
      </c>
      <c r="I23" s="264">
        <v>366.43</v>
      </c>
      <c r="J23" s="264">
        <v>-0.43</v>
      </c>
      <c r="K23" s="290">
        <v>41.78</v>
      </c>
      <c r="L23" s="54"/>
      <c r="M23" s="79">
        <f>SUM(F20:F27)</f>
        <v>5578</v>
      </c>
      <c r="N23" s="79">
        <f>SUM(I20:I27)</f>
        <v>2414.64</v>
      </c>
      <c r="O23" s="214">
        <f>N23/M23*100</f>
        <v>43.28863392</v>
      </c>
      <c r="P23" s="86"/>
      <c r="Q23" s="54"/>
      <c r="R23" s="54"/>
    </row>
    <row r="24">
      <c r="A24" s="54"/>
      <c r="B24" s="262">
        <v>45337.0</v>
      </c>
      <c r="C24" s="314"/>
      <c r="D24" s="316"/>
      <c r="E24" s="263">
        <v>1408845.0</v>
      </c>
      <c r="F24" s="263">
        <v>535.0</v>
      </c>
      <c r="G24" s="263">
        <v>512.0</v>
      </c>
      <c r="H24" s="264">
        <v>335.0</v>
      </c>
      <c r="I24" s="264">
        <v>330.72</v>
      </c>
      <c r="J24" s="264">
        <v>4.28</v>
      </c>
      <c r="K24" s="290">
        <v>61.82</v>
      </c>
      <c r="L24" s="54"/>
      <c r="M24" s="54"/>
      <c r="N24" s="54"/>
      <c r="O24" s="54"/>
      <c r="P24" s="86"/>
      <c r="Q24" s="54"/>
      <c r="R24" s="54"/>
    </row>
    <row r="25">
      <c r="A25" s="54"/>
      <c r="B25" s="262">
        <v>45341.0</v>
      </c>
      <c r="C25" s="314"/>
      <c r="D25" s="316"/>
      <c r="E25" s="263">
        <v>1409370.0</v>
      </c>
      <c r="F25" s="263">
        <v>525.0</v>
      </c>
      <c r="G25" s="263">
        <v>515.0</v>
      </c>
      <c r="H25" s="264">
        <v>308.0</v>
      </c>
      <c r="I25" s="264">
        <v>303.55</v>
      </c>
      <c r="J25" s="264">
        <v>4.45</v>
      </c>
      <c r="K25" s="290">
        <v>57.82</v>
      </c>
      <c r="L25" s="54"/>
      <c r="M25" s="54"/>
      <c r="N25" s="54"/>
      <c r="O25" s="54"/>
      <c r="P25" s="86"/>
      <c r="Q25" s="54"/>
      <c r="R25" s="54"/>
    </row>
    <row r="26">
      <c r="A26" s="54"/>
      <c r="B26" s="262">
        <v>45344.0</v>
      </c>
      <c r="C26" s="314"/>
      <c r="D26" s="316"/>
      <c r="E26" s="263">
        <v>1409974.0</v>
      </c>
      <c r="F26" s="263">
        <v>604.0</v>
      </c>
      <c r="G26" s="263">
        <v>387.0</v>
      </c>
      <c r="H26" s="264">
        <v>209.0</v>
      </c>
      <c r="I26" s="264">
        <v>196.0</v>
      </c>
      <c r="J26" s="264">
        <v>13.0</v>
      </c>
      <c r="K26" s="290">
        <v>32.45</v>
      </c>
      <c r="L26" s="54"/>
      <c r="M26" s="54"/>
      <c r="N26" s="54"/>
      <c r="O26" s="54"/>
      <c r="P26" s="86"/>
      <c r="Q26" s="54"/>
      <c r="R26" s="54"/>
    </row>
    <row r="27">
      <c r="A27" s="54"/>
      <c r="B27" s="262">
        <v>45347.0</v>
      </c>
      <c r="C27" s="314"/>
      <c r="D27" s="316"/>
      <c r="E27" s="263">
        <v>1410496.0</v>
      </c>
      <c r="F27" s="263">
        <v>522.0</v>
      </c>
      <c r="G27" s="263">
        <v>515.0</v>
      </c>
      <c r="H27" s="264">
        <v>371.0</v>
      </c>
      <c r="I27" s="264">
        <v>370.06</v>
      </c>
      <c r="J27" s="264">
        <v>0.94</v>
      </c>
      <c r="K27" s="290">
        <v>70.89</v>
      </c>
      <c r="L27" s="54"/>
      <c r="M27" s="54"/>
      <c r="N27" s="54"/>
      <c r="O27" s="54"/>
      <c r="P27" s="86"/>
      <c r="Q27" s="54"/>
      <c r="R27" s="54"/>
    </row>
    <row r="28">
      <c r="A28" s="66"/>
      <c r="B28" s="67" t="s">
        <v>72</v>
      </c>
      <c r="J28" s="66"/>
      <c r="K28" s="66"/>
      <c r="L28" s="66"/>
      <c r="M28" s="68"/>
      <c r="N28" s="68"/>
      <c r="O28" s="68"/>
      <c r="P28" s="113"/>
      <c r="Q28" s="66"/>
      <c r="R28" s="66"/>
      <c r="S28" s="68"/>
      <c r="T28" s="68"/>
      <c r="U28" s="68"/>
      <c r="V28" s="68"/>
      <c r="W28" s="68"/>
      <c r="X28" s="68"/>
      <c r="Y28" s="68"/>
      <c r="Z28" s="68"/>
      <c r="AA28" s="68"/>
    </row>
    <row r="29">
      <c r="A29" s="54"/>
      <c r="B29" s="94">
        <v>45353.0</v>
      </c>
      <c r="C29" s="94"/>
      <c r="D29" s="95"/>
      <c r="E29" s="104">
        <v>1411297.0</v>
      </c>
      <c r="F29" s="96">
        <f>E29-E27</f>
        <v>801</v>
      </c>
      <c r="G29" s="96">
        <v>515.0</v>
      </c>
      <c r="H29" s="97">
        <v>317.0</v>
      </c>
      <c r="I29" s="97">
        <v>326.37</v>
      </c>
      <c r="J29" s="97">
        <f>H29-I29</f>
        <v>-9.37</v>
      </c>
      <c r="K29" s="202">
        <f>I29/F29*100</f>
        <v>40.74531835</v>
      </c>
      <c r="L29" s="54"/>
      <c r="P29" s="86"/>
      <c r="Q29" s="54"/>
      <c r="R29" s="54"/>
    </row>
    <row r="30">
      <c r="A30" s="54"/>
      <c r="B30" s="94">
        <v>45353.0</v>
      </c>
      <c r="C30" s="94"/>
      <c r="D30" s="95"/>
      <c r="E30" s="96" t="s">
        <v>87</v>
      </c>
      <c r="F30" s="96"/>
      <c r="G30" s="96"/>
      <c r="H30" s="97"/>
      <c r="I30" s="97"/>
      <c r="J30" s="97">
        <v>-55.9</v>
      </c>
      <c r="K30" s="202"/>
      <c r="L30" s="54"/>
      <c r="P30" s="86"/>
      <c r="Q30" s="54"/>
      <c r="R30" s="54"/>
    </row>
    <row r="31">
      <c r="A31" s="54"/>
      <c r="B31" s="94">
        <v>45355.0</v>
      </c>
      <c r="C31" s="94"/>
      <c r="D31" s="95"/>
      <c r="E31" s="104">
        <v>1412336.0</v>
      </c>
      <c r="F31" s="96">
        <f>E31-E29</f>
        <v>1039</v>
      </c>
      <c r="G31" s="96">
        <v>515.0</v>
      </c>
      <c r="H31" s="97">
        <v>349.0</v>
      </c>
      <c r="I31" s="97">
        <v>353.88</v>
      </c>
      <c r="J31" s="97">
        <f t="shared" ref="J31:J32" si="2">H31-I31</f>
        <v>-4.88</v>
      </c>
      <c r="K31" s="202">
        <f t="shared" ref="K31:K35" si="3">I31/F31*100</f>
        <v>34.05967276</v>
      </c>
      <c r="L31" s="54"/>
      <c r="M31" s="74" t="s">
        <v>73</v>
      </c>
      <c r="N31" s="75"/>
      <c r="O31" s="76"/>
      <c r="P31" s="86"/>
      <c r="Q31" s="54"/>
      <c r="R31" s="54"/>
    </row>
    <row r="32">
      <c r="A32" s="54"/>
      <c r="B32" s="94">
        <v>45359.0</v>
      </c>
      <c r="C32" s="94"/>
      <c r="D32" s="95"/>
      <c r="E32" s="96">
        <v>1413137.0</v>
      </c>
      <c r="F32" s="96">
        <f t="shared" ref="F32:F36" si="4">E32-E31</f>
        <v>801</v>
      </c>
      <c r="G32" s="96">
        <v>515.0</v>
      </c>
      <c r="H32" s="97">
        <v>336.0</v>
      </c>
      <c r="I32" s="97">
        <v>344.38</v>
      </c>
      <c r="J32" s="97">
        <f t="shared" si="2"/>
        <v>-8.38</v>
      </c>
      <c r="K32" s="202">
        <f t="shared" si="3"/>
        <v>42.9937578</v>
      </c>
      <c r="L32" s="54"/>
      <c r="M32" s="77" t="s">
        <v>281</v>
      </c>
      <c r="N32" s="77" t="s">
        <v>71</v>
      </c>
      <c r="O32" s="77" t="s">
        <v>27</v>
      </c>
      <c r="P32" s="86"/>
      <c r="Q32" s="54"/>
      <c r="R32" s="54"/>
    </row>
    <row r="33">
      <c r="A33" s="54"/>
      <c r="B33" s="94">
        <v>45361.0</v>
      </c>
      <c r="C33" s="94"/>
      <c r="D33" s="95"/>
      <c r="E33" s="96">
        <v>1414159.0</v>
      </c>
      <c r="F33" s="96">
        <f t="shared" si="4"/>
        <v>1022</v>
      </c>
      <c r="G33" s="96">
        <v>515.0</v>
      </c>
      <c r="H33" s="97">
        <v>333.0</v>
      </c>
      <c r="I33" s="97">
        <v>351.18</v>
      </c>
      <c r="J33" s="97">
        <v>-18.18</v>
      </c>
      <c r="K33" s="202">
        <f t="shared" si="3"/>
        <v>34.36203523</v>
      </c>
      <c r="L33" s="54"/>
      <c r="M33" s="79">
        <f>SUM(F29:F36)</f>
        <v>6291</v>
      </c>
      <c r="N33" s="79">
        <f>SUM(I29:I36)</f>
        <v>2486.81</v>
      </c>
      <c r="O33" s="214">
        <f>N33/M33*100</f>
        <v>39.52964553</v>
      </c>
      <c r="P33" s="86"/>
      <c r="Q33" s="54"/>
      <c r="R33" s="54"/>
    </row>
    <row r="34">
      <c r="A34" s="54"/>
      <c r="B34" s="98">
        <v>45365.0</v>
      </c>
      <c r="C34" s="98"/>
      <c r="D34" s="99"/>
      <c r="E34" s="104">
        <v>1415143.0</v>
      </c>
      <c r="F34" s="96">
        <f t="shared" si="4"/>
        <v>984</v>
      </c>
      <c r="G34" s="100">
        <v>515.0</v>
      </c>
      <c r="H34" s="101">
        <v>388.0</v>
      </c>
      <c r="I34" s="101">
        <v>390.93</v>
      </c>
      <c r="J34" s="102">
        <f t="shared" ref="J34:J35" si="5">H34-I34</f>
        <v>-2.93</v>
      </c>
      <c r="K34" s="202">
        <f t="shared" si="3"/>
        <v>39.72865854</v>
      </c>
      <c r="L34" s="54"/>
      <c r="M34" s="120"/>
      <c r="N34" s="120"/>
      <c r="O34" s="120"/>
      <c r="P34" s="86"/>
      <c r="Q34" s="54"/>
      <c r="R34" s="54"/>
    </row>
    <row r="35">
      <c r="A35" s="54"/>
      <c r="B35" s="94">
        <v>45369.0</v>
      </c>
      <c r="C35" s="94"/>
      <c r="D35" s="95"/>
      <c r="E35" s="104">
        <v>1415855.0</v>
      </c>
      <c r="F35" s="96">
        <f t="shared" si="4"/>
        <v>712</v>
      </c>
      <c r="G35" s="96">
        <v>515.0</v>
      </c>
      <c r="H35" s="97">
        <v>349.0</v>
      </c>
      <c r="I35" s="97">
        <v>344.05</v>
      </c>
      <c r="J35" s="102">
        <f t="shared" si="5"/>
        <v>4.95</v>
      </c>
      <c r="K35" s="202">
        <f t="shared" si="3"/>
        <v>48.32162921</v>
      </c>
      <c r="L35" s="54"/>
      <c r="M35" s="120"/>
      <c r="N35" s="120"/>
      <c r="O35" s="120"/>
      <c r="P35" s="86"/>
      <c r="Q35" s="54"/>
      <c r="R35" s="54"/>
    </row>
    <row r="36">
      <c r="A36" s="54"/>
      <c r="B36" s="94">
        <v>45372.0</v>
      </c>
      <c r="C36" s="94"/>
      <c r="D36" s="95"/>
      <c r="E36" s="96">
        <v>1416787.0</v>
      </c>
      <c r="F36" s="96">
        <f t="shared" si="4"/>
        <v>932</v>
      </c>
      <c r="G36" s="96">
        <v>515.0</v>
      </c>
      <c r="H36" s="97">
        <v>370.0</v>
      </c>
      <c r="I36" s="97">
        <v>376.02</v>
      </c>
      <c r="J36" s="97">
        <v>-6.02</v>
      </c>
      <c r="K36" s="97">
        <v>14.31</v>
      </c>
      <c r="L36" s="54"/>
      <c r="P36" s="86"/>
      <c r="Q36" s="54"/>
      <c r="R36" s="54"/>
    </row>
    <row r="37">
      <c r="A37" s="66"/>
      <c r="B37" s="67" t="s">
        <v>74</v>
      </c>
      <c r="J37" s="66"/>
      <c r="K37" s="66"/>
      <c r="L37" s="66"/>
      <c r="M37" s="66"/>
      <c r="N37" s="66"/>
      <c r="O37" s="66"/>
      <c r="P37" s="113"/>
      <c r="Q37" s="66"/>
      <c r="R37" s="66"/>
      <c r="S37" s="68"/>
      <c r="T37" s="68"/>
      <c r="U37" s="68"/>
      <c r="V37" s="68"/>
      <c r="W37" s="68"/>
      <c r="X37" s="68"/>
      <c r="Y37" s="68"/>
      <c r="Z37" s="68"/>
      <c r="AA37" s="68"/>
    </row>
    <row r="38">
      <c r="A38" s="54"/>
      <c r="B38" s="70">
        <v>45406.0</v>
      </c>
      <c r="C38" s="313"/>
      <c r="D38" s="315"/>
      <c r="E38" s="260">
        <v>1417603.0</v>
      </c>
      <c r="F38" s="260">
        <v>816.0</v>
      </c>
      <c r="G38" s="260">
        <v>515.0</v>
      </c>
      <c r="H38" s="261">
        <v>381.0</v>
      </c>
      <c r="I38" s="261">
        <v>384.76</v>
      </c>
      <c r="J38" s="261">
        <v>-3.76</v>
      </c>
      <c r="K38" s="290">
        <v>47.15</v>
      </c>
      <c r="L38" s="54"/>
      <c r="M38" s="54"/>
      <c r="N38" s="54"/>
      <c r="O38" s="54"/>
      <c r="P38" s="86"/>
      <c r="Q38" s="54"/>
      <c r="R38" s="54"/>
    </row>
    <row r="39">
      <c r="A39" s="66"/>
      <c r="B39" s="67" t="s">
        <v>75</v>
      </c>
      <c r="J39" s="66"/>
      <c r="K39" s="66"/>
      <c r="L39" s="66"/>
      <c r="M39" s="66"/>
      <c r="N39" s="66"/>
      <c r="O39" s="66"/>
      <c r="P39" s="113"/>
      <c r="Q39" s="66"/>
      <c r="R39" s="66"/>
      <c r="S39" s="68"/>
      <c r="T39" s="68"/>
      <c r="U39" s="68"/>
      <c r="V39" s="68"/>
      <c r="W39" s="68"/>
      <c r="X39" s="68"/>
      <c r="Y39" s="68"/>
      <c r="Z39" s="68"/>
      <c r="AA39" s="68"/>
    </row>
    <row r="40">
      <c r="A40" s="54"/>
      <c r="B40" s="71" t="s">
        <v>133</v>
      </c>
      <c r="C40" s="260"/>
      <c r="D40" s="315"/>
      <c r="E40" s="260">
        <v>1418640.0</v>
      </c>
      <c r="F40" s="260">
        <v>1037.0</v>
      </c>
      <c r="G40" s="260">
        <v>515.0</v>
      </c>
      <c r="H40" s="261">
        <v>371.0</v>
      </c>
      <c r="I40" s="261">
        <v>363.69</v>
      </c>
      <c r="J40" s="261">
        <v>7.31</v>
      </c>
      <c r="K40" s="290">
        <v>35.07</v>
      </c>
      <c r="L40" s="54"/>
      <c r="M40" s="74" t="s">
        <v>282</v>
      </c>
      <c r="N40" s="75"/>
      <c r="O40" s="75"/>
      <c r="P40" s="75"/>
      <c r="Q40" s="76"/>
      <c r="R40" s="54"/>
    </row>
    <row r="41">
      <c r="A41" s="54"/>
      <c r="B41" s="317" t="s">
        <v>283</v>
      </c>
      <c r="C41" s="263"/>
      <c r="D41" s="316"/>
      <c r="E41" s="263">
        <v>1419286.0</v>
      </c>
      <c r="F41" s="263">
        <v>646.0</v>
      </c>
      <c r="G41" s="263">
        <v>515.0</v>
      </c>
      <c r="H41" s="264">
        <v>342.0</v>
      </c>
      <c r="I41" s="264">
        <v>342.2</v>
      </c>
      <c r="J41" s="264">
        <v>-0.2</v>
      </c>
      <c r="K41" s="290">
        <v>52.97</v>
      </c>
      <c r="L41" s="54"/>
      <c r="M41" s="101" t="s">
        <v>70</v>
      </c>
      <c r="N41" s="101" t="s">
        <v>71</v>
      </c>
      <c r="O41" s="101" t="s">
        <v>163</v>
      </c>
      <c r="P41" s="77" t="s">
        <v>164</v>
      </c>
      <c r="Q41" s="101" t="s">
        <v>27</v>
      </c>
      <c r="R41" s="54"/>
    </row>
    <row r="42">
      <c r="A42" s="54"/>
      <c r="B42" s="262">
        <v>45439.0</v>
      </c>
      <c r="C42" s="314"/>
      <c r="D42" s="316"/>
      <c r="E42" s="263">
        <v>1420640.0</v>
      </c>
      <c r="F42" s="263">
        <v>1354.0</v>
      </c>
      <c r="G42" s="263">
        <v>446.0</v>
      </c>
      <c r="H42" s="264">
        <v>311.0</v>
      </c>
      <c r="I42" s="264">
        <v>300.0</v>
      </c>
      <c r="J42" s="264">
        <v>11.0</v>
      </c>
      <c r="K42" s="290">
        <v>22.16</v>
      </c>
      <c r="L42" s="54"/>
      <c r="M42" s="101">
        <f>SUM(F40:F45)</f>
        <v>5349</v>
      </c>
      <c r="N42" s="102">
        <f>SUM(I40:I45)</f>
        <v>1779.62</v>
      </c>
      <c r="O42" s="102">
        <f>SUM(H40:H45)</f>
        <v>1917</v>
      </c>
      <c r="P42" s="79">
        <f>O42-N42</f>
        <v>137.38</v>
      </c>
      <c r="Q42" s="103">
        <f>N42/M42*100</f>
        <v>33.27014395</v>
      </c>
      <c r="R42" s="54"/>
    </row>
    <row r="43">
      <c r="A43" s="54"/>
      <c r="B43" s="262">
        <v>45440.0</v>
      </c>
      <c r="C43" s="314"/>
      <c r="D43" s="316"/>
      <c r="E43" s="263">
        <v>1421587.0</v>
      </c>
      <c r="F43" s="263">
        <v>947.0</v>
      </c>
      <c r="G43" s="263">
        <v>515.0</v>
      </c>
      <c r="H43" s="264">
        <v>416.0</v>
      </c>
      <c r="I43" s="264">
        <v>310.57</v>
      </c>
      <c r="J43" s="264">
        <v>105.43</v>
      </c>
      <c r="K43" s="290">
        <v>32.8</v>
      </c>
      <c r="L43" s="54"/>
      <c r="M43" s="54"/>
      <c r="N43" s="54"/>
      <c r="O43" s="54"/>
      <c r="P43" s="86"/>
      <c r="Q43" s="54"/>
      <c r="R43" s="54"/>
    </row>
    <row r="44">
      <c r="A44" s="54"/>
      <c r="B44" s="262">
        <v>45442.0</v>
      </c>
      <c r="C44" s="314"/>
      <c r="D44" s="316"/>
      <c r="E44" s="263">
        <v>1422291.0</v>
      </c>
      <c r="F44" s="263">
        <v>704.0</v>
      </c>
      <c r="G44" s="263">
        <v>464.0</v>
      </c>
      <c r="H44" s="264">
        <v>197.0</v>
      </c>
      <c r="I44" s="264">
        <v>189.0</v>
      </c>
      <c r="J44" s="264">
        <v>8.0</v>
      </c>
      <c r="K44" s="290">
        <v>26.85</v>
      </c>
      <c r="L44" s="54"/>
      <c r="M44" s="54"/>
      <c r="N44" s="74" t="s">
        <v>284</v>
      </c>
      <c r="O44" s="75"/>
      <c r="P44" s="76"/>
      <c r="Q44" s="54"/>
      <c r="R44" s="54"/>
    </row>
    <row r="45">
      <c r="A45" s="54"/>
      <c r="B45" s="262">
        <v>45443.0</v>
      </c>
      <c r="C45" s="314"/>
      <c r="D45" s="316"/>
      <c r="E45" s="263">
        <v>1422952.0</v>
      </c>
      <c r="F45" s="263">
        <v>661.0</v>
      </c>
      <c r="G45" s="263">
        <v>515.0</v>
      </c>
      <c r="H45" s="264">
        <v>280.0</v>
      </c>
      <c r="I45" s="264">
        <v>274.16</v>
      </c>
      <c r="J45" s="264">
        <f>H45-I45</f>
        <v>5.84</v>
      </c>
      <c r="K45" s="318">
        <f>I45/F45*100</f>
        <v>41.47655068</v>
      </c>
      <c r="L45" s="54"/>
      <c r="M45" s="54"/>
      <c r="N45" s="319">
        <f>AVERAGE(K40:K45)</f>
        <v>35.22109178</v>
      </c>
      <c r="O45" s="75"/>
      <c r="P45" s="76"/>
      <c r="Q45" s="54"/>
      <c r="R45" s="54"/>
    </row>
    <row r="46">
      <c r="A46" s="66"/>
      <c r="B46" s="67" t="s">
        <v>90</v>
      </c>
      <c r="J46" s="66"/>
      <c r="K46" s="66"/>
      <c r="L46" s="66"/>
      <c r="M46" s="66"/>
      <c r="N46" s="66"/>
      <c r="O46" s="66"/>
      <c r="P46" s="113"/>
      <c r="Q46" s="66"/>
      <c r="R46" s="66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54"/>
      <c r="B47" s="70">
        <v>45444.0</v>
      </c>
      <c r="C47" s="313"/>
      <c r="D47" s="315"/>
      <c r="E47" s="260">
        <v>1423759.0</v>
      </c>
      <c r="F47" s="260">
        <v>807.0</v>
      </c>
      <c r="G47" s="260">
        <v>492.0</v>
      </c>
      <c r="H47" s="261">
        <v>217.0</v>
      </c>
      <c r="I47" s="261">
        <v>208.39</v>
      </c>
      <c r="J47" s="261">
        <v>8.61</v>
      </c>
      <c r="K47" s="290">
        <v>25.82</v>
      </c>
      <c r="L47" s="54"/>
      <c r="M47" s="54"/>
      <c r="N47" s="54"/>
      <c r="O47" s="54"/>
      <c r="P47" s="86"/>
      <c r="Q47" s="54"/>
      <c r="R47" s="54"/>
    </row>
    <row r="48">
      <c r="A48" s="66"/>
      <c r="B48" s="67" t="s">
        <v>92</v>
      </c>
      <c r="J48" s="66"/>
      <c r="K48" s="66"/>
      <c r="L48" s="66"/>
      <c r="M48" s="66"/>
      <c r="N48" s="66"/>
      <c r="O48" s="66"/>
      <c r="P48" s="113"/>
      <c r="Q48" s="66"/>
      <c r="R48" s="66"/>
      <c r="S48" s="68"/>
      <c r="T48" s="68"/>
      <c r="U48" s="68"/>
      <c r="V48" s="68"/>
      <c r="W48" s="68"/>
      <c r="X48" s="68"/>
      <c r="Y48" s="68"/>
      <c r="Z48" s="68"/>
      <c r="AA48" s="68"/>
    </row>
    <row r="49">
      <c r="A49" s="54"/>
      <c r="B49" s="201">
        <v>45474.0</v>
      </c>
      <c r="C49" s="201"/>
      <c r="D49" s="95"/>
      <c r="E49" s="128">
        <v>1425092.0</v>
      </c>
      <c r="F49" s="96">
        <f>E49-E47</f>
        <v>1333</v>
      </c>
      <c r="G49" s="96">
        <v>515.0</v>
      </c>
      <c r="H49" s="97">
        <v>416.0</v>
      </c>
      <c r="I49" s="97">
        <v>415.56</v>
      </c>
      <c r="J49" s="97">
        <v>0.44</v>
      </c>
      <c r="K49" s="97">
        <v>31.17</v>
      </c>
      <c r="L49" s="54"/>
      <c r="M49" s="74" t="s">
        <v>262</v>
      </c>
      <c r="N49" s="75"/>
      <c r="O49" s="76"/>
      <c r="P49" s="86"/>
      <c r="Q49" s="54"/>
      <c r="R49" s="54"/>
    </row>
    <row r="50">
      <c r="A50" s="54"/>
      <c r="B50" s="98">
        <v>45491.0</v>
      </c>
      <c r="C50" s="98"/>
      <c r="D50" s="102"/>
      <c r="E50" s="100">
        <v>1426027.0</v>
      </c>
      <c r="F50" s="96">
        <f t="shared" ref="F50:F51" si="6">E50-E49</f>
        <v>935</v>
      </c>
      <c r="G50" s="100">
        <v>515.0</v>
      </c>
      <c r="H50" s="101">
        <v>336.0</v>
      </c>
      <c r="I50" s="101">
        <v>353.29</v>
      </c>
      <c r="J50" s="102">
        <f t="shared" ref="J50:J51" si="7">H50-I50</f>
        <v>-17.29</v>
      </c>
      <c r="K50" s="103">
        <f t="shared" ref="K50:K51" si="8">I50/F50*100</f>
        <v>37.78502674</v>
      </c>
      <c r="L50" s="54"/>
      <c r="M50" s="77" t="s">
        <v>70</v>
      </c>
      <c r="N50" s="77" t="s">
        <v>119</v>
      </c>
      <c r="O50" s="77" t="s">
        <v>27</v>
      </c>
      <c r="P50" s="86"/>
      <c r="Q50" s="54"/>
      <c r="R50" s="54"/>
    </row>
    <row r="51">
      <c r="A51" s="54"/>
      <c r="B51" s="98">
        <v>45498.0</v>
      </c>
      <c r="C51" s="98"/>
      <c r="D51" s="99"/>
      <c r="E51" s="104">
        <v>1427244.0</v>
      </c>
      <c r="F51" s="96">
        <f t="shared" si="6"/>
        <v>1217</v>
      </c>
      <c r="G51" s="100">
        <v>515.0</v>
      </c>
      <c r="H51" s="101">
        <v>391.0</v>
      </c>
      <c r="I51" s="101">
        <v>400.0</v>
      </c>
      <c r="J51" s="102">
        <f t="shared" si="7"/>
        <v>-9</v>
      </c>
      <c r="K51" s="103">
        <f t="shared" si="8"/>
        <v>32.86770748</v>
      </c>
      <c r="L51" s="54"/>
      <c r="M51" s="79">
        <f>SUM(F49:F51)</f>
        <v>3485</v>
      </c>
      <c r="N51" s="79">
        <f>SUM(I49:I51)</f>
        <v>1168.85</v>
      </c>
      <c r="O51" s="214">
        <f>N51/M51*100</f>
        <v>33.53945481</v>
      </c>
      <c r="P51" s="86"/>
      <c r="Q51" s="54"/>
      <c r="R51" s="54"/>
    </row>
    <row r="52">
      <c r="A52" s="66"/>
      <c r="B52" s="67" t="s">
        <v>95</v>
      </c>
      <c r="J52" s="66"/>
      <c r="K52" s="66"/>
      <c r="L52" s="66"/>
      <c r="M52" s="66"/>
      <c r="N52" s="66"/>
      <c r="O52" s="66"/>
      <c r="P52" s="113"/>
      <c r="Q52" s="66"/>
      <c r="R52" s="66"/>
      <c r="S52" s="68"/>
      <c r="T52" s="68"/>
      <c r="U52" s="68"/>
      <c r="V52" s="68"/>
      <c r="W52" s="68"/>
      <c r="X52" s="68"/>
      <c r="Y52" s="68"/>
      <c r="Z52" s="68"/>
      <c r="AA52" s="68"/>
    </row>
    <row r="53">
      <c r="A53" s="54"/>
      <c r="B53" s="98">
        <v>45505.0</v>
      </c>
      <c r="C53" s="98"/>
      <c r="D53" s="99"/>
      <c r="E53" s="104">
        <v>1428242.0</v>
      </c>
      <c r="F53" s="99">
        <f>E53-E51</f>
        <v>998</v>
      </c>
      <c r="G53" s="100">
        <v>479.0</v>
      </c>
      <c r="H53" s="101">
        <v>308.0</v>
      </c>
      <c r="I53" s="101">
        <v>300.0</v>
      </c>
      <c r="J53" s="102">
        <f t="shared" ref="J53:J57" si="9">H53-I53</f>
        <v>8</v>
      </c>
      <c r="K53" s="103">
        <f t="shared" ref="K53:K57" si="10">I53/F53*100</f>
        <v>30.06012024</v>
      </c>
      <c r="L53" s="54"/>
      <c r="M53" s="82" t="str">
        <f>"тотал"&amp;" "&amp;B52</f>
        <v>тотал АВГУСТ</v>
      </c>
      <c r="N53" s="75"/>
      <c r="O53" s="76"/>
      <c r="P53" s="86"/>
      <c r="Q53" s="54"/>
      <c r="R53" s="54"/>
    </row>
    <row r="54">
      <c r="A54" s="54"/>
      <c r="B54" s="98">
        <v>45516.0</v>
      </c>
      <c r="C54" s="98"/>
      <c r="D54" s="99"/>
      <c r="E54" s="100">
        <v>1429257.0</v>
      </c>
      <c r="F54" s="99">
        <f t="shared" ref="F54:F57" si="11">E54-E53</f>
        <v>1015</v>
      </c>
      <c r="G54" s="100">
        <v>504.0</v>
      </c>
      <c r="H54" s="101">
        <v>357.0</v>
      </c>
      <c r="I54" s="101">
        <v>400.0</v>
      </c>
      <c r="J54" s="102">
        <f t="shared" si="9"/>
        <v>-43</v>
      </c>
      <c r="K54" s="103">
        <f t="shared" si="10"/>
        <v>39.408867</v>
      </c>
      <c r="L54" s="54"/>
      <c r="M54" s="83" t="s">
        <v>70</v>
      </c>
      <c r="N54" s="83" t="s">
        <v>71</v>
      </c>
      <c r="O54" s="83" t="s">
        <v>27</v>
      </c>
      <c r="P54" s="86"/>
      <c r="Q54" s="54"/>
      <c r="R54" s="54"/>
    </row>
    <row r="55">
      <c r="A55" s="54"/>
      <c r="B55" s="98">
        <v>45524.0</v>
      </c>
      <c r="C55" s="98"/>
      <c r="D55" s="99"/>
      <c r="E55" s="100">
        <v>1430500.0</v>
      </c>
      <c r="F55" s="99">
        <f t="shared" si="11"/>
        <v>1243</v>
      </c>
      <c r="G55" s="100">
        <v>464.0</v>
      </c>
      <c r="H55" s="101">
        <v>364.0</v>
      </c>
      <c r="I55" s="101">
        <v>350.0</v>
      </c>
      <c r="J55" s="102">
        <f t="shared" si="9"/>
        <v>14</v>
      </c>
      <c r="K55" s="103">
        <f t="shared" si="10"/>
        <v>28.15768302</v>
      </c>
      <c r="L55" s="54"/>
      <c r="M55" s="84">
        <f>SUM(F53:F57)</f>
        <v>5002</v>
      </c>
      <c r="N55" s="84">
        <f>SUM(I53:I57)</f>
        <v>1699.67</v>
      </c>
      <c r="O55" s="85">
        <f>N55/M55*100</f>
        <v>33.97980808</v>
      </c>
      <c r="P55" s="86"/>
      <c r="Q55" s="54"/>
      <c r="R55" s="54"/>
    </row>
    <row r="56">
      <c r="A56" s="54"/>
      <c r="B56" s="98">
        <v>45529.0</v>
      </c>
      <c r="C56" s="98"/>
      <c r="D56" s="100" t="s">
        <v>285</v>
      </c>
      <c r="E56" s="104">
        <v>1431332.0</v>
      </c>
      <c r="F56" s="99">
        <f t="shared" si="11"/>
        <v>832</v>
      </c>
      <c r="G56" s="100">
        <v>515.0</v>
      </c>
      <c r="H56" s="101">
        <v>344.0</v>
      </c>
      <c r="I56" s="101">
        <v>350.0</v>
      </c>
      <c r="J56" s="102">
        <f t="shared" si="9"/>
        <v>-6</v>
      </c>
      <c r="K56" s="103">
        <f t="shared" si="10"/>
        <v>42.06730769</v>
      </c>
      <c r="L56" s="54"/>
      <c r="M56" s="54"/>
      <c r="N56" s="54"/>
      <c r="O56" s="54"/>
      <c r="P56" s="86"/>
      <c r="Q56" s="54"/>
      <c r="R56" s="54"/>
    </row>
    <row r="57">
      <c r="A57" s="54"/>
      <c r="B57" s="98">
        <v>45533.0</v>
      </c>
      <c r="C57" s="98"/>
      <c r="D57" s="99"/>
      <c r="E57" s="104">
        <v>1432246.0</v>
      </c>
      <c r="F57" s="99">
        <f t="shared" si="11"/>
        <v>914</v>
      </c>
      <c r="G57" s="100">
        <v>515.0</v>
      </c>
      <c r="H57" s="101">
        <v>302.0</v>
      </c>
      <c r="I57" s="101">
        <v>299.67</v>
      </c>
      <c r="J57" s="102">
        <f t="shared" si="9"/>
        <v>2.33</v>
      </c>
      <c r="K57" s="103">
        <f t="shared" si="10"/>
        <v>32.78665208</v>
      </c>
      <c r="L57" s="54"/>
      <c r="M57" s="54"/>
      <c r="N57" s="54"/>
      <c r="O57" s="54"/>
      <c r="P57" s="86"/>
      <c r="Q57" s="54"/>
      <c r="R57" s="54"/>
    </row>
    <row r="58">
      <c r="A58" s="68"/>
      <c r="B58" s="88" t="str">
        <f>IF(L58=4,"АПРЕЛЬ",IF(L58=5,"МАЙ",IF(L58=1,"ЯНВАРЬ",IF(L58=2,"ФЕВРАЛЬ",IF(L58=3,"МАРТ",IF(L58=6,"ИЮНЬ",IF(L58=7,"ИЮЛЬ",IF(L58=8,"АВГУСТ",IF(L58=9,"СЕНТЯБРЬ",IF(L58=10,"ОКТЯБРЬ",IF(L58=11,"НОЯБРЬ",IF(L58=12,"ДЕКАБРЬ"))))))))))))</f>
        <v>СЕНТЯБРЬ</v>
      </c>
      <c r="J58" s="88"/>
      <c r="K58" s="88"/>
      <c r="L58" s="91">
        <f>MONTH(B59)</f>
        <v>9</v>
      </c>
      <c r="M58" s="66"/>
      <c r="N58" s="66"/>
      <c r="O58" s="66"/>
      <c r="P58" s="113"/>
      <c r="Q58" s="66"/>
      <c r="R58" s="66"/>
      <c r="S58" s="68"/>
      <c r="T58" s="68"/>
      <c r="U58" s="68"/>
      <c r="V58" s="68"/>
      <c r="W58" s="68"/>
      <c r="X58" s="68"/>
      <c r="Y58" s="68"/>
      <c r="Z58" s="68"/>
      <c r="AA58" s="68"/>
    </row>
    <row r="59">
      <c r="A59" s="54"/>
      <c r="B59" s="98">
        <v>45538.0</v>
      </c>
      <c r="C59" s="98"/>
      <c r="D59" s="99"/>
      <c r="E59" s="104">
        <v>1433028.0</v>
      </c>
      <c r="F59" s="99">
        <f>E59-E57</f>
        <v>782</v>
      </c>
      <c r="G59" s="100">
        <v>514.0</v>
      </c>
      <c r="H59" s="101">
        <v>262.0</v>
      </c>
      <c r="I59" s="101">
        <v>250.0</v>
      </c>
      <c r="J59" s="102">
        <f t="shared" ref="J59:J64" si="12">H59-I59</f>
        <v>12</v>
      </c>
      <c r="K59" s="103">
        <f t="shared" ref="K59:K64" si="13">I59/F59*100</f>
        <v>31.96930946</v>
      </c>
      <c r="L59" s="54"/>
      <c r="M59" s="82" t="str">
        <f>"тотал"&amp;" "&amp;B58</f>
        <v>тотал СЕНТЯБРЬ</v>
      </c>
      <c r="N59" s="75"/>
      <c r="O59" s="76"/>
      <c r="P59" s="86"/>
      <c r="Q59" s="54"/>
      <c r="R59" s="54"/>
    </row>
    <row r="60">
      <c r="A60" s="54"/>
      <c r="B60" s="98">
        <v>45538.0</v>
      </c>
      <c r="C60" s="98"/>
      <c r="D60" s="99"/>
      <c r="E60" s="104">
        <v>1433101.0</v>
      </c>
      <c r="F60" s="99">
        <f t="shared" ref="F60:F64" si="14">E60-E59</f>
        <v>73</v>
      </c>
      <c r="G60" s="100">
        <v>515.0</v>
      </c>
      <c r="H60" s="101">
        <v>25.0</v>
      </c>
      <c r="I60" s="101">
        <v>50.0</v>
      </c>
      <c r="J60" s="102">
        <f t="shared" si="12"/>
        <v>-25</v>
      </c>
      <c r="K60" s="103">
        <f t="shared" si="13"/>
        <v>68.49315068</v>
      </c>
      <c r="L60" s="54"/>
      <c r="M60" s="83" t="s">
        <v>70</v>
      </c>
      <c r="N60" s="83" t="s">
        <v>71</v>
      </c>
      <c r="O60" s="83" t="s">
        <v>27</v>
      </c>
      <c r="P60" s="86"/>
      <c r="Q60" s="54"/>
      <c r="R60" s="54"/>
    </row>
    <row r="61">
      <c r="A61" s="54"/>
      <c r="B61" s="98">
        <v>45552.0</v>
      </c>
      <c r="C61" s="98"/>
      <c r="D61" s="99"/>
      <c r="E61" s="131">
        <v>1433998.0</v>
      </c>
      <c r="F61" s="99">
        <f t="shared" si="14"/>
        <v>897</v>
      </c>
      <c r="G61" s="100">
        <v>515.0</v>
      </c>
      <c r="H61" s="101">
        <v>309.0</v>
      </c>
      <c r="I61" s="101">
        <v>300.0</v>
      </c>
      <c r="J61" s="102">
        <f t="shared" si="12"/>
        <v>9</v>
      </c>
      <c r="K61" s="103">
        <f t="shared" si="13"/>
        <v>33.44481605</v>
      </c>
      <c r="L61" s="54"/>
      <c r="M61" s="84">
        <f>SUM(F59:F64)</f>
        <v>3162</v>
      </c>
      <c r="N61" s="84">
        <f>SUM(I59:I64)</f>
        <v>1134.09</v>
      </c>
      <c r="O61" s="85">
        <f>N61/M61*100</f>
        <v>35.86622391</v>
      </c>
      <c r="P61" s="86"/>
      <c r="Q61" s="54"/>
      <c r="R61" s="54"/>
    </row>
    <row r="62">
      <c r="A62" s="54"/>
      <c r="B62" s="107">
        <v>45556.0</v>
      </c>
      <c r="C62" s="107"/>
      <c r="D62" s="108"/>
      <c r="E62" s="109">
        <v>1434479.0</v>
      </c>
      <c r="F62" s="108">
        <f t="shared" si="14"/>
        <v>481</v>
      </c>
      <c r="G62" s="105">
        <v>515.0</v>
      </c>
      <c r="H62" s="320">
        <v>174.0</v>
      </c>
      <c r="I62" s="101">
        <v>192.31</v>
      </c>
      <c r="J62" s="102">
        <f t="shared" si="12"/>
        <v>-18.31</v>
      </c>
      <c r="K62" s="103">
        <f t="shared" si="13"/>
        <v>39.98128898</v>
      </c>
      <c r="L62" s="54"/>
      <c r="M62" s="54"/>
      <c r="N62" s="54"/>
      <c r="O62" s="54"/>
      <c r="P62" s="86"/>
      <c r="Q62" s="54"/>
      <c r="R62" s="54"/>
    </row>
    <row r="63">
      <c r="A63" s="54"/>
      <c r="B63" s="107">
        <v>45559.0</v>
      </c>
      <c r="C63" s="107"/>
      <c r="D63" s="108"/>
      <c r="E63" s="109">
        <v>1435049.0</v>
      </c>
      <c r="F63" s="108">
        <f t="shared" si="14"/>
        <v>570</v>
      </c>
      <c r="G63" s="105">
        <v>482.0</v>
      </c>
      <c r="H63" s="320">
        <v>159.0</v>
      </c>
      <c r="I63" s="101">
        <v>150.0</v>
      </c>
      <c r="J63" s="102">
        <f t="shared" si="12"/>
        <v>9</v>
      </c>
      <c r="K63" s="103">
        <f t="shared" si="13"/>
        <v>26.31578947</v>
      </c>
      <c r="L63" s="54"/>
      <c r="M63" s="54"/>
      <c r="N63" s="54"/>
      <c r="O63" s="54"/>
      <c r="P63" s="86"/>
      <c r="Q63" s="54"/>
      <c r="R63" s="54"/>
    </row>
    <row r="64">
      <c r="A64" s="54"/>
      <c r="B64" s="107">
        <v>45561.0</v>
      </c>
      <c r="C64" s="107"/>
      <c r="D64" s="108"/>
      <c r="E64" s="105">
        <v>1435408.0</v>
      </c>
      <c r="F64" s="108">
        <f t="shared" si="14"/>
        <v>359</v>
      </c>
      <c r="G64" s="105">
        <v>515.0</v>
      </c>
      <c r="H64" s="320">
        <v>175.0</v>
      </c>
      <c r="I64" s="101">
        <v>191.78</v>
      </c>
      <c r="J64" s="102">
        <f t="shared" si="12"/>
        <v>-16.78</v>
      </c>
      <c r="K64" s="103">
        <f t="shared" si="13"/>
        <v>53.42061281</v>
      </c>
      <c r="L64" s="54"/>
      <c r="M64" s="54"/>
      <c r="N64" s="54"/>
      <c r="O64" s="54"/>
      <c r="P64" s="86"/>
      <c r="Q64" s="54"/>
      <c r="R64" s="54"/>
    </row>
    <row r="65">
      <c r="A65" s="68"/>
      <c r="B65" s="88" t="str">
        <f>IF(L65=4,"АПРЕЛЬ",IF(L65=5,"МАЙ",IF(L65=1,"ЯНВАРЬ",IF(L65=2,"ФЕВРАЛЬ",IF(L65=3,"МАРТ",IF(L65=6,"ИЮНЬ",IF(L65=7,"ИЮЛЬ",IF(L65=8,"АВГУСТ",IF(L65=9,"СЕНТЯБРЬ",IF(L65=10,"ОКТЯБРЬ",IF(L65=11,"НОЯБРЬ",IF(L65=12,"ДЕКАБРЬ"))))))))))))</f>
        <v>ОКТЯБРЬ</v>
      </c>
      <c r="J65" s="88"/>
      <c r="K65" s="88"/>
      <c r="L65" s="91">
        <f>MONTH(B66)</f>
        <v>10</v>
      </c>
      <c r="M65" s="66"/>
      <c r="N65" s="66"/>
      <c r="O65" s="66"/>
      <c r="P65" s="113"/>
      <c r="Q65" s="66"/>
      <c r="R65" s="66"/>
      <c r="S65" s="68"/>
      <c r="T65" s="68"/>
      <c r="U65" s="68"/>
      <c r="V65" s="68"/>
      <c r="W65" s="68"/>
      <c r="X65" s="68"/>
      <c r="Y65" s="68"/>
      <c r="Z65" s="68"/>
      <c r="AA65" s="68"/>
    </row>
    <row r="66">
      <c r="A66" s="54"/>
      <c r="B66" s="110">
        <v>45566.0</v>
      </c>
      <c r="C66" s="110"/>
      <c r="D66" s="99"/>
      <c r="E66" s="100">
        <v>1435951.0</v>
      </c>
      <c r="F66" s="99">
        <f>E66-E64</f>
        <v>543</v>
      </c>
      <c r="G66" s="100">
        <v>515.0</v>
      </c>
      <c r="H66" s="101">
        <v>182.0</v>
      </c>
      <c r="I66" s="101">
        <v>193.46</v>
      </c>
      <c r="J66" s="102">
        <f t="shared" ref="J66:J69" si="15">H66-I66</f>
        <v>-11.46</v>
      </c>
      <c r="K66" s="103">
        <f t="shared" ref="K66:K69" si="16">I66/F66*100</f>
        <v>35.62799263</v>
      </c>
      <c r="L66" s="54"/>
      <c r="M66" s="82" t="str">
        <f>"тотал"&amp;" "&amp;B65&amp;" "&amp;Q66</f>
        <v>тотал ОКТЯБРЬ </v>
      </c>
      <c r="N66" s="75"/>
      <c r="O66" s="75"/>
      <c r="P66" s="75"/>
      <c r="Q66" s="76"/>
      <c r="R66" s="54"/>
    </row>
    <row r="67">
      <c r="A67" s="54"/>
      <c r="B67" s="110">
        <v>45586.0</v>
      </c>
      <c r="C67" s="110"/>
      <c r="D67" s="99"/>
      <c r="E67" s="100">
        <v>1436701.0</v>
      </c>
      <c r="F67" s="99">
        <f t="shared" ref="F67:F69" si="17">E67-E66</f>
        <v>750</v>
      </c>
      <c r="G67" s="100">
        <v>515.0</v>
      </c>
      <c r="H67" s="101">
        <v>274.0</v>
      </c>
      <c r="I67" s="101">
        <v>289.22</v>
      </c>
      <c r="J67" s="102">
        <f t="shared" si="15"/>
        <v>-15.22</v>
      </c>
      <c r="K67" s="103">
        <f t="shared" si="16"/>
        <v>38.56266667</v>
      </c>
      <c r="L67" s="54"/>
      <c r="M67" s="83" t="s">
        <v>70</v>
      </c>
      <c r="N67" s="83" t="s">
        <v>71</v>
      </c>
      <c r="O67" s="83" t="s">
        <v>27</v>
      </c>
      <c r="P67" s="77" t="s">
        <v>28</v>
      </c>
      <c r="Q67" s="12" t="s">
        <v>78</v>
      </c>
      <c r="R67" s="54"/>
    </row>
    <row r="68">
      <c r="A68" s="54"/>
      <c r="B68" s="110">
        <v>45589.0</v>
      </c>
      <c r="C68" s="110"/>
      <c r="D68" s="99"/>
      <c r="E68" s="100">
        <v>1437364.0</v>
      </c>
      <c r="F68" s="99">
        <f t="shared" si="17"/>
        <v>663</v>
      </c>
      <c r="G68" s="100">
        <v>515.0</v>
      </c>
      <c r="H68" s="101">
        <v>217.0</v>
      </c>
      <c r="I68" s="101">
        <v>232.05</v>
      </c>
      <c r="J68" s="102">
        <f t="shared" si="15"/>
        <v>-15.05</v>
      </c>
      <c r="K68" s="103">
        <f t="shared" si="16"/>
        <v>35</v>
      </c>
      <c r="L68" s="54"/>
      <c r="M68" s="84">
        <f>SUM(F66:F69)</f>
        <v>2574</v>
      </c>
      <c r="N68" s="84">
        <f>SUM(I66:I69)</f>
        <v>914.73</v>
      </c>
      <c r="O68" s="85">
        <f>N68/M68*100</f>
        <v>35.53729604</v>
      </c>
      <c r="P68" s="79">
        <f>(M68/100)*(O68-Q68)</f>
        <v>116.79</v>
      </c>
      <c r="Q68" s="78">
        <v>31.0</v>
      </c>
      <c r="R68" s="54"/>
    </row>
    <row r="69">
      <c r="A69" s="54"/>
      <c r="B69" s="110">
        <v>45593.0</v>
      </c>
      <c r="C69" s="110"/>
      <c r="D69" s="99"/>
      <c r="E69" s="100">
        <v>1437982.0</v>
      </c>
      <c r="F69" s="99">
        <f t="shared" si="17"/>
        <v>618</v>
      </c>
      <c r="G69" s="100">
        <v>515.0</v>
      </c>
      <c r="H69" s="101">
        <v>193.0</v>
      </c>
      <c r="I69" s="101">
        <v>200.0</v>
      </c>
      <c r="J69" s="102">
        <f t="shared" si="15"/>
        <v>-7</v>
      </c>
      <c r="K69" s="103">
        <f t="shared" si="16"/>
        <v>32.36245955</v>
      </c>
      <c r="L69" s="54"/>
      <c r="M69" s="54"/>
      <c r="N69" s="54"/>
      <c r="O69" s="54"/>
      <c r="P69" s="86"/>
      <c r="Q69" s="54"/>
      <c r="R69" s="54"/>
    </row>
    <row r="70">
      <c r="A70" s="68"/>
      <c r="B70" s="88" t="str">
        <f>IF(L70=4,"АПРЕЛЬ",IF(L70=5,"МАЙ",IF(L70=1,"ЯНВАРЬ",IF(L70=2,"ФЕВРАЛЬ",IF(L70=3,"МАРТ",IF(L70=6,"ИЮНЬ",IF(L70=7,"ИЮЛЬ",IF(L70=8,"АВГУСТ",IF(L70=9,"СЕНТЯБРЬ",IF(L70=10,"ОКТЯБРЬ",IF(L70=11,"НОЯБРЬ",IF(L70=12,"ДЕКАБРЬ"))))))))))))</f>
        <v>НОЯБРЬ</v>
      </c>
      <c r="J70" s="88"/>
      <c r="K70" s="88"/>
      <c r="L70" s="91">
        <f>MONTH(B71)</f>
        <v>11</v>
      </c>
      <c r="M70" s="66"/>
      <c r="N70" s="66"/>
      <c r="O70" s="66"/>
      <c r="P70" s="113"/>
      <c r="Q70" s="66"/>
      <c r="R70" s="66"/>
      <c r="S70" s="68"/>
      <c r="T70" s="68"/>
      <c r="U70" s="68"/>
      <c r="V70" s="68"/>
      <c r="W70" s="68"/>
      <c r="X70" s="68"/>
      <c r="Y70" s="68"/>
      <c r="Z70" s="68"/>
      <c r="AA70" s="68"/>
    </row>
    <row r="71">
      <c r="A71" s="54"/>
      <c r="B71" s="110">
        <v>45597.0</v>
      </c>
      <c r="C71" s="110"/>
      <c r="D71" s="99"/>
      <c r="E71" s="206">
        <v>1438678.0</v>
      </c>
      <c r="F71" s="99">
        <f>E71-E69</f>
        <v>696</v>
      </c>
      <c r="G71" s="100">
        <v>509.0</v>
      </c>
      <c r="H71" s="101">
        <v>255.0</v>
      </c>
      <c r="I71" s="101">
        <v>250.0</v>
      </c>
      <c r="J71" s="102">
        <f t="shared" ref="J71:J78" si="18">H71-I71</f>
        <v>5</v>
      </c>
      <c r="K71" s="103">
        <f t="shared" ref="K71:K78" si="19">I71/F71*100</f>
        <v>35.91954023</v>
      </c>
      <c r="L71" s="54"/>
      <c r="M71" s="82" t="str">
        <f>"тотал"&amp;" "&amp;B70&amp;" "&amp;Q71</f>
        <v>тотал НОЯБРЬ </v>
      </c>
      <c r="N71" s="75"/>
      <c r="O71" s="75"/>
      <c r="P71" s="75"/>
      <c r="Q71" s="76"/>
      <c r="R71" s="54"/>
    </row>
    <row r="72">
      <c r="A72" s="54"/>
      <c r="B72" s="110">
        <v>45600.0</v>
      </c>
      <c r="C72" s="110"/>
      <c r="D72" s="99"/>
      <c r="E72" s="100">
        <v>1439169.0</v>
      </c>
      <c r="F72" s="99">
        <f t="shared" ref="F72:F78" si="20">E72-E71</f>
        <v>491</v>
      </c>
      <c r="G72" s="100">
        <v>511.0</v>
      </c>
      <c r="H72" s="101">
        <v>205.0</v>
      </c>
      <c r="I72" s="101">
        <v>200.0</v>
      </c>
      <c r="J72" s="102">
        <f t="shared" si="18"/>
        <v>5</v>
      </c>
      <c r="K72" s="103">
        <f t="shared" si="19"/>
        <v>40.73319756</v>
      </c>
      <c r="L72" s="54"/>
      <c r="M72" s="83" t="s">
        <v>70</v>
      </c>
      <c r="N72" s="83" t="s">
        <v>71</v>
      </c>
      <c r="O72" s="83" t="s">
        <v>27</v>
      </c>
      <c r="P72" s="77" t="s">
        <v>28</v>
      </c>
      <c r="Q72" s="12" t="s">
        <v>78</v>
      </c>
      <c r="R72" s="54"/>
    </row>
    <row r="73">
      <c r="A73" s="54"/>
      <c r="B73" s="110">
        <v>45604.0</v>
      </c>
      <c r="C73" s="110"/>
      <c r="D73" s="99"/>
      <c r="E73" s="100">
        <v>1439662.0</v>
      </c>
      <c r="F73" s="99">
        <f t="shared" si="20"/>
        <v>493</v>
      </c>
      <c r="G73" s="100">
        <v>515.0</v>
      </c>
      <c r="H73" s="101">
        <v>207.0</v>
      </c>
      <c r="I73" s="101">
        <v>199.0</v>
      </c>
      <c r="J73" s="102">
        <f t="shared" si="18"/>
        <v>8</v>
      </c>
      <c r="K73" s="103">
        <f t="shared" si="19"/>
        <v>40.36511156</v>
      </c>
      <c r="L73" s="54"/>
      <c r="M73" s="84">
        <f>SUM(F71:F78)</f>
        <v>6021</v>
      </c>
      <c r="N73" s="84">
        <f>SUM(I71:I78)</f>
        <v>2347.82</v>
      </c>
      <c r="O73" s="85">
        <f>N73/M73*100</f>
        <v>38.99385484</v>
      </c>
      <c r="P73" s="79">
        <f>(M73/100)*(O73-Q73)</f>
        <v>571.625</v>
      </c>
      <c r="Q73" s="78">
        <v>29.5</v>
      </c>
      <c r="R73" s="54"/>
    </row>
    <row r="74">
      <c r="A74" s="54"/>
      <c r="B74" s="110">
        <v>45609.0</v>
      </c>
      <c r="C74" s="110"/>
      <c r="D74" s="99"/>
      <c r="E74" s="100">
        <v>1440241.0</v>
      </c>
      <c r="F74" s="99">
        <f t="shared" si="20"/>
        <v>579</v>
      </c>
      <c r="G74" s="100">
        <v>515.0</v>
      </c>
      <c r="H74" s="101">
        <v>240.0</v>
      </c>
      <c r="I74" s="101">
        <v>248.95</v>
      </c>
      <c r="J74" s="102">
        <f t="shared" si="18"/>
        <v>-8.95</v>
      </c>
      <c r="K74" s="103">
        <f t="shared" si="19"/>
        <v>42.99654577</v>
      </c>
      <c r="M74" s="54"/>
      <c r="N74" s="54"/>
      <c r="O74" s="54"/>
      <c r="P74" s="86"/>
      <c r="Q74" s="54"/>
      <c r="R74" s="54"/>
    </row>
    <row r="75">
      <c r="A75" s="54"/>
      <c r="B75" s="110">
        <v>45616.0</v>
      </c>
      <c r="C75" s="110"/>
      <c r="D75" s="99"/>
      <c r="E75" s="100">
        <v>1441204.0</v>
      </c>
      <c r="F75" s="99">
        <f t="shared" si="20"/>
        <v>963</v>
      </c>
      <c r="G75" s="100">
        <v>515.0</v>
      </c>
      <c r="H75" s="101">
        <v>354.0</v>
      </c>
      <c r="I75" s="101">
        <v>362.28</v>
      </c>
      <c r="J75" s="102">
        <f t="shared" si="18"/>
        <v>-8.28</v>
      </c>
      <c r="K75" s="103">
        <f t="shared" si="19"/>
        <v>37.61993769</v>
      </c>
      <c r="L75" s="54"/>
      <c r="M75" s="60"/>
      <c r="N75" s="60"/>
      <c r="O75" s="54"/>
      <c r="P75" s="86"/>
      <c r="Q75" s="54"/>
      <c r="R75" s="54"/>
    </row>
    <row r="76">
      <c r="A76" s="60">
        <v>4826.0</v>
      </c>
      <c r="B76" s="110">
        <v>45617.0</v>
      </c>
      <c r="C76" s="110"/>
      <c r="D76" s="99"/>
      <c r="E76" s="100">
        <v>1442240.0</v>
      </c>
      <c r="F76" s="99">
        <f t="shared" si="20"/>
        <v>1036</v>
      </c>
      <c r="G76" s="100">
        <v>511.0</v>
      </c>
      <c r="H76" s="101">
        <v>358.0</v>
      </c>
      <c r="I76" s="101">
        <v>350.09</v>
      </c>
      <c r="J76" s="102">
        <f t="shared" si="18"/>
        <v>7.91</v>
      </c>
      <c r="K76" s="103">
        <f t="shared" si="19"/>
        <v>33.79247104</v>
      </c>
      <c r="L76" s="60"/>
      <c r="M76" s="60"/>
      <c r="N76" s="54"/>
      <c r="O76" s="54"/>
      <c r="P76" s="86"/>
      <c r="Q76" s="54"/>
      <c r="R76" s="54"/>
    </row>
    <row r="77">
      <c r="A77" s="54">
        <f>A76</f>
        <v>4826</v>
      </c>
      <c r="B77" s="110">
        <v>45622.0</v>
      </c>
      <c r="C77" s="110"/>
      <c r="D77" s="99"/>
      <c r="E77" s="100">
        <v>1443109.0</v>
      </c>
      <c r="F77" s="99">
        <f t="shared" si="20"/>
        <v>869</v>
      </c>
      <c r="G77" s="100">
        <v>515.0</v>
      </c>
      <c r="H77" s="101">
        <v>350.0</v>
      </c>
      <c r="I77" s="101">
        <v>358.98</v>
      </c>
      <c r="J77" s="102">
        <f t="shared" si="18"/>
        <v>-8.98</v>
      </c>
      <c r="K77" s="103">
        <f t="shared" si="19"/>
        <v>41.30955121</v>
      </c>
      <c r="L77" s="54"/>
      <c r="M77" s="54"/>
      <c r="N77" s="54"/>
      <c r="O77" s="54"/>
      <c r="P77" s="86"/>
      <c r="Q77" s="54"/>
      <c r="R77" s="54"/>
    </row>
    <row r="78">
      <c r="A78" s="54"/>
      <c r="B78" s="110">
        <v>45623.0</v>
      </c>
      <c r="C78" s="110"/>
      <c r="D78" s="99"/>
      <c r="E78" s="100">
        <v>1444003.0</v>
      </c>
      <c r="F78" s="99">
        <f t="shared" si="20"/>
        <v>894</v>
      </c>
      <c r="G78" s="100">
        <v>515.0</v>
      </c>
      <c r="H78" s="101">
        <v>320.0</v>
      </c>
      <c r="I78" s="101">
        <v>378.52</v>
      </c>
      <c r="J78" s="102">
        <f t="shared" si="18"/>
        <v>-58.52</v>
      </c>
      <c r="K78" s="103">
        <f t="shared" si="19"/>
        <v>42.34004474</v>
      </c>
      <c r="L78" s="54"/>
      <c r="M78" s="54"/>
      <c r="N78" s="54"/>
      <c r="O78" s="54"/>
      <c r="P78" s="86"/>
      <c r="Q78" s="54"/>
      <c r="R78" s="54"/>
    </row>
    <row r="79">
      <c r="A79" s="68"/>
      <c r="B79" s="88" t="str">
        <f>IF(L79=4,"АПРЕЛЬ",IF(L79=5,"МАЙ",IF(L79=1,"ЯНВАРЬ",IF(L79=2,"ФЕВРАЛЬ",IF(L79=3,"МАРТ",IF(L79=6,"ИЮНЬ",IF(L79=7,"ИЮЛЬ",IF(L79=8,"АВГУСТ",IF(L79=9,"СЕНТЯБРЬ",IF(L79=10,"ОКТЯБРЬ",IF(L79=11,"НОЯБРЬ",IF(L79=12,"ДЕКАБРЬ"))))))))))))</f>
        <v>ДЕКАБРЬ</v>
      </c>
      <c r="J79" s="88"/>
      <c r="K79" s="88"/>
      <c r="L79" s="91">
        <f>MONTH(B80)</f>
        <v>12</v>
      </c>
      <c r="M79" s="66"/>
      <c r="N79" s="66"/>
      <c r="O79" s="66"/>
      <c r="P79" s="113"/>
      <c r="Q79" s="66"/>
      <c r="R79" s="66"/>
      <c r="S79" s="68"/>
      <c r="T79" s="68"/>
      <c r="U79" s="68"/>
      <c r="V79" s="68"/>
      <c r="W79" s="68"/>
      <c r="X79" s="68"/>
      <c r="Y79" s="68"/>
      <c r="Z79" s="68"/>
      <c r="AA79" s="68"/>
    </row>
    <row r="80">
      <c r="A80" s="54"/>
      <c r="B80" s="110">
        <v>45631.0</v>
      </c>
      <c r="C80" s="110"/>
      <c r="D80" s="99"/>
      <c r="E80" s="100">
        <v>1444735.0</v>
      </c>
      <c r="F80" s="99">
        <f>E80-E78</f>
        <v>732</v>
      </c>
      <c r="G80" s="100">
        <v>508.0</v>
      </c>
      <c r="H80" s="101">
        <v>252.0</v>
      </c>
      <c r="I80" s="101">
        <v>250.0</v>
      </c>
      <c r="J80" s="102">
        <f t="shared" ref="J80:J84" si="21">H80-I80</f>
        <v>2</v>
      </c>
      <c r="K80" s="103">
        <f t="shared" ref="K80:K84" si="22">I80/F80*100</f>
        <v>34.15300546</v>
      </c>
      <c r="L80" s="54"/>
      <c r="M80" s="82" t="str">
        <f>"тотал"&amp;" "&amp;B79&amp;" "&amp;Q80</f>
        <v>тотал ДЕКАБРЬ </v>
      </c>
      <c r="N80" s="75"/>
      <c r="O80" s="75"/>
      <c r="P80" s="75"/>
      <c r="Q80" s="76"/>
      <c r="R80" s="54"/>
    </row>
    <row r="81">
      <c r="A81" s="54"/>
      <c r="B81" s="110">
        <v>45637.0</v>
      </c>
      <c r="C81" s="110"/>
      <c r="D81" s="99"/>
      <c r="E81" s="100">
        <v>1445448.0</v>
      </c>
      <c r="F81" s="99">
        <f t="shared" ref="F81:F84" si="23">E81-E80</f>
        <v>713</v>
      </c>
      <c r="G81" s="100">
        <v>510.0</v>
      </c>
      <c r="H81" s="101">
        <v>308.0</v>
      </c>
      <c r="I81" s="101">
        <v>300.0</v>
      </c>
      <c r="J81" s="102">
        <f t="shared" si="21"/>
        <v>8</v>
      </c>
      <c r="K81" s="103">
        <f t="shared" si="22"/>
        <v>42.07573633</v>
      </c>
      <c r="L81" s="54"/>
      <c r="M81" s="83" t="s">
        <v>70</v>
      </c>
      <c r="N81" s="83" t="s">
        <v>71</v>
      </c>
      <c r="O81" s="83" t="s">
        <v>27</v>
      </c>
      <c r="P81" s="77" t="s">
        <v>28</v>
      </c>
      <c r="Q81" s="12" t="s">
        <v>78</v>
      </c>
      <c r="R81" s="54"/>
    </row>
    <row r="82">
      <c r="A82" s="54"/>
      <c r="B82" s="110">
        <v>45642.0</v>
      </c>
      <c r="C82" s="110"/>
      <c r="D82" s="102"/>
      <c r="E82" s="100">
        <v>1446018.0</v>
      </c>
      <c r="F82" s="99">
        <f t="shared" si="23"/>
        <v>570</v>
      </c>
      <c r="G82" s="100">
        <v>515.0</v>
      </c>
      <c r="H82" s="101">
        <v>301.0</v>
      </c>
      <c r="I82" s="101">
        <v>300.0</v>
      </c>
      <c r="J82" s="102">
        <f t="shared" si="21"/>
        <v>1</v>
      </c>
      <c r="K82" s="103">
        <f t="shared" si="22"/>
        <v>52.63157895</v>
      </c>
      <c r="L82" s="54"/>
      <c r="M82" s="84">
        <f>SUM(F80:F84)</f>
        <v>3155</v>
      </c>
      <c r="N82" s="84">
        <f>SUM(I80:I84)</f>
        <v>1398.75</v>
      </c>
      <c r="O82" s="85">
        <f>N82/M82*100</f>
        <v>44.33438986</v>
      </c>
      <c r="P82" s="79">
        <f>(M82/100)*(O82-Q82)</f>
        <v>420.7</v>
      </c>
      <c r="Q82" s="78">
        <v>31.0</v>
      </c>
      <c r="R82" s="54"/>
    </row>
    <row r="83">
      <c r="A83" s="54"/>
      <c r="B83" s="110">
        <v>45646.0</v>
      </c>
      <c r="C83" s="110"/>
      <c r="D83" s="102"/>
      <c r="E83" s="100">
        <v>1446589.0</v>
      </c>
      <c r="F83" s="99">
        <f t="shared" si="23"/>
        <v>571</v>
      </c>
      <c r="G83" s="100">
        <v>515.0</v>
      </c>
      <c r="H83" s="101">
        <v>314.0</v>
      </c>
      <c r="I83" s="101">
        <v>300.0</v>
      </c>
      <c r="J83" s="102">
        <f t="shared" si="21"/>
        <v>14</v>
      </c>
      <c r="K83" s="103">
        <f t="shared" si="22"/>
        <v>52.53940455</v>
      </c>
      <c r="L83" s="54"/>
      <c r="M83" s="54"/>
      <c r="N83" s="54"/>
      <c r="O83" s="54"/>
      <c r="P83" s="86"/>
      <c r="Q83" s="54"/>
      <c r="R83" s="54"/>
    </row>
    <row r="84">
      <c r="A84" s="54"/>
      <c r="B84" s="110">
        <v>45651.0</v>
      </c>
      <c r="C84" s="110"/>
      <c r="D84" s="99"/>
      <c r="E84" s="100">
        <v>1447158.0</v>
      </c>
      <c r="F84" s="99">
        <f t="shared" si="23"/>
        <v>569</v>
      </c>
      <c r="G84" s="100">
        <v>515.0</v>
      </c>
      <c r="H84" s="101">
        <v>240.0</v>
      </c>
      <c r="I84" s="101">
        <v>248.75</v>
      </c>
      <c r="J84" s="102">
        <f t="shared" si="21"/>
        <v>-8.75</v>
      </c>
      <c r="K84" s="103">
        <f t="shared" si="22"/>
        <v>43.71704745</v>
      </c>
      <c r="L84" s="54"/>
      <c r="M84" s="54"/>
      <c r="N84" s="54"/>
      <c r="O84" s="54"/>
      <c r="P84" s="86"/>
      <c r="Q84" s="54"/>
      <c r="R84" s="54"/>
    </row>
    <row r="85">
      <c r="A85" s="68"/>
      <c r="B85" s="134">
        <v>2025.0</v>
      </c>
      <c r="J85" s="88"/>
      <c r="K85" s="88"/>
      <c r="L85" s="91"/>
      <c r="M85" s="66"/>
      <c r="N85" s="66"/>
      <c r="O85" s="66"/>
      <c r="P85" s="113"/>
      <c r="Q85" s="66"/>
      <c r="R85" s="66"/>
      <c r="S85" s="68"/>
      <c r="T85" s="68"/>
      <c r="U85" s="68"/>
      <c r="V85" s="68"/>
      <c r="W85" s="68"/>
      <c r="X85" s="68"/>
      <c r="Y85" s="68"/>
      <c r="Z85" s="68"/>
      <c r="AA85" s="68"/>
    </row>
    <row r="86">
      <c r="A86" s="68"/>
      <c r="B86" s="88" t="str">
        <f>IF(L86=4,"АПРЕЛЬ",IF(L86=5,"МАЙ",IF(L86=1,"ЯНВАРЬ",IF(L86=2,"ФЕВРАЛЬ",IF(L86=3,"МАРТ",IF(L86=6,"ИЮНЬ",IF(L86=7,"ИЮЛЬ",IF(L86=8,"АВГУСТ",IF(L86=9,"СЕНТЯБРЬ",IF(L86=10,"ОКТЯБРЬ",IF(L86=11,"НОЯБРЬ",IF(L86=12,"ДЕКАБРЬ"))))))))))))</f>
        <v>ЯНВАРЬ</v>
      </c>
      <c r="J86" s="88"/>
      <c r="K86" s="88"/>
      <c r="L86" s="91">
        <f>MONTH(B87)</f>
        <v>1</v>
      </c>
      <c r="M86" s="66"/>
      <c r="N86" s="66"/>
      <c r="O86" s="66"/>
      <c r="P86" s="77" t="s">
        <v>28</v>
      </c>
      <c r="Q86" s="12" t="s">
        <v>78</v>
      </c>
      <c r="R86" s="66"/>
      <c r="S86" s="68"/>
      <c r="T86" s="68"/>
      <c r="U86" s="68"/>
      <c r="V86" s="68"/>
      <c r="W86" s="68"/>
      <c r="X86" s="68"/>
      <c r="Y86" s="68"/>
      <c r="Z86" s="68"/>
      <c r="AA86" s="68"/>
    </row>
    <row r="87">
      <c r="A87" s="60">
        <v>3468.0</v>
      </c>
      <c r="B87" s="110">
        <v>45671.0</v>
      </c>
      <c r="C87" s="110"/>
      <c r="D87" s="99"/>
      <c r="E87" s="100">
        <v>1448613.0</v>
      </c>
      <c r="F87" s="99">
        <f>E87-E84</f>
        <v>1455</v>
      </c>
      <c r="G87" s="100">
        <v>488.0</v>
      </c>
      <c r="H87" s="101">
        <v>300.0</v>
      </c>
      <c r="I87" s="101">
        <v>299.83</v>
      </c>
      <c r="J87" s="102">
        <f>H87-I87</f>
        <v>0.17</v>
      </c>
      <c r="K87" s="103">
        <f>I87/F87*100</f>
        <v>20.60687285</v>
      </c>
      <c r="L87" s="54"/>
      <c r="N87" s="54"/>
      <c r="O87" s="54"/>
      <c r="P87" s="102">
        <f>F87/100*(K87-Q87)</f>
        <v>-107.57</v>
      </c>
      <c r="Q87" s="77">
        <v>28.0</v>
      </c>
      <c r="R87" s="54"/>
    </row>
    <row r="88">
      <c r="A88" s="68"/>
      <c r="B88" s="88" t="str">
        <f>IF(L88=4,"АПРЕЛЬ",IF(L88=5,"МАЙ",IF(L88=1,"ЯНВАРЬ",IF(L88=2,"ФЕВРАЛЬ",IF(L88=3,"МАРТ",IF(L88=6,"ИЮНЬ",IF(L88=7,"ИЮЛЬ",IF(L88=8,"АВГУСТ",IF(L88=9,"СЕНТЯБРЬ",IF(L88=10,"ОКТЯБРЬ",IF(L88=11,"НОЯБРЬ",IF(L88=12,"ДЕКАБРЬ"))))))))))))</f>
        <v>ФЕВРАЛЬ</v>
      </c>
      <c r="J88" s="88"/>
      <c r="K88" s="88"/>
      <c r="L88" s="91">
        <f>MONTH(B89)</f>
        <v>2</v>
      </c>
      <c r="M88" s="66"/>
      <c r="N88" s="66"/>
      <c r="O88" s="66"/>
      <c r="P88" s="113"/>
      <c r="Q88" s="66"/>
      <c r="R88" s="66"/>
      <c r="S88" s="68"/>
      <c r="T88" s="68"/>
      <c r="U88" s="68"/>
      <c r="V88" s="68"/>
      <c r="W88" s="68"/>
      <c r="X88" s="68"/>
      <c r="Y88" s="68"/>
      <c r="Z88" s="68"/>
      <c r="AA88" s="68"/>
    </row>
    <row r="89">
      <c r="A89" s="54"/>
      <c r="B89" s="110">
        <v>45692.0</v>
      </c>
      <c r="C89" s="110"/>
      <c r="D89" s="99"/>
      <c r="E89" s="100">
        <v>1448832.0</v>
      </c>
      <c r="F89" s="99">
        <f>E89-E87</f>
        <v>219</v>
      </c>
      <c r="G89" s="100">
        <v>515.0</v>
      </c>
      <c r="H89" s="101">
        <v>122.0</v>
      </c>
      <c r="I89" s="101">
        <v>130.54</v>
      </c>
      <c r="J89" s="102">
        <f t="shared" ref="J89:J111" si="24">H89-I89</f>
        <v>-8.54</v>
      </c>
      <c r="K89" s="103">
        <f t="shared" ref="K89:K111" si="25">I89/F89*100</f>
        <v>59.60730594</v>
      </c>
      <c r="L89" s="54"/>
      <c r="M89" s="82" t="str">
        <f>"тотал"&amp;" "&amp;B88&amp;" "&amp;Q89</f>
        <v>тотал ФЕВРАЛЬ </v>
      </c>
      <c r="N89" s="75"/>
      <c r="O89" s="75"/>
      <c r="P89" s="75"/>
      <c r="Q89" s="76"/>
      <c r="R89" s="54"/>
    </row>
    <row r="90">
      <c r="A90" s="54"/>
      <c r="B90" s="110">
        <v>45693.0</v>
      </c>
      <c r="C90" s="110"/>
      <c r="D90" s="99"/>
      <c r="E90" s="100">
        <v>1450173.0</v>
      </c>
      <c r="F90" s="99">
        <f t="shared" ref="F90:F111" si="26">E90-E89</f>
        <v>1341</v>
      </c>
      <c r="G90" s="100">
        <v>259.0</v>
      </c>
      <c r="H90" s="101">
        <v>138.0</v>
      </c>
      <c r="I90" s="101">
        <v>140.0</v>
      </c>
      <c r="J90" s="102">
        <f t="shared" si="24"/>
        <v>-2</v>
      </c>
      <c r="K90" s="103">
        <f t="shared" si="25"/>
        <v>10.43997017</v>
      </c>
      <c r="L90" s="54"/>
      <c r="M90" s="83" t="s">
        <v>70</v>
      </c>
      <c r="N90" s="83" t="s">
        <v>71</v>
      </c>
      <c r="O90" s="83" t="s">
        <v>27</v>
      </c>
      <c r="P90" s="77" t="s">
        <v>28</v>
      </c>
      <c r="Q90" s="12" t="s">
        <v>78</v>
      </c>
      <c r="R90" s="54"/>
    </row>
    <row r="91">
      <c r="A91" s="54"/>
      <c r="B91" s="110">
        <v>45694.0</v>
      </c>
      <c r="C91" s="110"/>
      <c r="D91" s="99"/>
      <c r="E91" s="100">
        <v>1450305.0</v>
      </c>
      <c r="F91" s="99">
        <f t="shared" si="26"/>
        <v>132</v>
      </c>
      <c r="G91" s="100">
        <v>511.0</v>
      </c>
      <c r="H91" s="101">
        <v>295.0</v>
      </c>
      <c r="I91" s="101">
        <v>305.0</v>
      </c>
      <c r="J91" s="102">
        <f t="shared" si="24"/>
        <v>-10</v>
      </c>
      <c r="K91" s="103">
        <f t="shared" si="25"/>
        <v>231.0606061</v>
      </c>
      <c r="L91" s="54"/>
      <c r="M91" s="84">
        <f>SUM(F89:F111)</f>
        <v>17657</v>
      </c>
      <c r="N91" s="84">
        <f>SUM(I89:I111)</f>
        <v>5685.15</v>
      </c>
      <c r="O91" s="85">
        <f>N91/M91*100</f>
        <v>32.19771196</v>
      </c>
      <c r="P91" s="79">
        <f>(M91/100)*(O91-Q91)</f>
        <v>741.19</v>
      </c>
      <c r="Q91" s="78">
        <v>28.0</v>
      </c>
      <c r="R91" s="54"/>
    </row>
    <row r="92">
      <c r="A92" s="54"/>
      <c r="B92" s="110">
        <v>45694.0</v>
      </c>
      <c r="C92" s="110"/>
      <c r="D92" s="99"/>
      <c r="E92" s="100">
        <v>1450963.0</v>
      </c>
      <c r="F92" s="99">
        <f t="shared" si="26"/>
        <v>658</v>
      </c>
      <c r="G92" s="100">
        <v>508.0</v>
      </c>
      <c r="H92" s="101">
        <v>200.0</v>
      </c>
      <c r="I92" s="101">
        <v>201.01</v>
      </c>
      <c r="J92" s="102">
        <f t="shared" si="24"/>
        <v>-1.01</v>
      </c>
      <c r="K92" s="103">
        <f t="shared" si="25"/>
        <v>30.54863222</v>
      </c>
      <c r="L92" s="54"/>
      <c r="M92" s="54"/>
      <c r="N92" s="54"/>
      <c r="O92" s="54"/>
      <c r="P92" s="86"/>
      <c r="Q92" s="54"/>
      <c r="R92" s="54"/>
    </row>
    <row r="93">
      <c r="A93" s="54"/>
      <c r="B93" s="110">
        <v>45696.0</v>
      </c>
      <c r="C93" s="110"/>
      <c r="D93" s="99"/>
      <c r="E93" s="100">
        <v>1451781.0</v>
      </c>
      <c r="F93" s="99">
        <f t="shared" si="26"/>
        <v>818</v>
      </c>
      <c r="G93" s="100">
        <v>510.0</v>
      </c>
      <c r="H93" s="101">
        <v>255.0</v>
      </c>
      <c r="I93" s="101">
        <v>257.06</v>
      </c>
      <c r="J93" s="102">
        <f t="shared" si="24"/>
        <v>-2.06</v>
      </c>
      <c r="K93" s="103">
        <f t="shared" si="25"/>
        <v>31.42542787</v>
      </c>
      <c r="L93" s="54"/>
      <c r="M93" s="54"/>
      <c r="N93" s="54"/>
      <c r="O93" s="54"/>
      <c r="P93" s="86"/>
      <c r="Q93" s="54"/>
      <c r="R93" s="54"/>
    </row>
    <row r="94">
      <c r="A94" s="54"/>
      <c r="B94" s="110">
        <v>45696.0</v>
      </c>
      <c r="C94" s="110"/>
      <c r="D94" s="99"/>
      <c r="E94" s="100">
        <v>1452440.0</v>
      </c>
      <c r="F94" s="99">
        <f t="shared" si="26"/>
        <v>659</v>
      </c>
      <c r="G94" s="100">
        <v>506.0</v>
      </c>
      <c r="H94" s="101">
        <v>203.0</v>
      </c>
      <c r="I94" s="101">
        <v>203.37</v>
      </c>
      <c r="J94" s="102">
        <f t="shared" si="24"/>
        <v>-0.37</v>
      </c>
      <c r="K94" s="103">
        <f t="shared" si="25"/>
        <v>30.86039454</v>
      </c>
      <c r="L94" s="54"/>
      <c r="M94" s="54"/>
      <c r="N94" s="54"/>
      <c r="O94" s="54"/>
      <c r="P94" s="86"/>
      <c r="Q94" s="54"/>
      <c r="R94" s="54"/>
    </row>
    <row r="95">
      <c r="A95" s="54"/>
      <c r="B95" s="110">
        <v>45699.0</v>
      </c>
      <c r="C95" s="110"/>
      <c r="D95" s="99"/>
      <c r="E95" s="100">
        <v>1453314.0</v>
      </c>
      <c r="F95" s="99">
        <f t="shared" si="26"/>
        <v>874</v>
      </c>
      <c r="G95" s="100">
        <v>509.0</v>
      </c>
      <c r="H95" s="101">
        <v>282.0</v>
      </c>
      <c r="I95" s="101">
        <v>287.49</v>
      </c>
      <c r="J95" s="102">
        <f t="shared" si="24"/>
        <v>-5.49</v>
      </c>
      <c r="K95" s="103">
        <f t="shared" si="25"/>
        <v>32.89359268</v>
      </c>
      <c r="L95" s="54"/>
      <c r="M95" s="54"/>
      <c r="N95" s="54"/>
      <c r="O95" s="54"/>
      <c r="P95" s="86"/>
      <c r="Q95" s="54"/>
      <c r="R95" s="54"/>
    </row>
    <row r="96">
      <c r="A96" s="54"/>
      <c r="B96" s="110">
        <v>45699.0</v>
      </c>
      <c r="C96" s="110"/>
      <c r="D96" s="99"/>
      <c r="E96" s="100">
        <v>1453972.0</v>
      </c>
      <c r="F96" s="99">
        <f t="shared" si="26"/>
        <v>658</v>
      </c>
      <c r="G96" s="100">
        <v>508.0</v>
      </c>
      <c r="H96" s="101">
        <v>205.0</v>
      </c>
      <c r="I96" s="101">
        <v>205.4</v>
      </c>
      <c r="J96" s="102">
        <f t="shared" si="24"/>
        <v>-0.4</v>
      </c>
      <c r="K96" s="103">
        <f t="shared" si="25"/>
        <v>31.21580547</v>
      </c>
      <c r="L96" s="54"/>
      <c r="M96" s="54"/>
      <c r="N96" s="54"/>
      <c r="O96" s="54"/>
      <c r="P96" s="86"/>
      <c r="Q96" s="54"/>
      <c r="R96" s="54"/>
    </row>
    <row r="97">
      <c r="A97" s="54"/>
      <c r="B97" s="110">
        <v>45701.0</v>
      </c>
      <c r="C97" s="110"/>
      <c r="D97" s="99"/>
      <c r="E97" s="100">
        <v>1454791.0</v>
      </c>
      <c r="F97" s="99">
        <f t="shared" si="26"/>
        <v>819</v>
      </c>
      <c r="G97" s="100">
        <v>511.0</v>
      </c>
      <c r="H97" s="101">
        <v>270.0</v>
      </c>
      <c r="I97" s="101">
        <v>273.67</v>
      </c>
      <c r="J97" s="102">
        <f t="shared" si="24"/>
        <v>-3.67</v>
      </c>
      <c r="K97" s="103">
        <f t="shared" si="25"/>
        <v>33.41514042</v>
      </c>
      <c r="L97" s="54"/>
      <c r="M97" s="54"/>
      <c r="N97" s="54"/>
      <c r="O97" s="54"/>
      <c r="P97" s="86"/>
      <c r="Q97" s="54"/>
      <c r="R97" s="54"/>
    </row>
    <row r="98">
      <c r="A98" s="54"/>
      <c r="B98" s="110">
        <v>45701.0</v>
      </c>
      <c r="C98" s="110"/>
      <c r="D98" s="99"/>
      <c r="E98" s="100">
        <v>1455451.0</v>
      </c>
      <c r="F98" s="99">
        <f t="shared" si="26"/>
        <v>660</v>
      </c>
      <c r="G98" s="100">
        <v>505.0</v>
      </c>
      <c r="H98" s="101">
        <v>210.0</v>
      </c>
      <c r="I98" s="101">
        <v>210.41</v>
      </c>
      <c r="J98" s="102">
        <f t="shared" si="24"/>
        <v>-0.41</v>
      </c>
      <c r="K98" s="103">
        <f t="shared" si="25"/>
        <v>31.88030303</v>
      </c>
      <c r="L98" s="54"/>
      <c r="M98" s="54"/>
      <c r="N98" s="54"/>
      <c r="O98" s="54"/>
      <c r="P98" s="86"/>
      <c r="Q98" s="54"/>
      <c r="R98" s="54"/>
    </row>
    <row r="99">
      <c r="A99" s="54"/>
      <c r="B99" s="110">
        <v>45703.0</v>
      </c>
      <c r="C99" s="110"/>
      <c r="D99" s="99"/>
      <c r="E99" s="100">
        <v>1456279.0</v>
      </c>
      <c r="F99" s="99">
        <f t="shared" si="26"/>
        <v>828</v>
      </c>
      <c r="G99" s="100">
        <v>510.0</v>
      </c>
      <c r="H99" s="101">
        <v>276.0</v>
      </c>
      <c r="I99" s="101">
        <v>278.48</v>
      </c>
      <c r="J99" s="102">
        <f t="shared" si="24"/>
        <v>-2.48</v>
      </c>
      <c r="K99" s="103">
        <f t="shared" si="25"/>
        <v>33.63285024</v>
      </c>
      <c r="L99" s="54"/>
      <c r="M99" s="54"/>
      <c r="N99" s="54"/>
      <c r="O99" s="54"/>
      <c r="P99" s="86"/>
      <c r="Q99" s="54"/>
      <c r="R99" s="54"/>
    </row>
    <row r="100">
      <c r="A100" s="54"/>
      <c r="B100" s="110">
        <v>45703.0</v>
      </c>
      <c r="C100" s="110"/>
      <c r="D100" s="99"/>
      <c r="E100" s="100">
        <v>1456938.0</v>
      </c>
      <c r="F100" s="99">
        <f t="shared" si="26"/>
        <v>659</v>
      </c>
      <c r="G100" s="100">
        <v>506.0</v>
      </c>
      <c r="H100" s="101">
        <v>216.0</v>
      </c>
      <c r="I100" s="101">
        <v>215.27</v>
      </c>
      <c r="J100" s="102">
        <f t="shared" si="24"/>
        <v>0.73</v>
      </c>
      <c r="K100" s="103">
        <f t="shared" si="25"/>
        <v>32.66616085</v>
      </c>
      <c r="L100" s="54"/>
      <c r="M100" s="54"/>
      <c r="N100" s="54"/>
      <c r="O100" s="54"/>
      <c r="P100" s="86"/>
      <c r="Q100" s="54"/>
      <c r="R100" s="54"/>
    </row>
    <row r="101">
      <c r="A101" s="54"/>
      <c r="B101" s="110">
        <v>45705.0</v>
      </c>
      <c r="C101" s="110"/>
      <c r="D101" s="99"/>
      <c r="E101" s="100">
        <v>1457894.0</v>
      </c>
      <c r="F101" s="99">
        <f t="shared" si="26"/>
        <v>956</v>
      </c>
      <c r="G101" s="100">
        <v>511.0</v>
      </c>
      <c r="H101" s="101">
        <v>308.0</v>
      </c>
      <c r="I101" s="101">
        <v>309.0</v>
      </c>
      <c r="J101" s="102">
        <f t="shared" si="24"/>
        <v>-1</v>
      </c>
      <c r="K101" s="103">
        <f t="shared" si="25"/>
        <v>32.32217573</v>
      </c>
      <c r="L101" s="54"/>
      <c r="M101" s="54"/>
      <c r="N101" s="54"/>
      <c r="O101" s="54"/>
      <c r="P101" s="86"/>
      <c r="Q101" s="54"/>
      <c r="R101" s="54"/>
    </row>
    <row r="102">
      <c r="A102" s="54"/>
      <c r="B102" s="110">
        <v>45706.0</v>
      </c>
      <c r="C102" s="110"/>
      <c r="D102" s="99"/>
      <c r="E102" s="100">
        <v>1458676.0</v>
      </c>
      <c r="F102" s="99">
        <f t="shared" si="26"/>
        <v>782</v>
      </c>
      <c r="G102" s="100">
        <v>504.0</v>
      </c>
      <c r="H102" s="101">
        <v>245.0</v>
      </c>
      <c r="I102" s="101">
        <v>245.47</v>
      </c>
      <c r="J102" s="102">
        <f t="shared" si="24"/>
        <v>-0.47</v>
      </c>
      <c r="K102" s="103">
        <f t="shared" si="25"/>
        <v>31.39002558</v>
      </c>
      <c r="L102" s="54"/>
      <c r="M102" s="54"/>
      <c r="N102" s="54"/>
      <c r="O102" s="54"/>
      <c r="P102" s="86"/>
      <c r="Q102" s="54"/>
      <c r="R102" s="54"/>
    </row>
    <row r="103">
      <c r="A103" s="54"/>
      <c r="B103" s="110">
        <v>45707.0</v>
      </c>
      <c r="C103" s="110"/>
      <c r="D103" s="99"/>
      <c r="E103" s="100">
        <v>1459441.0</v>
      </c>
      <c r="F103" s="99">
        <f t="shared" si="26"/>
        <v>765</v>
      </c>
      <c r="G103" s="100">
        <v>512.0</v>
      </c>
      <c r="H103" s="101">
        <v>265.0</v>
      </c>
      <c r="I103" s="101">
        <v>263.69</v>
      </c>
      <c r="J103" s="102">
        <f t="shared" si="24"/>
        <v>1.31</v>
      </c>
      <c r="K103" s="103">
        <f t="shared" si="25"/>
        <v>34.46928105</v>
      </c>
      <c r="L103" s="54"/>
      <c r="M103" s="54"/>
      <c r="N103" s="54"/>
      <c r="O103" s="54"/>
      <c r="P103" s="86"/>
      <c r="Q103" s="54"/>
      <c r="R103" s="54"/>
    </row>
    <row r="104">
      <c r="A104" s="54"/>
      <c r="B104" s="110">
        <v>45707.0</v>
      </c>
      <c r="C104" s="110"/>
      <c r="D104" s="99"/>
      <c r="E104" s="100">
        <v>1460154.0</v>
      </c>
      <c r="F104" s="99">
        <f t="shared" si="26"/>
        <v>713</v>
      </c>
      <c r="G104" s="100">
        <v>508.0</v>
      </c>
      <c r="H104" s="101">
        <v>216.0</v>
      </c>
      <c r="I104" s="101">
        <v>216.64</v>
      </c>
      <c r="J104" s="102">
        <f t="shared" si="24"/>
        <v>-0.64</v>
      </c>
      <c r="K104" s="103">
        <f t="shared" si="25"/>
        <v>30.38429173</v>
      </c>
      <c r="L104" s="54"/>
      <c r="M104" s="54"/>
      <c r="N104" s="54"/>
      <c r="O104" s="54"/>
      <c r="P104" s="86"/>
      <c r="Q104" s="54"/>
      <c r="R104" s="54"/>
    </row>
    <row r="105">
      <c r="A105" s="54"/>
      <c r="B105" s="110">
        <v>45709.0</v>
      </c>
      <c r="C105" s="110"/>
      <c r="D105" s="99"/>
      <c r="E105" s="100">
        <v>1460989.0</v>
      </c>
      <c r="F105" s="99">
        <f t="shared" si="26"/>
        <v>835</v>
      </c>
      <c r="G105" s="100">
        <v>515.0</v>
      </c>
      <c r="H105" s="101">
        <v>286.0</v>
      </c>
      <c r="I105" s="101">
        <v>287.75</v>
      </c>
      <c r="J105" s="102">
        <f t="shared" si="24"/>
        <v>-1.75</v>
      </c>
      <c r="K105" s="103">
        <f t="shared" si="25"/>
        <v>34.46107784</v>
      </c>
      <c r="L105" s="54"/>
      <c r="M105" s="54"/>
      <c r="N105" s="54"/>
      <c r="O105" s="54"/>
      <c r="P105" s="86"/>
      <c r="Q105" s="54"/>
      <c r="R105" s="54"/>
    </row>
    <row r="106">
      <c r="A106" s="54"/>
      <c r="B106" s="110">
        <v>45710.0</v>
      </c>
      <c r="C106" s="110"/>
      <c r="D106" s="99"/>
      <c r="E106" s="100">
        <v>1462235.0</v>
      </c>
      <c r="F106" s="99">
        <f t="shared" si="26"/>
        <v>1246</v>
      </c>
      <c r="G106" s="100">
        <v>515.0</v>
      </c>
      <c r="H106" s="101">
        <v>393.0</v>
      </c>
      <c r="I106" s="101">
        <v>394.78</v>
      </c>
      <c r="J106" s="102">
        <f t="shared" si="24"/>
        <v>-1.78</v>
      </c>
      <c r="K106" s="103">
        <f t="shared" si="25"/>
        <v>31.68378812</v>
      </c>
      <c r="L106" s="54"/>
      <c r="M106" s="54"/>
      <c r="N106" s="54"/>
      <c r="O106" s="54"/>
      <c r="P106" s="86"/>
      <c r="Q106" s="54"/>
      <c r="R106" s="54"/>
    </row>
    <row r="107">
      <c r="A107" s="54"/>
      <c r="B107" s="110">
        <v>45712.0</v>
      </c>
      <c r="C107" s="110"/>
      <c r="D107" s="99"/>
      <c r="E107" s="100">
        <v>1463297.0</v>
      </c>
      <c r="F107" s="99">
        <f t="shared" si="26"/>
        <v>1062</v>
      </c>
      <c r="G107" s="100">
        <v>515.0</v>
      </c>
      <c r="H107" s="101">
        <v>327.0</v>
      </c>
      <c r="I107" s="101">
        <v>325.97</v>
      </c>
      <c r="J107" s="102">
        <f t="shared" si="24"/>
        <v>1.03</v>
      </c>
      <c r="K107" s="103">
        <f t="shared" si="25"/>
        <v>30.69397363</v>
      </c>
      <c r="L107" s="54"/>
      <c r="M107" s="54"/>
      <c r="N107" s="54"/>
      <c r="O107" s="54"/>
      <c r="P107" s="86"/>
      <c r="Q107" s="54"/>
      <c r="R107" s="54"/>
    </row>
    <row r="108">
      <c r="A108" s="54"/>
      <c r="B108" s="110">
        <v>45713.0</v>
      </c>
      <c r="C108" s="110"/>
      <c r="D108" s="99"/>
      <c r="E108" s="100">
        <v>1464121.0</v>
      </c>
      <c r="F108" s="99">
        <f t="shared" si="26"/>
        <v>824</v>
      </c>
      <c r="G108" s="100">
        <v>512.0</v>
      </c>
      <c r="H108" s="101">
        <v>260.0</v>
      </c>
      <c r="I108" s="101">
        <v>258.19</v>
      </c>
      <c r="J108" s="102">
        <f t="shared" si="24"/>
        <v>1.81</v>
      </c>
      <c r="K108" s="103">
        <f t="shared" si="25"/>
        <v>31.33373786</v>
      </c>
      <c r="L108" s="54"/>
      <c r="M108" s="54"/>
      <c r="N108" s="54"/>
      <c r="O108" s="54"/>
      <c r="P108" s="86"/>
      <c r="Q108" s="54"/>
      <c r="R108" s="54"/>
    </row>
    <row r="109">
      <c r="A109" s="54"/>
      <c r="B109" s="110">
        <v>45714.0</v>
      </c>
      <c r="C109" s="110"/>
      <c r="D109" s="99"/>
      <c r="E109" s="100">
        <v>1464834.0</v>
      </c>
      <c r="F109" s="99">
        <f t="shared" si="26"/>
        <v>713</v>
      </c>
      <c r="G109" s="100">
        <v>515.0</v>
      </c>
      <c r="H109" s="101">
        <v>206.0</v>
      </c>
      <c r="I109" s="101">
        <v>205.04</v>
      </c>
      <c r="J109" s="102">
        <f t="shared" si="24"/>
        <v>0.96</v>
      </c>
      <c r="K109" s="103">
        <f t="shared" si="25"/>
        <v>28.75736325</v>
      </c>
      <c r="L109" s="54"/>
      <c r="M109" s="54"/>
      <c r="N109" s="54"/>
      <c r="O109" s="54"/>
      <c r="P109" s="86"/>
      <c r="Q109" s="54"/>
      <c r="R109" s="54"/>
    </row>
    <row r="110">
      <c r="A110" s="54"/>
      <c r="B110" s="110">
        <v>45715.0</v>
      </c>
      <c r="C110" s="110"/>
      <c r="D110" s="99"/>
      <c r="E110" s="100">
        <v>1465620.0</v>
      </c>
      <c r="F110" s="99">
        <f t="shared" si="26"/>
        <v>786</v>
      </c>
      <c r="G110" s="100">
        <v>513.0</v>
      </c>
      <c r="H110" s="101">
        <v>273.0</v>
      </c>
      <c r="I110" s="101">
        <v>270.92</v>
      </c>
      <c r="J110" s="102">
        <f t="shared" si="24"/>
        <v>2.08</v>
      </c>
      <c r="K110" s="103">
        <f t="shared" si="25"/>
        <v>34.46819338</v>
      </c>
      <c r="L110" s="54"/>
      <c r="M110" s="54"/>
      <c r="N110" s="54"/>
      <c r="O110" s="54"/>
      <c r="P110" s="86"/>
      <c r="Q110" s="54"/>
      <c r="R110" s="54"/>
    </row>
    <row r="111">
      <c r="A111" s="54"/>
      <c r="B111" s="110">
        <v>45715.0</v>
      </c>
      <c r="C111" s="110"/>
      <c r="D111" s="99"/>
      <c r="E111" s="100">
        <v>1466270.0</v>
      </c>
      <c r="F111" s="99">
        <f t="shared" si="26"/>
        <v>650</v>
      </c>
      <c r="G111" s="100">
        <v>514.0</v>
      </c>
      <c r="H111" s="101">
        <v>201.0</v>
      </c>
      <c r="I111" s="101">
        <v>200.0</v>
      </c>
      <c r="J111" s="102">
        <f t="shared" si="24"/>
        <v>1</v>
      </c>
      <c r="K111" s="103">
        <f t="shared" si="25"/>
        <v>30.76923077</v>
      </c>
      <c r="L111" s="54"/>
      <c r="M111" s="54"/>
      <c r="N111" s="54"/>
      <c r="O111" s="54"/>
      <c r="P111" s="86"/>
      <c r="Q111" s="54"/>
      <c r="R111" s="54"/>
    </row>
    <row r="112">
      <c r="A112" s="68"/>
      <c r="B112" s="88" t="str">
        <f>IF(L112=4,"АПРЕЛЬ",IF(L112=5,"МАЙ",IF(L112=1,"ЯНВАРЬ",IF(L112=2,"ФЕВРАЛЬ",IF(L112=3,"МАРТ",IF(L112=6,"ИЮНЬ",IF(L112=7,"ИЮЛЬ",IF(L112=8,"АВГУСТ",IF(L112=9,"СЕНТЯБРЬ",IF(L112=10,"ОКТЯБРЬ",IF(L112=11,"НОЯБРЬ",IF(L112=12,"ДЕКАБРЬ"))))))))))))</f>
        <v>МАРТ</v>
      </c>
      <c r="J112" s="88"/>
      <c r="K112" s="88"/>
      <c r="L112" s="91">
        <f>MONTH(B113)</f>
        <v>3</v>
      </c>
      <c r="M112" s="66"/>
      <c r="N112" s="66"/>
      <c r="O112" s="66"/>
      <c r="P112" s="113"/>
      <c r="Q112" s="66"/>
      <c r="R112" s="66"/>
      <c r="S112" s="68"/>
      <c r="T112" s="68"/>
      <c r="U112" s="68"/>
      <c r="V112" s="68"/>
      <c r="W112" s="68"/>
      <c r="X112" s="68"/>
      <c r="Y112" s="68"/>
      <c r="Z112" s="68"/>
      <c r="AA112" s="68"/>
    </row>
    <row r="113">
      <c r="A113" s="54"/>
      <c r="B113" s="110">
        <v>45717.0</v>
      </c>
      <c r="C113" s="110"/>
      <c r="D113" s="99"/>
      <c r="E113" s="100">
        <v>1467095.0</v>
      </c>
      <c r="F113" s="99">
        <f>E113-E111</f>
        <v>825</v>
      </c>
      <c r="G113" s="100">
        <v>511.0</v>
      </c>
      <c r="H113" s="101">
        <v>272.0</v>
      </c>
      <c r="I113" s="101">
        <v>269.48</v>
      </c>
      <c r="J113" s="102">
        <f t="shared" ref="J113:J128" si="27">H113-I113</f>
        <v>2.52</v>
      </c>
      <c r="K113" s="103">
        <f t="shared" ref="K113:K128" si="28">I113/F113*100</f>
        <v>32.66424242</v>
      </c>
      <c r="L113" s="54"/>
      <c r="M113" s="82" t="str">
        <f>"тотал"&amp;" "&amp;B112&amp;" "&amp;Q113</f>
        <v>тотал МАРТ </v>
      </c>
      <c r="N113" s="75"/>
      <c r="O113" s="75"/>
      <c r="P113" s="75"/>
      <c r="Q113" s="76"/>
      <c r="R113" s="54"/>
    </row>
    <row r="114">
      <c r="A114" s="54"/>
      <c r="B114" s="110">
        <v>45718.0</v>
      </c>
      <c r="C114" s="110"/>
      <c r="D114" s="99"/>
      <c r="E114" s="100">
        <v>1467806.0</v>
      </c>
      <c r="F114" s="99">
        <f t="shared" ref="F114:F128" si="29">E114-E113</f>
        <v>711</v>
      </c>
      <c r="G114" s="100">
        <v>514.0</v>
      </c>
      <c r="H114" s="101">
        <v>201.0</v>
      </c>
      <c r="I114" s="101">
        <v>200.12</v>
      </c>
      <c r="J114" s="102">
        <f t="shared" si="27"/>
        <v>0.88</v>
      </c>
      <c r="K114" s="103">
        <f t="shared" si="28"/>
        <v>28.14627286</v>
      </c>
      <c r="L114" s="54"/>
      <c r="M114" s="84" t="s">
        <v>70</v>
      </c>
      <c r="N114" s="84" t="s">
        <v>71</v>
      </c>
      <c r="O114" s="84" t="s">
        <v>27</v>
      </c>
      <c r="P114" s="77" t="s">
        <v>28</v>
      </c>
      <c r="Q114" s="12" t="s">
        <v>78</v>
      </c>
      <c r="R114" s="54"/>
    </row>
    <row r="115">
      <c r="A115" s="54"/>
      <c r="B115" s="110">
        <v>45720.0</v>
      </c>
      <c r="C115" s="110"/>
      <c r="D115" s="99"/>
      <c r="E115" s="100">
        <v>1468752.0</v>
      </c>
      <c r="F115" s="99">
        <f t="shared" si="29"/>
        <v>946</v>
      </c>
      <c r="G115" s="100">
        <v>513.0</v>
      </c>
      <c r="H115" s="101">
        <v>292.0</v>
      </c>
      <c r="I115" s="101">
        <v>295.79</v>
      </c>
      <c r="J115" s="102">
        <f t="shared" si="27"/>
        <v>-3.79</v>
      </c>
      <c r="K115" s="103">
        <f t="shared" si="28"/>
        <v>31.26744186</v>
      </c>
      <c r="L115" s="54"/>
      <c r="M115" s="84">
        <f>SUM(F113:F128)</f>
        <v>12191</v>
      </c>
      <c r="N115" s="84">
        <f>SUM(I113:I128)</f>
        <v>3766.45</v>
      </c>
      <c r="O115" s="85">
        <f>N115/M115*100</f>
        <v>30.89533262</v>
      </c>
      <c r="P115" s="79">
        <f>(M115/100)*(O115-Q115)</f>
        <v>352.97</v>
      </c>
      <c r="Q115" s="78">
        <v>28.0</v>
      </c>
      <c r="R115" s="54"/>
    </row>
    <row r="116">
      <c r="A116" s="54"/>
      <c r="B116" s="110">
        <v>45720.0</v>
      </c>
      <c r="C116" s="110"/>
      <c r="D116" s="99"/>
      <c r="E116" s="100">
        <v>1469411.0</v>
      </c>
      <c r="F116" s="99">
        <f t="shared" si="29"/>
        <v>659</v>
      </c>
      <c r="G116" s="100">
        <v>512.0</v>
      </c>
      <c r="H116" s="101">
        <v>218.0</v>
      </c>
      <c r="I116" s="101">
        <v>223.04</v>
      </c>
      <c r="J116" s="102">
        <f t="shared" si="27"/>
        <v>-5.04</v>
      </c>
      <c r="K116" s="103">
        <f t="shared" si="28"/>
        <v>33.84522003</v>
      </c>
      <c r="L116" s="54"/>
      <c r="M116" s="54"/>
      <c r="N116" s="54"/>
      <c r="O116" s="54"/>
      <c r="P116" s="86"/>
      <c r="Q116" s="54"/>
      <c r="R116" s="54"/>
    </row>
    <row r="117">
      <c r="A117" s="54"/>
      <c r="B117" s="110">
        <v>45722.0</v>
      </c>
      <c r="C117" s="110"/>
      <c r="D117" s="99"/>
      <c r="E117" s="100">
        <v>1470233.0</v>
      </c>
      <c r="F117" s="99">
        <f t="shared" si="29"/>
        <v>822</v>
      </c>
      <c r="G117" s="100">
        <v>512.0</v>
      </c>
      <c r="H117" s="101">
        <v>252.0</v>
      </c>
      <c r="I117" s="101">
        <v>256.92</v>
      </c>
      <c r="J117" s="102">
        <f t="shared" si="27"/>
        <v>-4.92</v>
      </c>
      <c r="K117" s="103">
        <f t="shared" si="28"/>
        <v>31.25547445</v>
      </c>
      <c r="L117" s="54"/>
      <c r="M117" s="54"/>
      <c r="N117" s="54"/>
      <c r="O117" s="54"/>
      <c r="P117" s="86"/>
      <c r="Q117" s="54"/>
      <c r="R117" s="54"/>
    </row>
    <row r="118">
      <c r="A118" s="54"/>
      <c r="B118" s="110">
        <v>45722.0</v>
      </c>
      <c r="C118" s="110"/>
      <c r="D118" s="99"/>
      <c r="E118" s="100">
        <v>1470892.0</v>
      </c>
      <c r="F118" s="99">
        <f t="shared" si="29"/>
        <v>659</v>
      </c>
      <c r="G118" s="100">
        <v>507.0</v>
      </c>
      <c r="H118" s="101">
        <v>211.0</v>
      </c>
      <c r="I118" s="101">
        <v>217.43</v>
      </c>
      <c r="J118" s="102">
        <f t="shared" si="27"/>
        <v>-6.43</v>
      </c>
      <c r="K118" s="103">
        <f t="shared" si="28"/>
        <v>32.9939302</v>
      </c>
      <c r="L118" s="54"/>
      <c r="M118" s="54"/>
      <c r="N118" s="54"/>
      <c r="O118" s="54"/>
      <c r="P118" s="86"/>
      <c r="Q118" s="54"/>
      <c r="R118" s="54"/>
    </row>
    <row r="119">
      <c r="A119" s="54"/>
      <c r="B119" s="110">
        <v>45724.0</v>
      </c>
      <c r="C119" s="110"/>
      <c r="D119" s="99"/>
      <c r="E119" s="100">
        <v>1471715.0</v>
      </c>
      <c r="F119" s="99">
        <f t="shared" si="29"/>
        <v>823</v>
      </c>
      <c r="G119" s="100">
        <v>514.0</v>
      </c>
      <c r="H119" s="101">
        <v>249.0</v>
      </c>
      <c r="I119" s="101">
        <v>250.02</v>
      </c>
      <c r="J119" s="102">
        <f t="shared" si="27"/>
        <v>-1.02</v>
      </c>
      <c r="K119" s="103">
        <f t="shared" si="28"/>
        <v>30.37910085</v>
      </c>
      <c r="L119" s="54"/>
      <c r="M119" s="54"/>
      <c r="N119" s="54"/>
      <c r="O119" s="54"/>
      <c r="P119" s="86"/>
      <c r="Q119" s="54"/>
      <c r="R119" s="54"/>
    </row>
    <row r="120">
      <c r="A120" s="54"/>
      <c r="B120" s="110">
        <v>45724.0</v>
      </c>
      <c r="C120" s="110"/>
      <c r="D120" s="99"/>
      <c r="E120" s="100">
        <v>1472374.0</v>
      </c>
      <c r="F120" s="99">
        <f t="shared" si="29"/>
        <v>659</v>
      </c>
      <c r="G120" s="100">
        <v>509.0</v>
      </c>
      <c r="H120" s="101">
        <v>192.0</v>
      </c>
      <c r="I120" s="101">
        <v>196.82</v>
      </c>
      <c r="J120" s="102">
        <f t="shared" si="27"/>
        <v>-4.82</v>
      </c>
      <c r="K120" s="103">
        <f t="shared" si="28"/>
        <v>29.86646434</v>
      </c>
      <c r="L120" s="54"/>
      <c r="M120" s="54"/>
      <c r="N120" s="54"/>
      <c r="O120" s="54"/>
      <c r="P120" s="86"/>
      <c r="Q120" s="54"/>
      <c r="R120" s="54"/>
    </row>
    <row r="121">
      <c r="A121" s="54"/>
      <c r="B121" s="110">
        <v>45727.0</v>
      </c>
      <c r="C121" s="110"/>
      <c r="D121" s="99"/>
      <c r="E121" s="100">
        <v>1473333.0</v>
      </c>
      <c r="F121" s="99">
        <f t="shared" si="29"/>
        <v>959</v>
      </c>
      <c r="G121" s="100">
        <v>512.0</v>
      </c>
      <c r="H121" s="101">
        <v>186.0</v>
      </c>
      <c r="I121" s="101">
        <v>271.69</v>
      </c>
      <c r="J121" s="102">
        <f t="shared" si="27"/>
        <v>-85.69</v>
      </c>
      <c r="K121" s="103">
        <f t="shared" si="28"/>
        <v>28.33055266</v>
      </c>
      <c r="L121" s="54"/>
      <c r="M121" s="54"/>
      <c r="N121" s="54"/>
      <c r="O121" s="54"/>
      <c r="P121" s="86"/>
      <c r="Q121" s="54"/>
      <c r="R121" s="54"/>
    </row>
    <row r="122">
      <c r="A122" s="54"/>
      <c r="B122" s="110">
        <v>45727.0</v>
      </c>
      <c r="C122" s="110"/>
      <c r="D122" s="99"/>
      <c r="E122" s="100">
        <v>1473991.0</v>
      </c>
      <c r="F122" s="99">
        <f t="shared" si="29"/>
        <v>658</v>
      </c>
      <c r="G122" s="100">
        <v>512.0</v>
      </c>
      <c r="H122" s="101">
        <v>186.0</v>
      </c>
      <c r="I122" s="101">
        <v>185.13</v>
      </c>
      <c r="J122" s="102">
        <f t="shared" si="27"/>
        <v>0.87</v>
      </c>
      <c r="K122" s="103">
        <f t="shared" si="28"/>
        <v>28.13525836</v>
      </c>
      <c r="L122" s="54"/>
      <c r="M122" s="54"/>
      <c r="N122" s="54"/>
      <c r="O122" s="54"/>
      <c r="P122" s="86"/>
      <c r="Q122" s="54"/>
      <c r="R122" s="54"/>
    </row>
    <row r="123">
      <c r="A123" s="54"/>
      <c r="B123" s="110">
        <v>45729.0</v>
      </c>
      <c r="C123" s="110"/>
      <c r="D123" s="110"/>
      <c r="E123" s="100">
        <v>1474811.0</v>
      </c>
      <c r="F123" s="99">
        <f t="shared" si="29"/>
        <v>820</v>
      </c>
      <c r="G123" s="100">
        <v>510.0</v>
      </c>
      <c r="H123" s="101">
        <v>238.0</v>
      </c>
      <c r="I123" s="101">
        <v>242.84</v>
      </c>
      <c r="J123" s="102">
        <f t="shared" si="27"/>
        <v>-4.84</v>
      </c>
      <c r="K123" s="103">
        <f t="shared" si="28"/>
        <v>29.61463415</v>
      </c>
      <c r="L123" s="54"/>
      <c r="M123" s="54"/>
      <c r="N123" s="54"/>
      <c r="O123" s="54"/>
      <c r="P123" s="86"/>
      <c r="Q123" s="54"/>
      <c r="R123" s="54"/>
    </row>
    <row r="124">
      <c r="A124" s="54"/>
      <c r="B124" s="110">
        <v>45729.0</v>
      </c>
      <c r="C124" s="110"/>
      <c r="D124" s="99"/>
      <c r="E124" s="100">
        <v>1475470.0</v>
      </c>
      <c r="F124" s="99">
        <f t="shared" si="29"/>
        <v>659</v>
      </c>
      <c r="G124" s="100">
        <v>509.0</v>
      </c>
      <c r="H124" s="101">
        <v>194.0</v>
      </c>
      <c r="I124" s="101">
        <v>192.67</v>
      </c>
      <c r="J124" s="102">
        <f t="shared" si="27"/>
        <v>1.33</v>
      </c>
      <c r="K124" s="103">
        <f t="shared" si="28"/>
        <v>29.23672231</v>
      </c>
      <c r="L124" s="54"/>
      <c r="M124" s="54"/>
      <c r="N124" s="54"/>
      <c r="O124" s="54"/>
      <c r="P124" s="86"/>
      <c r="Q124" s="54"/>
      <c r="R124" s="54"/>
    </row>
    <row r="125">
      <c r="A125" s="54"/>
      <c r="B125" s="110">
        <v>45731.0</v>
      </c>
      <c r="C125" s="110"/>
      <c r="D125" s="99"/>
      <c r="E125" s="100">
        <v>1476291.0</v>
      </c>
      <c r="F125" s="99">
        <f t="shared" si="29"/>
        <v>821</v>
      </c>
      <c r="G125" s="100">
        <v>510.0</v>
      </c>
      <c r="H125" s="101">
        <v>270.0</v>
      </c>
      <c r="I125" s="101">
        <v>274.64</v>
      </c>
      <c r="J125" s="102">
        <f t="shared" si="27"/>
        <v>-4.64</v>
      </c>
      <c r="K125" s="103">
        <f t="shared" si="28"/>
        <v>33.45188794</v>
      </c>
      <c r="L125" s="54"/>
      <c r="M125" s="54"/>
      <c r="N125" s="54"/>
      <c r="O125" s="54"/>
      <c r="P125" s="86"/>
      <c r="Q125" s="54"/>
      <c r="R125" s="54"/>
    </row>
    <row r="126">
      <c r="A126" s="54"/>
      <c r="B126" s="110">
        <v>45731.0</v>
      </c>
      <c r="C126" s="110"/>
      <c r="D126" s="99"/>
      <c r="E126" s="100">
        <v>1476951.0</v>
      </c>
      <c r="F126" s="99">
        <f t="shared" si="29"/>
        <v>660</v>
      </c>
      <c r="G126" s="100">
        <v>507.0</v>
      </c>
      <c r="H126" s="101">
        <v>210.0</v>
      </c>
      <c r="I126" s="101">
        <v>215.26</v>
      </c>
      <c r="J126" s="102">
        <f t="shared" si="27"/>
        <v>-5.26</v>
      </c>
      <c r="K126" s="103">
        <f t="shared" si="28"/>
        <v>32.61515152</v>
      </c>
      <c r="L126" s="54"/>
      <c r="M126" s="54"/>
      <c r="N126" s="54"/>
      <c r="O126" s="54"/>
      <c r="P126" s="86"/>
      <c r="Q126" s="54"/>
      <c r="R126" s="54"/>
    </row>
    <row r="127">
      <c r="A127" s="54"/>
      <c r="B127" s="110">
        <v>45733.0</v>
      </c>
      <c r="C127" s="110"/>
      <c r="D127" s="99"/>
      <c r="E127" s="100">
        <v>1477802.0</v>
      </c>
      <c r="F127" s="99">
        <f t="shared" si="29"/>
        <v>851</v>
      </c>
      <c r="G127" s="100">
        <v>511.0</v>
      </c>
      <c r="H127" s="101">
        <v>255.0</v>
      </c>
      <c r="I127" s="101">
        <v>258.37</v>
      </c>
      <c r="J127" s="102">
        <f t="shared" si="27"/>
        <v>-3.37</v>
      </c>
      <c r="K127" s="103">
        <f t="shared" si="28"/>
        <v>30.36075206</v>
      </c>
      <c r="L127" s="54"/>
      <c r="M127" s="54"/>
      <c r="N127" s="54"/>
      <c r="O127" s="54"/>
      <c r="P127" s="86"/>
      <c r="Q127" s="54"/>
      <c r="R127" s="54"/>
    </row>
    <row r="128">
      <c r="A128" s="54"/>
      <c r="B128" s="110">
        <v>45733.0</v>
      </c>
      <c r="C128" s="110"/>
      <c r="D128" s="99"/>
      <c r="E128" s="100">
        <v>1478461.0</v>
      </c>
      <c r="F128" s="99">
        <f t="shared" si="29"/>
        <v>659</v>
      </c>
      <c r="G128" s="100">
        <v>512.0</v>
      </c>
      <c r="H128" s="101">
        <v>213.0</v>
      </c>
      <c r="I128" s="101">
        <v>216.23</v>
      </c>
      <c r="J128" s="102">
        <f t="shared" si="27"/>
        <v>-3.23</v>
      </c>
      <c r="K128" s="103">
        <f t="shared" si="28"/>
        <v>32.81183612</v>
      </c>
      <c r="L128" s="54"/>
      <c r="M128" s="54"/>
      <c r="N128" s="54"/>
      <c r="O128" s="54"/>
      <c r="P128" s="86"/>
      <c r="Q128" s="54"/>
      <c r="R128" s="54"/>
    </row>
    <row r="129">
      <c r="A129" s="68"/>
      <c r="B129" s="88" t="str">
        <f>IF(L129=4,"АПРЕЛЬ",IF(L129=5,"МАЙ",IF(L129=1,"ЯНВАРЬ",IF(L129=2,"ФЕВРАЛЬ",IF(L129=3,"МАРТ",IF(L129=6,"ИЮНЬ",IF(L129=7,"ИЮЛЬ",IF(L129=8,"АВГУСТ",IF(L129=9,"СЕНТЯБРЬ",IF(L129=10,"ОКТЯБРЬ",IF(L129=11,"НОЯБРЬ",IF(L129=12,"ДЕКАБРЬ"))))))))))))</f>
        <v>АПРЕЛЬ</v>
      </c>
      <c r="J129" s="88"/>
      <c r="K129" s="88"/>
      <c r="L129" s="91">
        <f>MONTH(B130)</f>
        <v>4</v>
      </c>
      <c r="M129" s="66"/>
      <c r="N129" s="66"/>
      <c r="O129" s="66"/>
      <c r="P129" s="113"/>
      <c r="Q129" s="66"/>
      <c r="R129" s="66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54"/>
      <c r="B130" s="110">
        <v>45748.0</v>
      </c>
      <c r="C130" s="110"/>
      <c r="D130" s="99"/>
      <c r="E130" s="100">
        <v>1479436.0</v>
      </c>
      <c r="F130" s="99">
        <f>E130-E128</f>
        <v>975</v>
      </c>
      <c r="G130" s="100">
        <v>515.0</v>
      </c>
      <c r="H130" s="101">
        <v>287.0</v>
      </c>
      <c r="I130" s="101">
        <v>291.34</v>
      </c>
      <c r="J130" s="102">
        <f t="shared" ref="J130:J143" si="30">H130-I130</f>
        <v>-4.34</v>
      </c>
      <c r="K130" s="103">
        <f t="shared" ref="K130:K143" si="31">I130/F130*100</f>
        <v>29.88102564</v>
      </c>
      <c r="L130" s="54"/>
      <c r="M130" s="82" t="str">
        <f>"тотал"&amp;" "&amp;B129&amp;" "&amp;Q130</f>
        <v>тотал АПРЕЛЬ </v>
      </c>
      <c r="N130" s="75"/>
      <c r="O130" s="75"/>
      <c r="P130" s="75"/>
      <c r="Q130" s="76"/>
      <c r="R130" s="54"/>
    </row>
    <row r="131">
      <c r="A131" s="54"/>
      <c r="B131" s="110">
        <v>45748.0</v>
      </c>
      <c r="C131" s="110"/>
      <c r="D131" s="99"/>
      <c r="E131" s="100">
        <v>1480095.0</v>
      </c>
      <c r="F131" s="99">
        <f t="shared" ref="F131:F143" si="32">E131-E130</f>
        <v>659</v>
      </c>
      <c r="G131" s="100">
        <v>515.0</v>
      </c>
      <c r="H131" s="101">
        <v>188.0</v>
      </c>
      <c r="I131" s="101">
        <v>192.3</v>
      </c>
      <c r="J131" s="102">
        <f t="shared" si="30"/>
        <v>-4.3</v>
      </c>
      <c r="K131" s="103">
        <f t="shared" si="31"/>
        <v>29.18057663</v>
      </c>
      <c r="L131" s="54"/>
      <c r="M131" s="84" t="s">
        <v>70</v>
      </c>
      <c r="N131" s="84" t="s">
        <v>71</v>
      </c>
      <c r="O131" s="84" t="s">
        <v>27</v>
      </c>
      <c r="P131" s="77" t="s">
        <v>28</v>
      </c>
      <c r="Q131" s="12" t="s">
        <v>78</v>
      </c>
      <c r="R131" s="54"/>
    </row>
    <row r="132">
      <c r="A132" s="54"/>
      <c r="B132" s="110">
        <v>45750.0</v>
      </c>
      <c r="C132" s="110"/>
      <c r="D132" s="99"/>
      <c r="E132" s="100">
        <v>1480917.0</v>
      </c>
      <c r="F132" s="99">
        <f t="shared" si="32"/>
        <v>822</v>
      </c>
      <c r="G132" s="100">
        <v>515.0</v>
      </c>
      <c r="H132" s="101">
        <v>242.0</v>
      </c>
      <c r="I132" s="101">
        <v>245.17</v>
      </c>
      <c r="J132" s="102">
        <f t="shared" si="30"/>
        <v>-3.17</v>
      </c>
      <c r="K132" s="103">
        <f t="shared" si="31"/>
        <v>29.82603406</v>
      </c>
      <c r="L132" s="54"/>
      <c r="M132" s="84">
        <f>SUM(F130:F143)</f>
        <v>10886</v>
      </c>
      <c r="N132" s="84">
        <f>SUM(I130:I143)</f>
        <v>3358.71</v>
      </c>
      <c r="O132" s="85">
        <f>N132/M132*100</f>
        <v>30.85348154</v>
      </c>
      <c r="P132" s="79">
        <f>(M132/100)*(O132-Q132)</f>
        <v>310.63</v>
      </c>
      <c r="Q132" s="78">
        <v>28.0</v>
      </c>
      <c r="R132" s="54"/>
    </row>
    <row r="133">
      <c r="A133" s="54"/>
      <c r="B133" s="110">
        <v>45750.0</v>
      </c>
      <c r="C133" s="110"/>
      <c r="D133" s="99"/>
      <c r="E133" s="100">
        <v>1481578.0</v>
      </c>
      <c r="F133" s="99">
        <f t="shared" si="32"/>
        <v>661</v>
      </c>
      <c r="G133" s="100">
        <v>510.0</v>
      </c>
      <c r="H133" s="101">
        <v>191.0</v>
      </c>
      <c r="I133" s="101">
        <v>195.0</v>
      </c>
      <c r="J133" s="102">
        <f t="shared" si="30"/>
        <v>-4</v>
      </c>
      <c r="K133" s="103">
        <f t="shared" si="31"/>
        <v>29.50075643</v>
      </c>
      <c r="L133" s="54"/>
      <c r="M133" s="54"/>
      <c r="N133" s="54"/>
      <c r="O133" s="54"/>
      <c r="P133" s="86"/>
      <c r="Q133" s="54"/>
      <c r="R133" s="54"/>
    </row>
    <row r="134">
      <c r="A134" s="54"/>
      <c r="B134" s="110">
        <v>45752.0</v>
      </c>
      <c r="C134" s="110"/>
      <c r="D134" s="99"/>
      <c r="E134" s="100">
        <v>1482584.0</v>
      </c>
      <c r="F134" s="99">
        <f t="shared" si="32"/>
        <v>1006</v>
      </c>
      <c r="G134" s="100">
        <v>513.0</v>
      </c>
      <c r="H134" s="101">
        <v>302.0</v>
      </c>
      <c r="I134" s="101">
        <v>300.0</v>
      </c>
      <c r="J134" s="102">
        <f t="shared" si="30"/>
        <v>2</v>
      </c>
      <c r="K134" s="103">
        <f t="shared" si="31"/>
        <v>29.82107356</v>
      </c>
      <c r="L134" s="54"/>
      <c r="M134" s="54"/>
      <c r="N134" s="54"/>
      <c r="O134" s="54"/>
      <c r="P134" s="86"/>
      <c r="Q134" s="54"/>
      <c r="R134" s="54"/>
    </row>
    <row r="135">
      <c r="A135" s="54"/>
      <c r="B135" s="110">
        <v>45752.0</v>
      </c>
      <c r="C135" s="110"/>
      <c r="D135" s="99"/>
      <c r="E135" s="100">
        <v>1483029.0</v>
      </c>
      <c r="F135" s="99">
        <f t="shared" si="32"/>
        <v>445</v>
      </c>
      <c r="G135" s="100">
        <v>515.0</v>
      </c>
      <c r="H135" s="101">
        <v>145.0</v>
      </c>
      <c r="I135" s="101">
        <v>158.4</v>
      </c>
      <c r="J135" s="102">
        <f t="shared" si="30"/>
        <v>-13.4</v>
      </c>
      <c r="K135" s="103">
        <f t="shared" si="31"/>
        <v>35.59550562</v>
      </c>
      <c r="L135" s="54"/>
      <c r="M135" s="54"/>
      <c r="N135" s="54"/>
      <c r="O135" s="54"/>
      <c r="P135" s="86"/>
      <c r="Q135" s="54"/>
      <c r="R135" s="54"/>
    </row>
    <row r="136">
      <c r="A136" s="54"/>
      <c r="B136" s="110">
        <v>45755.0</v>
      </c>
      <c r="C136" s="110"/>
      <c r="D136" s="99"/>
      <c r="E136" s="100">
        <v>1484040.0</v>
      </c>
      <c r="F136" s="99">
        <f t="shared" si="32"/>
        <v>1011</v>
      </c>
      <c r="G136" s="100">
        <v>515.0</v>
      </c>
      <c r="H136" s="101">
        <v>308.0</v>
      </c>
      <c r="I136" s="101">
        <v>310.31</v>
      </c>
      <c r="J136" s="102">
        <f t="shared" si="30"/>
        <v>-2.31</v>
      </c>
      <c r="K136" s="103">
        <f t="shared" si="31"/>
        <v>30.6933729</v>
      </c>
      <c r="L136" s="54"/>
      <c r="M136" s="54"/>
      <c r="N136" s="54"/>
      <c r="O136" s="54"/>
      <c r="P136" s="86"/>
      <c r="Q136" s="54"/>
      <c r="R136" s="54"/>
    </row>
    <row r="137">
      <c r="A137" s="54"/>
      <c r="B137" s="110">
        <v>45755.0</v>
      </c>
      <c r="C137" s="110"/>
      <c r="D137" s="99"/>
      <c r="E137" s="100">
        <v>1484700.0</v>
      </c>
      <c r="F137" s="99">
        <f t="shared" si="32"/>
        <v>660</v>
      </c>
      <c r="G137" s="100">
        <v>515.0</v>
      </c>
      <c r="H137" s="101">
        <v>211.0</v>
      </c>
      <c r="I137" s="101">
        <v>216.44</v>
      </c>
      <c r="J137" s="102">
        <f t="shared" si="30"/>
        <v>-5.44</v>
      </c>
      <c r="K137" s="103">
        <f t="shared" si="31"/>
        <v>32.79393939</v>
      </c>
      <c r="L137" s="54"/>
      <c r="M137" s="54"/>
      <c r="N137" s="54"/>
      <c r="O137" s="54"/>
      <c r="P137" s="86"/>
      <c r="Q137" s="54"/>
      <c r="R137" s="54"/>
    </row>
    <row r="138">
      <c r="A138" s="54"/>
      <c r="B138" s="110">
        <v>45757.0</v>
      </c>
      <c r="C138" s="110"/>
      <c r="D138" s="99"/>
      <c r="E138" s="100">
        <v>1485523.0</v>
      </c>
      <c r="F138" s="99">
        <f t="shared" si="32"/>
        <v>823</v>
      </c>
      <c r="G138" s="100">
        <v>515.0</v>
      </c>
      <c r="H138" s="101">
        <v>258.0</v>
      </c>
      <c r="I138" s="101">
        <v>261.22</v>
      </c>
      <c r="J138" s="102">
        <f t="shared" si="30"/>
        <v>-3.22</v>
      </c>
      <c r="K138" s="103">
        <f t="shared" si="31"/>
        <v>31.7399757</v>
      </c>
      <c r="L138" s="54"/>
      <c r="M138" s="54"/>
      <c r="N138" s="54"/>
      <c r="O138" s="54"/>
      <c r="P138" s="86"/>
      <c r="Q138" s="54"/>
      <c r="R138" s="54"/>
    </row>
    <row r="139">
      <c r="A139" s="54"/>
      <c r="B139" s="110">
        <v>45757.0</v>
      </c>
      <c r="C139" s="110"/>
      <c r="D139" s="99"/>
      <c r="E139" s="100">
        <v>1486185.0</v>
      </c>
      <c r="F139" s="99">
        <f t="shared" si="32"/>
        <v>662</v>
      </c>
      <c r="G139" s="100">
        <v>515.0</v>
      </c>
      <c r="H139" s="101">
        <v>220.0</v>
      </c>
      <c r="I139" s="101">
        <v>229.04</v>
      </c>
      <c r="J139" s="102">
        <f t="shared" si="30"/>
        <v>-9.04</v>
      </c>
      <c r="K139" s="103">
        <f t="shared" si="31"/>
        <v>34.59818731</v>
      </c>
      <c r="L139" s="54"/>
      <c r="M139" s="54"/>
      <c r="N139" s="54"/>
      <c r="O139" s="54"/>
      <c r="P139" s="86"/>
      <c r="Q139" s="54"/>
      <c r="R139" s="54"/>
    </row>
    <row r="140">
      <c r="A140" s="54"/>
      <c r="B140" s="110">
        <v>45759.0</v>
      </c>
      <c r="C140" s="110"/>
      <c r="D140" s="99"/>
      <c r="E140" s="100">
        <v>1487009.0</v>
      </c>
      <c r="F140" s="99">
        <f t="shared" si="32"/>
        <v>824</v>
      </c>
      <c r="G140" s="100">
        <v>515.0</v>
      </c>
      <c r="H140" s="101">
        <v>249.0</v>
      </c>
      <c r="I140" s="101">
        <v>257.12</v>
      </c>
      <c r="J140" s="102">
        <f t="shared" si="30"/>
        <v>-8.12</v>
      </c>
      <c r="K140" s="103">
        <f t="shared" si="31"/>
        <v>31.2038835</v>
      </c>
      <c r="L140" s="54"/>
      <c r="M140" s="54"/>
      <c r="N140" s="54"/>
      <c r="O140" s="54"/>
      <c r="P140" s="86"/>
      <c r="Q140" s="54"/>
      <c r="R140" s="54"/>
    </row>
    <row r="141">
      <c r="A141" s="54"/>
      <c r="B141" s="110">
        <v>45759.0</v>
      </c>
      <c r="C141" s="110"/>
      <c r="D141" s="99"/>
      <c r="E141" s="100">
        <v>1487670.0</v>
      </c>
      <c r="F141" s="99">
        <f t="shared" si="32"/>
        <v>661</v>
      </c>
      <c r="G141" s="100">
        <v>515.0</v>
      </c>
      <c r="H141" s="101">
        <v>204.0</v>
      </c>
      <c r="I141" s="101">
        <v>215.33</v>
      </c>
      <c r="J141" s="102">
        <f t="shared" si="30"/>
        <v>-11.33</v>
      </c>
      <c r="K141" s="103">
        <f t="shared" si="31"/>
        <v>32.57639939</v>
      </c>
      <c r="L141" s="54"/>
      <c r="M141" s="54"/>
      <c r="N141" s="54"/>
      <c r="O141" s="54"/>
      <c r="P141" s="86"/>
      <c r="Q141" s="54"/>
      <c r="R141" s="54"/>
    </row>
    <row r="142">
      <c r="A142" s="54"/>
      <c r="B142" s="110">
        <v>45761.0</v>
      </c>
      <c r="C142" s="110"/>
      <c r="D142" s="99"/>
      <c r="E142" s="100">
        <v>1488686.0</v>
      </c>
      <c r="F142" s="99">
        <f t="shared" si="32"/>
        <v>1016</v>
      </c>
      <c r="G142" s="100">
        <v>515.0</v>
      </c>
      <c r="H142" s="101">
        <v>288.0</v>
      </c>
      <c r="I142" s="101">
        <v>296.35</v>
      </c>
      <c r="J142" s="102">
        <f t="shared" si="30"/>
        <v>-8.35</v>
      </c>
      <c r="K142" s="103">
        <f t="shared" si="31"/>
        <v>29.16830709</v>
      </c>
      <c r="L142" s="54"/>
      <c r="M142" s="54"/>
      <c r="N142" s="54"/>
      <c r="O142" s="54"/>
      <c r="P142" s="86"/>
      <c r="Q142" s="54"/>
      <c r="R142" s="54"/>
    </row>
    <row r="143">
      <c r="A143" s="54"/>
      <c r="B143" s="110">
        <v>45761.0</v>
      </c>
      <c r="C143" s="110"/>
      <c r="D143" s="99"/>
      <c r="E143" s="100">
        <v>1489347.0</v>
      </c>
      <c r="F143" s="99">
        <f t="shared" si="32"/>
        <v>661</v>
      </c>
      <c r="G143" s="100">
        <v>515.0</v>
      </c>
      <c r="H143" s="101">
        <v>178.0</v>
      </c>
      <c r="I143" s="101">
        <v>190.69</v>
      </c>
      <c r="J143" s="102">
        <f t="shared" si="30"/>
        <v>-12.69</v>
      </c>
      <c r="K143" s="103">
        <f t="shared" si="31"/>
        <v>28.84871407</v>
      </c>
      <c r="L143" s="54"/>
      <c r="M143" s="54"/>
      <c r="N143" s="54"/>
      <c r="O143" s="54"/>
      <c r="P143" s="86"/>
      <c r="Q143" s="54"/>
      <c r="R143" s="54"/>
    </row>
    <row r="144">
      <c r="A144" s="68"/>
      <c r="B144" s="88" t="str">
        <f>IF(L144=4,"АПРЕЛЬ",IF(L144=5,"МАЙ",IF(L144=1,"ЯНВАРЬ",IF(L144=2,"ФЕВРАЛЬ",IF(L144=3,"МАРТ",IF(L144=6,"ИЮНЬ",IF(L144=7,"ИЮЛЬ",IF(L144=8,"АВГУСТ",IF(L144=9,"СЕНТЯБРЬ",IF(L144=10,"ОКТЯБРЬ",IF(L144=11,"НОЯБРЬ",IF(L144=12,"ДЕКАБРЬ"))))))))))))</f>
        <v>МАЙ</v>
      </c>
      <c r="J144" s="88"/>
      <c r="K144" s="88"/>
      <c r="L144" s="91">
        <f>MONTH(B145)</f>
        <v>5</v>
      </c>
      <c r="M144" s="66"/>
      <c r="N144" s="66"/>
      <c r="O144" s="66"/>
      <c r="P144" s="113"/>
      <c r="Q144" s="66"/>
      <c r="R144" s="66"/>
      <c r="S144" s="68"/>
      <c r="T144" s="68"/>
      <c r="U144" s="68"/>
      <c r="V144" s="68"/>
      <c r="W144" s="68"/>
      <c r="X144" s="68"/>
      <c r="Y144" s="68"/>
      <c r="Z144" s="68"/>
      <c r="AA144" s="68"/>
    </row>
    <row r="145">
      <c r="A145" s="54"/>
      <c r="B145" s="110">
        <v>45796.0</v>
      </c>
      <c r="C145" s="100" t="s">
        <v>127</v>
      </c>
      <c r="D145" s="100" t="s">
        <v>275</v>
      </c>
      <c r="E145" s="100">
        <v>1490319.0</v>
      </c>
      <c r="F145" s="99">
        <f>E145-E143</f>
        <v>972</v>
      </c>
      <c r="G145" s="100">
        <v>515.0</v>
      </c>
      <c r="H145" s="101">
        <v>269.0</v>
      </c>
      <c r="I145" s="101">
        <v>294.31</v>
      </c>
      <c r="J145" s="102">
        <f t="shared" ref="J145:J154" si="33">H145-I145</f>
        <v>-25.31</v>
      </c>
      <c r="K145" s="103">
        <f t="shared" ref="K145:K154" si="34">I145/F145*100</f>
        <v>30.27880658</v>
      </c>
      <c r="L145" s="54"/>
      <c r="M145" s="82" t="str">
        <f>"тотал"&amp;" "&amp;B144&amp;" "&amp;Q145</f>
        <v>тотал МАЙ </v>
      </c>
      <c r="N145" s="75"/>
      <c r="O145" s="75"/>
      <c r="P145" s="75"/>
      <c r="Q145" s="76"/>
      <c r="R145" s="54"/>
    </row>
    <row r="146">
      <c r="A146" s="54"/>
      <c r="B146" s="110">
        <v>45798.0</v>
      </c>
      <c r="C146" s="100" t="s">
        <v>127</v>
      </c>
      <c r="D146" s="100" t="s">
        <v>275</v>
      </c>
      <c r="E146" s="100">
        <v>1491541.0</v>
      </c>
      <c r="F146" s="99">
        <f t="shared" ref="F146:F154" si="35">E146-E145</f>
        <v>1222</v>
      </c>
      <c r="G146" s="100">
        <v>515.0</v>
      </c>
      <c r="H146" s="101">
        <v>376.0</v>
      </c>
      <c r="I146" s="101">
        <v>389.4</v>
      </c>
      <c r="J146" s="102">
        <f t="shared" si="33"/>
        <v>-13.4</v>
      </c>
      <c r="K146" s="103">
        <f t="shared" si="34"/>
        <v>31.86579378</v>
      </c>
      <c r="L146" s="54"/>
      <c r="M146" s="84" t="s">
        <v>70</v>
      </c>
      <c r="N146" s="84" t="s">
        <v>71</v>
      </c>
      <c r="O146" s="84" t="s">
        <v>27</v>
      </c>
      <c r="P146" s="77" t="s">
        <v>28</v>
      </c>
      <c r="Q146" s="12" t="s">
        <v>78</v>
      </c>
      <c r="R146" s="54"/>
    </row>
    <row r="147">
      <c r="A147" s="54"/>
      <c r="B147" s="110">
        <v>45799.0</v>
      </c>
      <c r="C147" s="100" t="s">
        <v>127</v>
      </c>
      <c r="D147" s="100" t="s">
        <v>275</v>
      </c>
      <c r="E147" s="100">
        <v>1492971.0</v>
      </c>
      <c r="F147" s="99">
        <f t="shared" si="35"/>
        <v>1430</v>
      </c>
      <c r="G147" s="100">
        <v>515.0</v>
      </c>
      <c r="H147" s="101">
        <v>381.0</v>
      </c>
      <c r="I147" s="101">
        <v>388.77</v>
      </c>
      <c r="J147" s="102">
        <f t="shared" si="33"/>
        <v>-7.77</v>
      </c>
      <c r="K147" s="103">
        <f t="shared" si="34"/>
        <v>27.18671329</v>
      </c>
      <c r="L147" s="54"/>
      <c r="M147" s="84">
        <f>SUM(F145:F154)</f>
        <v>10030</v>
      </c>
      <c r="N147" s="84">
        <f>SUM(I145:I154)</f>
        <v>2902.32</v>
      </c>
      <c r="O147" s="85">
        <f>N147/M147*100</f>
        <v>28.93639083</v>
      </c>
      <c r="P147" s="79">
        <f>(M147/100)*(O147-Q147)</f>
        <v>93.92</v>
      </c>
      <c r="Q147" s="78">
        <v>28.0</v>
      </c>
      <c r="R147" s="54"/>
    </row>
    <row r="148">
      <c r="A148" s="54"/>
      <c r="B148" s="110">
        <v>45801.0</v>
      </c>
      <c r="C148" s="100" t="s">
        <v>127</v>
      </c>
      <c r="D148" s="100" t="s">
        <v>275</v>
      </c>
      <c r="E148" s="100">
        <v>1494138.0</v>
      </c>
      <c r="F148" s="99">
        <f t="shared" si="35"/>
        <v>1167</v>
      </c>
      <c r="G148" s="100">
        <v>515.0</v>
      </c>
      <c r="H148" s="101">
        <v>298.0</v>
      </c>
      <c r="I148" s="101">
        <v>322.2</v>
      </c>
      <c r="J148" s="102">
        <f t="shared" si="33"/>
        <v>-24.2</v>
      </c>
      <c r="K148" s="103">
        <f t="shared" si="34"/>
        <v>27.6092545</v>
      </c>
      <c r="L148" s="54"/>
      <c r="M148" s="54"/>
      <c r="N148" s="54"/>
      <c r="O148" s="54"/>
      <c r="P148" s="86"/>
      <c r="Q148" s="54"/>
      <c r="R148" s="54"/>
    </row>
    <row r="149">
      <c r="A149" s="54"/>
      <c r="B149" s="110">
        <v>45803.0</v>
      </c>
      <c r="C149" s="100" t="s">
        <v>127</v>
      </c>
      <c r="D149" s="100" t="s">
        <v>275</v>
      </c>
      <c r="E149" s="100">
        <v>1495546.0</v>
      </c>
      <c r="F149" s="99">
        <f t="shared" si="35"/>
        <v>1408</v>
      </c>
      <c r="G149" s="100">
        <v>515.0</v>
      </c>
      <c r="H149" s="101">
        <v>380.0</v>
      </c>
      <c r="I149" s="101">
        <v>383.67</v>
      </c>
      <c r="J149" s="102">
        <f t="shared" si="33"/>
        <v>-3.67</v>
      </c>
      <c r="K149" s="103">
        <f t="shared" si="34"/>
        <v>27.24928977</v>
      </c>
      <c r="L149" s="54"/>
      <c r="M149" s="54"/>
      <c r="N149" s="54"/>
      <c r="O149" s="54"/>
      <c r="P149" s="86"/>
      <c r="Q149" s="54"/>
      <c r="R149" s="54"/>
    </row>
    <row r="150">
      <c r="A150" s="54"/>
      <c r="B150" s="110">
        <v>45804.0</v>
      </c>
      <c r="C150" s="100" t="s">
        <v>123</v>
      </c>
      <c r="D150" s="100" t="s">
        <v>286</v>
      </c>
      <c r="E150" s="100">
        <v>1496412.0</v>
      </c>
      <c r="F150" s="99">
        <f t="shared" si="35"/>
        <v>866</v>
      </c>
      <c r="G150" s="100">
        <v>515.0</v>
      </c>
      <c r="H150" s="101">
        <v>252.0</v>
      </c>
      <c r="I150" s="101">
        <v>260.61</v>
      </c>
      <c r="J150" s="102">
        <f t="shared" si="33"/>
        <v>-8.61</v>
      </c>
      <c r="K150" s="103">
        <f t="shared" si="34"/>
        <v>30.09353349</v>
      </c>
      <c r="L150" s="54"/>
      <c r="M150" s="54"/>
      <c r="N150" s="54"/>
      <c r="O150" s="54"/>
      <c r="P150" s="86"/>
      <c r="Q150" s="54"/>
      <c r="R150" s="54"/>
    </row>
    <row r="151">
      <c r="A151" s="54"/>
      <c r="B151" s="110">
        <v>45806.0</v>
      </c>
      <c r="C151" s="100" t="s">
        <v>123</v>
      </c>
      <c r="D151" s="100" t="s">
        <v>286</v>
      </c>
      <c r="E151" s="100">
        <v>1497234.0</v>
      </c>
      <c r="F151" s="99">
        <f t="shared" si="35"/>
        <v>822</v>
      </c>
      <c r="G151" s="100">
        <v>515.0</v>
      </c>
      <c r="H151" s="101">
        <v>239.0</v>
      </c>
      <c r="I151" s="101">
        <v>250.01</v>
      </c>
      <c r="J151" s="102">
        <f t="shared" si="33"/>
        <v>-11.01</v>
      </c>
      <c r="K151" s="103">
        <f t="shared" si="34"/>
        <v>30.41484185</v>
      </c>
      <c r="L151" s="54"/>
      <c r="M151" s="54"/>
      <c r="N151" s="54"/>
      <c r="O151" s="54"/>
      <c r="P151" s="86"/>
      <c r="Q151" s="54"/>
      <c r="R151" s="54"/>
    </row>
    <row r="152">
      <c r="A152" s="54"/>
      <c r="B152" s="110">
        <v>45806.0</v>
      </c>
      <c r="C152" s="100" t="s">
        <v>123</v>
      </c>
      <c r="D152" s="100" t="s">
        <v>286</v>
      </c>
      <c r="E152" s="100">
        <v>1497894.0</v>
      </c>
      <c r="F152" s="99">
        <f t="shared" si="35"/>
        <v>660</v>
      </c>
      <c r="G152" s="100">
        <v>515.0</v>
      </c>
      <c r="H152" s="101">
        <v>167.0</v>
      </c>
      <c r="I152" s="101">
        <v>181.49</v>
      </c>
      <c r="J152" s="102">
        <f t="shared" si="33"/>
        <v>-14.49</v>
      </c>
      <c r="K152" s="103">
        <f t="shared" si="34"/>
        <v>27.49848485</v>
      </c>
      <c r="L152" s="54"/>
      <c r="M152" s="54"/>
      <c r="N152" s="54"/>
      <c r="O152" s="54"/>
      <c r="P152" s="86"/>
      <c r="Q152" s="54"/>
      <c r="R152" s="54"/>
    </row>
    <row r="153">
      <c r="A153" s="54"/>
      <c r="B153" s="110">
        <v>45808.0</v>
      </c>
      <c r="C153" s="100" t="s">
        <v>123</v>
      </c>
      <c r="D153" s="100" t="s">
        <v>286</v>
      </c>
      <c r="E153" s="100">
        <v>1498717.0</v>
      </c>
      <c r="F153" s="99">
        <f t="shared" si="35"/>
        <v>823</v>
      </c>
      <c r="G153" s="100">
        <v>515.0</v>
      </c>
      <c r="H153" s="101">
        <v>229.0</v>
      </c>
      <c r="I153" s="101">
        <v>242.42</v>
      </c>
      <c r="J153" s="102">
        <f t="shared" si="33"/>
        <v>-13.42</v>
      </c>
      <c r="K153" s="103">
        <f t="shared" si="34"/>
        <v>29.45565006</v>
      </c>
      <c r="L153" s="54"/>
      <c r="M153" s="54"/>
      <c r="N153" s="54"/>
      <c r="O153" s="54"/>
      <c r="P153" s="86"/>
      <c r="Q153" s="54"/>
      <c r="R153" s="54"/>
    </row>
    <row r="154">
      <c r="A154" s="54"/>
      <c r="B154" s="110">
        <v>45808.0</v>
      </c>
      <c r="C154" s="100" t="s">
        <v>123</v>
      </c>
      <c r="D154" s="100" t="s">
        <v>286</v>
      </c>
      <c r="E154" s="100">
        <v>1499377.0</v>
      </c>
      <c r="F154" s="99">
        <f t="shared" si="35"/>
        <v>660</v>
      </c>
      <c r="G154" s="100">
        <v>515.0</v>
      </c>
      <c r="H154" s="101">
        <v>174.0</v>
      </c>
      <c r="I154" s="101">
        <v>189.44</v>
      </c>
      <c r="J154" s="102">
        <f t="shared" si="33"/>
        <v>-15.44</v>
      </c>
      <c r="K154" s="103">
        <f t="shared" si="34"/>
        <v>28.7030303</v>
      </c>
      <c r="L154" s="54"/>
      <c r="M154" s="54"/>
      <c r="N154" s="54"/>
      <c r="O154" s="54"/>
      <c r="P154" s="86"/>
      <c r="Q154" s="54"/>
      <c r="R154" s="54"/>
    </row>
    <row r="155">
      <c r="A155" s="68"/>
      <c r="B155" s="88" t="str">
        <f>IF(L155=4,"АПРЕЛЬ",IF(L155=5,"МАЙ",IF(L155=1,"ЯНВАРЬ",IF(L155=2,"ФЕВРАЛЬ",IF(L155=3,"МАРТ",IF(L155=6,"ИЮНЬ",IF(L155=7,"ИЮЛЬ",IF(L155=8,"АВГУСТ",IF(L155=9,"СЕНТЯБРЬ",IF(L155=10,"ОКТЯБРЬ",IF(L155=11,"НОЯБРЬ",IF(L155=12,"ДЕКАБРЬ"))))))))))))</f>
        <v>ИЮНЬ</v>
      </c>
      <c r="J155" s="88"/>
      <c r="K155" s="88"/>
      <c r="L155" s="91">
        <f>MONTH(B156)</f>
        <v>6</v>
      </c>
      <c r="M155" s="66"/>
      <c r="N155" s="66"/>
      <c r="O155" s="66"/>
      <c r="P155" s="113"/>
      <c r="Q155" s="66"/>
      <c r="R155" s="66"/>
      <c r="S155" s="68"/>
      <c r="T155" s="68"/>
      <c r="U155" s="68"/>
      <c r="V155" s="68"/>
      <c r="W155" s="68"/>
      <c r="X155" s="68"/>
      <c r="Y155" s="68"/>
      <c r="Z155" s="68"/>
      <c r="AA155" s="68"/>
    </row>
    <row r="156">
      <c r="A156" s="54"/>
      <c r="B156" s="110">
        <v>45811.0</v>
      </c>
      <c r="C156" s="100" t="s">
        <v>123</v>
      </c>
      <c r="D156" s="100" t="s">
        <v>286</v>
      </c>
      <c r="E156" s="100">
        <v>1500338.0</v>
      </c>
      <c r="F156" s="99">
        <f>E156-E154</f>
        <v>961</v>
      </c>
      <c r="G156" s="100">
        <v>515.0</v>
      </c>
      <c r="H156" s="101">
        <v>250.0</v>
      </c>
      <c r="I156" s="101">
        <v>264.68</v>
      </c>
      <c r="J156" s="102">
        <f t="shared" ref="J156:J166" si="36">H156-I156</f>
        <v>-14.68</v>
      </c>
      <c r="K156" s="103">
        <f t="shared" ref="K156:K166" si="37">I156/F156*100</f>
        <v>27.5421436</v>
      </c>
      <c r="L156" s="54"/>
      <c r="M156" s="82" t="str">
        <f>"тотал"&amp;" "&amp;B155&amp;" "&amp;RIGHT(YEAR(B156),2)</f>
        <v>тотал ИЮНЬ 25</v>
      </c>
      <c r="N156" s="75"/>
      <c r="O156" s="75"/>
      <c r="P156" s="75"/>
      <c r="Q156" s="76"/>
      <c r="R156" s="54"/>
    </row>
    <row r="157">
      <c r="A157" s="54"/>
      <c r="B157" s="110">
        <v>45811.0</v>
      </c>
      <c r="C157" s="100" t="s">
        <v>123</v>
      </c>
      <c r="D157" s="100" t="s">
        <v>286</v>
      </c>
      <c r="E157" s="100">
        <v>1500999.0</v>
      </c>
      <c r="F157" s="99">
        <f t="shared" ref="F157:F166" si="38">E157-E156</f>
        <v>661</v>
      </c>
      <c r="G157" s="100">
        <v>515.0</v>
      </c>
      <c r="H157" s="101">
        <v>178.0</v>
      </c>
      <c r="I157" s="101">
        <v>187.88</v>
      </c>
      <c r="J157" s="102">
        <f t="shared" si="36"/>
        <v>-9.88</v>
      </c>
      <c r="K157" s="103">
        <f t="shared" si="37"/>
        <v>28.42360061</v>
      </c>
      <c r="L157" s="54"/>
      <c r="M157" s="84" t="s">
        <v>70</v>
      </c>
      <c r="N157" s="84" t="s">
        <v>71</v>
      </c>
      <c r="O157" s="84" t="s">
        <v>27</v>
      </c>
      <c r="P157" s="77" t="s">
        <v>28</v>
      </c>
      <c r="Q157" s="12" t="s">
        <v>78</v>
      </c>
      <c r="R157" s="54"/>
    </row>
    <row r="158">
      <c r="A158" s="54"/>
      <c r="B158" s="110">
        <v>45813.0</v>
      </c>
      <c r="C158" s="100" t="s">
        <v>123</v>
      </c>
      <c r="D158" s="100" t="s">
        <v>286</v>
      </c>
      <c r="E158" s="100">
        <v>1501821.0</v>
      </c>
      <c r="F158" s="99">
        <f t="shared" si="38"/>
        <v>822</v>
      </c>
      <c r="G158" s="100">
        <v>515.0</v>
      </c>
      <c r="H158" s="101">
        <v>236.0</v>
      </c>
      <c r="I158" s="101">
        <v>251.38</v>
      </c>
      <c r="J158" s="102">
        <f t="shared" si="36"/>
        <v>-15.38</v>
      </c>
      <c r="K158" s="103">
        <f t="shared" si="37"/>
        <v>30.58150852</v>
      </c>
      <c r="L158" s="54"/>
      <c r="M158" s="84">
        <f>SUM(F156:F166)</f>
        <v>10314</v>
      </c>
      <c r="N158" s="84">
        <f>SUM(I156:I166)</f>
        <v>2943.54</v>
      </c>
      <c r="O158" s="85">
        <f>N158/M158*100</f>
        <v>28.53926702</v>
      </c>
      <c r="P158" s="79">
        <f>(M158/100)*(O158-Q158)</f>
        <v>55.62</v>
      </c>
      <c r="Q158" s="78">
        <v>28.0</v>
      </c>
      <c r="R158" s="54"/>
    </row>
    <row r="159">
      <c r="A159" s="54"/>
      <c r="B159" s="110">
        <v>45813.0</v>
      </c>
      <c r="C159" s="100" t="s">
        <v>123</v>
      </c>
      <c r="D159" s="100" t="s">
        <v>286</v>
      </c>
      <c r="E159" s="100">
        <v>1502481.0</v>
      </c>
      <c r="F159" s="99">
        <f t="shared" si="38"/>
        <v>660</v>
      </c>
      <c r="G159" s="100">
        <v>515.0</v>
      </c>
      <c r="H159" s="101">
        <v>176.0</v>
      </c>
      <c r="I159" s="101">
        <v>191.0</v>
      </c>
      <c r="J159" s="102">
        <f t="shared" si="36"/>
        <v>-15</v>
      </c>
      <c r="K159" s="103">
        <f t="shared" si="37"/>
        <v>28.93939394</v>
      </c>
      <c r="L159" s="54"/>
      <c r="M159" s="54"/>
      <c r="N159" s="54"/>
      <c r="O159" s="54"/>
      <c r="P159" s="86"/>
      <c r="Q159" s="54"/>
      <c r="R159" s="54"/>
    </row>
    <row r="160">
      <c r="A160" s="54"/>
      <c r="B160" s="110">
        <v>45815.0</v>
      </c>
      <c r="C160" s="100" t="s">
        <v>123</v>
      </c>
      <c r="D160" s="100" t="s">
        <v>286</v>
      </c>
      <c r="E160" s="100">
        <v>1503304.0</v>
      </c>
      <c r="F160" s="99">
        <f t="shared" si="38"/>
        <v>823</v>
      </c>
      <c r="G160" s="100">
        <v>515.0</v>
      </c>
      <c r="H160" s="101">
        <v>237.0</v>
      </c>
      <c r="I160" s="101">
        <v>250.13</v>
      </c>
      <c r="J160" s="102">
        <f t="shared" si="36"/>
        <v>-13.13</v>
      </c>
      <c r="K160" s="103">
        <f t="shared" si="37"/>
        <v>30.39246659</v>
      </c>
      <c r="L160" s="54"/>
      <c r="M160" s="54"/>
      <c r="N160" s="54"/>
      <c r="O160" s="54"/>
      <c r="P160" s="86"/>
      <c r="Q160" s="54"/>
      <c r="R160" s="54"/>
    </row>
    <row r="161">
      <c r="A161" s="54"/>
      <c r="B161" s="110">
        <v>45815.0</v>
      </c>
      <c r="C161" s="100" t="s">
        <v>123</v>
      </c>
      <c r="D161" s="100" t="s">
        <v>286</v>
      </c>
      <c r="E161" s="100">
        <v>1503964.0</v>
      </c>
      <c r="F161" s="99">
        <f t="shared" si="38"/>
        <v>660</v>
      </c>
      <c r="G161" s="100">
        <v>515.0</v>
      </c>
      <c r="H161" s="101">
        <v>171.0</v>
      </c>
      <c r="I161" s="101">
        <v>191.8</v>
      </c>
      <c r="J161" s="102">
        <f t="shared" si="36"/>
        <v>-20.8</v>
      </c>
      <c r="K161" s="103">
        <f t="shared" si="37"/>
        <v>29.06060606</v>
      </c>
      <c r="L161" s="54"/>
      <c r="M161" s="54"/>
      <c r="N161" s="54"/>
      <c r="O161" s="54"/>
      <c r="P161" s="86"/>
      <c r="Q161" s="54"/>
      <c r="R161" s="54"/>
    </row>
    <row r="162">
      <c r="A162" s="54"/>
      <c r="B162" s="110">
        <v>45824.0</v>
      </c>
      <c r="C162" s="100" t="s">
        <v>127</v>
      </c>
      <c r="D162" s="100" t="s">
        <v>275</v>
      </c>
      <c r="E162" s="100">
        <v>1505091.0</v>
      </c>
      <c r="F162" s="99">
        <f t="shared" si="38"/>
        <v>1127</v>
      </c>
      <c r="G162" s="100">
        <v>515.0</v>
      </c>
      <c r="H162" s="101">
        <v>299.0</v>
      </c>
      <c r="I162" s="101">
        <v>311.62</v>
      </c>
      <c r="J162" s="102">
        <f t="shared" si="36"/>
        <v>-12.62</v>
      </c>
      <c r="K162" s="103">
        <f t="shared" si="37"/>
        <v>27.65039929</v>
      </c>
      <c r="L162" s="54"/>
      <c r="M162" s="54"/>
      <c r="N162" s="54"/>
      <c r="O162" s="54"/>
      <c r="P162" s="86"/>
      <c r="Q162" s="54"/>
      <c r="R162" s="54"/>
    </row>
    <row r="163">
      <c r="A163" s="54"/>
      <c r="B163" s="110">
        <v>45826.0</v>
      </c>
      <c r="C163" s="100" t="s">
        <v>127</v>
      </c>
      <c r="D163" s="100" t="s">
        <v>275</v>
      </c>
      <c r="E163" s="100">
        <v>1506306.0</v>
      </c>
      <c r="F163" s="99">
        <f t="shared" si="38"/>
        <v>1215</v>
      </c>
      <c r="G163" s="100">
        <v>510.0</v>
      </c>
      <c r="H163" s="101">
        <v>306.0</v>
      </c>
      <c r="I163" s="101">
        <v>300.0</v>
      </c>
      <c r="J163" s="102">
        <f t="shared" si="36"/>
        <v>6</v>
      </c>
      <c r="K163" s="103">
        <f t="shared" si="37"/>
        <v>24.69135802</v>
      </c>
      <c r="L163" s="54"/>
      <c r="M163" s="54"/>
      <c r="N163" s="54"/>
      <c r="O163" s="54"/>
      <c r="P163" s="86"/>
      <c r="Q163" s="54"/>
      <c r="R163" s="54"/>
    </row>
    <row r="164">
      <c r="A164" s="54"/>
      <c r="B164" s="110">
        <v>45827.0</v>
      </c>
      <c r="C164" s="100" t="s">
        <v>127</v>
      </c>
      <c r="D164" s="100" t="s">
        <v>275</v>
      </c>
      <c r="E164" s="100">
        <v>1507220.0</v>
      </c>
      <c r="F164" s="99">
        <f t="shared" si="38"/>
        <v>914</v>
      </c>
      <c r="G164" s="100">
        <v>515.0</v>
      </c>
      <c r="H164" s="101">
        <v>265.0</v>
      </c>
      <c r="I164" s="101">
        <v>274.67</v>
      </c>
      <c r="J164" s="102">
        <f t="shared" si="36"/>
        <v>-9.67</v>
      </c>
      <c r="K164" s="103">
        <f t="shared" si="37"/>
        <v>30.05142232</v>
      </c>
      <c r="L164" s="54"/>
      <c r="M164" s="54"/>
      <c r="N164" s="54"/>
      <c r="O164" s="54"/>
      <c r="P164" s="86"/>
      <c r="Q164" s="54"/>
      <c r="R164" s="54"/>
    </row>
    <row r="165">
      <c r="A165" s="54"/>
      <c r="B165" s="110">
        <v>45828.0</v>
      </c>
      <c r="C165" s="100" t="s">
        <v>127</v>
      </c>
      <c r="D165" s="100" t="s">
        <v>275</v>
      </c>
      <c r="E165" s="100">
        <v>1508475.0</v>
      </c>
      <c r="F165" s="99">
        <f t="shared" si="38"/>
        <v>1255</v>
      </c>
      <c r="G165" s="100">
        <v>515.0</v>
      </c>
      <c r="H165" s="101">
        <v>353.0</v>
      </c>
      <c r="I165" s="101">
        <v>367.49</v>
      </c>
      <c r="J165" s="102">
        <f t="shared" si="36"/>
        <v>-14.49</v>
      </c>
      <c r="K165" s="103">
        <f t="shared" si="37"/>
        <v>29.28207171</v>
      </c>
      <c r="L165" s="54"/>
      <c r="M165" s="54"/>
      <c r="N165" s="54"/>
      <c r="O165" s="54"/>
      <c r="P165" s="86"/>
      <c r="Q165" s="54"/>
      <c r="R165" s="54"/>
    </row>
    <row r="166">
      <c r="A166" s="54"/>
      <c r="B166" s="110">
        <v>45830.0</v>
      </c>
      <c r="C166" s="100" t="s">
        <v>127</v>
      </c>
      <c r="D166" s="100" t="s">
        <v>275</v>
      </c>
      <c r="E166" s="100">
        <v>1509691.0</v>
      </c>
      <c r="F166" s="99">
        <f t="shared" si="38"/>
        <v>1216</v>
      </c>
      <c r="G166" s="100">
        <v>515.0</v>
      </c>
      <c r="H166" s="101">
        <v>349.0</v>
      </c>
      <c r="I166" s="101">
        <v>352.89</v>
      </c>
      <c r="J166" s="102">
        <f t="shared" si="36"/>
        <v>-3.89</v>
      </c>
      <c r="K166" s="103">
        <f t="shared" si="37"/>
        <v>29.02055921</v>
      </c>
      <c r="L166" s="54"/>
      <c r="M166" s="54"/>
      <c r="N166" s="54"/>
      <c r="O166" s="54"/>
      <c r="P166" s="86"/>
      <c r="Q166" s="54"/>
      <c r="R166" s="54"/>
    </row>
    <row r="167">
      <c r="A167" s="68"/>
      <c r="B167" s="88" t="str">
        <f>IF(L167=4,"АПРЕЛЬ",IF(L167=5,"МАЙ",IF(L167=1,"ЯНВАРЬ",IF(L167=2,"ФЕВРАЛЬ",IF(L167=3,"МАРТ",IF(L167=6,"ИЮНЬ",IF(L167=7,"ИЮЛЬ",IF(L167=8,"АВГУСТ",IF(L167=9,"СЕНТЯБРЬ",IF(L167=10,"ОКТЯБРЬ",IF(L167=11,"НОЯБРЬ",IF(L167=12,"ДЕКАБРЬ"))))))))))))</f>
        <v>ИЮЛЬ</v>
      </c>
      <c r="J167" s="88"/>
      <c r="K167" s="88"/>
      <c r="L167" s="91">
        <f>MONTH(B168)</f>
        <v>7</v>
      </c>
      <c r="M167" s="66"/>
      <c r="N167" s="66"/>
      <c r="O167" s="66"/>
      <c r="P167" s="113"/>
      <c r="Q167" s="66"/>
      <c r="R167" s="66"/>
      <c r="S167" s="68"/>
      <c r="T167" s="68"/>
      <c r="U167" s="68"/>
      <c r="V167" s="68"/>
      <c r="W167" s="68"/>
      <c r="X167" s="68"/>
      <c r="Y167" s="68"/>
      <c r="Z167" s="68"/>
      <c r="AA167" s="68"/>
    </row>
    <row r="168">
      <c r="A168" s="54"/>
      <c r="B168" s="110">
        <v>45844.0</v>
      </c>
      <c r="C168" s="100" t="s">
        <v>127</v>
      </c>
      <c r="D168" s="100" t="s">
        <v>286</v>
      </c>
      <c r="E168" s="100">
        <v>1510375.0</v>
      </c>
      <c r="F168" s="99">
        <f>E168-E166</f>
        <v>684</v>
      </c>
      <c r="G168" s="100">
        <v>515.0</v>
      </c>
      <c r="H168" s="101">
        <v>187.0</v>
      </c>
      <c r="I168" s="101">
        <v>210.88</v>
      </c>
      <c r="J168" s="102">
        <f t="shared" ref="J168:J190" si="39">H168-I168</f>
        <v>-23.88</v>
      </c>
      <c r="K168" s="103">
        <f t="shared" ref="K168:K190" si="40">I168/F168*100</f>
        <v>30.83040936</v>
      </c>
      <c r="L168" s="54"/>
      <c r="M168" s="82" t="str">
        <f>"тотал"&amp;" "&amp;B167&amp;" "&amp;RIGHT(YEAR(B168),2)</f>
        <v>тотал ИЮЛЬ 25</v>
      </c>
      <c r="N168" s="75"/>
      <c r="O168" s="75"/>
      <c r="P168" s="75"/>
      <c r="Q168" s="76"/>
      <c r="R168" s="54"/>
    </row>
    <row r="169">
      <c r="A169" s="54"/>
      <c r="B169" s="110">
        <v>45846.0</v>
      </c>
      <c r="C169" s="100" t="s">
        <v>127</v>
      </c>
      <c r="D169" s="100" t="s">
        <v>286</v>
      </c>
      <c r="E169" s="100">
        <v>1511353.0</v>
      </c>
      <c r="F169" s="99">
        <f t="shared" ref="F169:F190" si="41">E169-E168</f>
        <v>978</v>
      </c>
      <c r="G169" s="100">
        <v>515.0</v>
      </c>
      <c r="H169" s="101">
        <v>303.0</v>
      </c>
      <c r="I169" s="101">
        <v>307.58</v>
      </c>
      <c r="J169" s="102">
        <f t="shared" si="39"/>
        <v>-4.58</v>
      </c>
      <c r="K169" s="103">
        <f t="shared" si="40"/>
        <v>31.44989775</v>
      </c>
      <c r="L169" s="54"/>
      <c r="M169" s="84" t="s">
        <v>70</v>
      </c>
      <c r="N169" s="84" t="s">
        <v>71</v>
      </c>
      <c r="O169" s="84" t="s">
        <v>27</v>
      </c>
      <c r="P169" s="77" t="s">
        <v>28</v>
      </c>
      <c r="Q169" s="12" t="s">
        <v>78</v>
      </c>
      <c r="R169" s="54"/>
    </row>
    <row r="170">
      <c r="A170" s="54"/>
      <c r="B170" s="110">
        <v>45846.0</v>
      </c>
      <c r="C170" s="100" t="s">
        <v>127</v>
      </c>
      <c r="D170" s="100" t="s">
        <v>286</v>
      </c>
      <c r="E170" s="100">
        <v>1512082.0</v>
      </c>
      <c r="F170" s="99">
        <f t="shared" si="41"/>
        <v>729</v>
      </c>
      <c r="G170" s="100">
        <v>515.0</v>
      </c>
      <c r="H170" s="101">
        <v>191.0</v>
      </c>
      <c r="I170" s="101">
        <v>205.04</v>
      </c>
      <c r="J170" s="102">
        <f t="shared" si="39"/>
        <v>-14.04</v>
      </c>
      <c r="K170" s="103">
        <f t="shared" si="40"/>
        <v>28.12620027</v>
      </c>
      <c r="L170" s="54"/>
      <c r="M170" s="84">
        <f>SUM(F168:F190)</f>
        <v>19883</v>
      </c>
      <c r="N170" s="84">
        <f>SUM(I168:I190)</f>
        <v>6147.31</v>
      </c>
      <c r="O170" s="85">
        <f>N170/M170*100</f>
        <v>30.91741689</v>
      </c>
      <c r="P170" s="79">
        <f>(M170/100)*(O170-Q170)</f>
        <v>580.07</v>
      </c>
      <c r="Q170" s="78">
        <v>28.0</v>
      </c>
      <c r="R170" s="54"/>
    </row>
    <row r="171">
      <c r="A171" s="54"/>
      <c r="B171" s="110">
        <v>45848.0</v>
      </c>
      <c r="C171" s="100" t="s">
        <v>127</v>
      </c>
      <c r="D171" s="100" t="s">
        <v>286</v>
      </c>
      <c r="E171" s="100">
        <v>1513181.0</v>
      </c>
      <c r="F171" s="99">
        <f t="shared" si="41"/>
        <v>1099</v>
      </c>
      <c r="G171" s="100">
        <v>515.0</v>
      </c>
      <c r="H171" s="101">
        <v>328.0</v>
      </c>
      <c r="I171" s="101">
        <v>337.78</v>
      </c>
      <c r="J171" s="102">
        <f t="shared" si="39"/>
        <v>-9.78</v>
      </c>
      <c r="K171" s="103">
        <f t="shared" si="40"/>
        <v>30.73521383</v>
      </c>
      <c r="L171" s="54"/>
      <c r="M171" s="54"/>
      <c r="N171" s="54"/>
      <c r="O171" s="54"/>
      <c r="P171" s="86"/>
      <c r="Q171" s="54"/>
      <c r="R171" s="54"/>
    </row>
    <row r="172">
      <c r="A172" s="54"/>
      <c r="B172" s="110">
        <v>45848.0</v>
      </c>
      <c r="C172" s="100" t="s">
        <v>127</v>
      </c>
      <c r="D172" s="100" t="s">
        <v>286</v>
      </c>
      <c r="E172" s="100">
        <v>1513762.0</v>
      </c>
      <c r="F172" s="99">
        <f t="shared" si="41"/>
        <v>581</v>
      </c>
      <c r="G172" s="100">
        <v>515.0</v>
      </c>
      <c r="H172" s="101">
        <v>152.0</v>
      </c>
      <c r="I172" s="101">
        <v>172.98</v>
      </c>
      <c r="J172" s="102">
        <f t="shared" si="39"/>
        <v>-20.98</v>
      </c>
      <c r="K172" s="103">
        <f t="shared" si="40"/>
        <v>29.77280551</v>
      </c>
      <c r="L172" s="54"/>
      <c r="M172" s="54"/>
      <c r="N172" s="54"/>
      <c r="O172" s="54"/>
      <c r="P172" s="86"/>
      <c r="Q172" s="54"/>
      <c r="R172" s="54"/>
    </row>
    <row r="173">
      <c r="A173" s="54"/>
      <c r="B173" s="110">
        <v>45849.0</v>
      </c>
      <c r="C173" s="100" t="s">
        <v>127</v>
      </c>
      <c r="D173" s="100" t="s">
        <v>286</v>
      </c>
      <c r="E173" s="100">
        <v>1514724.0</v>
      </c>
      <c r="F173" s="99">
        <f t="shared" si="41"/>
        <v>962</v>
      </c>
      <c r="G173" s="100">
        <v>515.0</v>
      </c>
      <c r="H173" s="101">
        <v>284.0</v>
      </c>
      <c r="I173" s="101">
        <v>294.82</v>
      </c>
      <c r="J173" s="102">
        <f t="shared" si="39"/>
        <v>-10.82</v>
      </c>
      <c r="K173" s="103">
        <f t="shared" si="40"/>
        <v>30.64656965</v>
      </c>
      <c r="L173" s="54"/>
      <c r="M173" s="54"/>
      <c r="N173" s="54"/>
      <c r="O173" s="54"/>
      <c r="P173" s="86"/>
      <c r="Q173" s="54"/>
      <c r="R173" s="54"/>
    </row>
    <row r="174">
      <c r="A174" s="54"/>
      <c r="B174" s="110">
        <v>45851.0</v>
      </c>
      <c r="C174" s="100" t="s">
        <v>127</v>
      </c>
      <c r="D174" s="100" t="s">
        <v>286</v>
      </c>
      <c r="E174" s="100">
        <v>1515681.0</v>
      </c>
      <c r="F174" s="99">
        <f t="shared" si="41"/>
        <v>957</v>
      </c>
      <c r="G174" s="100">
        <v>515.0</v>
      </c>
      <c r="H174" s="101">
        <v>269.0</v>
      </c>
      <c r="I174" s="101">
        <v>285.02</v>
      </c>
      <c r="J174" s="102">
        <f t="shared" si="39"/>
        <v>-16.02</v>
      </c>
      <c r="K174" s="103">
        <f t="shared" si="40"/>
        <v>29.78265413</v>
      </c>
      <c r="L174" s="54"/>
      <c r="M174" s="54"/>
      <c r="N174" s="54"/>
      <c r="O174" s="54"/>
      <c r="P174" s="86"/>
      <c r="Q174" s="54"/>
      <c r="R174" s="54"/>
    </row>
    <row r="175">
      <c r="A175" s="54"/>
      <c r="B175" s="110">
        <v>45853.0</v>
      </c>
      <c r="C175" s="100" t="s">
        <v>127</v>
      </c>
      <c r="D175" s="100" t="s">
        <v>286</v>
      </c>
      <c r="E175" s="100">
        <v>1516781.0</v>
      </c>
      <c r="F175" s="99">
        <f t="shared" si="41"/>
        <v>1100</v>
      </c>
      <c r="G175" s="100">
        <v>515.0</v>
      </c>
      <c r="H175" s="101">
        <v>327.0</v>
      </c>
      <c r="I175" s="101">
        <v>340.6</v>
      </c>
      <c r="J175" s="102">
        <f t="shared" si="39"/>
        <v>-13.6</v>
      </c>
      <c r="K175" s="103">
        <f t="shared" si="40"/>
        <v>30.96363636</v>
      </c>
      <c r="L175" s="54"/>
      <c r="M175" s="54"/>
      <c r="N175" s="54"/>
      <c r="O175" s="54"/>
      <c r="P175" s="86"/>
      <c r="Q175" s="54"/>
      <c r="R175" s="54"/>
    </row>
    <row r="176">
      <c r="A176" s="54"/>
      <c r="B176" s="110">
        <v>45853.0</v>
      </c>
      <c r="C176" s="100" t="s">
        <v>127</v>
      </c>
      <c r="D176" s="100" t="s">
        <v>286</v>
      </c>
      <c r="E176" s="100">
        <v>1517363.0</v>
      </c>
      <c r="F176" s="99">
        <f t="shared" si="41"/>
        <v>582</v>
      </c>
      <c r="G176" s="100">
        <v>515.0</v>
      </c>
      <c r="H176" s="101">
        <v>147.0</v>
      </c>
      <c r="I176" s="101">
        <v>166.21</v>
      </c>
      <c r="J176" s="102">
        <f t="shared" si="39"/>
        <v>-19.21</v>
      </c>
      <c r="K176" s="103">
        <f t="shared" si="40"/>
        <v>28.55841924</v>
      </c>
      <c r="L176" s="54"/>
      <c r="M176" s="54"/>
      <c r="N176" s="54"/>
      <c r="O176" s="54"/>
      <c r="P176" s="86"/>
      <c r="Q176" s="54"/>
      <c r="R176" s="54"/>
    </row>
    <row r="177">
      <c r="A177" s="54"/>
      <c r="B177" s="110">
        <v>45855.0</v>
      </c>
      <c r="C177" s="100" t="s">
        <v>127</v>
      </c>
      <c r="D177" s="100" t="s">
        <v>286</v>
      </c>
      <c r="E177" s="100">
        <v>1518325.0</v>
      </c>
      <c r="F177" s="99">
        <f t="shared" si="41"/>
        <v>962</v>
      </c>
      <c r="G177" s="100">
        <v>515.0</v>
      </c>
      <c r="H177" s="101">
        <v>289.0</v>
      </c>
      <c r="I177" s="101">
        <v>300.08</v>
      </c>
      <c r="J177" s="102">
        <f t="shared" si="39"/>
        <v>-11.08</v>
      </c>
      <c r="K177" s="103">
        <f t="shared" si="40"/>
        <v>31.19334719</v>
      </c>
      <c r="L177" s="54"/>
      <c r="M177" s="54"/>
      <c r="N177" s="54"/>
      <c r="O177" s="54"/>
      <c r="P177" s="86"/>
      <c r="Q177" s="54"/>
      <c r="R177" s="54"/>
    </row>
    <row r="178">
      <c r="A178" s="54"/>
      <c r="B178" s="110">
        <v>45855.0</v>
      </c>
      <c r="C178" s="100" t="s">
        <v>127</v>
      </c>
      <c r="D178" s="100" t="s">
        <v>286</v>
      </c>
      <c r="E178" s="100">
        <v>1519048.0</v>
      </c>
      <c r="F178" s="99">
        <f t="shared" si="41"/>
        <v>723</v>
      </c>
      <c r="G178" s="100">
        <v>515.0</v>
      </c>
      <c r="H178" s="101">
        <v>199.0</v>
      </c>
      <c r="I178" s="101">
        <v>212.14</v>
      </c>
      <c r="J178" s="102">
        <f t="shared" si="39"/>
        <v>-13.14</v>
      </c>
      <c r="K178" s="103">
        <f t="shared" si="40"/>
        <v>29.34163209</v>
      </c>
      <c r="L178" s="54"/>
      <c r="M178" s="54"/>
      <c r="N178" s="54"/>
      <c r="O178" s="54"/>
      <c r="P178" s="86"/>
      <c r="Q178" s="54"/>
      <c r="R178" s="54"/>
    </row>
    <row r="179">
      <c r="A179" s="54"/>
      <c r="B179" s="110">
        <v>45857.0</v>
      </c>
      <c r="C179" s="100" t="s">
        <v>127</v>
      </c>
      <c r="D179" s="100" t="s">
        <v>286</v>
      </c>
      <c r="E179" s="100">
        <v>1520149.0</v>
      </c>
      <c r="F179" s="99">
        <f t="shared" si="41"/>
        <v>1101</v>
      </c>
      <c r="G179" s="100">
        <v>515.0</v>
      </c>
      <c r="H179" s="101">
        <v>347.0</v>
      </c>
      <c r="I179" s="101">
        <v>357.82</v>
      </c>
      <c r="J179" s="102">
        <f t="shared" si="39"/>
        <v>-10.82</v>
      </c>
      <c r="K179" s="103">
        <f t="shared" si="40"/>
        <v>32.49954587</v>
      </c>
      <c r="L179" s="54"/>
      <c r="M179" s="54"/>
      <c r="N179" s="54"/>
      <c r="O179" s="54"/>
      <c r="P179" s="86"/>
      <c r="Q179" s="54"/>
      <c r="R179" s="54"/>
    </row>
    <row r="180">
      <c r="A180" s="54"/>
      <c r="B180" s="110">
        <v>45858.0</v>
      </c>
      <c r="C180" s="100" t="s">
        <v>127</v>
      </c>
      <c r="D180" s="100" t="s">
        <v>286</v>
      </c>
      <c r="E180" s="100">
        <v>1520959.0</v>
      </c>
      <c r="F180" s="99">
        <f t="shared" si="41"/>
        <v>810</v>
      </c>
      <c r="G180" s="100">
        <v>515.0</v>
      </c>
      <c r="H180" s="101">
        <v>232.0</v>
      </c>
      <c r="I180" s="101">
        <v>252.0</v>
      </c>
      <c r="J180" s="102">
        <f t="shared" si="39"/>
        <v>-20</v>
      </c>
      <c r="K180" s="103">
        <f t="shared" si="40"/>
        <v>31.11111111</v>
      </c>
      <c r="L180" s="54"/>
      <c r="M180" s="54"/>
      <c r="N180" s="54"/>
      <c r="O180" s="54"/>
      <c r="P180" s="86"/>
      <c r="Q180" s="54"/>
      <c r="R180" s="54"/>
    </row>
    <row r="181">
      <c r="A181" s="54"/>
      <c r="B181" s="110">
        <v>45860.0</v>
      </c>
      <c r="C181" s="100" t="s">
        <v>127</v>
      </c>
      <c r="D181" s="100" t="s">
        <v>286</v>
      </c>
      <c r="E181" s="100">
        <v>1522059.0</v>
      </c>
      <c r="F181" s="99">
        <f t="shared" si="41"/>
        <v>1100</v>
      </c>
      <c r="G181" s="100">
        <v>515.0</v>
      </c>
      <c r="H181" s="101">
        <v>368.0</v>
      </c>
      <c r="I181" s="101">
        <v>378.6</v>
      </c>
      <c r="J181" s="102">
        <f t="shared" si="39"/>
        <v>-10.6</v>
      </c>
      <c r="K181" s="103">
        <f t="shared" si="40"/>
        <v>34.41818182</v>
      </c>
      <c r="L181" s="54"/>
      <c r="M181" s="54"/>
      <c r="N181" s="54"/>
      <c r="O181" s="54"/>
      <c r="P181" s="86"/>
      <c r="Q181" s="54"/>
      <c r="R181" s="54"/>
    </row>
    <row r="182">
      <c r="A182" s="54"/>
      <c r="B182" s="110">
        <v>45860.0</v>
      </c>
      <c r="C182" s="100" t="s">
        <v>127</v>
      </c>
      <c r="D182" s="100" t="s">
        <v>286</v>
      </c>
      <c r="E182" s="100">
        <v>1522643.0</v>
      </c>
      <c r="F182" s="99">
        <f t="shared" si="41"/>
        <v>584</v>
      </c>
      <c r="G182" s="100">
        <v>515.0</v>
      </c>
      <c r="H182" s="101">
        <v>159.0</v>
      </c>
      <c r="I182" s="101">
        <v>171.83</v>
      </c>
      <c r="J182" s="102">
        <f t="shared" si="39"/>
        <v>-12.83</v>
      </c>
      <c r="K182" s="103">
        <f t="shared" si="40"/>
        <v>29.42294521</v>
      </c>
      <c r="L182" s="54"/>
      <c r="M182" s="54"/>
      <c r="N182" s="54"/>
      <c r="O182" s="54"/>
      <c r="P182" s="86"/>
      <c r="Q182" s="54"/>
      <c r="R182" s="54"/>
    </row>
    <row r="183">
      <c r="A183" s="54"/>
      <c r="B183" s="110">
        <v>45861.0</v>
      </c>
      <c r="C183" s="100" t="s">
        <v>127</v>
      </c>
      <c r="D183" s="100" t="s">
        <v>286</v>
      </c>
      <c r="E183" s="100">
        <v>1523603.0</v>
      </c>
      <c r="F183" s="99">
        <f t="shared" si="41"/>
        <v>960</v>
      </c>
      <c r="G183" s="100">
        <v>515.0</v>
      </c>
      <c r="H183" s="101">
        <v>298.0</v>
      </c>
      <c r="I183" s="101">
        <v>314.85</v>
      </c>
      <c r="J183" s="102">
        <f t="shared" si="39"/>
        <v>-16.85</v>
      </c>
      <c r="K183" s="103">
        <f t="shared" si="40"/>
        <v>32.796875</v>
      </c>
      <c r="L183" s="54"/>
      <c r="M183" s="54"/>
      <c r="N183" s="54"/>
      <c r="O183" s="54"/>
      <c r="P183" s="86"/>
      <c r="Q183" s="54"/>
      <c r="R183" s="54"/>
    </row>
    <row r="184">
      <c r="A184" s="54"/>
      <c r="B184" s="110">
        <v>45862.0</v>
      </c>
      <c r="C184" s="100" t="s">
        <v>127</v>
      </c>
      <c r="D184" s="100" t="s">
        <v>286</v>
      </c>
      <c r="E184" s="100">
        <v>1524325.0</v>
      </c>
      <c r="F184" s="99">
        <f t="shared" si="41"/>
        <v>722</v>
      </c>
      <c r="G184" s="100">
        <v>515.0</v>
      </c>
      <c r="H184" s="101">
        <v>202.0</v>
      </c>
      <c r="I184" s="101">
        <v>219.41</v>
      </c>
      <c r="J184" s="102">
        <f t="shared" si="39"/>
        <v>-17.41</v>
      </c>
      <c r="K184" s="103">
        <f t="shared" si="40"/>
        <v>30.38919668</v>
      </c>
      <c r="L184" s="54"/>
      <c r="M184" s="54"/>
      <c r="N184" s="54"/>
      <c r="O184" s="54"/>
      <c r="P184" s="86"/>
      <c r="Q184" s="54"/>
      <c r="R184" s="54"/>
    </row>
    <row r="185">
      <c r="A185" s="54"/>
      <c r="B185" s="110">
        <v>45863.0</v>
      </c>
      <c r="C185" s="100" t="s">
        <v>127</v>
      </c>
      <c r="D185" s="100" t="s">
        <v>286</v>
      </c>
      <c r="E185" s="100">
        <v>1525286.0</v>
      </c>
      <c r="F185" s="99">
        <f t="shared" si="41"/>
        <v>961</v>
      </c>
      <c r="G185" s="100">
        <v>515.0</v>
      </c>
      <c r="H185" s="101">
        <v>306.0</v>
      </c>
      <c r="I185" s="101">
        <v>322.14</v>
      </c>
      <c r="J185" s="102">
        <f t="shared" si="39"/>
        <v>-16.14</v>
      </c>
      <c r="K185" s="103">
        <f t="shared" si="40"/>
        <v>33.52133195</v>
      </c>
      <c r="L185" s="54"/>
      <c r="M185" s="54"/>
      <c r="N185" s="54"/>
      <c r="O185" s="54"/>
      <c r="P185" s="86"/>
      <c r="Q185" s="54"/>
      <c r="R185" s="54"/>
    </row>
    <row r="186">
      <c r="A186" s="54"/>
      <c r="B186" s="110">
        <v>45865.0</v>
      </c>
      <c r="C186" s="100" t="s">
        <v>127</v>
      </c>
      <c r="D186" s="100" t="s">
        <v>286</v>
      </c>
      <c r="E186" s="100">
        <v>1526211.0</v>
      </c>
      <c r="F186" s="99">
        <f t="shared" si="41"/>
        <v>925</v>
      </c>
      <c r="G186" s="100">
        <v>515.0</v>
      </c>
      <c r="H186" s="101">
        <v>268.0</v>
      </c>
      <c r="I186" s="101">
        <v>285.48</v>
      </c>
      <c r="J186" s="102">
        <f t="shared" si="39"/>
        <v>-17.48</v>
      </c>
      <c r="K186" s="103">
        <f t="shared" si="40"/>
        <v>30.8627027</v>
      </c>
      <c r="L186" s="54"/>
      <c r="M186" s="54"/>
      <c r="N186" s="54"/>
      <c r="O186" s="54"/>
      <c r="P186" s="86"/>
      <c r="Q186" s="54"/>
      <c r="R186" s="54"/>
    </row>
    <row r="187">
      <c r="A187" s="54"/>
      <c r="B187" s="110">
        <v>45867.0</v>
      </c>
      <c r="C187" s="100" t="s">
        <v>127</v>
      </c>
      <c r="D187" s="100" t="s">
        <v>286</v>
      </c>
      <c r="E187" s="100">
        <v>1527171.0</v>
      </c>
      <c r="F187" s="99">
        <f t="shared" si="41"/>
        <v>960</v>
      </c>
      <c r="G187" s="100">
        <v>515.0</v>
      </c>
      <c r="H187" s="101">
        <v>299.0</v>
      </c>
      <c r="I187" s="101">
        <v>308.7</v>
      </c>
      <c r="J187" s="102">
        <f t="shared" si="39"/>
        <v>-9.7</v>
      </c>
      <c r="K187" s="103">
        <f t="shared" si="40"/>
        <v>32.15625</v>
      </c>
      <c r="L187" s="54"/>
      <c r="M187" s="54"/>
      <c r="N187" s="54"/>
      <c r="O187" s="54"/>
      <c r="P187" s="86"/>
      <c r="Q187" s="54"/>
      <c r="R187" s="54"/>
    </row>
    <row r="188">
      <c r="A188" s="54"/>
      <c r="B188" s="110">
        <v>45867.0</v>
      </c>
      <c r="C188" s="100" t="s">
        <v>127</v>
      </c>
      <c r="D188" s="100" t="s">
        <v>286</v>
      </c>
      <c r="E188" s="100">
        <v>1527893.0</v>
      </c>
      <c r="F188" s="99">
        <f t="shared" si="41"/>
        <v>722</v>
      </c>
      <c r="G188" s="100">
        <v>515.0</v>
      </c>
      <c r="H188" s="101">
        <v>209.0</v>
      </c>
      <c r="I188" s="101">
        <v>216.85</v>
      </c>
      <c r="J188" s="102">
        <f t="shared" si="39"/>
        <v>-7.85</v>
      </c>
      <c r="K188" s="103">
        <f t="shared" si="40"/>
        <v>30.03462604</v>
      </c>
      <c r="L188" s="54"/>
      <c r="M188" s="54"/>
      <c r="N188" s="54"/>
      <c r="O188" s="54"/>
      <c r="P188" s="86"/>
      <c r="Q188" s="54"/>
      <c r="R188" s="54"/>
    </row>
    <row r="189">
      <c r="A189" s="54"/>
      <c r="B189" s="110">
        <v>45868.0</v>
      </c>
      <c r="C189" s="100" t="s">
        <v>127</v>
      </c>
      <c r="D189" s="100" t="s">
        <v>286</v>
      </c>
      <c r="E189" s="100">
        <v>1528852.0</v>
      </c>
      <c r="F189" s="99">
        <f t="shared" si="41"/>
        <v>959</v>
      </c>
      <c r="G189" s="100">
        <v>515.0</v>
      </c>
      <c r="H189" s="101">
        <v>283.0</v>
      </c>
      <c r="I189" s="101">
        <v>292.49</v>
      </c>
      <c r="J189" s="102">
        <f t="shared" si="39"/>
        <v>-9.49</v>
      </c>
      <c r="K189" s="103">
        <f t="shared" si="40"/>
        <v>30.49947862</v>
      </c>
      <c r="L189" s="54"/>
      <c r="M189" s="54"/>
      <c r="N189" s="54"/>
      <c r="O189" s="54"/>
      <c r="P189" s="86"/>
      <c r="Q189" s="54"/>
      <c r="R189" s="54"/>
    </row>
    <row r="190">
      <c r="A190" s="54"/>
      <c r="B190" s="110">
        <v>45869.0</v>
      </c>
      <c r="C190" s="100" t="s">
        <v>127</v>
      </c>
      <c r="D190" s="100" t="s">
        <v>286</v>
      </c>
      <c r="E190" s="100">
        <v>1529574.0</v>
      </c>
      <c r="F190" s="99">
        <f t="shared" si="41"/>
        <v>722</v>
      </c>
      <c r="G190" s="100">
        <v>515.0</v>
      </c>
      <c r="H190" s="101">
        <v>181.0</v>
      </c>
      <c r="I190" s="101">
        <v>194.01</v>
      </c>
      <c r="J190" s="102">
        <f t="shared" si="39"/>
        <v>-13.01</v>
      </c>
      <c r="K190" s="103">
        <f t="shared" si="40"/>
        <v>26.87119114</v>
      </c>
      <c r="L190" s="54"/>
      <c r="M190" s="54"/>
      <c r="N190" s="54"/>
      <c r="O190" s="54"/>
      <c r="P190" s="86"/>
      <c r="Q190" s="54"/>
      <c r="R190" s="54"/>
    </row>
    <row r="191">
      <c r="A191" s="68"/>
      <c r="B191" s="88" t="str">
        <f>IF(L191=4,"АПРЕЛЬ",IF(L191=5,"МАЙ",IF(L191=1,"ЯНВАРЬ",IF(L191=2,"ФЕВРАЛЬ",IF(L191=3,"МАРТ",IF(L191=6,"ИЮНЬ",IF(L191=7,"ИЮЛЬ",IF(L191=8,"АВГУСТ",IF(L191=9,"СЕНТЯБРЬ",IF(L191=10,"ОКТЯБРЬ",IF(L191=11,"НОЯБРЬ",IF(L191=12,"ДЕКАБРЬ"))))))))))))</f>
        <v>АВГУСТ</v>
      </c>
      <c r="J191" s="88"/>
      <c r="K191" s="88"/>
      <c r="L191" s="91">
        <f>MONTH(B192)</f>
        <v>8</v>
      </c>
      <c r="M191" s="66"/>
      <c r="N191" s="66"/>
      <c r="O191" s="66"/>
      <c r="P191" s="113"/>
      <c r="Q191" s="66"/>
      <c r="R191" s="66"/>
      <c r="S191" s="68"/>
      <c r="T191" s="68"/>
      <c r="U191" s="68"/>
      <c r="V191" s="68"/>
      <c r="W191" s="68"/>
      <c r="X191" s="68"/>
      <c r="Y191" s="68"/>
      <c r="Z191" s="68"/>
      <c r="AA191" s="68"/>
    </row>
    <row r="192">
      <c r="A192" s="54"/>
      <c r="B192" s="110">
        <v>45870.0</v>
      </c>
      <c r="C192" s="100" t="s">
        <v>127</v>
      </c>
      <c r="D192" s="100" t="s">
        <v>286</v>
      </c>
      <c r="E192" s="100">
        <v>1530533.0</v>
      </c>
      <c r="F192" s="99">
        <f>E192-E190</f>
        <v>959</v>
      </c>
      <c r="G192" s="100">
        <v>515.0</v>
      </c>
      <c r="H192" s="101">
        <v>266.0</v>
      </c>
      <c r="I192" s="101">
        <v>275.53</v>
      </c>
      <c r="J192" s="102">
        <f t="shared" ref="J192:J205" si="42">H192-I192</f>
        <v>-9.53</v>
      </c>
      <c r="K192" s="103">
        <f t="shared" ref="K192:K205" si="43">I192/F192*100</f>
        <v>28.73096976</v>
      </c>
      <c r="L192" s="54"/>
      <c r="M192" s="82" t="str">
        <f>"тотал"&amp;" "&amp;B191&amp;" "&amp;RIGHT(YEAR(B192),2)</f>
        <v>тотал АВГУСТ 25</v>
      </c>
      <c r="N192" s="75"/>
      <c r="O192" s="75"/>
      <c r="P192" s="75"/>
      <c r="Q192" s="76"/>
      <c r="R192" s="54"/>
    </row>
    <row r="193">
      <c r="A193" s="54"/>
      <c r="B193" s="110">
        <v>45873.0</v>
      </c>
      <c r="C193" s="100" t="s">
        <v>127</v>
      </c>
      <c r="D193" s="100" t="s">
        <v>286</v>
      </c>
      <c r="E193" s="100">
        <v>1531259.0</v>
      </c>
      <c r="F193" s="99">
        <f t="shared" ref="F193:F205" si="44">E193-E192</f>
        <v>726</v>
      </c>
      <c r="G193" s="100">
        <v>515.0</v>
      </c>
      <c r="H193" s="101">
        <v>186.0</v>
      </c>
      <c r="I193" s="101">
        <v>200.15</v>
      </c>
      <c r="J193" s="102">
        <f t="shared" si="42"/>
        <v>-14.15</v>
      </c>
      <c r="K193" s="103">
        <f t="shared" si="43"/>
        <v>27.56887052</v>
      </c>
      <c r="L193" s="54"/>
      <c r="M193" s="84" t="s">
        <v>70</v>
      </c>
      <c r="N193" s="84" t="s">
        <v>71</v>
      </c>
      <c r="O193" s="84" t="s">
        <v>27</v>
      </c>
      <c r="P193" s="77" t="s">
        <v>28</v>
      </c>
      <c r="Q193" s="12" t="s">
        <v>78</v>
      </c>
      <c r="R193" s="54"/>
    </row>
    <row r="194">
      <c r="A194" s="54"/>
      <c r="B194" s="110">
        <v>45873.0</v>
      </c>
      <c r="C194" s="100" t="s">
        <v>127</v>
      </c>
      <c r="D194" s="100" t="s">
        <v>286</v>
      </c>
      <c r="E194" s="100">
        <v>1532219.0</v>
      </c>
      <c r="F194" s="99">
        <f t="shared" si="44"/>
        <v>960</v>
      </c>
      <c r="G194" s="100">
        <v>515.0</v>
      </c>
      <c r="H194" s="101">
        <v>254.0</v>
      </c>
      <c r="I194" s="101">
        <v>263.88</v>
      </c>
      <c r="J194" s="102">
        <f t="shared" si="42"/>
        <v>-9.88</v>
      </c>
      <c r="K194" s="103">
        <f t="shared" si="43"/>
        <v>27.4875</v>
      </c>
      <c r="L194" s="54"/>
      <c r="M194" s="84">
        <f>SUM(F192:F205)</f>
        <v>11773</v>
      </c>
      <c r="N194" s="84">
        <f>SUM(I192:I205)</f>
        <v>3324.43</v>
      </c>
      <c r="O194" s="85">
        <f>N194/M194*100</f>
        <v>28.23774739</v>
      </c>
      <c r="P194" s="79">
        <f>(M194/100)*(O194-Q194)</f>
        <v>27.99</v>
      </c>
      <c r="Q194" s="78">
        <v>28.0</v>
      </c>
      <c r="R194" s="54"/>
    </row>
    <row r="195">
      <c r="A195" s="54"/>
      <c r="B195" s="110">
        <v>45874.0</v>
      </c>
      <c r="C195" s="100" t="s">
        <v>127</v>
      </c>
      <c r="D195" s="100" t="s">
        <v>286</v>
      </c>
      <c r="E195" s="100">
        <v>1532944.0</v>
      </c>
      <c r="F195" s="99">
        <f t="shared" si="44"/>
        <v>725</v>
      </c>
      <c r="G195" s="100">
        <v>515.0</v>
      </c>
      <c r="H195" s="101">
        <v>173.0</v>
      </c>
      <c r="I195" s="101">
        <v>190.53</v>
      </c>
      <c r="J195" s="102">
        <f t="shared" si="42"/>
        <v>-17.53</v>
      </c>
      <c r="K195" s="103">
        <f t="shared" si="43"/>
        <v>26.28</v>
      </c>
      <c r="L195" s="54"/>
      <c r="M195" s="54"/>
      <c r="N195" s="54"/>
      <c r="O195" s="54"/>
      <c r="P195" s="86"/>
      <c r="Q195" s="54"/>
      <c r="R195" s="54"/>
    </row>
    <row r="196">
      <c r="A196" s="54"/>
      <c r="B196" s="110">
        <v>45876.0</v>
      </c>
      <c r="C196" s="100" t="s">
        <v>127</v>
      </c>
      <c r="D196" s="100" t="s">
        <v>286</v>
      </c>
      <c r="E196" s="100">
        <v>1534112.0</v>
      </c>
      <c r="F196" s="99">
        <f t="shared" si="44"/>
        <v>1168</v>
      </c>
      <c r="G196" s="100">
        <v>515.0</v>
      </c>
      <c r="H196" s="101">
        <v>327.0</v>
      </c>
      <c r="I196" s="101">
        <v>341.99</v>
      </c>
      <c r="J196" s="102">
        <f t="shared" si="42"/>
        <v>-14.99</v>
      </c>
      <c r="K196" s="103">
        <f t="shared" si="43"/>
        <v>29.27996575</v>
      </c>
      <c r="L196" s="54"/>
      <c r="M196" s="54"/>
      <c r="N196" s="54"/>
      <c r="O196" s="54"/>
      <c r="P196" s="86"/>
      <c r="Q196" s="54"/>
      <c r="R196" s="54"/>
    </row>
    <row r="197">
      <c r="A197" s="54"/>
      <c r="B197" s="110">
        <v>45877.0</v>
      </c>
      <c r="C197" s="100" t="s">
        <v>127</v>
      </c>
      <c r="D197" s="100" t="s">
        <v>286</v>
      </c>
      <c r="E197" s="100">
        <v>1535102.0</v>
      </c>
      <c r="F197" s="99">
        <f t="shared" si="44"/>
        <v>990</v>
      </c>
      <c r="G197" s="100">
        <v>515.0</v>
      </c>
      <c r="H197" s="101">
        <v>266.0</v>
      </c>
      <c r="I197" s="101">
        <v>284.42</v>
      </c>
      <c r="J197" s="102">
        <f t="shared" si="42"/>
        <v>-18.42</v>
      </c>
      <c r="K197" s="103">
        <f t="shared" si="43"/>
        <v>28.72929293</v>
      </c>
      <c r="L197" s="54"/>
      <c r="M197" s="54"/>
      <c r="N197" s="54"/>
      <c r="O197" s="54"/>
      <c r="P197" s="86"/>
      <c r="Q197" s="54"/>
      <c r="R197" s="54"/>
    </row>
    <row r="198">
      <c r="A198" s="54"/>
      <c r="B198" s="110">
        <v>45878.0</v>
      </c>
      <c r="C198" s="100" t="s">
        <v>127</v>
      </c>
      <c r="D198" s="100" t="s">
        <v>286</v>
      </c>
      <c r="E198" s="100">
        <v>1535838.0</v>
      </c>
      <c r="F198" s="99">
        <f t="shared" si="44"/>
        <v>736</v>
      </c>
      <c r="G198" s="100">
        <v>515.0</v>
      </c>
      <c r="H198" s="101">
        <v>190.0</v>
      </c>
      <c r="I198" s="101">
        <v>203.14</v>
      </c>
      <c r="J198" s="102">
        <f t="shared" si="42"/>
        <v>-13.14</v>
      </c>
      <c r="K198" s="103">
        <f t="shared" si="43"/>
        <v>27.60054348</v>
      </c>
      <c r="L198" s="54"/>
      <c r="M198" s="54"/>
      <c r="N198" s="54"/>
      <c r="O198" s="54"/>
      <c r="P198" s="86"/>
      <c r="Q198" s="54"/>
      <c r="R198" s="54"/>
    </row>
    <row r="199">
      <c r="A199" s="54"/>
      <c r="B199" s="110">
        <v>45879.0</v>
      </c>
      <c r="C199" s="100" t="s">
        <v>127</v>
      </c>
      <c r="D199" s="100" t="s">
        <v>286</v>
      </c>
      <c r="E199" s="100">
        <v>1536682.0</v>
      </c>
      <c r="F199" s="99">
        <f t="shared" si="44"/>
        <v>844</v>
      </c>
      <c r="G199" s="100">
        <v>515.0</v>
      </c>
      <c r="H199" s="101">
        <v>226.0</v>
      </c>
      <c r="I199" s="101">
        <v>230.01</v>
      </c>
      <c r="J199" s="102">
        <f t="shared" si="42"/>
        <v>-4.01</v>
      </c>
      <c r="K199" s="103">
        <f t="shared" si="43"/>
        <v>27.25236967</v>
      </c>
      <c r="L199" s="54"/>
      <c r="M199" s="54"/>
      <c r="N199" s="54"/>
      <c r="O199" s="54"/>
      <c r="P199" s="86"/>
      <c r="Q199" s="54"/>
      <c r="R199" s="54"/>
    </row>
    <row r="200">
      <c r="A200" s="54"/>
      <c r="B200" s="110">
        <v>45880.0</v>
      </c>
      <c r="C200" s="100" t="s">
        <v>127</v>
      </c>
      <c r="D200" s="100" t="s">
        <v>286</v>
      </c>
      <c r="E200" s="100">
        <v>1537501.0</v>
      </c>
      <c r="F200" s="99">
        <f t="shared" si="44"/>
        <v>819</v>
      </c>
      <c r="G200" s="100">
        <v>515.0</v>
      </c>
      <c r="H200" s="101">
        <v>240.0</v>
      </c>
      <c r="I200" s="101">
        <v>250.57</v>
      </c>
      <c r="J200" s="102">
        <f t="shared" si="42"/>
        <v>-10.57</v>
      </c>
      <c r="K200" s="103">
        <f t="shared" si="43"/>
        <v>30.59462759</v>
      </c>
      <c r="L200" s="54"/>
      <c r="M200" s="54"/>
      <c r="N200" s="54"/>
      <c r="O200" s="54"/>
      <c r="P200" s="86"/>
      <c r="Q200" s="54"/>
      <c r="R200" s="54"/>
    </row>
    <row r="201">
      <c r="A201" s="54"/>
      <c r="B201" s="110">
        <v>45882.0</v>
      </c>
      <c r="C201" s="100" t="s">
        <v>127</v>
      </c>
      <c r="D201" s="100" t="s">
        <v>286</v>
      </c>
      <c r="E201" s="100">
        <v>1538344.0</v>
      </c>
      <c r="F201" s="99">
        <f t="shared" si="44"/>
        <v>843</v>
      </c>
      <c r="G201" s="100">
        <v>515.0</v>
      </c>
      <c r="H201" s="101">
        <v>207.0</v>
      </c>
      <c r="I201" s="101">
        <v>211.25</v>
      </c>
      <c r="J201" s="102">
        <f t="shared" si="42"/>
        <v>-4.25</v>
      </c>
      <c r="K201" s="103">
        <f t="shared" si="43"/>
        <v>25.05931198</v>
      </c>
      <c r="L201" s="54"/>
      <c r="M201" s="54"/>
      <c r="N201" s="54"/>
      <c r="O201" s="54"/>
      <c r="P201" s="86"/>
      <c r="Q201" s="54"/>
      <c r="R201" s="54"/>
    </row>
    <row r="202">
      <c r="A202" s="54"/>
      <c r="B202" s="110">
        <v>45883.0</v>
      </c>
      <c r="C202" s="100" t="s">
        <v>127</v>
      </c>
      <c r="D202" s="100" t="s">
        <v>286</v>
      </c>
      <c r="E202" s="100">
        <v>1539185.0</v>
      </c>
      <c r="F202" s="99">
        <f t="shared" si="44"/>
        <v>841</v>
      </c>
      <c r="G202" s="100">
        <v>515.0</v>
      </c>
      <c r="H202" s="101">
        <v>249.0</v>
      </c>
      <c r="I202" s="101">
        <v>263.53</v>
      </c>
      <c r="J202" s="102">
        <f t="shared" si="42"/>
        <v>-14.53</v>
      </c>
      <c r="K202" s="103">
        <f t="shared" si="43"/>
        <v>31.3353151</v>
      </c>
      <c r="L202" s="54"/>
      <c r="M202" s="54"/>
      <c r="N202" s="54"/>
      <c r="O202" s="54"/>
      <c r="P202" s="86"/>
      <c r="Q202" s="54"/>
      <c r="R202" s="54"/>
    </row>
    <row r="203">
      <c r="A203" s="54"/>
      <c r="B203" s="110">
        <v>45884.0</v>
      </c>
      <c r="C203" s="100" t="s">
        <v>127</v>
      </c>
      <c r="D203" s="100" t="s">
        <v>286</v>
      </c>
      <c r="E203" s="100">
        <v>1540033.0</v>
      </c>
      <c r="F203" s="99">
        <f t="shared" si="44"/>
        <v>848</v>
      </c>
      <c r="G203" s="100">
        <v>515.0</v>
      </c>
      <c r="H203" s="101">
        <v>219.0</v>
      </c>
      <c r="I203" s="101">
        <v>221.18</v>
      </c>
      <c r="J203" s="102">
        <f t="shared" si="42"/>
        <v>-2.18</v>
      </c>
      <c r="K203" s="103">
        <f t="shared" si="43"/>
        <v>26.08254717</v>
      </c>
      <c r="L203" s="54"/>
      <c r="M203" s="54"/>
      <c r="N203" s="54"/>
      <c r="O203" s="54"/>
      <c r="P203" s="86"/>
      <c r="Q203" s="54"/>
      <c r="R203" s="54"/>
    </row>
    <row r="204">
      <c r="A204" s="54"/>
      <c r="B204" s="110">
        <v>45885.0</v>
      </c>
      <c r="C204" s="100" t="s">
        <v>127</v>
      </c>
      <c r="D204" s="100" t="s">
        <v>286</v>
      </c>
      <c r="E204" s="100">
        <v>1540873.0</v>
      </c>
      <c r="F204" s="99">
        <f t="shared" si="44"/>
        <v>840</v>
      </c>
      <c r="G204" s="100">
        <v>515.0</v>
      </c>
      <c r="H204" s="101">
        <v>255.0</v>
      </c>
      <c r="I204" s="101">
        <v>264.12</v>
      </c>
      <c r="J204" s="102">
        <f t="shared" si="42"/>
        <v>-9.12</v>
      </c>
      <c r="K204" s="103">
        <f t="shared" si="43"/>
        <v>31.44285714</v>
      </c>
      <c r="L204" s="54"/>
      <c r="M204" s="54"/>
      <c r="N204" s="54"/>
      <c r="O204" s="54"/>
      <c r="P204" s="86"/>
      <c r="Q204" s="54"/>
      <c r="R204" s="54"/>
    </row>
    <row r="205">
      <c r="A205" s="54"/>
      <c r="B205" s="110">
        <v>45885.0</v>
      </c>
      <c r="C205" s="100" t="s">
        <v>127</v>
      </c>
      <c r="D205" s="100" t="s">
        <v>286</v>
      </c>
      <c r="E205" s="100">
        <v>1541347.0</v>
      </c>
      <c r="F205" s="99">
        <f t="shared" si="44"/>
        <v>474</v>
      </c>
      <c r="G205" s="100">
        <v>515.0</v>
      </c>
      <c r="H205" s="101">
        <v>113.0</v>
      </c>
      <c r="I205" s="101">
        <v>124.13</v>
      </c>
      <c r="J205" s="102">
        <f t="shared" si="42"/>
        <v>-11.13</v>
      </c>
      <c r="K205" s="103">
        <f t="shared" si="43"/>
        <v>26.18776371</v>
      </c>
      <c r="L205" s="54"/>
      <c r="M205" s="54"/>
      <c r="N205" s="54"/>
      <c r="O205" s="54"/>
      <c r="P205" s="86"/>
      <c r="Q205" s="54"/>
      <c r="R205" s="54"/>
    </row>
    <row r="206">
      <c r="A206" s="68"/>
      <c r="B206" s="88" t="str">
        <f>IF(L206=4,"АПРЕЛЬ",IF(L206=5,"МАЙ",IF(L206=1,"ЯНВАРЬ",IF(L206=2,"ФЕВРАЛЬ",IF(L206=3,"МАРТ",IF(L206=6,"ИЮНЬ",IF(L206=7,"ИЮЛЬ",IF(L206=8,"АВГУСТ",IF(L206=9,"СЕНТЯБРЬ",IF(L206=10,"ОКТЯБРЬ",IF(L206=11,"НОЯБРЬ",IF(L206=12,"ДЕКАБРЬ"))))))))))))</f>
        <v>СЕНТЯБРЬ</v>
      </c>
      <c r="J206" s="88"/>
      <c r="K206" s="88"/>
      <c r="L206" s="91">
        <f>MONTH(B207)</f>
        <v>9</v>
      </c>
      <c r="M206" s="66"/>
      <c r="N206" s="66"/>
      <c r="O206" s="66"/>
      <c r="P206" s="113"/>
      <c r="Q206" s="66"/>
      <c r="R206" s="66"/>
      <c r="S206" s="68"/>
      <c r="T206" s="68"/>
      <c r="U206" s="68"/>
      <c r="V206" s="68"/>
      <c r="W206" s="68"/>
      <c r="X206" s="68"/>
      <c r="Y206" s="68"/>
      <c r="Z206" s="68"/>
      <c r="AA206" s="68"/>
    </row>
    <row r="207">
      <c r="A207" s="54"/>
      <c r="B207" s="110">
        <v>45901.0</v>
      </c>
      <c r="C207" s="100" t="s">
        <v>127</v>
      </c>
      <c r="D207" s="100" t="s">
        <v>286</v>
      </c>
      <c r="E207" s="100">
        <v>1541921.0</v>
      </c>
      <c r="F207" s="99">
        <f>E207-E205</f>
        <v>574</v>
      </c>
      <c r="G207" s="100">
        <v>515.0</v>
      </c>
      <c r="H207" s="101">
        <v>154.0</v>
      </c>
      <c r="I207" s="101">
        <v>159.85</v>
      </c>
      <c r="J207" s="102">
        <f t="shared" ref="J207:J232" si="45">H207-I207</f>
        <v>-5.85</v>
      </c>
      <c r="K207" s="103">
        <f t="shared" ref="K207:K232" si="46">I207/F207*100</f>
        <v>27.84843206</v>
      </c>
      <c r="L207" s="54"/>
      <c r="M207" s="82" t="str">
        <f>"тотал"&amp;" "&amp;B206&amp;" "&amp;RIGHT(YEAR(B207),2)</f>
        <v>тотал СЕНТЯБРЬ 25</v>
      </c>
      <c r="N207" s="75"/>
      <c r="O207" s="75"/>
      <c r="P207" s="75"/>
      <c r="Q207" s="76"/>
      <c r="R207" s="54"/>
    </row>
    <row r="208">
      <c r="A208" s="54"/>
      <c r="B208" s="110">
        <v>45902.0</v>
      </c>
      <c r="C208" s="100" t="s">
        <v>127</v>
      </c>
      <c r="D208" s="100" t="s">
        <v>286</v>
      </c>
      <c r="E208" s="100">
        <v>1542761.0</v>
      </c>
      <c r="F208" s="99">
        <f t="shared" ref="F208:F232" si="47">E208-E207</f>
        <v>840</v>
      </c>
      <c r="G208" s="100">
        <v>515.0</v>
      </c>
      <c r="H208" s="101">
        <v>250.0</v>
      </c>
      <c r="I208" s="101">
        <v>267.7</v>
      </c>
      <c r="J208" s="102">
        <f t="shared" si="45"/>
        <v>-17.7</v>
      </c>
      <c r="K208" s="103">
        <f t="shared" si="46"/>
        <v>31.86904762</v>
      </c>
      <c r="L208" s="54"/>
      <c r="M208" s="84" t="s">
        <v>70</v>
      </c>
      <c r="N208" s="84" t="s">
        <v>71</v>
      </c>
      <c r="O208" s="84" t="s">
        <v>27</v>
      </c>
      <c r="P208" s="77" t="s">
        <v>28</v>
      </c>
      <c r="Q208" s="12" t="s">
        <v>78</v>
      </c>
      <c r="R208" s="54"/>
    </row>
    <row r="209">
      <c r="A209" s="54"/>
      <c r="B209" s="110">
        <v>45903.0</v>
      </c>
      <c r="C209" s="100" t="s">
        <v>127</v>
      </c>
      <c r="D209" s="100" t="s">
        <v>286</v>
      </c>
      <c r="E209" s="100">
        <v>1543606.0</v>
      </c>
      <c r="F209" s="99">
        <f t="shared" si="47"/>
        <v>845</v>
      </c>
      <c r="G209" s="100">
        <v>515.0</v>
      </c>
      <c r="H209" s="101">
        <v>215.0</v>
      </c>
      <c r="I209" s="101">
        <v>214.83</v>
      </c>
      <c r="J209" s="102">
        <f t="shared" si="45"/>
        <v>0.17</v>
      </c>
      <c r="K209" s="103">
        <f t="shared" si="46"/>
        <v>25.42366864</v>
      </c>
      <c r="L209" s="54"/>
      <c r="M209" s="84">
        <f>SUM(F207:F232)</f>
        <v>22500</v>
      </c>
      <c r="N209" s="84">
        <f>SUM(I207:I232)</f>
        <v>6476.68</v>
      </c>
      <c r="O209" s="85">
        <f>N209/M209*100</f>
        <v>28.78524444</v>
      </c>
      <c r="P209" s="79">
        <f>(M209/100)*(O209-Q209)</f>
        <v>176.68</v>
      </c>
      <c r="Q209" s="78">
        <v>28.0</v>
      </c>
      <c r="R209" s="54"/>
    </row>
    <row r="210">
      <c r="A210" s="54"/>
      <c r="B210" s="110">
        <v>45904.0</v>
      </c>
      <c r="C210" s="100" t="s">
        <v>127</v>
      </c>
      <c r="D210" s="100" t="s">
        <v>286</v>
      </c>
      <c r="E210" s="100">
        <v>1544446.0</v>
      </c>
      <c r="F210" s="99">
        <f t="shared" si="47"/>
        <v>840</v>
      </c>
      <c r="G210" s="100">
        <v>515.0</v>
      </c>
      <c r="H210" s="101">
        <v>262.0</v>
      </c>
      <c r="I210" s="101">
        <v>268.49</v>
      </c>
      <c r="J210" s="102">
        <f t="shared" si="45"/>
        <v>-6.49</v>
      </c>
      <c r="K210" s="103">
        <f t="shared" si="46"/>
        <v>31.96309524</v>
      </c>
      <c r="L210" s="54"/>
      <c r="M210" s="54"/>
      <c r="N210" s="54"/>
      <c r="O210" s="54"/>
      <c r="P210" s="86"/>
      <c r="Q210" s="54"/>
      <c r="R210" s="54"/>
    </row>
    <row r="211">
      <c r="A211" s="54"/>
      <c r="B211" s="110">
        <v>45905.0</v>
      </c>
      <c r="C211" s="100" t="s">
        <v>127</v>
      </c>
      <c r="D211" s="100" t="s">
        <v>286</v>
      </c>
      <c r="E211" s="100">
        <v>1545292.0</v>
      </c>
      <c r="F211" s="99">
        <f t="shared" si="47"/>
        <v>846</v>
      </c>
      <c r="G211" s="100">
        <v>515.0</v>
      </c>
      <c r="H211" s="101">
        <v>218.0</v>
      </c>
      <c r="I211" s="101">
        <v>218.13</v>
      </c>
      <c r="J211" s="102">
        <f t="shared" si="45"/>
        <v>-0.13</v>
      </c>
      <c r="K211" s="103">
        <f t="shared" si="46"/>
        <v>25.78368794</v>
      </c>
      <c r="L211" s="54"/>
      <c r="M211" s="54"/>
      <c r="N211" s="54"/>
      <c r="O211" s="54"/>
      <c r="P211" s="86"/>
      <c r="Q211" s="54"/>
      <c r="R211" s="54"/>
    </row>
    <row r="212">
      <c r="A212" s="54"/>
      <c r="B212" s="110">
        <v>45906.0</v>
      </c>
      <c r="C212" s="100" t="s">
        <v>127</v>
      </c>
      <c r="D212" s="100" t="s">
        <v>286</v>
      </c>
      <c r="E212" s="100">
        <v>1546132.0</v>
      </c>
      <c r="F212" s="99">
        <f t="shared" si="47"/>
        <v>840</v>
      </c>
      <c r="G212" s="100">
        <v>515.0</v>
      </c>
      <c r="H212" s="101">
        <v>249.0</v>
      </c>
      <c r="I212" s="101">
        <f>266.62</f>
        <v>266.62</v>
      </c>
      <c r="J212" s="102">
        <f t="shared" si="45"/>
        <v>-17.62</v>
      </c>
      <c r="K212" s="103">
        <f t="shared" si="46"/>
        <v>31.74047619</v>
      </c>
      <c r="L212" s="54"/>
      <c r="M212" s="54"/>
      <c r="N212" s="54"/>
      <c r="O212" s="54"/>
      <c r="P212" s="86"/>
      <c r="Q212" s="54"/>
      <c r="R212" s="54"/>
    </row>
    <row r="213">
      <c r="A213" s="54"/>
      <c r="B213" s="110">
        <v>45908.0</v>
      </c>
      <c r="C213" s="100" t="s">
        <v>127</v>
      </c>
      <c r="D213" s="100" t="s">
        <v>286</v>
      </c>
      <c r="E213" s="100">
        <v>1547181.0</v>
      </c>
      <c r="F213" s="99">
        <f t="shared" si="47"/>
        <v>1049</v>
      </c>
      <c r="G213" s="100">
        <v>515.0</v>
      </c>
      <c r="H213" s="101">
        <v>273.0</v>
      </c>
      <c r="I213" s="101">
        <v>273.61</v>
      </c>
      <c r="J213" s="102">
        <f t="shared" si="45"/>
        <v>-0.61</v>
      </c>
      <c r="K213" s="103">
        <f t="shared" si="46"/>
        <v>26.08293613</v>
      </c>
      <c r="L213" s="54"/>
      <c r="M213" s="54"/>
      <c r="N213" s="54"/>
      <c r="O213" s="54"/>
      <c r="P213" s="86"/>
      <c r="Q213" s="54"/>
      <c r="R213" s="54"/>
    </row>
    <row r="214">
      <c r="A214" s="54"/>
      <c r="B214" s="110">
        <v>45909.0</v>
      </c>
      <c r="C214" s="100" t="s">
        <v>127</v>
      </c>
      <c r="D214" s="100" t="s">
        <v>286</v>
      </c>
      <c r="E214" s="100">
        <v>1548022.0</v>
      </c>
      <c r="F214" s="99">
        <f t="shared" si="47"/>
        <v>841</v>
      </c>
      <c r="G214" s="100">
        <v>515.0</v>
      </c>
      <c r="H214" s="101">
        <v>246.0</v>
      </c>
      <c r="I214" s="101">
        <v>261.53</v>
      </c>
      <c r="J214" s="102">
        <f t="shared" si="45"/>
        <v>-15.53</v>
      </c>
      <c r="K214" s="103">
        <f t="shared" si="46"/>
        <v>31.09750297</v>
      </c>
      <c r="L214" s="54"/>
      <c r="M214" s="54"/>
      <c r="N214" s="54"/>
      <c r="O214" s="54"/>
      <c r="P214" s="86"/>
      <c r="Q214" s="54"/>
      <c r="R214" s="54"/>
    </row>
    <row r="215">
      <c r="A215" s="54"/>
      <c r="B215" s="110">
        <v>45910.0</v>
      </c>
      <c r="C215" s="100" t="s">
        <v>127</v>
      </c>
      <c r="D215" s="100" t="s">
        <v>286</v>
      </c>
      <c r="E215" s="100">
        <v>1548867.0</v>
      </c>
      <c r="F215" s="99">
        <f t="shared" si="47"/>
        <v>845</v>
      </c>
      <c r="G215" s="100">
        <v>515.0</v>
      </c>
      <c r="H215" s="101">
        <v>215.0</v>
      </c>
      <c r="I215" s="101">
        <v>218.86</v>
      </c>
      <c r="J215" s="102">
        <f t="shared" si="45"/>
        <v>-3.86</v>
      </c>
      <c r="K215" s="103">
        <f t="shared" si="46"/>
        <v>25.90059172</v>
      </c>
      <c r="L215" s="54"/>
      <c r="M215" s="54"/>
      <c r="N215" s="54"/>
      <c r="O215" s="54"/>
      <c r="P215" s="86"/>
      <c r="Q215" s="54"/>
      <c r="R215" s="54"/>
    </row>
    <row r="216">
      <c r="A216" s="54"/>
      <c r="B216" s="110">
        <v>45911.0</v>
      </c>
      <c r="C216" s="100" t="s">
        <v>127</v>
      </c>
      <c r="D216" s="100" t="s">
        <v>286</v>
      </c>
      <c r="E216" s="100">
        <v>1549707.0</v>
      </c>
      <c r="F216" s="99">
        <f t="shared" si="47"/>
        <v>840</v>
      </c>
      <c r="G216" s="100">
        <v>515.0</v>
      </c>
      <c r="H216" s="101">
        <v>255.0</v>
      </c>
      <c r="I216" s="101">
        <v>267.39</v>
      </c>
      <c r="J216" s="102">
        <f t="shared" si="45"/>
        <v>-12.39</v>
      </c>
      <c r="K216" s="103">
        <f t="shared" si="46"/>
        <v>31.83214286</v>
      </c>
      <c r="L216" s="54"/>
      <c r="M216" s="54"/>
      <c r="N216" s="54"/>
      <c r="O216" s="54"/>
      <c r="P216" s="86"/>
      <c r="Q216" s="54"/>
      <c r="R216" s="54"/>
    </row>
    <row r="217">
      <c r="A217" s="54"/>
      <c r="B217" s="110">
        <v>45912.0</v>
      </c>
      <c r="C217" s="100" t="s">
        <v>127</v>
      </c>
      <c r="D217" s="100" t="s">
        <v>286</v>
      </c>
      <c r="E217" s="100">
        <v>1550553.0</v>
      </c>
      <c r="F217" s="99">
        <f t="shared" si="47"/>
        <v>846</v>
      </c>
      <c r="G217" s="100">
        <v>515.0</v>
      </c>
      <c r="H217" s="101">
        <v>216.0</v>
      </c>
      <c r="I217" s="101">
        <v>222.65</v>
      </c>
      <c r="J217" s="102">
        <f t="shared" si="45"/>
        <v>-6.65</v>
      </c>
      <c r="K217" s="103">
        <f t="shared" si="46"/>
        <v>26.3179669</v>
      </c>
      <c r="L217" s="54"/>
      <c r="M217" s="54"/>
      <c r="N217" s="54"/>
      <c r="O217" s="54"/>
      <c r="P217" s="86"/>
      <c r="Q217" s="54"/>
      <c r="R217" s="54"/>
    </row>
    <row r="218">
      <c r="A218" s="54"/>
      <c r="B218" s="110">
        <v>45913.0</v>
      </c>
      <c r="C218" s="100" t="s">
        <v>127</v>
      </c>
      <c r="D218" s="100" t="s">
        <v>286</v>
      </c>
      <c r="E218" s="100">
        <v>1551394.0</v>
      </c>
      <c r="F218" s="99">
        <f t="shared" si="47"/>
        <v>841</v>
      </c>
      <c r="G218" s="100">
        <v>515.0</v>
      </c>
      <c r="H218" s="101">
        <v>254.0</v>
      </c>
      <c r="I218" s="101">
        <v>267.62</v>
      </c>
      <c r="J218" s="102">
        <f t="shared" si="45"/>
        <v>-13.62</v>
      </c>
      <c r="K218" s="103">
        <f t="shared" si="46"/>
        <v>31.8216409</v>
      </c>
      <c r="L218" s="54"/>
      <c r="M218" s="54"/>
      <c r="N218" s="54"/>
      <c r="O218" s="54"/>
      <c r="P218" s="86"/>
      <c r="Q218" s="54"/>
      <c r="R218" s="54"/>
    </row>
    <row r="219">
      <c r="A219" s="54"/>
      <c r="B219" s="110">
        <v>45914.0</v>
      </c>
      <c r="C219" s="100" t="s">
        <v>127</v>
      </c>
      <c r="D219" s="100" t="s">
        <v>286</v>
      </c>
      <c r="E219" s="100">
        <v>1552238.0</v>
      </c>
      <c r="F219" s="99">
        <f t="shared" si="47"/>
        <v>844</v>
      </c>
      <c r="G219" s="100">
        <v>515.0</v>
      </c>
      <c r="H219" s="101">
        <v>218.0</v>
      </c>
      <c r="I219" s="101">
        <v>223.0</v>
      </c>
      <c r="J219" s="102">
        <f t="shared" si="45"/>
        <v>-5</v>
      </c>
      <c r="K219" s="103">
        <f t="shared" si="46"/>
        <v>26.42180095</v>
      </c>
      <c r="L219" s="54"/>
      <c r="M219" s="54"/>
      <c r="N219" s="54"/>
      <c r="O219" s="54"/>
      <c r="P219" s="86"/>
      <c r="Q219" s="54"/>
      <c r="R219" s="54"/>
    </row>
    <row r="220">
      <c r="A220" s="54"/>
      <c r="B220" s="110">
        <v>45915.0</v>
      </c>
      <c r="C220" s="100" t="s">
        <v>127</v>
      </c>
      <c r="D220" s="100" t="s">
        <v>286</v>
      </c>
      <c r="E220" s="100">
        <v>1553057.0</v>
      </c>
      <c r="F220" s="99">
        <f t="shared" si="47"/>
        <v>819</v>
      </c>
      <c r="G220" s="100">
        <v>515.0</v>
      </c>
      <c r="H220" s="101">
        <v>214.0</v>
      </c>
      <c r="I220" s="101">
        <v>230.54</v>
      </c>
      <c r="J220" s="102">
        <f t="shared" si="45"/>
        <v>-16.54</v>
      </c>
      <c r="K220" s="103">
        <f t="shared" si="46"/>
        <v>28.14896215</v>
      </c>
      <c r="L220" s="54"/>
      <c r="M220" s="54"/>
      <c r="N220" s="54"/>
      <c r="O220" s="54"/>
      <c r="P220" s="86"/>
      <c r="Q220" s="54"/>
      <c r="R220" s="54"/>
    </row>
    <row r="221">
      <c r="A221" s="54"/>
      <c r="B221" s="110">
        <v>45917.0</v>
      </c>
      <c r="C221" s="100" t="s">
        <v>127</v>
      </c>
      <c r="D221" s="100" t="s">
        <v>286</v>
      </c>
      <c r="E221" s="100">
        <v>1554142.0</v>
      </c>
      <c r="F221" s="99">
        <f t="shared" si="47"/>
        <v>1085</v>
      </c>
      <c r="G221" s="100">
        <v>515.0</v>
      </c>
      <c r="H221" s="101">
        <v>290.0</v>
      </c>
      <c r="I221" s="101">
        <v>297.05</v>
      </c>
      <c r="J221" s="102">
        <f t="shared" si="45"/>
        <v>-7.05</v>
      </c>
      <c r="K221" s="103">
        <f t="shared" si="46"/>
        <v>27.37788018</v>
      </c>
      <c r="L221" s="54"/>
      <c r="M221" s="54"/>
      <c r="N221" s="54"/>
      <c r="O221" s="54"/>
      <c r="P221" s="86"/>
      <c r="Q221" s="54"/>
      <c r="R221" s="54"/>
    </row>
    <row r="222">
      <c r="A222" s="54"/>
      <c r="B222" s="110">
        <v>45918.0</v>
      </c>
      <c r="C222" s="100" t="s">
        <v>127</v>
      </c>
      <c r="D222" s="100" t="s">
        <v>286</v>
      </c>
      <c r="E222" s="100">
        <v>1554983.0</v>
      </c>
      <c r="F222" s="99">
        <f t="shared" si="47"/>
        <v>841</v>
      </c>
      <c r="G222" s="100">
        <v>515.0</v>
      </c>
      <c r="H222" s="101">
        <v>240.0</v>
      </c>
      <c r="I222" s="101">
        <v>254.91</v>
      </c>
      <c r="J222" s="102">
        <f t="shared" si="45"/>
        <v>-14.91</v>
      </c>
      <c r="K222" s="103">
        <f t="shared" si="46"/>
        <v>30.31034483</v>
      </c>
      <c r="L222" s="54"/>
      <c r="M222" s="54"/>
      <c r="N222" s="54"/>
      <c r="O222" s="54"/>
      <c r="P222" s="86"/>
      <c r="Q222" s="54"/>
      <c r="R222" s="54"/>
    </row>
    <row r="223">
      <c r="A223" s="54"/>
      <c r="B223" s="110">
        <v>45919.0</v>
      </c>
      <c r="C223" s="100" t="s">
        <v>127</v>
      </c>
      <c r="D223" s="100" t="s">
        <v>286</v>
      </c>
      <c r="E223" s="100">
        <v>1555828.0</v>
      </c>
      <c r="F223" s="99">
        <f t="shared" si="47"/>
        <v>845</v>
      </c>
      <c r="G223" s="100">
        <v>515.0</v>
      </c>
      <c r="H223" s="101">
        <v>211.0</v>
      </c>
      <c r="I223" s="101">
        <v>222.75</v>
      </c>
      <c r="J223" s="102">
        <f t="shared" si="45"/>
        <v>-11.75</v>
      </c>
      <c r="K223" s="103">
        <f t="shared" si="46"/>
        <v>26.36094675</v>
      </c>
      <c r="L223" s="54"/>
      <c r="M223" s="54"/>
      <c r="N223" s="54"/>
      <c r="O223" s="54"/>
      <c r="P223" s="86"/>
      <c r="Q223" s="54"/>
      <c r="R223" s="54"/>
    </row>
    <row r="224">
      <c r="A224" s="54"/>
      <c r="B224" s="110">
        <v>45920.0</v>
      </c>
      <c r="C224" s="100" t="s">
        <v>127</v>
      </c>
      <c r="D224" s="100" t="s">
        <v>286</v>
      </c>
      <c r="E224" s="100">
        <v>1556670.0</v>
      </c>
      <c r="F224" s="99">
        <f t="shared" si="47"/>
        <v>842</v>
      </c>
      <c r="G224" s="100">
        <v>515.0</v>
      </c>
      <c r="H224" s="101">
        <v>240.0</v>
      </c>
      <c r="I224" s="101">
        <v>254.82</v>
      </c>
      <c r="J224" s="102">
        <f t="shared" si="45"/>
        <v>-14.82</v>
      </c>
      <c r="K224" s="103">
        <f t="shared" si="46"/>
        <v>30.26365796</v>
      </c>
      <c r="L224" s="54"/>
      <c r="M224" s="54"/>
      <c r="N224" s="54"/>
      <c r="O224" s="54"/>
      <c r="P224" s="86"/>
      <c r="Q224" s="54"/>
      <c r="R224" s="54"/>
    </row>
    <row r="225">
      <c r="A225" s="54"/>
      <c r="B225" s="110">
        <v>45922.0</v>
      </c>
      <c r="C225" s="100" t="s">
        <v>127</v>
      </c>
      <c r="D225" s="100" t="s">
        <v>286</v>
      </c>
      <c r="E225" s="100">
        <v>1557739.0</v>
      </c>
      <c r="F225" s="99">
        <f t="shared" si="47"/>
        <v>1069</v>
      </c>
      <c r="G225" s="100">
        <v>515.0</v>
      </c>
      <c r="H225" s="101">
        <v>275.0</v>
      </c>
      <c r="I225" s="101">
        <v>287.01</v>
      </c>
      <c r="J225" s="102">
        <f t="shared" si="45"/>
        <v>-12.01</v>
      </c>
      <c r="K225" s="103">
        <f t="shared" si="46"/>
        <v>26.8484565</v>
      </c>
      <c r="L225" s="54"/>
      <c r="M225" s="54"/>
      <c r="N225" s="54"/>
      <c r="O225" s="54"/>
      <c r="P225" s="86"/>
      <c r="Q225" s="54"/>
      <c r="R225" s="54"/>
    </row>
    <row r="226">
      <c r="A226" s="54"/>
      <c r="B226" s="110">
        <v>45923.0</v>
      </c>
      <c r="C226" s="100" t="s">
        <v>127</v>
      </c>
      <c r="D226" s="100" t="s">
        <v>286</v>
      </c>
      <c r="E226" s="100">
        <v>1558579.0</v>
      </c>
      <c r="F226" s="99">
        <f t="shared" si="47"/>
        <v>840</v>
      </c>
      <c r="G226" s="100">
        <v>515.0</v>
      </c>
      <c r="H226" s="101">
        <v>233.0</v>
      </c>
      <c r="I226" s="101">
        <v>253.69</v>
      </c>
      <c r="J226" s="102">
        <f t="shared" si="45"/>
        <v>-20.69</v>
      </c>
      <c r="K226" s="103">
        <f t="shared" si="46"/>
        <v>30.20119048</v>
      </c>
      <c r="L226" s="54"/>
      <c r="M226" s="54"/>
      <c r="N226" s="54"/>
      <c r="O226" s="54"/>
      <c r="P226" s="86"/>
      <c r="Q226" s="54"/>
      <c r="R226" s="54"/>
    </row>
    <row r="227">
      <c r="A227" s="54"/>
      <c r="B227" s="110">
        <v>45924.0</v>
      </c>
      <c r="C227" s="100" t="s">
        <v>127</v>
      </c>
      <c r="D227" s="100" t="s">
        <v>286</v>
      </c>
      <c r="E227" s="100">
        <v>1559425.0</v>
      </c>
      <c r="F227" s="99">
        <f t="shared" si="47"/>
        <v>846</v>
      </c>
      <c r="G227" s="100">
        <v>515.0</v>
      </c>
      <c r="H227" s="101">
        <v>217.0</v>
      </c>
      <c r="I227" s="101">
        <v>218.88</v>
      </c>
      <c r="J227" s="102">
        <f t="shared" si="45"/>
        <v>-1.88</v>
      </c>
      <c r="K227" s="103">
        <f t="shared" si="46"/>
        <v>25.87234043</v>
      </c>
      <c r="L227" s="54"/>
      <c r="M227" s="54"/>
      <c r="N227" s="54"/>
      <c r="O227" s="54"/>
      <c r="P227" s="86"/>
      <c r="Q227" s="54"/>
      <c r="R227" s="54"/>
    </row>
    <row r="228">
      <c r="A228" s="54"/>
      <c r="B228" s="110">
        <v>45925.0</v>
      </c>
      <c r="C228" s="100" t="s">
        <v>127</v>
      </c>
      <c r="D228" s="100" t="s">
        <v>286</v>
      </c>
      <c r="E228" s="100">
        <v>1560267.0</v>
      </c>
      <c r="F228" s="99">
        <f t="shared" si="47"/>
        <v>842</v>
      </c>
      <c r="G228" s="100">
        <v>515.0</v>
      </c>
      <c r="H228" s="101">
        <v>261.0</v>
      </c>
      <c r="I228" s="101">
        <v>272.13</v>
      </c>
      <c r="J228" s="102">
        <f t="shared" si="45"/>
        <v>-11.13</v>
      </c>
      <c r="K228" s="103">
        <f t="shared" si="46"/>
        <v>32.31947743</v>
      </c>
      <c r="L228" s="54"/>
      <c r="M228" s="54"/>
      <c r="N228" s="54"/>
      <c r="O228" s="54"/>
      <c r="P228" s="86"/>
      <c r="Q228" s="54"/>
      <c r="R228" s="54"/>
    </row>
    <row r="229">
      <c r="A229" s="54"/>
      <c r="B229" s="110">
        <v>45926.0</v>
      </c>
      <c r="C229" s="100" t="s">
        <v>127</v>
      </c>
      <c r="D229" s="100" t="s">
        <v>286</v>
      </c>
      <c r="E229" s="100">
        <v>1561113.0</v>
      </c>
      <c r="F229" s="99">
        <f t="shared" si="47"/>
        <v>846</v>
      </c>
      <c r="G229" s="100">
        <v>515.0</v>
      </c>
      <c r="H229" s="101">
        <v>221.0</v>
      </c>
      <c r="I229" s="101">
        <v>228.94</v>
      </c>
      <c r="J229" s="102">
        <f t="shared" si="45"/>
        <v>-7.94</v>
      </c>
      <c r="K229" s="103">
        <f t="shared" si="46"/>
        <v>27.06146572</v>
      </c>
      <c r="L229" s="54"/>
      <c r="M229" s="54"/>
      <c r="N229" s="54"/>
      <c r="O229" s="54"/>
      <c r="P229" s="86"/>
      <c r="Q229" s="54"/>
      <c r="R229" s="54"/>
    </row>
    <row r="230">
      <c r="A230" s="54"/>
      <c r="B230" s="110">
        <v>45927.0</v>
      </c>
      <c r="C230" s="100" t="s">
        <v>127</v>
      </c>
      <c r="D230" s="100" t="s">
        <v>286</v>
      </c>
      <c r="E230" s="100">
        <v>1561954.0</v>
      </c>
      <c r="F230" s="99">
        <f t="shared" si="47"/>
        <v>841</v>
      </c>
      <c r="G230" s="100">
        <v>515.0</v>
      </c>
      <c r="H230" s="101">
        <v>249.0</v>
      </c>
      <c r="I230" s="101">
        <v>266.85</v>
      </c>
      <c r="J230" s="102">
        <f t="shared" si="45"/>
        <v>-17.85</v>
      </c>
      <c r="K230" s="103">
        <f t="shared" si="46"/>
        <v>31.73008323</v>
      </c>
      <c r="L230" s="54"/>
      <c r="M230" s="54"/>
      <c r="N230" s="54"/>
      <c r="O230" s="54"/>
      <c r="P230" s="86"/>
      <c r="Q230" s="54"/>
      <c r="R230" s="54"/>
    </row>
    <row r="231">
      <c r="A231" s="54"/>
      <c r="B231" s="110">
        <v>45929.0</v>
      </c>
      <c r="C231" s="100" t="s">
        <v>127</v>
      </c>
      <c r="D231" s="100" t="s">
        <v>286</v>
      </c>
      <c r="E231" s="100">
        <v>1563005.0</v>
      </c>
      <c r="F231" s="99">
        <f t="shared" si="47"/>
        <v>1051</v>
      </c>
      <c r="G231" s="100">
        <v>515.0</v>
      </c>
      <c r="H231" s="101">
        <v>284.0</v>
      </c>
      <c r="I231" s="101">
        <v>288.79</v>
      </c>
      <c r="J231" s="102">
        <f t="shared" si="45"/>
        <v>-4.79</v>
      </c>
      <c r="K231" s="103">
        <f t="shared" si="46"/>
        <v>27.47764034</v>
      </c>
      <c r="L231" s="54"/>
      <c r="M231" s="54"/>
      <c r="N231" s="54"/>
      <c r="O231" s="54"/>
      <c r="P231" s="86"/>
      <c r="Q231" s="54"/>
      <c r="R231" s="54"/>
    </row>
    <row r="232">
      <c r="A232" s="54"/>
      <c r="B232" s="110">
        <v>45930.0</v>
      </c>
      <c r="C232" s="100" t="s">
        <v>127</v>
      </c>
      <c r="D232" s="100" t="s">
        <v>286</v>
      </c>
      <c r="E232" s="100">
        <v>1563847.0</v>
      </c>
      <c r="F232" s="99">
        <f t="shared" si="47"/>
        <v>842</v>
      </c>
      <c r="G232" s="100">
        <v>515.0</v>
      </c>
      <c r="H232" s="101">
        <v>258.0</v>
      </c>
      <c r="I232" s="101">
        <v>270.04</v>
      </c>
      <c r="J232" s="102">
        <f t="shared" si="45"/>
        <v>-12.04</v>
      </c>
      <c r="K232" s="103">
        <f t="shared" si="46"/>
        <v>32.07125891</v>
      </c>
      <c r="L232" s="54"/>
      <c r="M232" s="54"/>
      <c r="N232" s="54"/>
      <c r="O232" s="54"/>
      <c r="P232" s="86"/>
      <c r="Q232" s="54"/>
      <c r="R232" s="54"/>
    </row>
    <row r="233">
      <c r="A233" s="68"/>
      <c r="B233" s="88" t="str">
        <f>IF(L233=4,"АПРЕЛЬ",IF(L233=5,"МАЙ",IF(L233=1,"ЯНВАРЬ",IF(L233=2,"ФЕВРАЛЬ",IF(L233=3,"МАРТ",IF(L233=6,"ИЮНЬ",IF(L233=7,"ИЮЛЬ",IF(L233=8,"АВГУСТ",IF(L233=9,"СЕНТЯБРЬ",IF(L233=10,"ОКТЯБРЬ",IF(L233=11,"НОЯБРЬ",IF(L233=12,"ДЕКАБРЬ"))))))))))))</f>
        <v>ОКТЯБРЬ</v>
      </c>
      <c r="J233" s="88"/>
      <c r="K233" s="88"/>
      <c r="L233" s="91">
        <f>MONTH(B234)</f>
        <v>10</v>
      </c>
      <c r="M233" s="66"/>
      <c r="N233" s="66"/>
      <c r="O233" s="66"/>
      <c r="P233" s="113"/>
      <c r="Q233" s="66"/>
      <c r="R233" s="66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54"/>
      <c r="B234" s="110">
        <v>45931.0</v>
      </c>
      <c r="C234" s="321" t="s">
        <v>127</v>
      </c>
      <c r="D234" s="321" t="s">
        <v>286</v>
      </c>
      <c r="E234" s="100">
        <v>1564693.0</v>
      </c>
      <c r="F234" s="99">
        <f>E234-E232</f>
        <v>846</v>
      </c>
      <c r="G234" s="100">
        <v>515.0</v>
      </c>
      <c r="H234" s="101">
        <v>211.0</v>
      </c>
      <c r="I234" s="101">
        <v>220.27</v>
      </c>
      <c r="J234" s="102">
        <f t="shared" ref="J234:J244" si="48">H234-I234</f>
        <v>-9.27</v>
      </c>
      <c r="K234" s="103">
        <f t="shared" ref="K234:K244" si="49">I234/F234*100</f>
        <v>26.03664303</v>
      </c>
      <c r="L234" s="54"/>
      <c r="M234" s="82" t="str">
        <f>"тотал"&amp;" "&amp;B233&amp;" "&amp;RIGHT(YEAR(B234),2)</f>
        <v>тотал ОКТЯБРЬ 25</v>
      </c>
      <c r="N234" s="75"/>
      <c r="O234" s="75"/>
      <c r="P234" s="75"/>
      <c r="Q234" s="76"/>
      <c r="R234" s="54"/>
    </row>
    <row r="235">
      <c r="A235" s="54"/>
      <c r="B235" s="110">
        <v>45932.0</v>
      </c>
      <c r="C235" s="321" t="s">
        <v>127</v>
      </c>
      <c r="D235" s="321" t="s">
        <v>286</v>
      </c>
      <c r="E235" s="100">
        <v>1565535.0</v>
      </c>
      <c r="F235" s="99">
        <f t="shared" ref="F235:F244" si="50">E235-E234</f>
        <v>842</v>
      </c>
      <c r="G235" s="100">
        <v>515.0</v>
      </c>
      <c r="H235" s="101">
        <v>239.0</v>
      </c>
      <c r="I235" s="101">
        <v>252.46</v>
      </c>
      <c r="J235" s="102">
        <f t="shared" si="48"/>
        <v>-13.46</v>
      </c>
      <c r="K235" s="103">
        <f t="shared" si="49"/>
        <v>29.98337292</v>
      </c>
      <c r="L235" s="54"/>
      <c r="M235" s="84" t="s">
        <v>70</v>
      </c>
      <c r="N235" s="84" t="s">
        <v>71</v>
      </c>
      <c r="O235" s="84" t="s">
        <v>27</v>
      </c>
      <c r="P235" s="77" t="s">
        <v>28</v>
      </c>
      <c r="Q235" s="12" t="s">
        <v>78</v>
      </c>
      <c r="R235" s="54"/>
    </row>
    <row r="236">
      <c r="A236" s="54"/>
      <c r="B236" s="110">
        <v>45933.0</v>
      </c>
      <c r="C236" s="321" t="s">
        <v>127</v>
      </c>
      <c r="D236" s="321" t="s">
        <v>286</v>
      </c>
      <c r="E236" s="100">
        <v>1566382.0</v>
      </c>
      <c r="F236" s="99">
        <f t="shared" si="50"/>
        <v>847</v>
      </c>
      <c r="G236" s="100">
        <v>515.0</v>
      </c>
      <c r="H236" s="101">
        <v>224.0</v>
      </c>
      <c r="I236" s="101">
        <v>228.56</v>
      </c>
      <c r="J236" s="102">
        <f t="shared" si="48"/>
        <v>-4.56</v>
      </c>
      <c r="K236" s="103">
        <f t="shared" si="49"/>
        <v>26.98465171</v>
      </c>
      <c r="L236" s="54"/>
      <c r="M236" s="84">
        <f>SUM(F234:F259)</f>
        <v>9645</v>
      </c>
      <c r="N236" s="84">
        <f>SUM(I234:I259)</f>
        <v>2748.24</v>
      </c>
      <c r="O236" s="85">
        <f>N236/M236*100</f>
        <v>28.49393468</v>
      </c>
      <c r="P236" s="79">
        <f>(M236/100)*(O236-Q236)</f>
        <v>47.64</v>
      </c>
      <c r="Q236" s="78">
        <v>28.0</v>
      </c>
      <c r="R236" s="54"/>
    </row>
    <row r="237">
      <c r="A237" s="54"/>
      <c r="B237" s="110">
        <v>45934.0</v>
      </c>
      <c r="C237" s="321" t="s">
        <v>127</v>
      </c>
      <c r="D237" s="321" t="s">
        <v>286</v>
      </c>
      <c r="E237" s="100">
        <v>1567562.0</v>
      </c>
      <c r="F237" s="99">
        <f t="shared" si="50"/>
        <v>1180</v>
      </c>
      <c r="G237" s="100">
        <v>515.0</v>
      </c>
      <c r="H237" s="101">
        <v>342.0</v>
      </c>
      <c r="I237" s="101">
        <v>354.5</v>
      </c>
      <c r="J237" s="102">
        <f t="shared" si="48"/>
        <v>-12.5</v>
      </c>
      <c r="K237" s="103">
        <f t="shared" si="49"/>
        <v>30.04237288</v>
      </c>
      <c r="L237" s="54"/>
      <c r="M237" s="54"/>
      <c r="N237" s="54"/>
      <c r="O237" s="54"/>
      <c r="P237" s="86"/>
      <c r="Q237" s="54"/>
      <c r="R237" s="54"/>
    </row>
    <row r="238">
      <c r="A238" s="54"/>
      <c r="B238" s="110">
        <v>45936.0</v>
      </c>
      <c r="C238" s="321" t="s">
        <v>127</v>
      </c>
      <c r="D238" s="321" t="s">
        <v>286</v>
      </c>
      <c r="E238" s="100">
        <v>1568419.0</v>
      </c>
      <c r="F238" s="99">
        <f t="shared" si="50"/>
        <v>857</v>
      </c>
      <c r="G238" s="100">
        <v>515.0</v>
      </c>
      <c r="H238" s="101">
        <v>237.0</v>
      </c>
      <c r="I238" s="101">
        <v>247.6</v>
      </c>
      <c r="J238" s="102">
        <f t="shared" si="48"/>
        <v>-10.6</v>
      </c>
      <c r="K238" s="103">
        <f t="shared" si="49"/>
        <v>28.89148191</v>
      </c>
      <c r="L238" s="54"/>
      <c r="M238" s="54"/>
      <c r="N238" s="54"/>
      <c r="O238" s="54"/>
      <c r="P238" s="86"/>
      <c r="Q238" s="54"/>
      <c r="R238" s="54"/>
    </row>
    <row r="239">
      <c r="A239" s="54"/>
      <c r="B239" s="110">
        <v>45937.0</v>
      </c>
      <c r="C239" s="321" t="s">
        <v>127</v>
      </c>
      <c r="D239" s="321" t="s">
        <v>286</v>
      </c>
      <c r="E239" s="100">
        <v>1569320.0</v>
      </c>
      <c r="F239" s="99">
        <f t="shared" si="50"/>
        <v>901</v>
      </c>
      <c r="G239" s="100">
        <v>515.0</v>
      </c>
      <c r="H239" s="101">
        <v>265.0</v>
      </c>
      <c r="I239" s="101">
        <v>279.49</v>
      </c>
      <c r="J239" s="102">
        <f t="shared" si="48"/>
        <v>-14.49</v>
      </c>
      <c r="K239" s="103">
        <f t="shared" si="49"/>
        <v>31.0199778</v>
      </c>
      <c r="L239" s="54"/>
      <c r="M239" s="54"/>
      <c r="N239" s="54"/>
      <c r="O239" s="54"/>
      <c r="P239" s="86"/>
      <c r="Q239" s="54"/>
      <c r="R239" s="54"/>
    </row>
    <row r="240">
      <c r="A240" s="54"/>
      <c r="B240" s="110">
        <v>45938.0</v>
      </c>
      <c r="C240" s="321" t="s">
        <v>127</v>
      </c>
      <c r="D240" s="321" t="s">
        <v>286</v>
      </c>
      <c r="E240" s="100">
        <v>1570109.0</v>
      </c>
      <c r="F240" s="99">
        <f t="shared" si="50"/>
        <v>789</v>
      </c>
      <c r="G240" s="100">
        <v>515.0</v>
      </c>
      <c r="H240" s="101">
        <v>190.0</v>
      </c>
      <c r="I240" s="101">
        <v>203.9</v>
      </c>
      <c r="J240" s="102">
        <f t="shared" si="48"/>
        <v>-13.9</v>
      </c>
      <c r="K240" s="103">
        <f t="shared" si="49"/>
        <v>25.84283904</v>
      </c>
      <c r="L240" s="54"/>
      <c r="M240" s="54"/>
      <c r="N240" s="54"/>
      <c r="O240" s="54"/>
      <c r="P240" s="86"/>
      <c r="Q240" s="54"/>
      <c r="R240" s="54"/>
    </row>
    <row r="241">
      <c r="A241" s="54"/>
      <c r="B241" s="110">
        <v>45939.0</v>
      </c>
      <c r="C241" s="321" t="s">
        <v>127</v>
      </c>
      <c r="D241" s="321" t="s">
        <v>286</v>
      </c>
      <c r="E241" s="100">
        <v>1570951.0</v>
      </c>
      <c r="F241" s="99">
        <f t="shared" si="50"/>
        <v>842</v>
      </c>
      <c r="G241" s="100">
        <v>515.0</v>
      </c>
      <c r="H241" s="101">
        <v>231.0</v>
      </c>
      <c r="I241" s="101">
        <v>243.75</v>
      </c>
      <c r="J241" s="102">
        <f t="shared" si="48"/>
        <v>-12.75</v>
      </c>
      <c r="K241" s="103">
        <f t="shared" si="49"/>
        <v>28.94893112</v>
      </c>
      <c r="L241" s="54"/>
      <c r="M241" s="54"/>
      <c r="N241" s="54"/>
      <c r="O241" s="54"/>
      <c r="P241" s="86"/>
      <c r="Q241" s="54"/>
      <c r="R241" s="54"/>
    </row>
    <row r="242">
      <c r="A242" s="54"/>
      <c r="B242" s="110">
        <v>45940.0</v>
      </c>
      <c r="C242" s="321" t="s">
        <v>127</v>
      </c>
      <c r="D242" s="321" t="s">
        <v>286</v>
      </c>
      <c r="E242" s="100">
        <v>1571797.0</v>
      </c>
      <c r="F242" s="99">
        <f t="shared" si="50"/>
        <v>846</v>
      </c>
      <c r="G242" s="100">
        <v>515.0</v>
      </c>
      <c r="H242" s="101">
        <v>225.0</v>
      </c>
      <c r="I242" s="101">
        <v>228.81</v>
      </c>
      <c r="J242" s="102">
        <f t="shared" si="48"/>
        <v>-3.81</v>
      </c>
      <c r="K242" s="103">
        <f t="shared" si="49"/>
        <v>27.04609929</v>
      </c>
      <c r="L242" s="54"/>
      <c r="M242" s="54"/>
      <c r="N242" s="54"/>
      <c r="O242" s="54"/>
      <c r="P242" s="86"/>
      <c r="Q242" s="54"/>
      <c r="R242" s="54"/>
    </row>
    <row r="243">
      <c r="A243" s="54"/>
      <c r="B243" s="110">
        <v>45941.0</v>
      </c>
      <c r="C243" s="321" t="s">
        <v>127</v>
      </c>
      <c r="D243" s="321" t="s">
        <v>286</v>
      </c>
      <c r="E243" s="100">
        <v>1572644.0</v>
      </c>
      <c r="F243" s="99">
        <f t="shared" si="50"/>
        <v>847</v>
      </c>
      <c r="G243" s="100">
        <v>515.0</v>
      </c>
      <c r="H243" s="101">
        <v>245.0</v>
      </c>
      <c r="I243" s="101">
        <v>260.23</v>
      </c>
      <c r="J243" s="102">
        <f t="shared" si="48"/>
        <v>-15.23</v>
      </c>
      <c r="K243" s="103">
        <f t="shared" si="49"/>
        <v>30.72373081</v>
      </c>
      <c r="L243" s="54"/>
      <c r="M243" s="54"/>
      <c r="N243" s="54"/>
      <c r="O243" s="54"/>
      <c r="P243" s="86"/>
      <c r="Q243" s="54"/>
      <c r="R243" s="54"/>
    </row>
    <row r="244">
      <c r="A244" s="54"/>
      <c r="B244" s="110">
        <v>45943.0</v>
      </c>
      <c r="C244" s="321" t="s">
        <v>127</v>
      </c>
      <c r="D244" s="321" t="s">
        <v>286</v>
      </c>
      <c r="E244" s="100">
        <v>1573492.0</v>
      </c>
      <c r="F244" s="99">
        <f t="shared" si="50"/>
        <v>848</v>
      </c>
      <c r="G244" s="100">
        <v>515.0</v>
      </c>
      <c r="H244" s="101">
        <v>219.0</v>
      </c>
      <c r="I244" s="101">
        <v>228.67</v>
      </c>
      <c r="J244" s="102">
        <f t="shared" si="48"/>
        <v>-9.67</v>
      </c>
      <c r="K244" s="103">
        <f t="shared" si="49"/>
        <v>26.96580189</v>
      </c>
      <c r="L244" s="54"/>
      <c r="M244" s="54"/>
      <c r="N244" s="54"/>
      <c r="O244" s="54"/>
      <c r="P244" s="86"/>
      <c r="Q244" s="54"/>
      <c r="R244" s="54"/>
    </row>
    <row r="245">
      <c r="A245" s="54"/>
      <c r="B245" s="99"/>
      <c r="C245" s="99"/>
      <c r="D245" s="99"/>
      <c r="E245" s="99"/>
      <c r="F245" s="99"/>
      <c r="G245" s="99"/>
      <c r="H245" s="102"/>
      <c r="I245" s="102"/>
      <c r="J245" s="102"/>
      <c r="K245" s="102"/>
      <c r="L245" s="54"/>
      <c r="M245" s="54"/>
      <c r="N245" s="54"/>
      <c r="O245" s="54"/>
      <c r="P245" s="86"/>
      <c r="Q245" s="54"/>
      <c r="R245" s="54"/>
    </row>
    <row r="246">
      <c r="A246" s="54"/>
      <c r="B246" s="99"/>
      <c r="C246" s="99"/>
      <c r="D246" s="99"/>
      <c r="E246" s="99"/>
      <c r="F246" s="99"/>
      <c r="G246" s="99"/>
      <c r="H246" s="102"/>
      <c r="I246" s="102"/>
      <c r="J246" s="102"/>
      <c r="K246" s="102"/>
      <c r="L246" s="54"/>
      <c r="M246" s="54"/>
      <c r="N246" s="54"/>
      <c r="O246" s="54"/>
      <c r="P246" s="86"/>
      <c r="Q246" s="54"/>
      <c r="R246" s="54"/>
    </row>
    <row r="247">
      <c r="A247" s="54"/>
      <c r="B247" s="99"/>
      <c r="C247" s="99"/>
      <c r="D247" s="99"/>
      <c r="E247" s="99"/>
      <c r="F247" s="99"/>
      <c r="G247" s="99"/>
      <c r="H247" s="102"/>
      <c r="I247" s="102"/>
      <c r="J247" s="102"/>
      <c r="K247" s="102"/>
      <c r="L247" s="54"/>
      <c r="M247" s="54"/>
      <c r="N247" s="54"/>
      <c r="O247" s="54"/>
      <c r="P247" s="86"/>
      <c r="Q247" s="54"/>
      <c r="R247" s="54"/>
    </row>
    <row r="248">
      <c r="A248" s="54"/>
      <c r="B248" s="99"/>
      <c r="C248" s="99"/>
      <c r="D248" s="99"/>
      <c r="E248" s="99"/>
      <c r="F248" s="99"/>
      <c r="G248" s="99"/>
      <c r="H248" s="102"/>
      <c r="I248" s="102"/>
      <c r="J248" s="102"/>
      <c r="K248" s="102"/>
      <c r="L248" s="54"/>
      <c r="M248" s="54"/>
      <c r="N248" s="54"/>
      <c r="O248" s="54"/>
      <c r="P248" s="86"/>
      <c r="Q248" s="54"/>
      <c r="R248" s="54"/>
    </row>
    <row r="249">
      <c r="A249" s="54"/>
      <c r="B249" s="99"/>
      <c r="C249" s="99"/>
      <c r="D249" s="99"/>
      <c r="E249" s="99"/>
      <c r="F249" s="99"/>
      <c r="G249" s="99"/>
      <c r="H249" s="102"/>
      <c r="I249" s="102"/>
      <c r="J249" s="102"/>
      <c r="K249" s="102"/>
      <c r="L249" s="54"/>
      <c r="M249" s="54"/>
      <c r="N249" s="54"/>
      <c r="O249" s="54"/>
      <c r="P249" s="86"/>
      <c r="Q249" s="54"/>
      <c r="R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  <c r="N250" s="54"/>
      <c r="O250" s="54"/>
      <c r="P250" s="86"/>
      <c r="Q250" s="54"/>
      <c r="R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  <c r="N251" s="54"/>
      <c r="O251" s="54"/>
      <c r="P251" s="86"/>
      <c r="Q251" s="54"/>
      <c r="R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  <c r="N252" s="54"/>
      <c r="O252" s="54"/>
      <c r="P252" s="86"/>
      <c r="Q252" s="54"/>
      <c r="R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  <c r="N253" s="54"/>
      <c r="O253" s="54"/>
      <c r="P253" s="86"/>
      <c r="Q253" s="54"/>
      <c r="R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  <c r="N254" s="54"/>
      <c r="O254" s="54"/>
      <c r="P254" s="86"/>
      <c r="Q254" s="54"/>
      <c r="R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  <c r="N255" s="54"/>
      <c r="O255" s="54"/>
      <c r="P255" s="86"/>
      <c r="Q255" s="54"/>
      <c r="R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  <c r="N256" s="54"/>
      <c r="O256" s="54"/>
      <c r="P256" s="86"/>
      <c r="Q256" s="54"/>
      <c r="R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  <c r="N257" s="54"/>
      <c r="O257" s="54"/>
      <c r="P257" s="86"/>
      <c r="Q257" s="54"/>
      <c r="R257" s="54"/>
    </row>
    <row r="258">
      <c r="A258" s="54"/>
      <c r="B258" s="99"/>
      <c r="C258" s="99"/>
      <c r="D258" s="99"/>
      <c r="E258" s="99"/>
      <c r="F258" s="99"/>
      <c r="G258" s="99"/>
      <c r="H258" s="102"/>
      <c r="I258" s="102"/>
      <c r="J258" s="102"/>
      <c r="K258" s="102"/>
      <c r="L258" s="54"/>
      <c r="M258" s="54"/>
      <c r="N258" s="54"/>
      <c r="O258" s="54"/>
      <c r="P258" s="86"/>
      <c r="Q258" s="54"/>
      <c r="R258" s="54"/>
    </row>
    <row r="259">
      <c r="A259" s="54"/>
      <c r="B259" s="99"/>
      <c r="C259" s="99"/>
      <c r="D259" s="99"/>
      <c r="E259" s="99"/>
      <c r="F259" s="99"/>
      <c r="G259" s="99"/>
      <c r="H259" s="102"/>
      <c r="I259" s="102"/>
      <c r="J259" s="102"/>
      <c r="K259" s="102"/>
      <c r="L259" s="54"/>
      <c r="M259" s="54"/>
      <c r="N259" s="54"/>
      <c r="O259" s="54"/>
      <c r="P259" s="86"/>
      <c r="Q259" s="54"/>
      <c r="R259" s="54"/>
    </row>
    <row r="260">
      <c r="A260" s="54"/>
      <c r="B260" s="99"/>
      <c r="C260" s="99"/>
      <c r="D260" s="99"/>
      <c r="E260" s="99"/>
      <c r="F260" s="99"/>
      <c r="G260" s="99"/>
      <c r="H260" s="102"/>
      <c r="I260" s="102"/>
      <c r="J260" s="102"/>
      <c r="K260" s="102"/>
      <c r="L260" s="54"/>
      <c r="M260" s="54"/>
      <c r="N260" s="54"/>
      <c r="O260" s="54"/>
      <c r="P260" s="86"/>
      <c r="Q260" s="54"/>
      <c r="R260" s="54"/>
    </row>
    <row r="261">
      <c r="A261" s="54"/>
      <c r="B261" s="99"/>
      <c r="C261" s="99"/>
      <c r="D261" s="99"/>
      <c r="E261" s="99"/>
      <c r="F261" s="99"/>
      <c r="G261" s="99"/>
      <c r="H261" s="102"/>
      <c r="I261" s="102"/>
      <c r="J261" s="102"/>
      <c r="K261" s="102"/>
      <c r="L261" s="54"/>
      <c r="M261" s="54"/>
      <c r="N261" s="54"/>
      <c r="O261" s="54"/>
      <c r="P261" s="86"/>
      <c r="Q261" s="54"/>
      <c r="R261" s="54"/>
    </row>
    <row r="262">
      <c r="A262" s="54"/>
      <c r="B262" s="99"/>
      <c r="C262" s="99"/>
      <c r="D262" s="99"/>
      <c r="E262" s="99"/>
      <c r="F262" s="99"/>
      <c r="G262" s="99"/>
      <c r="H262" s="102"/>
      <c r="I262" s="102"/>
      <c r="J262" s="102"/>
      <c r="K262" s="102"/>
      <c r="L262" s="54"/>
      <c r="M262" s="54"/>
      <c r="N262" s="54"/>
      <c r="O262" s="54"/>
      <c r="P262" s="86"/>
      <c r="Q262" s="54"/>
      <c r="R262" s="54"/>
    </row>
    <row r="263">
      <c r="A263" s="54"/>
      <c r="B263" s="99"/>
      <c r="C263" s="99"/>
      <c r="D263" s="99"/>
      <c r="E263" s="99"/>
      <c r="F263" s="99"/>
      <c r="G263" s="99"/>
      <c r="H263" s="102"/>
      <c r="I263" s="102"/>
      <c r="J263" s="102"/>
      <c r="K263" s="102"/>
      <c r="L263" s="54"/>
      <c r="M263" s="54"/>
      <c r="N263" s="54"/>
      <c r="O263" s="54"/>
      <c r="P263" s="86"/>
      <c r="Q263" s="54"/>
      <c r="R263" s="54"/>
    </row>
    <row r="264">
      <c r="A264" s="54"/>
      <c r="B264" s="99"/>
      <c r="C264" s="99"/>
      <c r="D264" s="99"/>
      <c r="E264" s="99"/>
      <c r="F264" s="99"/>
      <c r="G264" s="99"/>
      <c r="H264" s="102"/>
      <c r="I264" s="102"/>
      <c r="J264" s="102"/>
      <c r="K264" s="102"/>
      <c r="L264" s="54"/>
      <c r="M264" s="54"/>
      <c r="N264" s="54"/>
      <c r="O264" s="54"/>
      <c r="P264" s="86"/>
      <c r="Q264" s="54"/>
      <c r="R264" s="54"/>
    </row>
    <row r="265">
      <c r="A265" s="54"/>
      <c r="B265" s="99"/>
      <c r="C265" s="99"/>
      <c r="D265" s="99"/>
      <c r="E265" s="99"/>
      <c r="F265" s="99"/>
      <c r="G265" s="99"/>
      <c r="H265" s="102"/>
      <c r="I265" s="102"/>
      <c r="J265" s="102"/>
      <c r="K265" s="102"/>
      <c r="L265" s="54"/>
      <c r="M265" s="54"/>
      <c r="N265" s="54"/>
      <c r="O265" s="54"/>
      <c r="P265" s="86"/>
      <c r="Q265" s="54"/>
      <c r="R265" s="54"/>
    </row>
    <row r="266">
      <c r="A266" s="54"/>
      <c r="B266" s="99"/>
      <c r="C266" s="99"/>
      <c r="D266" s="99"/>
      <c r="E266" s="99"/>
      <c r="F266" s="99"/>
      <c r="G266" s="99"/>
      <c r="H266" s="102"/>
      <c r="I266" s="102"/>
      <c r="J266" s="102"/>
      <c r="K266" s="102"/>
      <c r="L266" s="54"/>
      <c r="M266" s="54"/>
      <c r="N266" s="54"/>
      <c r="O266" s="54"/>
      <c r="P266" s="86"/>
      <c r="Q266" s="54"/>
      <c r="R266" s="54"/>
    </row>
    <row r="267">
      <c r="A267" s="54"/>
      <c r="B267" s="99"/>
      <c r="C267" s="99"/>
      <c r="D267" s="99"/>
      <c r="E267" s="99"/>
      <c r="F267" s="99"/>
      <c r="G267" s="99"/>
      <c r="H267" s="102"/>
      <c r="I267" s="102"/>
      <c r="J267" s="102"/>
      <c r="K267" s="102"/>
      <c r="L267" s="54"/>
      <c r="M267" s="54"/>
      <c r="N267" s="54"/>
      <c r="O267" s="54"/>
      <c r="P267" s="86"/>
      <c r="Q267" s="54"/>
      <c r="R267" s="54"/>
    </row>
    <row r="268">
      <c r="A268" s="54"/>
      <c r="B268" s="99"/>
      <c r="C268" s="99"/>
      <c r="D268" s="99"/>
      <c r="E268" s="99"/>
      <c r="F268" s="99"/>
      <c r="G268" s="99"/>
      <c r="H268" s="102"/>
      <c r="I268" s="102"/>
      <c r="J268" s="102"/>
      <c r="K268" s="102"/>
      <c r="L268" s="54"/>
      <c r="M268" s="54"/>
      <c r="N268" s="54"/>
      <c r="O268" s="54"/>
      <c r="P268" s="86"/>
      <c r="Q268" s="54"/>
      <c r="R268" s="54"/>
    </row>
    <row r="269">
      <c r="A269" s="54"/>
      <c r="B269" s="99"/>
      <c r="C269" s="99"/>
      <c r="D269" s="99"/>
      <c r="E269" s="99"/>
      <c r="F269" s="99"/>
      <c r="G269" s="99"/>
      <c r="H269" s="102"/>
      <c r="I269" s="102"/>
      <c r="J269" s="102"/>
      <c r="K269" s="102"/>
      <c r="L269" s="54"/>
      <c r="M269" s="54"/>
      <c r="N269" s="54"/>
      <c r="O269" s="54"/>
      <c r="P269" s="86"/>
      <c r="Q269" s="54"/>
      <c r="R269" s="54"/>
    </row>
    <row r="270">
      <c r="A270" s="54"/>
      <c r="B270" s="99"/>
      <c r="C270" s="99"/>
      <c r="D270" s="99"/>
      <c r="E270" s="99"/>
      <c r="F270" s="99"/>
      <c r="G270" s="99"/>
      <c r="H270" s="102"/>
      <c r="I270" s="102"/>
      <c r="J270" s="102"/>
      <c r="K270" s="102"/>
      <c r="L270" s="54"/>
      <c r="M270" s="54"/>
      <c r="N270" s="54"/>
      <c r="O270" s="54"/>
      <c r="P270" s="86"/>
      <c r="Q270" s="54"/>
      <c r="R270" s="54"/>
    </row>
    <row r="271">
      <c r="A271" s="54"/>
      <c r="B271" s="99"/>
      <c r="C271" s="99"/>
      <c r="D271" s="99"/>
      <c r="E271" s="99"/>
      <c r="F271" s="99"/>
      <c r="G271" s="99"/>
      <c r="H271" s="102"/>
      <c r="I271" s="102"/>
      <c r="J271" s="102"/>
      <c r="K271" s="102"/>
      <c r="L271" s="54"/>
      <c r="M271" s="54"/>
      <c r="N271" s="54"/>
      <c r="O271" s="54"/>
      <c r="P271" s="86"/>
      <c r="Q271" s="54"/>
      <c r="R271" s="54"/>
    </row>
    <row r="272">
      <c r="A272" s="54"/>
      <c r="B272" s="99"/>
      <c r="C272" s="99"/>
      <c r="D272" s="99"/>
      <c r="E272" s="99"/>
      <c r="F272" s="99"/>
      <c r="G272" s="99"/>
      <c r="H272" s="102"/>
      <c r="I272" s="102"/>
      <c r="J272" s="102"/>
      <c r="K272" s="102"/>
      <c r="L272" s="54"/>
      <c r="M272" s="54"/>
      <c r="N272" s="54"/>
      <c r="O272" s="54"/>
      <c r="P272" s="86"/>
      <c r="Q272" s="54"/>
      <c r="R272" s="54"/>
    </row>
    <row r="273">
      <c r="A273" s="54"/>
      <c r="B273" s="99"/>
      <c r="C273" s="99"/>
      <c r="D273" s="99"/>
      <c r="E273" s="99"/>
      <c r="F273" s="99"/>
      <c r="G273" s="99"/>
      <c r="H273" s="102"/>
      <c r="I273" s="102"/>
      <c r="J273" s="102"/>
      <c r="K273" s="102"/>
      <c r="L273" s="54"/>
      <c r="M273" s="54"/>
      <c r="N273" s="54"/>
      <c r="O273" s="54"/>
      <c r="P273" s="86"/>
      <c r="Q273" s="54"/>
      <c r="R273" s="54"/>
    </row>
    <row r="274">
      <c r="A274" s="54"/>
      <c r="B274" s="99"/>
      <c r="C274" s="99"/>
      <c r="D274" s="99"/>
      <c r="E274" s="99"/>
      <c r="F274" s="99"/>
      <c r="G274" s="99"/>
      <c r="H274" s="102"/>
      <c r="I274" s="102"/>
      <c r="J274" s="102"/>
      <c r="K274" s="102"/>
      <c r="L274" s="54"/>
      <c r="M274" s="54"/>
      <c r="N274" s="54"/>
      <c r="O274" s="54"/>
      <c r="P274" s="86"/>
      <c r="Q274" s="54"/>
      <c r="R274" s="54"/>
    </row>
    <row r="275">
      <c r="A275" s="54"/>
      <c r="B275" s="99"/>
      <c r="C275" s="99"/>
      <c r="D275" s="99"/>
      <c r="E275" s="99"/>
      <c r="F275" s="99"/>
      <c r="G275" s="99"/>
      <c r="H275" s="102"/>
      <c r="I275" s="102"/>
      <c r="J275" s="102"/>
      <c r="K275" s="102"/>
      <c r="L275" s="54"/>
      <c r="M275" s="54"/>
      <c r="N275" s="54"/>
      <c r="O275" s="54"/>
      <c r="P275" s="86"/>
      <c r="Q275" s="54"/>
      <c r="R275" s="54"/>
    </row>
    <row r="276">
      <c r="A276" s="54"/>
      <c r="B276" s="99"/>
      <c r="C276" s="99"/>
      <c r="D276" s="99"/>
      <c r="E276" s="99"/>
      <c r="F276" s="99"/>
      <c r="G276" s="99"/>
      <c r="H276" s="102"/>
      <c r="I276" s="102"/>
      <c r="J276" s="102"/>
      <c r="K276" s="102"/>
      <c r="L276" s="54"/>
      <c r="M276" s="54"/>
      <c r="N276" s="54"/>
      <c r="O276" s="54"/>
      <c r="P276" s="86"/>
      <c r="Q276" s="54"/>
      <c r="R276" s="54"/>
    </row>
    <row r="277">
      <c r="A277" s="54"/>
      <c r="B277" s="99"/>
      <c r="C277" s="99"/>
      <c r="D277" s="99"/>
      <c r="E277" s="99"/>
      <c r="F277" s="99"/>
      <c r="G277" s="99"/>
      <c r="H277" s="102"/>
      <c r="I277" s="102"/>
      <c r="J277" s="102"/>
      <c r="K277" s="102"/>
      <c r="L277" s="54"/>
      <c r="M277" s="54"/>
      <c r="N277" s="54"/>
      <c r="O277" s="54"/>
      <c r="P277" s="86"/>
      <c r="Q277" s="54"/>
      <c r="R277" s="54"/>
    </row>
    <row r="278">
      <c r="A278" s="54"/>
      <c r="B278" s="99"/>
      <c r="C278" s="99"/>
      <c r="D278" s="99"/>
      <c r="E278" s="99"/>
      <c r="F278" s="99"/>
      <c r="G278" s="99"/>
      <c r="H278" s="102"/>
      <c r="I278" s="102"/>
      <c r="J278" s="102"/>
      <c r="K278" s="102"/>
      <c r="L278" s="54"/>
      <c r="M278" s="54"/>
      <c r="N278" s="54"/>
      <c r="O278" s="54"/>
      <c r="P278" s="86"/>
      <c r="Q278" s="54"/>
      <c r="R278" s="54"/>
    </row>
    <row r="279">
      <c r="A279" s="54"/>
      <c r="B279" s="99"/>
      <c r="C279" s="99"/>
      <c r="D279" s="99"/>
      <c r="E279" s="99"/>
      <c r="F279" s="99"/>
      <c r="G279" s="99"/>
      <c r="H279" s="102"/>
      <c r="I279" s="102"/>
      <c r="J279" s="102"/>
      <c r="K279" s="102"/>
      <c r="L279" s="54"/>
      <c r="M279" s="54"/>
      <c r="N279" s="54"/>
      <c r="O279" s="54"/>
      <c r="P279" s="86"/>
      <c r="Q279" s="54"/>
      <c r="R279" s="54"/>
    </row>
    <row r="280">
      <c r="A280" s="54"/>
      <c r="B280" s="99"/>
      <c r="C280" s="99"/>
      <c r="D280" s="99"/>
      <c r="E280" s="99"/>
      <c r="F280" s="99"/>
      <c r="G280" s="99"/>
      <c r="H280" s="102"/>
      <c r="I280" s="102"/>
      <c r="J280" s="102"/>
      <c r="K280" s="102"/>
      <c r="L280" s="54"/>
      <c r="M280" s="54"/>
      <c r="N280" s="54"/>
      <c r="O280" s="54"/>
      <c r="P280" s="86"/>
      <c r="Q280" s="54"/>
      <c r="R280" s="54"/>
    </row>
    <row r="281">
      <c r="A281" s="54"/>
      <c r="B281" s="99"/>
      <c r="C281" s="99"/>
      <c r="D281" s="99"/>
      <c r="E281" s="99"/>
      <c r="F281" s="99"/>
      <c r="G281" s="99"/>
      <c r="H281" s="102"/>
      <c r="I281" s="102"/>
      <c r="J281" s="102"/>
      <c r="K281" s="102"/>
      <c r="L281" s="54"/>
      <c r="M281" s="54"/>
      <c r="N281" s="54"/>
      <c r="O281" s="54"/>
      <c r="P281" s="86"/>
      <c r="Q281" s="54"/>
      <c r="R281" s="54"/>
    </row>
    <row r="282">
      <c r="A282" s="54"/>
      <c r="B282" s="99"/>
      <c r="C282" s="99"/>
      <c r="D282" s="99"/>
      <c r="E282" s="99"/>
      <c r="F282" s="99"/>
      <c r="G282" s="99"/>
      <c r="H282" s="102"/>
      <c r="I282" s="102"/>
      <c r="J282" s="102"/>
      <c r="K282" s="102"/>
      <c r="L282" s="54"/>
      <c r="M282" s="54"/>
      <c r="N282" s="54"/>
      <c r="O282" s="54"/>
      <c r="P282" s="86"/>
      <c r="Q282" s="54"/>
      <c r="R282" s="54"/>
    </row>
    <row r="283">
      <c r="A283" s="54"/>
      <c r="B283" s="99"/>
      <c r="C283" s="99"/>
      <c r="D283" s="99"/>
      <c r="E283" s="99"/>
      <c r="F283" s="99"/>
      <c r="G283" s="99"/>
      <c r="H283" s="102"/>
      <c r="I283" s="102"/>
      <c r="J283" s="102"/>
      <c r="K283" s="102"/>
      <c r="L283" s="54"/>
      <c r="M283" s="54"/>
      <c r="N283" s="54"/>
      <c r="O283" s="54"/>
      <c r="P283" s="86"/>
      <c r="Q283" s="54"/>
      <c r="R283" s="54"/>
    </row>
    <row r="284">
      <c r="A284" s="54"/>
      <c r="B284" s="99"/>
      <c r="C284" s="99"/>
      <c r="D284" s="99"/>
      <c r="E284" s="99"/>
      <c r="F284" s="99"/>
      <c r="G284" s="99"/>
      <c r="H284" s="102"/>
      <c r="I284" s="102"/>
      <c r="J284" s="102"/>
      <c r="K284" s="102"/>
      <c r="L284" s="54"/>
      <c r="M284" s="54"/>
      <c r="N284" s="54"/>
      <c r="O284" s="54"/>
      <c r="P284" s="86"/>
      <c r="Q284" s="54"/>
      <c r="R284" s="54"/>
    </row>
    <row r="285">
      <c r="A285" s="54"/>
      <c r="B285" s="99"/>
      <c r="C285" s="99"/>
      <c r="D285" s="99"/>
      <c r="E285" s="99"/>
      <c r="F285" s="99"/>
      <c r="G285" s="99"/>
      <c r="H285" s="102"/>
      <c r="I285" s="102"/>
      <c r="J285" s="102"/>
      <c r="K285" s="102"/>
      <c r="L285" s="54"/>
      <c r="M285" s="54"/>
      <c r="N285" s="54"/>
      <c r="O285" s="54"/>
      <c r="P285" s="86"/>
      <c r="Q285" s="54"/>
      <c r="R285" s="54"/>
    </row>
    <row r="286">
      <c r="A286" s="54"/>
      <c r="B286" s="99"/>
      <c r="C286" s="99"/>
      <c r="D286" s="99"/>
      <c r="E286" s="99"/>
      <c r="F286" s="99"/>
      <c r="G286" s="99"/>
      <c r="H286" s="102"/>
      <c r="I286" s="102"/>
      <c r="J286" s="102"/>
      <c r="K286" s="102"/>
      <c r="L286" s="54"/>
      <c r="M286" s="54"/>
      <c r="N286" s="54"/>
      <c r="O286" s="54"/>
      <c r="P286" s="86"/>
      <c r="Q286" s="54"/>
      <c r="R286" s="54"/>
    </row>
    <row r="287">
      <c r="A287" s="54"/>
      <c r="B287" s="99"/>
      <c r="C287" s="99"/>
      <c r="D287" s="99"/>
      <c r="E287" s="99"/>
      <c r="F287" s="99"/>
      <c r="G287" s="99"/>
      <c r="H287" s="102"/>
      <c r="I287" s="102"/>
      <c r="J287" s="102"/>
      <c r="K287" s="102"/>
      <c r="L287" s="54"/>
      <c r="M287" s="54"/>
      <c r="N287" s="54"/>
      <c r="O287" s="54"/>
      <c r="P287" s="86"/>
      <c r="Q287" s="54"/>
      <c r="R287" s="54"/>
    </row>
    <row r="288">
      <c r="A288" s="54"/>
      <c r="B288" s="99"/>
      <c r="C288" s="99"/>
      <c r="D288" s="99"/>
      <c r="E288" s="99"/>
      <c r="F288" s="99"/>
      <c r="G288" s="99"/>
      <c r="H288" s="102"/>
      <c r="I288" s="102"/>
      <c r="J288" s="102"/>
      <c r="K288" s="102"/>
      <c r="L288" s="54"/>
      <c r="M288" s="54"/>
      <c r="N288" s="54"/>
      <c r="O288" s="54"/>
      <c r="P288" s="86"/>
      <c r="Q288" s="54"/>
      <c r="R288" s="54"/>
    </row>
    <row r="289">
      <c r="A289" s="54"/>
      <c r="B289" s="99"/>
      <c r="C289" s="99"/>
      <c r="D289" s="99"/>
      <c r="E289" s="99"/>
      <c r="F289" s="99"/>
      <c r="G289" s="99"/>
      <c r="H289" s="102"/>
      <c r="I289" s="102"/>
      <c r="J289" s="102"/>
      <c r="K289" s="102"/>
      <c r="L289" s="54"/>
      <c r="M289" s="54"/>
      <c r="N289" s="54"/>
      <c r="O289" s="54"/>
      <c r="P289" s="86"/>
      <c r="Q289" s="54"/>
      <c r="R289" s="54"/>
    </row>
    <row r="290">
      <c r="A290" s="54"/>
      <c r="B290" s="99"/>
      <c r="C290" s="99"/>
      <c r="D290" s="99"/>
      <c r="E290" s="99"/>
      <c r="F290" s="99"/>
      <c r="G290" s="99"/>
      <c r="H290" s="102"/>
      <c r="I290" s="102"/>
      <c r="J290" s="102"/>
      <c r="K290" s="102"/>
      <c r="L290" s="54"/>
      <c r="M290" s="54"/>
      <c r="N290" s="54"/>
      <c r="O290" s="54"/>
      <c r="P290" s="86"/>
      <c r="Q290" s="54"/>
      <c r="R290" s="54"/>
    </row>
    <row r="291">
      <c r="A291" s="54"/>
      <c r="B291" s="99"/>
      <c r="C291" s="99"/>
      <c r="D291" s="99"/>
      <c r="E291" s="99"/>
      <c r="F291" s="99"/>
      <c r="G291" s="99"/>
      <c r="H291" s="102"/>
      <c r="I291" s="102"/>
      <c r="J291" s="102"/>
      <c r="K291" s="102"/>
      <c r="L291" s="54"/>
      <c r="M291" s="54"/>
      <c r="N291" s="54"/>
      <c r="O291" s="54"/>
      <c r="P291" s="86"/>
      <c r="Q291" s="54"/>
      <c r="R291" s="54"/>
    </row>
    <row r="292">
      <c r="A292" s="54"/>
      <c r="B292" s="99"/>
      <c r="C292" s="99"/>
      <c r="D292" s="99"/>
      <c r="E292" s="99"/>
      <c r="F292" s="99"/>
      <c r="G292" s="99"/>
      <c r="H292" s="102"/>
      <c r="I292" s="102"/>
      <c r="J292" s="102"/>
      <c r="K292" s="102"/>
      <c r="L292" s="54"/>
      <c r="M292" s="54"/>
      <c r="N292" s="54"/>
      <c r="O292" s="54"/>
      <c r="P292" s="86"/>
      <c r="Q292" s="54"/>
      <c r="R292" s="54"/>
    </row>
    <row r="293">
      <c r="A293" s="54"/>
      <c r="B293" s="99"/>
      <c r="C293" s="99"/>
      <c r="D293" s="99"/>
      <c r="E293" s="99"/>
      <c r="F293" s="99"/>
      <c r="G293" s="99"/>
      <c r="H293" s="102"/>
      <c r="I293" s="102"/>
      <c r="J293" s="102"/>
      <c r="K293" s="102"/>
      <c r="L293" s="54"/>
      <c r="M293" s="54"/>
      <c r="N293" s="54"/>
      <c r="O293" s="54"/>
      <c r="P293" s="86"/>
      <c r="Q293" s="54"/>
      <c r="R293" s="54"/>
    </row>
    <row r="294">
      <c r="A294" s="54"/>
      <c r="B294" s="99"/>
      <c r="C294" s="99"/>
      <c r="D294" s="99"/>
      <c r="E294" s="99"/>
      <c r="F294" s="99"/>
      <c r="G294" s="99"/>
      <c r="H294" s="102"/>
      <c r="I294" s="102"/>
      <c r="J294" s="102"/>
      <c r="K294" s="102"/>
      <c r="L294" s="54"/>
      <c r="M294" s="54"/>
      <c r="N294" s="54"/>
      <c r="O294" s="54"/>
      <c r="P294" s="86"/>
      <c r="Q294" s="54"/>
      <c r="R294" s="54"/>
    </row>
    <row r="295">
      <c r="A295" s="54"/>
      <c r="B295" s="99"/>
      <c r="C295" s="99"/>
      <c r="D295" s="99"/>
      <c r="E295" s="99"/>
      <c r="F295" s="99"/>
      <c r="G295" s="99"/>
      <c r="H295" s="102"/>
      <c r="I295" s="102"/>
      <c r="J295" s="102"/>
      <c r="K295" s="102"/>
      <c r="L295" s="54"/>
      <c r="M295" s="54"/>
      <c r="N295" s="54"/>
      <c r="O295" s="54"/>
      <c r="P295" s="86"/>
      <c r="Q295" s="54"/>
      <c r="R295" s="54"/>
    </row>
    <row r="296">
      <c r="A296" s="54"/>
      <c r="B296" s="99"/>
      <c r="C296" s="99"/>
      <c r="D296" s="99"/>
      <c r="E296" s="99"/>
      <c r="F296" s="99"/>
      <c r="G296" s="99"/>
      <c r="H296" s="102"/>
      <c r="I296" s="102"/>
      <c r="J296" s="102"/>
      <c r="K296" s="102"/>
      <c r="L296" s="54"/>
      <c r="M296" s="54"/>
      <c r="N296" s="54"/>
      <c r="O296" s="54"/>
      <c r="P296" s="86"/>
      <c r="Q296" s="54"/>
      <c r="R296" s="54"/>
    </row>
    <row r="297">
      <c r="A297" s="54"/>
      <c r="B297" s="99"/>
      <c r="C297" s="99"/>
      <c r="D297" s="99"/>
      <c r="E297" s="99"/>
      <c r="F297" s="99"/>
      <c r="G297" s="99"/>
      <c r="H297" s="102"/>
      <c r="I297" s="102"/>
      <c r="J297" s="102"/>
      <c r="K297" s="102"/>
      <c r="L297" s="54"/>
      <c r="M297" s="54"/>
      <c r="N297" s="54"/>
      <c r="O297" s="54"/>
      <c r="P297" s="86"/>
      <c r="Q297" s="54"/>
      <c r="R297" s="54"/>
    </row>
    <row r="298">
      <c r="A298" s="54"/>
      <c r="B298" s="99"/>
      <c r="C298" s="99"/>
      <c r="D298" s="99"/>
      <c r="E298" s="99"/>
      <c r="F298" s="99"/>
      <c r="G298" s="99"/>
      <c r="H298" s="102"/>
      <c r="I298" s="102"/>
      <c r="J298" s="102"/>
      <c r="K298" s="102"/>
      <c r="L298" s="54"/>
      <c r="M298" s="54"/>
      <c r="N298" s="54"/>
      <c r="O298" s="54"/>
      <c r="P298" s="86"/>
      <c r="Q298" s="54"/>
      <c r="R298" s="54"/>
    </row>
    <row r="299">
      <c r="A299" s="54"/>
      <c r="B299" s="99"/>
      <c r="C299" s="99"/>
      <c r="D299" s="99"/>
      <c r="E299" s="99"/>
      <c r="F299" s="99"/>
      <c r="G299" s="99"/>
      <c r="H299" s="102"/>
      <c r="I299" s="102"/>
      <c r="J299" s="102"/>
      <c r="K299" s="102"/>
      <c r="L299" s="54"/>
      <c r="M299" s="54"/>
      <c r="N299" s="54"/>
      <c r="O299" s="54"/>
      <c r="P299" s="86"/>
      <c r="Q299" s="54"/>
      <c r="R299" s="54"/>
    </row>
    <row r="300">
      <c r="A300" s="54"/>
      <c r="B300" s="99"/>
      <c r="C300" s="99"/>
      <c r="D300" s="99"/>
      <c r="E300" s="99"/>
      <c r="F300" s="99"/>
      <c r="G300" s="99"/>
      <c r="H300" s="102"/>
      <c r="I300" s="102"/>
      <c r="J300" s="102"/>
      <c r="K300" s="102"/>
      <c r="L300" s="54"/>
      <c r="M300" s="54"/>
      <c r="N300" s="54"/>
      <c r="O300" s="54"/>
      <c r="P300" s="86"/>
      <c r="Q300" s="54"/>
      <c r="R300" s="54"/>
    </row>
    <row r="301">
      <c r="A301" s="54"/>
      <c r="B301" s="99"/>
      <c r="C301" s="99"/>
      <c r="D301" s="99"/>
      <c r="E301" s="99"/>
      <c r="F301" s="99"/>
      <c r="G301" s="99"/>
      <c r="H301" s="102"/>
      <c r="I301" s="102"/>
      <c r="J301" s="102"/>
      <c r="K301" s="102"/>
      <c r="L301" s="54"/>
      <c r="M301" s="54"/>
      <c r="N301" s="54"/>
      <c r="O301" s="54"/>
      <c r="P301" s="86"/>
      <c r="Q301" s="54"/>
      <c r="R301" s="54"/>
    </row>
    <row r="302">
      <c r="A302" s="54"/>
      <c r="B302" s="99"/>
      <c r="C302" s="99"/>
      <c r="D302" s="99"/>
      <c r="E302" s="99"/>
      <c r="F302" s="99"/>
      <c r="G302" s="99"/>
      <c r="H302" s="102"/>
      <c r="I302" s="102"/>
      <c r="J302" s="102"/>
      <c r="K302" s="102"/>
      <c r="L302" s="54"/>
      <c r="M302" s="54"/>
      <c r="N302" s="54"/>
      <c r="O302" s="54"/>
      <c r="P302" s="86"/>
      <c r="Q302" s="54"/>
      <c r="R302" s="54"/>
    </row>
    <row r="303">
      <c r="A303" s="54"/>
      <c r="B303" s="114"/>
      <c r="C303" s="114"/>
      <c r="D303" s="114"/>
      <c r="E303" s="114"/>
      <c r="F303" s="114"/>
      <c r="G303" s="114"/>
      <c r="H303" s="54"/>
      <c r="I303" s="54"/>
      <c r="J303" s="54"/>
      <c r="K303" s="54"/>
      <c r="L303" s="54"/>
      <c r="M303" s="54"/>
      <c r="N303" s="54"/>
      <c r="O303" s="54"/>
      <c r="P303" s="86"/>
      <c r="Q303" s="54"/>
      <c r="R303" s="54"/>
    </row>
    <row r="304">
      <c r="A304" s="54"/>
      <c r="B304" s="114"/>
      <c r="C304" s="114"/>
      <c r="D304" s="114"/>
      <c r="E304" s="114"/>
      <c r="F304" s="114"/>
      <c r="G304" s="114"/>
      <c r="H304" s="54"/>
      <c r="I304" s="54"/>
      <c r="J304" s="54"/>
      <c r="K304" s="54"/>
      <c r="L304" s="54"/>
      <c r="M304" s="54"/>
      <c r="N304" s="54"/>
      <c r="O304" s="54"/>
      <c r="P304" s="86"/>
      <c r="Q304" s="54"/>
      <c r="R304" s="54"/>
    </row>
    <row r="305">
      <c r="A305" s="54"/>
      <c r="B305" s="114"/>
      <c r="C305" s="114"/>
      <c r="D305" s="114"/>
      <c r="E305" s="114"/>
      <c r="F305" s="114"/>
      <c r="G305" s="114"/>
      <c r="H305" s="54"/>
      <c r="I305" s="54"/>
      <c r="J305" s="54"/>
      <c r="K305" s="54"/>
      <c r="L305" s="54"/>
      <c r="M305" s="54"/>
      <c r="N305" s="54"/>
      <c r="O305" s="54"/>
      <c r="P305" s="86"/>
      <c r="Q305" s="54"/>
      <c r="R305" s="54"/>
    </row>
    <row r="306">
      <c r="A306" s="54"/>
      <c r="B306" s="114"/>
      <c r="C306" s="114"/>
      <c r="D306" s="114"/>
      <c r="E306" s="114"/>
      <c r="F306" s="114"/>
      <c r="G306" s="114"/>
      <c r="H306" s="54"/>
      <c r="I306" s="54"/>
      <c r="J306" s="54"/>
      <c r="K306" s="54"/>
      <c r="L306" s="54"/>
      <c r="M306" s="54"/>
      <c r="N306" s="54"/>
      <c r="O306" s="54"/>
      <c r="P306" s="86"/>
      <c r="Q306" s="54"/>
      <c r="R306" s="54"/>
    </row>
    <row r="307">
      <c r="A307" s="54"/>
      <c r="B307" s="114"/>
      <c r="C307" s="114"/>
      <c r="D307" s="114"/>
      <c r="E307" s="114"/>
      <c r="F307" s="114"/>
      <c r="G307" s="114"/>
      <c r="H307" s="54"/>
      <c r="I307" s="54"/>
      <c r="J307" s="54"/>
      <c r="K307" s="54"/>
      <c r="L307" s="54"/>
      <c r="M307" s="54"/>
      <c r="N307" s="54"/>
      <c r="O307" s="54"/>
      <c r="P307" s="86"/>
      <c r="Q307" s="54"/>
      <c r="R307" s="54"/>
    </row>
    <row r="308">
      <c r="A308" s="54"/>
      <c r="B308" s="114"/>
      <c r="C308" s="114"/>
      <c r="D308" s="114"/>
      <c r="E308" s="114"/>
      <c r="F308" s="114"/>
      <c r="G308" s="114"/>
      <c r="H308" s="54"/>
      <c r="I308" s="54"/>
      <c r="J308" s="54"/>
      <c r="K308" s="54"/>
      <c r="L308" s="54"/>
      <c r="M308" s="54"/>
      <c r="N308" s="54"/>
      <c r="O308" s="54"/>
      <c r="P308" s="86"/>
      <c r="Q308" s="54"/>
      <c r="R308" s="54"/>
    </row>
    <row r="309">
      <c r="A309" s="54"/>
      <c r="B309" s="114"/>
      <c r="C309" s="114"/>
      <c r="D309" s="114"/>
      <c r="E309" s="114"/>
      <c r="F309" s="114"/>
      <c r="G309" s="114"/>
      <c r="H309" s="54"/>
      <c r="I309" s="54"/>
      <c r="J309" s="54"/>
      <c r="K309" s="54"/>
      <c r="L309" s="54"/>
      <c r="M309" s="54"/>
      <c r="N309" s="54"/>
      <c r="O309" s="54"/>
      <c r="P309" s="86"/>
      <c r="Q309" s="54"/>
      <c r="R309" s="54"/>
    </row>
    <row r="310">
      <c r="A310" s="54"/>
      <c r="B310" s="114"/>
      <c r="C310" s="114"/>
      <c r="D310" s="114"/>
      <c r="E310" s="114"/>
      <c r="F310" s="114"/>
      <c r="G310" s="114"/>
      <c r="H310" s="54"/>
      <c r="I310" s="54"/>
      <c r="J310" s="54"/>
      <c r="K310" s="54"/>
      <c r="L310" s="54"/>
      <c r="M310" s="54"/>
      <c r="N310" s="54"/>
      <c r="O310" s="54"/>
      <c r="P310" s="86"/>
      <c r="Q310" s="54"/>
      <c r="R310" s="54"/>
    </row>
    <row r="311">
      <c r="A311" s="54"/>
      <c r="B311" s="114"/>
      <c r="C311" s="114"/>
      <c r="D311" s="114"/>
      <c r="E311" s="114"/>
      <c r="F311" s="114"/>
      <c r="G311" s="114"/>
      <c r="H311" s="54"/>
      <c r="I311" s="54"/>
      <c r="J311" s="54"/>
      <c r="K311" s="54"/>
      <c r="L311" s="54"/>
      <c r="M311" s="54"/>
      <c r="N311" s="54"/>
      <c r="O311" s="54"/>
      <c r="P311" s="86"/>
      <c r="Q311" s="54"/>
      <c r="R311" s="54"/>
    </row>
    <row r="312">
      <c r="A312" s="54"/>
      <c r="B312" s="114"/>
      <c r="C312" s="114"/>
      <c r="D312" s="114"/>
      <c r="E312" s="114"/>
      <c r="F312" s="114"/>
      <c r="G312" s="114"/>
      <c r="H312" s="54"/>
      <c r="I312" s="54"/>
      <c r="J312" s="54"/>
      <c r="K312" s="54"/>
      <c r="L312" s="54"/>
      <c r="M312" s="54"/>
      <c r="N312" s="54"/>
      <c r="O312" s="54"/>
      <c r="P312" s="86"/>
      <c r="Q312" s="54"/>
      <c r="R312" s="54"/>
    </row>
    <row r="313">
      <c r="A313" s="54"/>
      <c r="B313" s="114"/>
      <c r="C313" s="114"/>
      <c r="D313" s="114"/>
      <c r="E313" s="114"/>
      <c r="F313" s="114"/>
      <c r="G313" s="114"/>
      <c r="H313" s="54"/>
      <c r="I313" s="54"/>
      <c r="J313" s="54"/>
      <c r="K313" s="54"/>
      <c r="L313" s="54"/>
      <c r="M313" s="54"/>
      <c r="N313" s="54"/>
      <c r="O313" s="54"/>
      <c r="P313" s="86"/>
      <c r="Q313" s="54"/>
      <c r="R313" s="54"/>
    </row>
    <row r="314">
      <c r="A314" s="54"/>
      <c r="B314" s="114"/>
      <c r="C314" s="114"/>
      <c r="D314" s="114"/>
      <c r="E314" s="114"/>
      <c r="F314" s="114"/>
      <c r="G314" s="114"/>
      <c r="H314" s="54"/>
      <c r="I314" s="54"/>
      <c r="J314" s="54"/>
      <c r="K314" s="54"/>
      <c r="L314" s="54"/>
      <c r="M314" s="54"/>
      <c r="N314" s="54"/>
      <c r="O314" s="54"/>
      <c r="P314" s="86"/>
      <c r="Q314" s="54"/>
      <c r="R314" s="54"/>
    </row>
    <row r="315">
      <c r="A315" s="54"/>
      <c r="B315" s="114"/>
      <c r="C315" s="114"/>
      <c r="D315" s="114"/>
      <c r="E315" s="114"/>
      <c r="F315" s="114"/>
      <c r="G315" s="114"/>
      <c r="H315" s="54"/>
      <c r="I315" s="54"/>
      <c r="J315" s="54"/>
      <c r="K315" s="54"/>
      <c r="L315" s="54"/>
      <c r="M315" s="54"/>
      <c r="N315" s="54"/>
      <c r="O315" s="54"/>
      <c r="P315" s="86"/>
      <c r="Q315" s="54"/>
      <c r="R315" s="54"/>
    </row>
    <row r="316">
      <c r="A316" s="54"/>
      <c r="B316" s="114"/>
      <c r="C316" s="114"/>
      <c r="D316" s="114"/>
      <c r="E316" s="114"/>
      <c r="F316" s="114"/>
      <c r="G316" s="114"/>
      <c r="H316" s="54"/>
      <c r="I316" s="54"/>
      <c r="J316" s="54"/>
      <c r="K316" s="54"/>
      <c r="L316" s="54"/>
      <c r="M316" s="54"/>
      <c r="N316" s="54"/>
      <c r="O316" s="54"/>
      <c r="P316" s="86"/>
      <c r="Q316" s="54"/>
      <c r="R316" s="54"/>
    </row>
    <row r="317">
      <c r="A317" s="54"/>
      <c r="B317" s="114"/>
      <c r="C317" s="114"/>
      <c r="D317" s="114"/>
      <c r="E317" s="114"/>
      <c r="F317" s="114"/>
      <c r="G317" s="114"/>
      <c r="H317" s="54"/>
      <c r="I317" s="54"/>
      <c r="J317" s="54"/>
      <c r="K317" s="54"/>
      <c r="L317" s="54"/>
      <c r="M317" s="54"/>
      <c r="N317" s="54"/>
      <c r="O317" s="54"/>
      <c r="P317" s="86"/>
      <c r="Q317" s="54"/>
      <c r="R317" s="54"/>
    </row>
    <row r="318">
      <c r="A318" s="54"/>
      <c r="B318" s="114"/>
      <c r="C318" s="114"/>
      <c r="D318" s="114"/>
      <c r="E318" s="114"/>
      <c r="F318" s="114"/>
      <c r="G318" s="114"/>
      <c r="H318" s="54"/>
      <c r="I318" s="54"/>
      <c r="J318" s="54"/>
      <c r="K318" s="54"/>
      <c r="L318" s="54"/>
      <c r="M318" s="54"/>
      <c r="N318" s="54"/>
      <c r="O318" s="54"/>
      <c r="P318" s="86"/>
      <c r="Q318" s="54"/>
      <c r="R318" s="54"/>
    </row>
    <row r="319">
      <c r="A319" s="54"/>
      <c r="B319" s="114"/>
      <c r="C319" s="114"/>
      <c r="D319" s="114"/>
      <c r="E319" s="114"/>
      <c r="F319" s="114"/>
      <c r="G319" s="114"/>
      <c r="H319" s="54"/>
      <c r="I319" s="54"/>
      <c r="J319" s="54"/>
      <c r="K319" s="54"/>
      <c r="L319" s="54"/>
      <c r="M319" s="54"/>
      <c r="N319" s="54"/>
      <c r="O319" s="54"/>
      <c r="P319" s="86"/>
      <c r="Q319" s="54"/>
      <c r="R319" s="54"/>
    </row>
    <row r="320">
      <c r="A320" s="54"/>
      <c r="B320" s="114"/>
      <c r="C320" s="114"/>
      <c r="D320" s="114"/>
      <c r="E320" s="114"/>
      <c r="F320" s="114"/>
      <c r="G320" s="114"/>
      <c r="H320" s="54"/>
      <c r="I320" s="54"/>
      <c r="J320" s="54"/>
      <c r="K320" s="54"/>
      <c r="L320" s="54"/>
      <c r="M320" s="54"/>
      <c r="N320" s="54"/>
      <c r="O320" s="54"/>
      <c r="P320" s="86"/>
      <c r="Q320" s="54"/>
      <c r="R320" s="54"/>
    </row>
    <row r="321">
      <c r="A321" s="54"/>
      <c r="B321" s="114"/>
      <c r="C321" s="114"/>
      <c r="D321" s="114"/>
      <c r="E321" s="114"/>
      <c r="F321" s="114"/>
      <c r="G321" s="114"/>
      <c r="H321" s="54"/>
      <c r="I321" s="54"/>
      <c r="J321" s="54"/>
      <c r="K321" s="54"/>
      <c r="L321" s="54"/>
      <c r="M321" s="54"/>
      <c r="N321" s="54"/>
      <c r="O321" s="54"/>
      <c r="P321" s="86"/>
      <c r="Q321" s="54"/>
      <c r="R321" s="54"/>
    </row>
    <row r="322">
      <c r="A322" s="54"/>
      <c r="B322" s="114"/>
      <c r="C322" s="114"/>
      <c r="D322" s="114"/>
      <c r="E322" s="114"/>
      <c r="F322" s="114"/>
      <c r="G322" s="114"/>
      <c r="H322" s="54"/>
      <c r="I322" s="54"/>
      <c r="J322" s="54"/>
      <c r="K322" s="54"/>
      <c r="L322" s="54"/>
      <c r="M322" s="54"/>
      <c r="N322" s="54"/>
      <c r="O322" s="54"/>
      <c r="P322" s="86"/>
      <c r="Q322" s="54"/>
      <c r="R322" s="54"/>
    </row>
    <row r="323">
      <c r="A323" s="54"/>
      <c r="B323" s="114"/>
      <c r="C323" s="114"/>
      <c r="D323" s="114"/>
      <c r="E323" s="114"/>
      <c r="F323" s="114"/>
      <c r="G323" s="114"/>
      <c r="H323" s="54"/>
      <c r="I323" s="54"/>
      <c r="J323" s="54"/>
      <c r="K323" s="54"/>
      <c r="L323" s="54"/>
      <c r="M323" s="54"/>
      <c r="N323" s="54"/>
      <c r="O323" s="54"/>
      <c r="P323" s="86"/>
      <c r="Q323" s="54"/>
      <c r="R323" s="54"/>
    </row>
    <row r="324">
      <c r="A324" s="54"/>
      <c r="B324" s="114"/>
      <c r="C324" s="114"/>
      <c r="D324" s="114"/>
      <c r="E324" s="114"/>
      <c r="F324" s="114"/>
      <c r="G324" s="114"/>
      <c r="H324" s="54"/>
      <c r="I324" s="54"/>
      <c r="J324" s="54"/>
      <c r="K324" s="54"/>
      <c r="L324" s="54"/>
      <c r="M324" s="54"/>
      <c r="N324" s="54"/>
      <c r="O324" s="54"/>
      <c r="P324" s="86"/>
      <c r="Q324" s="54"/>
      <c r="R324" s="54"/>
    </row>
    <row r="325">
      <c r="A325" s="54"/>
      <c r="B325" s="114"/>
      <c r="C325" s="114"/>
      <c r="D325" s="114"/>
      <c r="E325" s="114"/>
      <c r="F325" s="114"/>
      <c r="G325" s="114"/>
      <c r="H325" s="54"/>
      <c r="I325" s="54"/>
      <c r="J325" s="54"/>
      <c r="K325" s="54"/>
      <c r="L325" s="54"/>
      <c r="M325" s="54"/>
      <c r="N325" s="54"/>
      <c r="O325" s="54"/>
      <c r="P325" s="86"/>
      <c r="Q325" s="54"/>
      <c r="R325" s="54"/>
    </row>
    <row r="326">
      <c r="A326" s="54"/>
      <c r="B326" s="114"/>
      <c r="C326" s="114"/>
      <c r="D326" s="114"/>
      <c r="E326" s="114"/>
      <c r="F326" s="114"/>
      <c r="G326" s="114"/>
      <c r="H326" s="54"/>
      <c r="I326" s="54"/>
      <c r="J326" s="54"/>
      <c r="K326" s="54"/>
      <c r="L326" s="54"/>
      <c r="M326" s="54"/>
      <c r="N326" s="54"/>
      <c r="O326" s="54"/>
      <c r="P326" s="86"/>
      <c r="Q326" s="54"/>
      <c r="R326" s="54"/>
    </row>
    <row r="327">
      <c r="A327" s="54"/>
      <c r="B327" s="114"/>
      <c r="C327" s="114"/>
      <c r="D327" s="114"/>
      <c r="E327" s="114"/>
      <c r="F327" s="114"/>
      <c r="G327" s="114"/>
      <c r="H327" s="54"/>
      <c r="I327" s="54"/>
      <c r="J327" s="54"/>
      <c r="K327" s="54"/>
      <c r="L327" s="54"/>
      <c r="M327" s="54"/>
      <c r="N327" s="54"/>
      <c r="O327" s="54"/>
      <c r="P327" s="86"/>
      <c r="Q327" s="54"/>
      <c r="R327" s="54"/>
    </row>
    <row r="328">
      <c r="A328" s="54"/>
      <c r="B328" s="114"/>
      <c r="C328" s="114"/>
      <c r="D328" s="114"/>
      <c r="E328" s="114"/>
      <c r="F328" s="114"/>
      <c r="G328" s="114"/>
      <c r="H328" s="54"/>
      <c r="I328" s="54"/>
      <c r="J328" s="54"/>
      <c r="K328" s="54"/>
      <c r="L328" s="54"/>
      <c r="M328" s="54"/>
      <c r="N328" s="54"/>
      <c r="O328" s="54"/>
      <c r="P328" s="86"/>
      <c r="Q328" s="54"/>
      <c r="R328" s="54"/>
    </row>
    <row r="329">
      <c r="A329" s="54"/>
      <c r="B329" s="114"/>
      <c r="C329" s="114"/>
      <c r="D329" s="114"/>
      <c r="E329" s="114"/>
      <c r="F329" s="114"/>
      <c r="G329" s="114"/>
      <c r="H329" s="54"/>
      <c r="I329" s="54"/>
      <c r="J329" s="54"/>
      <c r="K329" s="54"/>
      <c r="L329" s="54"/>
      <c r="M329" s="54"/>
      <c r="N329" s="54"/>
      <c r="O329" s="54"/>
      <c r="P329" s="86"/>
      <c r="Q329" s="54"/>
      <c r="R329" s="54"/>
    </row>
    <row r="330">
      <c r="A330" s="54"/>
      <c r="B330" s="114"/>
      <c r="C330" s="114"/>
      <c r="D330" s="114"/>
      <c r="E330" s="114"/>
      <c r="F330" s="114"/>
      <c r="G330" s="114"/>
      <c r="H330" s="54"/>
      <c r="I330" s="54"/>
      <c r="J330" s="54"/>
      <c r="K330" s="54"/>
      <c r="L330" s="54"/>
      <c r="M330" s="54"/>
      <c r="N330" s="54"/>
      <c r="O330" s="54"/>
      <c r="P330" s="86"/>
      <c r="Q330" s="54"/>
      <c r="R330" s="54"/>
    </row>
    <row r="331">
      <c r="A331" s="54"/>
      <c r="B331" s="114"/>
      <c r="C331" s="114"/>
      <c r="D331" s="114"/>
      <c r="E331" s="114"/>
      <c r="F331" s="114"/>
      <c r="G331" s="114"/>
      <c r="H331" s="54"/>
      <c r="I331" s="54"/>
      <c r="J331" s="54"/>
      <c r="K331" s="54"/>
      <c r="L331" s="54"/>
      <c r="M331" s="54"/>
      <c r="N331" s="54"/>
      <c r="O331" s="54"/>
      <c r="P331" s="86"/>
      <c r="Q331" s="54"/>
      <c r="R331" s="54"/>
    </row>
    <row r="332">
      <c r="A332" s="54"/>
      <c r="B332" s="114"/>
      <c r="C332" s="114"/>
      <c r="D332" s="114"/>
      <c r="E332" s="114"/>
      <c r="F332" s="114"/>
      <c r="G332" s="114"/>
      <c r="H332" s="54"/>
      <c r="I332" s="54"/>
      <c r="J332" s="54"/>
      <c r="K332" s="54"/>
      <c r="L332" s="54"/>
      <c r="M332" s="54"/>
      <c r="N332" s="54"/>
      <c r="O332" s="54"/>
      <c r="P332" s="86"/>
      <c r="Q332" s="54"/>
      <c r="R332" s="54"/>
    </row>
    <row r="333">
      <c r="A333" s="54"/>
      <c r="B333" s="114"/>
      <c r="C333" s="114"/>
      <c r="D333" s="114"/>
      <c r="E333" s="114"/>
      <c r="F333" s="114"/>
      <c r="G333" s="114"/>
      <c r="H333" s="54"/>
      <c r="I333" s="54"/>
      <c r="J333" s="54"/>
      <c r="K333" s="54"/>
      <c r="L333" s="54"/>
      <c r="M333" s="54"/>
      <c r="N333" s="54"/>
      <c r="O333" s="54"/>
      <c r="P333" s="86"/>
      <c r="Q333" s="54"/>
      <c r="R333" s="54"/>
    </row>
    <row r="334">
      <c r="A334" s="54"/>
      <c r="B334" s="114"/>
      <c r="C334" s="114"/>
      <c r="D334" s="114"/>
      <c r="E334" s="114"/>
      <c r="F334" s="114"/>
      <c r="G334" s="114"/>
      <c r="H334" s="54"/>
      <c r="I334" s="54"/>
      <c r="J334" s="54"/>
      <c r="K334" s="54"/>
      <c r="L334" s="54"/>
      <c r="M334" s="54"/>
      <c r="N334" s="54"/>
      <c r="O334" s="54"/>
      <c r="P334" s="86"/>
      <c r="Q334" s="54"/>
      <c r="R334" s="54"/>
    </row>
    <row r="335">
      <c r="A335" s="54"/>
      <c r="B335" s="114"/>
      <c r="C335" s="114"/>
      <c r="D335" s="114"/>
      <c r="E335" s="114"/>
      <c r="F335" s="114"/>
      <c r="G335" s="114"/>
      <c r="H335" s="54"/>
      <c r="I335" s="54"/>
      <c r="J335" s="54"/>
      <c r="K335" s="54"/>
      <c r="L335" s="54"/>
      <c r="M335" s="54"/>
      <c r="N335" s="54"/>
      <c r="O335" s="54"/>
      <c r="P335" s="86"/>
      <c r="Q335" s="54"/>
      <c r="R335" s="54"/>
    </row>
    <row r="336">
      <c r="A336" s="54"/>
      <c r="B336" s="114"/>
      <c r="C336" s="114"/>
      <c r="D336" s="114"/>
      <c r="E336" s="114"/>
      <c r="F336" s="114"/>
      <c r="G336" s="114"/>
      <c r="H336" s="54"/>
      <c r="I336" s="54"/>
      <c r="J336" s="54"/>
      <c r="K336" s="54"/>
      <c r="L336" s="54"/>
      <c r="M336" s="54"/>
      <c r="N336" s="54"/>
      <c r="O336" s="54"/>
      <c r="P336" s="86"/>
      <c r="Q336" s="54"/>
      <c r="R336" s="54"/>
    </row>
    <row r="337">
      <c r="A337" s="54"/>
      <c r="B337" s="114"/>
      <c r="C337" s="114"/>
      <c r="D337" s="114"/>
      <c r="E337" s="114"/>
      <c r="F337" s="114"/>
      <c r="G337" s="114"/>
      <c r="H337" s="54"/>
      <c r="I337" s="54"/>
      <c r="J337" s="54"/>
      <c r="K337" s="54"/>
      <c r="L337" s="54"/>
      <c r="M337" s="54"/>
      <c r="N337" s="54"/>
      <c r="O337" s="54"/>
      <c r="P337" s="86"/>
      <c r="Q337" s="54"/>
      <c r="R337" s="54"/>
    </row>
    <row r="338">
      <c r="A338" s="54"/>
      <c r="B338" s="114"/>
      <c r="C338" s="114"/>
      <c r="D338" s="114"/>
      <c r="E338" s="114"/>
      <c r="F338" s="114"/>
      <c r="G338" s="114"/>
      <c r="H338" s="54"/>
      <c r="I338" s="54"/>
      <c r="J338" s="54"/>
      <c r="K338" s="54"/>
      <c r="L338" s="54"/>
      <c r="M338" s="54"/>
      <c r="N338" s="54"/>
      <c r="O338" s="54"/>
      <c r="P338" s="86"/>
      <c r="Q338" s="54"/>
      <c r="R338" s="54"/>
    </row>
    <row r="339">
      <c r="A339" s="54"/>
      <c r="B339" s="114"/>
      <c r="C339" s="114"/>
      <c r="D339" s="114"/>
      <c r="E339" s="114"/>
      <c r="F339" s="114"/>
      <c r="G339" s="114"/>
      <c r="H339" s="54"/>
      <c r="I339" s="54"/>
      <c r="J339" s="54"/>
      <c r="K339" s="54"/>
      <c r="L339" s="54"/>
      <c r="M339" s="54"/>
      <c r="N339" s="54"/>
      <c r="O339" s="54"/>
      <c r="P339" s="86"/>
      <c r="Q339" s="54"/>
      <c r="R339" s="54"/>
    </row>
    <row r="340">
      <c r="A340" s="54"/>
      <c r="B340" s="114"/>
      <c r="C340" s="114"/>
      <c r="D340" s="114"/>
      <c r="E340" s="114"/>
      <c r="F340" s="114"/>
      <c r="G340" s="114"/>
      <c r="H340" s="54"/>
      <c r="I340" s="54"/>
      <c r="J340" s="54"/>
      <c r="K340" s="54"/>
      <c r="L340" s="54"/>
      <c r="M340" s="54"/>
      <c r="N340" s="54"/>
      <c r="O340" s="54"/>
      <c r="P340" s="86"/>
      <c r="Q340" s="54"/>
      <c r="R340" s="54"/>
    </row>
    <row r="341">
      <c r="A341" s="54"/>
      <c r="B341" s="114"/>
      <c r="C341" s="114"/>
      <c r="D341" s="114"/>
      <c r="E341" s="114"/>
      <c r="F341" s="114"/>
      <c r="G341" s="114"/>
      <c r="H341" s="54"/>
      <c r="I341" s="54"/>
      <c r="J341" s="54"/>
      <c r="K341" s="54"/>
      <c r="L341" s="54"/>
      <c r="M341" s="54"/>
      <c r="N341" s="54"/>
      <c r="O341" s="54"/>
      <c r="P341" s="86"/>
      <c r="Q341" s="54"/>
      <c r="R341" s="54"/>
    </row>
    <row r="342">
      <c r="A342" s="54"/>
      <c r="B342" s="114"/>
      <c r="C342" s="114"/>
      <c r="D342" s="114"/>
      <c r="E342" s="114"/>
      <c r="F342" s="114"/>
      <c r="G342" s="114"/>
      <c r="H342" s="54"/>
      <c r="I342" s="54"/>
      <c r="J342" s="54"/>
      <c r="K342" s="54"/>
      <c r="L342" s="54"/>
      <c r="M342" s="54"/>
      <c r="N342" s="54"/>
      <c r="O342" s="54"/>
      <c r="P342" s="86"/>
      <c r="Q342" s="54"/>
      <c r="R342" s="54"/>
    </row>
    <row r="343">
      <c r="A343" s="54"/>
      <c r="B343" s="114"/>
      <c r="C343" s="114"/>
      <c r="D343" s="114"/>
      <c r="E343" s="114"/>
      <c r="F343" s="114"/>
      <c r="G343" s="114"/>
      <c r="H343" s="54"/>
      <c r="I343" s="54"/>
      <c r="J343" s="54"/>
      <c r="K343" s="54"/>
      <c r="L343" s="54"/>
      <c r="M343" s="54"/>
      <c r="N343" s="54"/>
      <c r="O343" s="54"/>
      <c r="P343" s="86"/>
      <c r="Q343" s="54"/>
      <c r="R343" s="54"/>
    </row>
    <row r="344">
      <c r="A344" s="54"/>
      <c r="B344" s="114"/>
      <c r="C344" s="114"/>
      <c r="D344" s="114"/>
      <c r="E344" s="114"/>
      <c r="F344" s="114"/>
      <c r="G344" s="114"/>
      <c r="H344" s="54"/>
      <c r="I344" s="54"/>
      <c r="J344" s="54"/>
      <c r="K344" s="54"/>
      <c r="L344" s="54"/>
      <c r="M344" s="54"/>
      <c r="N344" s="54"/>
      <c r="O344" s="54"/>
      <c r="P344" s="86"/>
      <c r="Q344" s="54"/>
      <c r="R344" s="54"/>
    </row>
    <row r="345">
      <c r="A345" s="54"/>
      <c r="B345" s="114"/>
      <c r="C345" s="114"/>
      <c r="D345" s="114"/>
      <c r="E345" s="114"/>
      <c r="F345" s="114"/>
      <c r="G345" s="114"/>
      <c r="H345" s="54"/>
      <c r="I345" s="54"/>
      <c r="J345" s="54"/>
      <c r="K345" s="54"/>
      <c r="L345" s="54"/>
      <c r="M345" s="54"/>
      <c r="N345" s="54"/>
      <c r="O345" s="54"/>
      <c r="P345" s="86"/>
      <c r="Q345" s="54"/>
      <c r="R345" s="54"/>
    </row>
    <row r="346">
      <c r="A346" s="54"/>
      <c r="B346" s="114"/>
      <c r="C346" s="114"/>
      <c r="D346" s="114"/>
      <c r="E346" s="114"/>
      <c r="F346" s="114"/>
      <c r="G346" s="114"/>
      <c r="H346" s="54"/>
      <c r="I346" s="54"/>
      <c r="J346" s="54"/>
      <c r="K346" s="54"/>
      <c r="L346" s="54"/>
      <c r="M346" s="54"/>
      <c r="N346" s="54"/>
      <c r="O346" s="54"/>
      <c r="P346" s="86"/>
      <c r="Q346" s="54"/>
      <c r="R346" s="54"/>
    </row>
    <row r="347">
      <c r="A347" s="54"/>
      <c r="B347" s="114"/>
      <c r="C347" s="114"/>
      <c r="D347" s="114"/>
      <c r="E347" s="114"/>
      <c r="F347" s="114"/>
      <c r="G347" s="114"/>
      <c r="H347" s="54"/>
      <c r="I347" s="54"/>
      <c r="J347" s="54"/>
      <c r="K347" s="54"/>
      <c r="L347" s="54"/>
      <c r="M347" s="54"/>
      <c r="N347" s="54"/>
      <c r="O347" s="54"/>
      <c r="P347" s="86"/>
      <c r="Q347" s="54"/>
      <c r="R347" s="54"/>
    </row>
    <row r="348">
      <c r="A348" s="54"/>
      <c r="B348" s="114"/>
      <c r="C348" s="114"/>
      <c r="D348" s="114"/>
      <c r="E348" s="114"/>
      <c r="F348" s="114"/>
      <c r="G348" s="114"/>
      <c r="H348" s="54"/>
      <c r="I348" s="54"/>
      <c r="J348" s="54"/>
      <c r="K348" s="54"/>
      <c r="L348" s="54"/>
      <c r="M348" s="54"/>
      <c r="N348" s="54"/>
      <c r="O348" s="54"/>
      <c r="P348" s="86"/>
      <c r="Q348" s="54"/>
      <c r="R348" s="54"/>
    </row>
    <row r="349">
      <c r="A349" s="54"/>
      <c r="B349" s="114"/>
      <c r="C349" s="114"/>
      <c r="D349" s="114"/>
      <c r="E349" s="114"/>
      <c r="F349" s="114"/>
      <c r="G349" s="114"/>
      <c r="H349" s="54"/>
      <c r="I349" s="54"/>
      <c r="J349" s="54"/>
      <c r="K349" s="54"/>
      <c r="L349" s="54"/>
      <c r="M349" s="54"/>
      <c r="N349" s="54"/>
      <c r="O349" s="54"/>
      <c r="P349" s="86"/>
      <c r="Q349" s="54"/>
      <c r="R349" s="54"/>
    </row>
    <row r="350">
      <c r="A350" s="54"/>
      <c r="B350" s="114"/>
      <c r="C350" s="114"/>
      <c r="D350" s="114"/>
      <c r="E350" s="114"/>
      <c r="F350" s="114"/>
      <c r="G350" s="114"/>
      <c r="H350" s="54"/>
      <c r="I350" s="54"/>
      <c r="J350" s="54"/>
      <c r="K350" s="54"/>
      <c r="L350" s="54"/>
      <c r="M350" s="54"/>
      <c r="N350" s="54"/>
      <c r="O350" s="54"/>
      <c r="P350" s="86"/>
      <c r="Q350" s="54"/>
      <c r="R350" s="54"/>
    </row>
    <row r="351">
      <c r="A351" s="54"/>
      <c r="B351" s="114"/>
      <c r="C351" s="114"/>
      <c r="D351" s="114"/>
      <c r="E351" s="114"/>
      <c r="F351" s="114"/>
      <c r="G351" s="114"/>
      <c r="H351" s="54"/>
      <c r="I351" s="54"/>
      <c r="J351" s="54"/>
      <c r="K351" s="54"/>
      <c r="L351" s="54"/>
      <c r="M351" s="54"/>
      <c r="N351" s="54"/>
      <c r="O351" s="54"/>
      <c r="P351" s="86"/>
      <c r="Q351" s="54"/>
      <c r="R351" s="54"/>
    </row>
    <row r="352">
      <c r="A352" s="54"/>
      <c r="B352" s="114"/>
      <c r="C352" s="114"/>
      <c r="D352" s="114"/>
      <c r="E352" s="114"/>
      <c r="F352" s="114"/>
      <c r="G352" s="114"/>
      <c r="H352" s="54"/>
      <c r="I352" s="54"/>
      <c r="J352" s="54"/>
      <c r="K352" s="54"/>
      <c r="L352" s="54"/>
      <c r="M352" s="54"/>
      <c r="N352" s="54"/>
      <c r="O352" s="54"/>
      <c r="P352" s="86"/>
      <c r="Q352" s="54"/>
      <c r="R352" s="54"/>
    </row>
    <row r="353">
      <c r="A353" s="54"/>
      <c r="B353" s="114"/>
      <c r="C353" s="114"/>
      <c r="D353" s="114"/>
      <c r="E353" s="114"/>
      <c r="F353" s="114"/>
      <c r="G353" s="114"/>
      <c r="H353" s="54"/>
      <c r="I353" s="54"/>
      <c r="J353" s="54"/>
      <c r="K353" s="54"/>
      <c r="L353" s="54"/>
      <c r="M353" s="54"/>
      <c r="N353" s="54"/>
      <c r="O353" s="54"/>
      <c r="P353" s="86"/>
      <c r="Q353" s="54"/>
      <c r="R353" s="54"/>
    </row>
    <row r="354">
      <c r="A354" s="54"/>
      <c r="B354" s="114"/>
      <c r="C354" s="114"/>
      <c r="D354" s="114"/>
      <c r="E354" s="114"/>
      <c r="F354" s="114"/>
      <c r="G354" s="114"/>
      <c r="H354" s="54"/>
      <c r="I354" s="54"/>
      <c r="J354" s="54"/>
      <c r="K354" s="54"/>
      <c r="L354" s="54"/>
      <c r="M354" s="54"/>
      <c r="N354" s="54"/>
      <c r="O354" s="54"/>
      <c r="P354" s="86"/>
      <c r="Q354" s="54"/>
      <c r="R354" s="54"/>
    </row>
    <row r="355">
      <c r="A355" s="54"/>
      <c r="B355" s="114"/>
      <c r="C355" s="114"/>
      <c r="D355" s="114"/>
      <c r="E355" s="114"/>
      <c r="F355" s="114"/>
      <c r="G355" s="114"/>
      <c r="H355" s="54"/>
      <c r="I355" s="54"/>
      <c r="J355" s="54"/>
      <c r="K355" s="54"/>
      <c r="L355" s="54"/>
      <c r="M355" s="54"/>
      <c r="N355" s="54"/>
      <c r="O355" s="54"/>
      <c r="P355" s="86"/>
      <c r="Q355" s="54"/>
      <c r="R355" s="54"/>
    </row>
    <row r="356">
      <c r="A356" s="54"/>
      <c r="B356" s="114"/>
      <c r="C356" s="114"/>
      <c r="D356" s="114"/>
      <c r="E356" s="114"/>
      <c r="F356" s="114"/>
      <c r="G356" s="114"/>
      <c r="H356" s="54"/>
      <c r="I356" s="54"/>
      <c r="J356" s="54"/>
      <c r="K356" s="54"/>
      <c r="L356" s="54"/>
      <c r="M356" s="54"/>
      <c r="N356" s="54"/>
      <c r="O356" s="54"/>
      <c r="P356" s="86"/>
      <c r="Q356" s="54"/>
      <c r="R356" s="54"/>
    </row>
    <row r="357">
      <c r="A357" s="54"/>
      <c r="B357" s="114"/>
      <c r="C357" s="114"/>
      <c r="D357" s="114"/>
      <c r="E357" s="114"/>
      <c r="F357" s="114"/>
      <c r="G357" s="114"/>
      <c r="H357" s="54"/>
      <c r="I357" s="54"/>
      <c r="J357" s="54"/>
      <c r="K357" s="54"/>
      <c r="L357" s="54"/>
      <c r="M357" s="54"/>
      <c r="N357" s="54"/>
      <c r="O357" s="54"/>
      <c r="P357" s="86"/>
      <c r="Q357" s="54"/>
      <c r="R357" s="54"/>
    </row>
    <row r="358">
      <c r="A358" s="54"/>
      <c r="B358" s="114"/>
      <c r="C358" s="114"/>
      <c r="D358" s="114"/>
      <c r="E358" s="114"/>
      <c r="F358" s="114"/>
      <c r="G358" s="114"/>
      <c r="H358" s="54"/>
      <c r="I358" s="54"/>
      <c r="J358" s="54"/>
      <c r="K358" s="54"/>
      <c r="L358" s="54"/>
      <c r="M358" s="54"/>
      <c r="N358" s="54"/>
      <c r="O358" s="54"/>
      <c r="P358" s="86"/>
      <c r="Q358" s="54"/>
      <c r="R358" s="54"/>
    </row>
    <row r="359">
      <c r="A359" s="54"/>
      <c r="B359" s="114"/>
      <c r="C359" s="114"/>
      <c r="D359" s="114"/>
      <c r="E359" s="114"/>
      <c r="F359" s="114"/>
      <c r="G359" s="114"/>
      <c r="H359" s="54"/>
      <c r="I359" s="54"/>
      <c r="J359" s="54"/>
      <c r="K359" s="54"/>
      <c r="L359" s="54"/>
      <c r="M359" s="54"/>
      <c r="N359" s="54"/>
      <c r="O359" s="54"/>
      <c r="P359" s="86"/>
      <c r="Q359" s="54"/>
      <c r="R359" s="54"/>
    </row>
    <row r="360">
      <c r="A360" s="54"/>
      <c r="B360" s="114"/>
      <c r="C360" s="114"/>
      <c r="D360" s="114"/>
      <c r="E360" s="114"/>
      <c r="F360" s="114"/>
      <c r="G360" s="114"/>
      <c r="H360" s="54"/>
      <c r="I360" s="54"/>
      <c r="J360" s="54"/>
      <c r="K360" s="54"/>
      <c r="L360" s="54"/>
      <c r="M360" s="54"/>
      <c r="N360" s="54"/>
      <c r="O360" s="54"/>
      <c r="P360" s="86"/>
      <c r="Q360" s="54"/>
      <c r="R360" s="54"/>
    </row>
    <row r="361">
      <c r="A361" s="54"/>
      <c r="B361" s="114"/>
      <c r="C361" s="114"/>
      <c r="D361" s="114"/>
      <c r="E361" s="114"/>
      <c r="F361" s="114"/>
      <c r="G361" s="114"/>
      <c r="H361" s="54"/>
      <c r="I361" s="54"/>
      <c r="J361" s="54"/>
      <c r="K361" s="54"/>
      <c r="L361" s="54"/>
      <c r="M361" s="54"/>
      <c r="N361" s="54"/>
      <c r="O361" s="54"/>
      <c r="P361" s="86"/>
      <c r="Q361" s="54"/>
      <c r="R361" s="54"/>
    </row>
    <row r="362">
      <c r="A362" s="54"/>
      <c r="B362" s="114"/>
      <c r="C362" s="114"/>
      <c r="D362" s="114"/>
      <c r="E362" s="114"/>
      <c r="F362" s="114"/>
      <c r="G362" s="114"/>
      <c r="H362" s="54"/>
      <c r="I362" s="54"/>
      <c r="J362" s="54"/>
      <c r="K362" s="54"/>
      <c r="L362" s="54"/>
      <c r="M362" s="54"/>
      <c r="N362" s="54"/>
      <c r="O362" s="54"/>
      <c r="P362" s="86"/>
      <c r="Q362" s="54"/>
      <c r="R362" s="54"/>
    </row>
    <row r="363">
      <c r="A363" s="54"/>
      <c r="B363" s="114"/>
      <c r="C363" s="114"/>
      <c r="D363" s="114"/>
      <c r="E363" s="114"/>
      <c r="F363" s="114"/>
      <c r="G363" s="114"/>
      <c r="H363" s="54"/>
      <c r="I363" s="54"/>
      <c r="J363" s="54"/>
      <c r="K363" s="54"/>
      <c r="L363" s="54"/>
      <c r="M363" s="54"/>
      <c r="N363" s="54"/>
      <c r="O363" s="54"/>
      <c r="P363" s="86"/>
      <c r="Q363" s="54"/>
      <c r="R363" s="54"/>
    </row>
    <row r="364">
      <c r="A364" s="54"/>
      <c r="B364" s="114"/>
      <c r="C364" s="114"/>
      <c r="D364" s="114"/>
      <c r="E364" s="114"/>
      <c r="F364" s="114"/>
      <c r="G364" s="114"/>
      <c r="H364" s="54"/>
      <c r="I364" s="54"/>
      <c r="J364" s="54"/>
      <c r="K364" s="54"/>
      <c r="L364" s="54"/>
      <c r="M364" s="54"/>
      <c r="N364" s="54"/>
      <c r="O364" s="54"/>
      <c r="P364" s="86"/>
      <c r="Q364" s="54"/>
      <c r="R364" s="54"/>
    </row>
    <row r="365">
      <c r="A365" s="54"/>
      <c r="B365" s="114"/>
      <c r="C365" s="114"/>
      <c r="D365" s="114"/>
      <c r="E365" s="114"/>
      <c r="F365" s="114"/>
      <c r="G365" s="114"/>
      <c r="H365" s="54"/>
      <c r="I365" s="54"/>
      <c r="J365" s="54"/>
      <c r="K365" s="54"/>
      <c r="L365" s="54"/>
      <c r="M365" s="54"/>
      <c r="N365" s="54"/>
      <c r="O365" s="54"/>
      <c r="P365" s="86"/>
      <c r="Q365" s="54"/>
      <c r="R365" s="54"/>
    </row>
    <row r="366">
      <c r="A366" s="54"/>
      <c r="B366" s="114"/>
      <c r="C366" s="114"/>
      <c r="D366" s="114"/>
      <c r="E366" s="114"/>
      <c r="F366" s="114"/>
      <c r="G366" s="114"/>
      <c r="H366" s="54"/>
      <c r="I366" s="54"/>
      <c r="J366" s="54"/>
      <c r="K366" s="54"/>
      <c r="L366" s="54"/>
      <c r="M366" s="54"/>
      <c r="N366" s="54"/>
      <c r="O366" s="54"/>
      <c r="P366" s="86"/>
      <c r="Q366" s="54"/>
      <c r="R366" s="54"/>
    </row>
    <row r="367">
      <c r="A367" s="54"/>
      <c r="B367" s="114"/>
      <c r="C367" s="114"/>
      <c r="D367" s="114"/>
      <c r="E367" s="114"/>
      <c r="F367" s="114"/>
      <c r="G367" s="114"/>
      <c r="H367" s="54"/>
      <c r="I367" s="54"/>
      <c r="J367" s="54"/>
      <c r="K367" s="54"/>
      <c r="L367" s="54"/>
      <c r="M367" s="54"/>
      <c r="N367" s="54"/>
      <c r="O367" s="54"/>
      <c r="P367" s="86"/>
      <c r="Q367" s="54"/>
      <c r="R367" s="54"/>
    </row>
    <row r="368">
      <c r="A368" s="54"/>
      <c r="B368" s="114"/>
      <c r="C368" s="114"/>
      <c r="D368" s="114"/>
      <c r="E368" s="114"/>
      <c r="F368" s="114"/>
      <c r="G368" s="114"/>
      <c r="H368" s="54"/>
      <c r="I368" s="54"/>
      <c r="J368" s="54"/>
      <c r="K368" s="54"/>
      <c r="L368" s="54"/>
      <c r="M368" s="54"/>
      <c r="N368" s="54"/>
      <c r="O368" s="54"/>
      <c r="P368" s="86"/>
      <c r="Q368" s="54"/>
      <c r="R368" s="54"/>
    </row>
    <row r="369">
      <c r="A369" s="54"/>
      <c r="B369" s="114"/>
      <c r="C369" s="114"/>
      <c r="D369" s="114"/>
      <c r="E369" s="114"/>
      <c r="F369" s="114"/>
      <c r="G369" s="114"/>
      <c r="H369" s="54"/>
      <c r="I369" s="54"/>
      <c r="J369" s="54"/>
      <c r="K369" s="54"/>
      <c r="L369" s="54"/>
      <c r="M369" s="54"/>
      <c r="N369" s="54"/>
      <c r="O369" s="54"/>
      <c r="P369" s="86"/>
      <c r="Q369" s="54"/>
      <c r="R369" s="54"/>
    </row>
    <row r="370">
      <c r="A370" s="54"/>
      <c r="B370" s="114"/>
      <c r="C370" s="114"/>
      <c r="D370" s="114"/>
      <c r="E370" s="114"/>
      <c r="F370" s="114"/>
      <c r="G370" s="114"/>
      <c r="H370" s="54"/>
      <c r="I370" s="54"/>
      <c r="J370" s="54"/>
      <c r="K370" s="54"/>
      <c r="L370" s="54"/>
      <c r="M370" s="54"/>
      <c r="N370" s="54"/>
      <c r="O370" s="54"/>
      <c r="P370" s="86"/>
      <c r="Q370" s="54"/>
      <c r="R370" s="54"/>
    </row>
    <row r="371">
      <c r="A371" s="54"/>
      <c r="B371" s="114"/>
      <c r="C371" s="114"/>
      <c r="D371" s="114"/>
      <c r="E371" s="114"/>
      <c r="F371" s="114"/>
      <c r="G371" s="114"/>
      <c r="H371" s="54"/>
      <c r="I371" s="54"/>
      <c r="J371" s="54"/>
      <c r="K371" s="54"/>
      <c r="L371" s="54"/>
      <c r="M371" s="54"/>
      <c r="N371" s="54"/>
      <c r="O371" s="54"/>
      <c r="P371" s="86"/>
      <c r="Q371" s="54"/>
      <c r="R371" s="54"/>
    </row>
    <row r="372">
      <c r="A372" s="54"/>
      <c r="B372" s="114"/>
      <c r="C372" s="114"/>
      <c r="D372" s="114"/>
      <c r="E372" s="114"/>
      <c r="F372" s="114"/>
      <c r="G372" s="114"/>
      <c r="H372" s="54"/>
      <c r="I372" s="54"/>
      <c r="J372" s="54"/>
      <c r="K372" s="54"/>
      <c r="L372" s="54"/>
      <c r="M372" s="54"/>
      <c r="N372" s="54"/>
      <c r="O372" s="54"/>
      <c r="P372" s="86"/>
      <c r="Q372" s="54"/>
      <c r="R372" s="54"/>
    </row>
    <row r="373">
      <c r="A373" s="54"/>
      <c r="B373" s="114"/>
      <c r="C373" s="114"/>
      <c r="D373" s="114"/>
      <c r="E373" s="114"/>
      <c r="F373" s="114"/>
      <c r="G373" s="114"/>
      <c r="H373" s="54"/>
      <c r="I373" s="54"/>
      <c r="J373" s="54"/>
      <c r="K373" s="54"/>
      <c r="L373" s="54"/>
      <c r="M373" s="54"/>
      <c r="N373" s="54"/>
      <c r="O373" s="54"/>
      <c r="P373" s="86"/>
      <c r="Q373" s="54"/>
      <c r="R373" s="54"/>
    </row>
    <row r="374">
      <c r="A374" s="54"/>
      <c r="B374" s="114"/>
      <c r="C374" s="114"/>
      <c r="D374" s="114"/>
      <c r="E374" s="114"/>
      <c r="F374" s="114"/>
      <c r="G374" s="114"/>
      <c r="H374" s="54"/>
      <c r="I374" s="54"/>
      <c r="J374" s="54"/>
      <c r="K374" s="54"/>
      <c r="L374" s="54"/>
      <c r="M374" s="54"/>
      <c r="N374" s="54"/>
      <c r="O374" s="54"/>
      <c r="P374" s="86"/>
      <c r="Q374" s="54"/>
      <c r="R374" s="54"/>
    </row>
    <row r="375">
      <c r="A375" s="54"/>
      <c r="B375" s="114"/>
      <c r="C375" s="114"/>
      <c r="D375" s="114"/>
      <c r="E375" s="114"/>
      <c r="F375" s="114"/>
      <c r="G375" s="114"/>
      <c r="H375" s="54"/>
      <c r="I375" s="54"/>
      <c r="J375" s="54"/>
      <c r="K375" s="54"/>
      <c r="L375" s="54"/>
      <c r="M375" s="54"/>
      <c r="N375" s="54"/>
      <c r="O375" s="54"/>
      <c r="P375" s="86"/>
      <c r="Q375" s="54"/>
      <c r="R375" s="54"/>
    </row>
    <row r="376">
      <c r="A376" s="54"/>
      <c r="B376" s="114"/>
      <c r="C376" s="114"/>
      <c r="D376" s="114"/>
      <c r="E376" s="114"/>
      <c r="F376" s="114"/>
      <c r="G376" s="114"/>
      <c r="H376" s="54"/>
      <c r="I376" s="54"/>
      <c r="J376" s="54"/>
      <c r="K376" s="54"/>
      <c r="L376" s="54"/>
      <c r="M376" s="54"/>
      <c r="N376" s="54"/>
      <c r="O376" s="54"/>
      <c r="P376" s="86"/>
      <c r="Q376" s="54"/>
      <c r="R376" s="54"/>
    </row>
    <row r="377">
      <c r="A377" s="54"/>
      <c r="B377" s="114"/>
      <c r="C377" s="114"/>
      <c r="D377" s="114"/>
      <c r="E377" s="114"/>
      <c r="F377" s="114"/>
      <c r="G377" s="114"/>
      <c r="H377" s="54"/>
      <c r="I377" s="54"/>
      <c r="J377" s="54"/>
      <c r="K377" s="54"/>
      <c r="L377" s="54"/>
      <c r="M377" s="54"/>
      <c r="N377" s="54"/>
      <c r="O377" s="54"/>
      <c r="P377" s="86"/>
      <c r="Q377" s="54"/>
      <c r="R377" s="54"/>
    </row>
    <row r="378">
      <c r="A378" s="54"/>
      <c r="B378" s="114"/>
      <c r="C378" s="114"/>
      <c r="D378" s="114"/>
      <c r="E378" s="114"/>
      <c r="F378" s="114"/>
      <c r="G378" s="114"/>
      <c r="H378" s="54"/>
      <c r="I378" s="54"/>
      <c r="J378" s="54"/>
      <c r="K378" s="54"/>
      <c r="L378" s="54"/>
      <c r="M378" s="54"/>
      <c r="N378" s="54"/>
      <c r="O378" s="54"/>
      <c r="P378" s="86"/>
      <c r="Q378" s="54"/>
      <c r="R378" s="54"/>
    </row>
    <row r="379">
      <c r="A379" s="54"/>
      <c r="B379" s="114"/>
      <c r="C379" s="114"/>
      <c r="D379" s="114"/>
      <c r="E379" s="114"/>
      <c r="F379" s="114"/>
      <c r="G379" s="114"/>
      <c r="H379" s="54"/>
      <c r="I379" s="54"/>
      <c r="J379" s="54"/>
      <c r="K379" s="54"/>
      <c r="L379" s="54"/>
      <c r="M379" s="54"/>
      <c r="N379" s="54"/>
      <c r="O379" s="54"/>
      <c r="P379" s="86"/>
      <c r="Q379" s="54"/>
      <c r="R379" s="54"/>
    </row>
    <row r="380">
      <c r="A380" s="54"/>
      <c r="B380" s="114"/>
      <c r="C380" s="114"/>
      <c r="D380" s="114"/>
      <c r="E380" s="114"/>
      <c r="F380" s="114"/>
      <c r="G380" s="114"/>
      <c r="H380" s="54"/>
      <c r="I380" s="54"/>
      <c r="J380" s="54"/>
      <c r="K380" s="54"/>
      <c r="L380" s="54"/>
      <c r="M380" s="54"/>
      <c r="N380" s="54"/>
      <c r="O380" s="54"/>
      <c r="P380" s="86"/>
      <c r="Q380" s="54"/>
      <c r="R380" s="54"/>
    </row>
    <row r="381">
      <c r="A381" s="54"/>
      <c r="B381" s="114"/>
      <c r="C381" s="114"/>
      <c r="D381" s="114"/>
      <c r="E381" s="114"/>
      <c r="F381" s="114"/>
      <c r="G381" s="114"/>
      <c r="H381" s="54"/>
      <c r="I381" s="54"/>
      <c r="J381" s="54"/>
      <c r="K381" s="54"/>
      <c r="L381" s="54"/>
      <c r="M381" s="54"/>
      <c r="N381" s="54"/>
      <c r="O381" s="54"/>
      <c r="P381" s="86"/>
      <c r="Q381" s="54"/>
      <c r="R381" s="54"/>
    </row>
    <row r="382">
      <c r="A382" s="54"/>
      <c r="B382" s="114"/>
      <c r="C382" s="114"/>
      <c r="D382" s="114"/>
      <c r="E382" s="114"/>
      <c r="F382" s="114"/>
      <c r="G382" s="114"/>
      <c r="H382" s="54"/>
      <c r="I382" s="54"/>
      <c r="J382" s="54"/>
      <c r="K382" s="54"/>
      <c r="L382" s="54"/>
      <c r="M382" s="54"/>
      <c r="N382" s="54"/>
      <c r="O382" s="54"/>
      <c r="P382" s="86"/>
      <c r="Q382" s="54"/>
      <c r="R382" s="54"/>
    </row>
    <row r="383">
      <c r="A383" s="54"/>
      <c r="B383" s="114"/>
      <c r="C383" s="114"/>
      <c r="D383" s="114"/>
      <c r="E383" s="114"/>
      <c r="F383" s="114"/>
      <c r="G383" s="114"/>
      <c r="H383" s="54"/>
      <c r="I383" s="54"/>
      <c r="J383" s="54"/>
      <c r="K383" s="54"/>
      <c r="L383" s="54"/>
      <c r="M383" s="54"/>
      <c r="N383" s="54"/>
      <c r="O383" s="54"/>
      <c r="P383" s="86"/>
      <c r="Q383" s="54"/>
      <c r="R383" s="54"/>
    </row>
    <row r="384">
      <c r="A384" s="54"/>
      <c r="B384" s="114"/>
      <c r="C384" s="114"/>
      <c r="D384" s="114"/>
      <c r="E384" s="114"/>
      <c r="F384" s="114"/>
      <c r="G384" s="114"/>
      <c r="H384" s="54"/>
      <c r="I384" s="54"/>
      <c r="J384" s="54"/>
      <c r="K384" s="54"/>
      <c r="L384" s="54"/>
      <c r="M384" s="54"/>
      <c r="N384" s="54"/>
      <c r="O384" s="54"/>
      <c r="P384" s="86"/>
      <c r="Q384" s="54"/>
      <c r="R384" s="54"/>
    </row>
    <row r="385">
      <c r="A385" s="54"/>
      <c r="B385" s="114"/>
      <c r="C385" s="114"/>
      <c r="D385" s="114"/>
      <c r="E385" s="114"/>
      <c r="F385" s="114"/>
      <c r="G385" s="114"/>
      <c r="H385" s="54"/>
      <c r="I385" s="54"/>
      <c r="J385" s="54"/>
      <c r="K385" s="54"/>
      <c r="L385" s="54"/>
      <c r="M385" s="54"/>
      <c r="N385" s="54"/>
      <c r="O385" s="54"/>
      <c r="P385" s="86"/>
      <c r="Q385" s="54"/>
      <c r="R385" s="54"/>
    </row>
    <row r="386">
      <c r="A386" s="54"/>
      <c r="B386" s="114"/>
      <c r="C386" s="114"/>
      <c r="D386" s="114"/>
      <c r="E386" s="114"/>
      <c r="F386" s="114"/>
      <c r="G386" s="114"/>
      <c r="H386" s="54"/>
      <c r="I386" s="54"/>
      <c r="J386" s="54"/>
      <c r="K386" s="54"/>
      <c r="L386" s="54"/>
      <c r="M386" s="54"/>
      <c r="N386" s="54"/>
      <c r="O386" s="54"/>
      <c r="P386" s="86"/>
      <c r="Q386" s="54"/>
      <c r="R386" s="54"/>
    </row>
    <row r="387">
      <c r="A387" s="54"/>
      <c r="B387" s="114"/>
      <c r="C387" s="114"/>
      <c r="D387" s="114"/>
      <c r="E387" s="114"/>
      <c r="F387" s="114"/>
      <c r="G387" s="114"/>
      <c r="H387" s="54"/>
      <c r="I387" s="54"/>
      <c r="J387" s="54"/>
      <c r="K387" s="54"/>
      <c r="L387" s="54"/>
      <c r="M387" s="54"/>
      <c r="N387" s="54"/>
      <c r="O387" s="54"/>
      <c r="P387" s="86"/>
      <c r="Q387" s="54"/>
      <c r="R387" s="54"/>
    </row>
    <row r="388">
      <c r="A388" s="54"/>
      <c r="B388" s="114"/>
      <c r="C388" s="114"/>
      <c r="D388" s="114"/>
      <c r="E388" s="114"/>
      <c r="F388" s="114"/>
      <c r="G388" s="114"/>
      <c r="H388" s="54"/>
      <c r="I388" s="54"/>
      <c r="J388" s="54"/>
      <c r="K388" s="54"/>
      <c r="L388" s="54"/>
      <c r="M388" s="54"/>
      <c r="N388" s="54"/>
      <c r="O388" s="54"/>
      <c r="P388" s="86"/>
      <c r="Q388" s="54"/>
      <c r="R388" s="54"/>
    </row>
    <row r="389">
      <c r="A389" s="54"/>
      <c r="B389" s="114"/>
      <c r="C389" s="114"/>
      <c r="D389" s="114"/>
      <c r="E389" s="114"/>
      <c r="F389" s="114"/>
      <c r="G389" s="114"/>
      <c r="H389" s="54"/>
      <c r="I389" s="54"/>
      <c r="J389" s="54"/>
      <c r="K389" s="54"/>
      <c r="L389" s="54"/>
      <c r="M389" s="54"/>
      <c r="N389" s="54"/>
      <c r="O389" s="54"/>
      <c r="P389" s="86"/>
      <c r="Q389" s="54"/>
      <c r="R389" s="54"/>
    </row>
    <row r="390">
      <c r="A390" s="54"/>
      <c r="B390" s="114"/>
      <c r="C390" s="114"/>
      <c r="D390" s="114"/>
      <c r="E390" s="114"/>
      <c r="F390" s="114"/>
      <c r="G390" s="114"/>
      <c r="H390" s="54"/>
      <c r="I390" s="54"/>
      <c r="J390" s="54"/>
      <c r="K390" s="54"/>
      <c r="L390" s="54"/>
      <c r="M390" s="54"/>
      <c r="N390" s="54"/>
      <c r="O390" s="54"/>
      <c r="P390" s="86"/>
      <c r="Q390" s="54"/>
      <c r="R390" s="54"/>
    </row>
    <row r="391">
      <c r="A391" s="54"/>
      <c r="B391" s="114"/>
      <c r="C391" s="114"/>
      <c r="D391" s="114"/>
      <c r="E391" s="114"/>
      <c r="F391" s="114"/>
      <c r="G391" s="114"/>
      <c r="H391" s="54"/>
      <c r="I391" s="54"/>
      <c r="J391" s="54"/>
      <c r="K391" s="54"/>
      <c r="L391" s="54"/>
      <c r="M391" s="54"/>
      <c r="N391" s="54"/>
      <c r="O391" s="54"/>
      <c r="P391" s="86"/>
      <c r="Q391" s="54"/>
      <c r="R391" s="54"/>
    </row>
    <row r="392">
      <c r="A392" s="54"/>
      <c r="B392" s="114"/>
      <c r="C392" s="114"/>
      <c r="D392" s="114"/>
      <c r="E392" s="114"/>
      <c r="F392" s="114"/>
      <c r="G392" s="114"/>
      <c r="H392" s="54"/>
      <c r="I392" s="54"/>
      <c r="J392" s="54"/>
      <c r="K392" s="54"/>
      <c r="L392" s="54"/>
      <c r="M392" s="54"/>
      <c r="N392" s="54"/>
      <c r="O392" s="54"/>
      <c r="P392" s="86"/>
      <c r="Q392" s="54"/>
      <c r="R392" s="54"/>
    </row>
    <row r="393">
      <c r="A393" s="54"/>
      <c r="B393" s="114"/>
      <c r="C393" s="114"/>
      <c r="D393" s="114"/>
      <c r="E393" s="114"/>
      <c r="F393" s="114"/>
      <c r="G393" s="114"/>
      <c r="H393" s="54"/>
      <c r="I393" s="54"/>
      <c r="J393" s="54"/>
      <c r="K393" s="54"/>
      <c r="L393" s="54"/>
      <c r="M393" s="54"/>
      <c r="N393" s="54"/>
      <c r="O393" s="54"/>
      <c r="P393" s="86"/>
      <c r="Q393" s="54"/>
      <c r="R393" s="54"/>
    </row>
    <row r="394">
      <c r="A394" s="54"/>
      <c r="B394" s="114"/>
      <c r="C394" s="114"/>
      <c r="D394" s="114"/>
      <c r="E394" s="114"/>
      <c r="F394" s="114"/>
      <c r="G394" s="114"/>
      <c r="H394" s="54"/>
      <c r="I394" s="54"/>
      <c r="J394" s="54"/>
      <c r="K394" s="54"/>
      <c r="L394" s="54"/>
      <c r="M394" s="54"/>
      <c r="N394" s="54"/>
      <c r="O394" s="54"/>
      <c r="P394" s="86"/>
      <c r="Q394" s="54"/>
      <c r="R394" s="54"/>
    </row>
    <row r="395">
      <c r="A395" s="54"/>
      <c r="B395" s="114"/>
      <c r="C395" s="114"/>
      <c r="D395" s="114"/>
      <c r="E395" s="114"/>
      <c r="F395" s="114"/>
      <c r="G395" s="114"/>
      <c r="H395" s="54"/>
      <c r="I395" s="54"/>
      <c r="J395" s="54"/>
      <c r="K395" s="54"/>
      <c r="L395" s="54"/>
      <c r="M395" s="54"/>
      <c r="N395" s="54"/>
      <c r="O395" s="54"/>
      <c r="P395" s="86"/>
      <c r="Q395" s="54"/>
      <c r="R395" s="54"/>
    </row>
    <row r="396">
      <c r="A396" s="54"/>
      <c r="B396" s="114"/>
      <c r="C396" s="114"/>
      <c r="D396" s="114"/>
      <c r="E396" s="114"/>
      <c r="F396" s="114"/>
      <c r="G396" s="114"/>
      <c r="H396" s="54"/>
      <c r="I396" s="54"/>
      <c r="J396" s="54"/>
      <c r="K396" s="54"/>
      <c r="L396" s="54"/>
      <c r="M396" s="54"/>
      <c r="N396" s="54"/>
      <c r="O396" s="54"/>
      <c r="P396" s="86"/>
      <c r="Q396" s="54"/>
      <c r="R396" s="54"/>
    </row>
    <row r="397">
      <c r="A397" s="54"/>
      <c r="B397" s="114"/>
      <c r="C397" s="114"/>
      <c r="D397" s="114"/>
      <c r="E397" s="114"/>
      <c r="F397" s="114"/>
      <c r="G397" s="114"/>
      <c r="H397" s="54"/>
      <c r="I397" s="54"/>
      <c r="J397" s="54"/>
      <c r="K397" s="54"/>
      <c r="L397" s="54"/>
      <c r="M397" s="54"/>
      <c r="N397" s="54"/>
      <c r="O397" s="54"/>
      <c r="P397" s="86"/>
      <c r="Q397" s="54"/>
      <c r="R397" s="54"/>
    </row>
    <row r="398">
      <c r="A398" s="54"/>
      <c r="B398" s="114"/>
      <c r="C398" s="114"/>
      <c r="D398" s="114"/>
      <c r="E398" s="114"/>
      <c r="F398" s="114"/>
      <c r="G398" s="114"/>
      <c r="H398" s="54"/>
      <c r="I398" s="54"/>
      <c r="J398" s="54"/>
      <c r="K398" s="54"/>
      <c r="L398" s="54"/>
      <c r="M398" s="54"/>
      <c r="N398" s="54"/>
      <c r="O398" s="54"/>
      <c r="P398" s="86"/>
      <c r="Q398" s="54"/>
      <c r="R398" s="54"/>
    </row>
    <row r="399">
      <c r="A399" s="54"/>
      <c r="B399" s="114"/>
      <c r="C399" s="114"/>
      <c r="D399" s="114"/>
      <c r="E399" s="114"/>
      <c r="F399" s="114"/>
      <c r="G399" s="114"/>
      <c r="H399" s="54"/>
      <c r="I399" s="54"/>
      <c r="J399" s="54"/>
      <c r="K399" s="54"/>
      <c r="L399" s="54"/>
      <c r="M399" s="54"/>
      <c r="N399" s="54"/>
      <c r="O399" s="54"/>
      <c r="P399" s="86"/>
      <c r="Q399" s="54"/>
      <c r="R399" s="54"/>
    </row>
    <row r="400">
      <c r="A400" s="54"/>
      <c r="B400" s="114"/>
      <c r="C400" s="114"/>
      <c r="D400" s="114"/>
      <c r="E400" s="114"/>
      <c r="F400" s="114"/>
      <c r="G400" s="114"/>
      <c r="H400" s="54"/>
      <c r="I400" s="54"/>
      <c r="J400" s="54"/>
      <c r="K400" s="54"/>
      <c r="L400" s="54"/>
      <c r="M400" s="54"/>
      <c r="N400" s="54"/>
      <c r="O400" s="54"/>
      <c r="P400" s="86"/>
      <c r="Q400" s="54"/>
      <c r="R400" s="54"/>
    </row>
    <row r="401">
      <c r="A401" s="54"/>
      <c r="B401" s="114"/>
      <c r="C401" s="114"/>
      <c r="D401" s="114"/>
      <c r="E401" s="114"/>
      <c r="F401" s="114"/>
      <c r="G401" s="114"/>
      <c r="H401" s="54"/>
      <c r="I401" s="54"/>
      <c r="J401" s="54"/>
      <c r="K401" s="54"/>
      <c r="L401" s="54"/>
      <c r="M401" s="54"/>
      <c r="N401" s="54"/>
      <c r="O401" s="54"/>
      <c r="P401" s="86"/>
      <c r="Q401" s="54"/>
      <c r="R401" s="54"/>
    </row>
    <row r="402">
      <c r="A402" s="54"/>
      <c r="B402" s="114"/>
      <c r="C402" s="114"/>
      <c r="D402" s="114"/>
      <c r="E402" s="114"/>
      <c r="F402" s="114"/>
      <c r="G402" s="114"/>
      <c r="H402" s="54"/>
      <c r="I402" s="54"/>
      <c r="J402" s="54"/>
      <c r="K402" s="54"/>
      <c r="L402" s="54"/>
      <c r="M402" s="54"/>
      <c r="N402" s="54"/>
      <c r="O402" s="54"/>
      <c r="P402" s="86"/>
      <c r="Q402" s="54"/>
      <c r="R402" s="54"/>
    </row>
    <row r="403">
      <c r="A403" s="54"/>
      <c r="B403" s="114"/>
      <c r="C403" s="114"/>
      <c r="D403" s="114"/>
      <c r="E403" s="114"/>
      <c r="F403" s="114"/>
      <c r="G403" s="114"/>
      <c r="H403" s="54"/>
      <c r="I403" s="54"/>
      <c r="J403" s="54"/>
      <c r="K403" s="54"/>
      <c r="L403" s="54"/>
      <c r="M403" s="54"/>
      <c r="N403" s="54"/>
      <c r="O403" s="54"/>
      <c r="P403" s="86"/>
      <c r="Q403" s="54"/>
      <c r="R403" s="54"/>
    </row>
    <row r="404">
      <c r="A404" s="54"/>
      <c r="B404" s="114"/>
      <c r="C404" s="114"/>
      <c r="D404" s="114"/>
      <c r="E404" s="114"/>
      <c r="F404" s="114"/>
      <c r="G404" s="114"/>
      <c r="H404" s="54"/>
      <c r="I404" s="54"/>
      <c r="J404" s="54"/>
      <c r="K404" s="54"/>
      <c r="L404" s="54"/>
      <c r="M404" s="54"/>
      <c r="N404" s="54"/>
      <c r="O404" s="54"/>
      <c r="P404" s="86"/>
      <c r="Q404" s="54"/>
      <c r="R404" s="54"/>
    </row>
    <row r="405">
      <c r="A405" s="54"/>
      <c r="B405" s="114"/>
      <c r="C405" s="114"/>
      <c r="D405" s="114"/>
      <c r="E405" s="114"/>
      <c r="F405" s="114"/>
      <c r="G405" s="114"/>
      <c r="H405" s="54"/>
      <c r="I405" s="54"/>
      <c r="J405" s="54"/>
      <c r="K405" s="54"/>
      <c r="L405" s="54"/>
      <c r="M405" s="54"/>
      <c r="N405" s="54"/>
      <c r="O405" s="54"/>
      <c r="P405" s="86"/>
      <c r="Q405" s="54"/>
      <c r="R405" s="54"/>
    </row>
    <row r="406">
      <c r="A406" s="54"/>
      <c r="B406" s="114"/>
      <c r="C406" s="114"/>
      <c r="D406" s="114"/>
      <c r="E406" s="114"/>
      <c r="F406" s="114"/>
      <c r="G406" s="114"/>
      <c r="H406" s="54"/>
      <c r="I406" s="54"/>
      <c r="J406" s="54"/>
      <c r="K406" s="54"/>
      <c r="L406" s="54"/>
      <c r="M406" s="54"/>
      <c r="N406" s="54"/>
      <c r="O406" s="54"/>
      <c r="P406" s="86"/>
      <c r="Q406" s="54"/>
      <c r="R406" s="54"/>
    </row>
    <row r="407">
      <c r="A407" s="54"/>
      <c r="B407" s="114"/>
      <c r="C407" s="114"/>
      <c r="D407" s="114"/>
      <c r="E407" s="114"/>
      <c r="F407" s="114"/>
      <c r="G407" s="114"/>
      <c r="H407" s="54"/>
      <c r="I407" s="54"/>
      <c r="J407" s="54"/>
      <c r="K407" s="54"/>
      <c r="L407" s="54"/>
      <c r="M407" s="54"/>
      <c r="N407" s="54"/>
      <c r="O407" s="54"/>
      <c r="P407" s="86"/>
      <c r="Q407" s="54"/>
      <c r="R407" s="54"/>
    </row>
    <row r="408">
      <c r="A408" s="54"/>
      <c r="B408" s="114"/>
      <c r="C408" s="114"/>
      <c r="D408" s="114"/>
      <c r="E408" s="114"/>
      <c r="F408" s="114"/>
      <c r="G408" s="114"/>
      <c r="H408" s="54"/>
      <c r="I408" s="54"/>
      <c r="J408" s="54"/>
      <c r="K408" s="54"/>
      <c r="L408" s="54"/>
      <c r="M408" s="54"/>
      <c r="N408" s="54"/>
      <c r="O408" s="54"/>
      <c r="P408" s="86"/>
      <c r="Q408" s="54"/>
      <c r="R408" s="54"/>
    </row>
    <row r="409">
      <c r="A409" s="54"/>
      <c r="B409" s="114"/>
      <c r="C409" s="114"/>
      <c r="D409" s="114"/>
      <c r="E409" s="114"/>
      <c r="F409" s="114"/>
      <c r="G409" s="114"/>
      <c r="H409" s="54"/>
      <c r="I409" s="54"/>
      <c r="J409" s="54"/>
      <c r="K409" s="54"/>
      <c r="L409" s="54"/>
      <c r="M409" s="54"/>
      <c r="N409" s="54"/>
      <c r="O409" s="54"/>
      <c r="P409" s="86"/>
      <c r="Q409" s="54"/>
      <c r="R409" s="54"/>
    </row>
    <row r="410">
      <c r="A410" s="54"/>
      <c r="B410" s="114"/>
      <c r="C410" s="114"/>
      <c r="D410" s="114"/>
      <c r="E410" s="114"/>
      <c r="F410" s="114"/>
      <c r="G410" s="114"/>
      <c r="H410" s="54"/>
      <c r="I410" s="54"/>
      <c r="J410" s="54"/>
      <c r="K410" s="54"/>
      <c r="L410" s="54"/>
      <c r="M410" s="54"/>
      <c r="N410" s="54"/>
      <c r="O410" s="54"/>
      <c r="P410" s="86"/>
      <c r="Q410" s="54"/>
      <c r="R410" s="54"/>
    </row>
    <row r="411">
      <c r="A411" s="54"/>
      <c r="B411" s="114"/>
      <c r="C411" s="114"/>
      <c r="D411" s="114"/>
      <c r="E411" s="114"/>
      <c r="F411" s="114"/>
      <c r="G411" s="114"/>
      <c r="H411" s="54"/>
      <c r="I411" s="54"/>
      <c r="J411" s="54"/>
      <c r="K411" s="54"/>
      <c r="L411" s="54"/>
      <c r="M411" s="54"/>
      <c r="N411" s="54"/>
      <c r="O411" s="54"/>
      <c r="P411" s="86"/>
      <c r="Q411" s="54"/>
      <c r="R411" s="54"/>
    </row>
    <row r="412">
      <c r="A412" s="54"/>
      <c r="B412" s="114"/>
      <c r="C412" s="114"/>
      <c r="D412" s="114"/>
      <c r="E412" s="114"/>
      <c r="F412" s="114"/>
      <c r="G412" s="114"/>
      <c r="H412" s="54"/>
      <c r="I412" s="54"/>
      <c r="J412" s="54"/>
      <c r="K412" s="54"/>
      <c r="L412" s="54"/>
      <c r="M412" s="54"/>
      <c r="N412" s="54"/>
      <c r="O412" s="54"/>
      <c r="P412" s="86"/>
      <c r="Q412" s="54"/>
      <c r="R412" s="54"/>
    </row>
    <row r="413">
      <c r="A413" s="54"/>
      <c r="B413" s="114"/>
      <c r="C413" s="114"/>
      <c r="D413" s="114"/>
      <c r="E413" s="114"/>
      <c r="F413" s="114"/>
      <c r="G413" s="114"/>
      <c r="H413" s="54"/>
      <c r="I413" s="54"/>
      <c r="J413" s="54"/>
      <c r="K413" s="54"/>
      <c r="L413" s="54"/>
      <c r="M413" s="54"/>
      <c r="N413" s="54"/>
      <c r="O413" s="54"/>
      <c r="P413" s="86"/>
      <c r="Q413" s="54"/>
      <c r="R413" s="54"/>
    </row>
    <row r="414">
      <c r="A414" s="54"/>
      <c r="B414" s="114"/>
      <c r="C414" s="114"/>
      <c r="D414" s="114"/>
      <c r="E414" s="114"/>
      <c r="F414" s="114"/>
      <c r="G414" s="114"/>
      <c r="H414" s="54"/>
      <c r="I414" s="54"/>
      <c r="J414" s="54"/>
      <c r="K414" s="54"/>
      <c r="L414" s="54"/>
      <c r="M414" s="54"/>
      <c r="N414" s="54"/>
      <c r="O414" s="54"/>
      <c r="P414" s="86"/>
      <c r="Q414" s="54"/>
      <c r="R414" s="54"/>
    </row>
    <row r="415">
      <c r="A415" s="54"/>
      <c r="B415" s="114"/>
      <c r="C415" s="114"/>
      <c r="D415" s="114"/>
      <c r="E415" s="114"/>
      <c r="F415" s="114"/>
      <c r="G415" s="114"/>
      <c r="H415" s="54"/>
      <c r="I415" s="54"/>
      <c r="J415" s="54"/>
      <c r="K415" s="54"/>
      <c r="L415" s="54"/>
      <c r="M415" s="54"/>
      <c r="N415" s="54"/>
      <c r="O415" s="54"/>
      <c r="P415" s="86"/>
      <c r="Q415" s="54"/>
      <c r="R415" s="54"/>
    </row>
    <row r="416">
      <c r="A416" s="54"/>
      <c r="B416" s="114"/>
      <c r="C416" s="114"/>
      <c r="D416" s="114"/>
      <c r="E416" s="114"/>
      <c r="F416" s="114"/>
      <c r="G416" s="114"/>
      <c r="H416" s="54"/>
      <c r="I416" s="54"/>
      <c r="J416" s="54"/>
      <c r="K416" s="54"/>
      <c r="L416" s="54"/>
      <c r="M416" s="54"/>
      <c r="N416" s="54"/>
      <c r="O416" s="54"/>
      <c r="P416" s="86"/>
      <c r="Q416" s="54"/>
      <c r="R416" s="54"/>
    </row>
    <row r="417">
      <c r="A417" s="54"/>
      <c r="B417" s="114"/>
      <c r="C417" s="114"/>
      <c r="D417" s="114"/>
      <c r="E417" s="114"/>
      <c r="F417" s="114"/>
      <c r="G417" s="114"/>
      <c r="H417" s="54"/>
      <c r="I417" s="54"/>
      <c r="J417" s="54"/>
      <c r="K417" s="54"/>
      <c r="L417" s="54"/>
      <c r="M417" s="54"/>
      <c r="N417" s="54"/>
      <c r="O417" s="54"/>
      <c r="P417" s="86"/>
      <c r="Q417" s="54"/>
      <c r="R417" s="54"/>
    </row>
    <row r="418">
      <c r="A418" s="54"/>
      <c r="B418" s="114"/>
      <c r="C418" s="114"/>
      <c r="D418" s="114"/>
      <c r="E418" s="114"/>
      <c r="F418" s="114"/>
      <c r="G418" s="114"/>
      <c r="H418" s="54"/>
      <c r="I418" s="54"/>
      <c r="J418" s="54"/>
      <c r="K418" s="54"/>
      <c r="L418" s="54"/>
      <c r="M418" s="54"/>
      <c r="N418" s="54"/>
      <c r="O418" s="54"/>
      <c r="P418" s="86"/>
      <c r="Q418" s="54"/>
      <c r="R418" s="54"/>
    </row>
    <row r="419">
      <c r="A419" s="54"/>
      <c r="B419" s="114"/>
      <c r="C419" s="114"/>
      <c r="D419" s="114"/>
      <c r="E419" s="114"/>
      <c r="F419" s="114"/>
      <c r="G419" s="114"/>
      <c r="H419" s="54"/>
      <c r="I419" s="54"/>
      <c r="J419" s="54"/>
      <c r="K419" s="54"/>
      <c r="L419" s="54"/>
      <c r="M419" s="54"/>
      <c r="N419" s="54"/>
      <c r="O419" s="54"/>
      <c r="P419" s="86"/>
      <c r="Q419" s="54"/>
      <c r="R419" s="54"/>
    </row>
    <row r="420">
      <c r="A420" s="54"/>
      <c r="B420" s="114"/>
      <c r="C420" s="114"/>
      <c r="D420" s="114"/>
      <c r="E420" s="114"/>
      <c r="F420" s="114"/>
      <c r="G420" s="114"/>
      <c r="H420" s="54"/>
      <c r="I420" s="54"/>
      <c r="J420" s="54"/>
      <c r="K420" s="54"/>
      <c r="L420" s="54"/>
      <c r="M420" s="54"/>
      <c r="N420" s="54"/>
      <c r="O420" s="54"/>
      <c r="P420" s="86"/>
      <c r="Q420" s="54"/>
      <c r="R420" s="54"/>
    </row>
    <row r="421">
      <c r="A421" s="54"/>
      <c r="B421" s="114"/>
      <c r="C421" s="114"/>
      <c r="D421" s="114"/>
      <c r="E421" s="114"/>
      <c r="F421" s="114"/>
      <c r="G421" s="114"/>
      <c r="H421" s="54"/>
      <c r="I421" s="54"/>
      <c r="J421" s="54"/>
      <c r="K421" s="54"/>
      <c r="L421" s="54"/>
      <c r="M421" s="54"/>
      <c r="N421" s="54"/>
      <c r="O421" s="54"/>
      <c r="P421" s="86"/>
      <c r="Q421" s="54"/>
      <c r="R421" s="54"/>
    </row>
    <row r="422">
      <c r="A422" s="54"/>
      <c r="B422" s="114"/>
      <c r="C422" s="114"/>
      <c r="D422" s="114"/>
      <c r="E422" s="114"/>
      <c r="F422" s="114"/>
      <c r="G422" s="114"/>
      <c r="H422" s="54"/>
      <c r="I422" s="54"/>
      <c r="J422" s="54"/>
      <c r="K422" s="54"/>
      <c r="L422" s="54"/>
      <c r="M422" s="54"/>
      <c r="N422" s="54"/>
      <c r="O422" s="54"/>
      <c r="P422" s="86"/>
      <c r="Q422" s="54"/>
      <c r="R422" s="54"/>
    </row>
    <row r="423">
      <c r="A423" s="54"/>
      <c r="B423" s="114"/>
      <c r="C423" s="114"/>
      <c r="D423" s="114"/>
      <c r="E423" s="114"/>
      <c r="F423" s="114"/>
      <c r="G423" s="114"/>
      <c r="H423" s="54"/>
      <c r="I423" s="54"/>
      <c r="J423" s="54"/>
      <c r="K423" s="54"/>
      <c r="L423" s="54"/>
      <c r="M423" s="54"/>
      <c r="N423" s="54"/>
      <c r="O423" s="54"/>
      <c r="P423" s="86"/>
      <c r="Q423" s="54"/>
      <c r="R423" s="54"/>
    </row>
    <row r="424">
      <c r="A424" s="54"/>
      <c r="B424" s="114"/>
      <c r="C424" s="114"/>
      <c r="D424" s="114"/>
      <c r="E424" s="114"/>
      <c r="F424" s="114"/>
      <c r="G424" s="114"/>
      <c r="H424" s="54"/>
      <c r="I424" s="54"/>
      <c r="J424" s="54"/>
      <c r="K424" s="54"/>
      <c r="L424" s="54"/>
      <c r="M424" s="54"/>
      <c r="N424" s="54"/>
      <c r="O424" s="54"/>
      <c r="P424" s="86"/>
      <c r="Q424" s="54"/>
      <c r="R424" s="54"/>
    </row>
    <row r="425">
      <c r="A425" s="54"/>
      <c r="B425" s="114"/>
      <c r="C425" s="114"/>
      <c r="D425" s="114"/>
      <c r="E425" s="114"/>
      <c r="F425" s="114"/>
      <c r="G425" s="114"/>
      <c r="H425" s="54"/>
      <c r="I425" s="54"/>
      <c r="J425" s="54"/>
      <c r="K425" s="54"/>
      <c r="L425" s="54"/>
      <c r="M425" s="54"/>
      <c r="N425" s="54"/>
      <c r="O425" s="54"/>
      <c r="P425" s="86"/>
      <c r="Q425" s="54"/>
      <c r="R425" s="54"/>
    </row>
    <row r="426">
      <c r="A426" s="54"/>
      <c r="B426" s="114"/>
      <c r="C426" s="114"/>
      <c r="D426" s="114"/>
      <c r="E426" s="114"/>
      <c r="F426" s="114"/>
      <c r="G426" s="114"/>
      <c r="H426" s="54"/>
      <c r="I426" s="54"/>
      <c r="J426" s="54"/>
      <c r="K426" s="54"/>
      <c r="L426" s="54"/>
      <c r="M426" s="54"/>
      <c r="N426" s="54"/>
      <c r="O426" s="54"/>
      <c r="P426" s="86"/>
      <c r="Q426" s="54"/>
      <c r="R426" s="54"/>
    </row>
    <row r="427">
      <c r="A427" s="54"/>
      <c r="B427" s="114"/>
      <c r="C427" s="114"/>
      <c r="D427" s="114"/>
      <c r="E427" s="114"/>
      <c r="F427" s="114"/>
      <c r="G427" s="114"/>
      <c r="H427" s="54"/>
      <c r="I427" s="54"/>
      <c r="J427" s="54"/>
      <c r="K427" s="54"/>
      <c r="L427" s="54"/>
      <c r="M427" s="54"/>
      <c r="N427" s="54"/>
      <c r="O427" s="54"/>
      <c r="P427" s="86"/>
      <c r="Q427" s="54"/>
      <c r="R427" s="54"/>
    </row>
    <row r="428">
      <c r="A428" s="54"/>
      <c r="B428" s="114"/>
      <c r="C428" s="114"/>
      <c r="D428" s="114"/>
      <c r="E428" s="114"/>
      <c r="F428" s="114"/>
      <c r="G428" s="114"/>
      <c r="H428" s="54"/>
      <c r="I428" s="54"/>
      <c r="J428" s="54"/>
      <c r="K428" s="54"/>
      <c r="L428" s="54"/>
      <c r="M428" s="54"/>
      <c r="N428" s="54"/>
      <c r="O428" s="54"/>
      <c r="P428" s="86"/>
      <c r="Q428" s="54"/>
      <c r="R428" s="54"/>
    </row>
    <row r="429">
      <c r="A429" s="54"/>
      <c r="B429" s="114"/>
      <c r="C429" s="114"/>
      <c r="D429" s="114"/>
      <c r="E429" s="114"/>
      <c r="F429" s="114"/>
      <c r="G429" s="114"/>
      <c r="H429" s="54"/>
      <c r="I429" s="54"/>
      <c r="J429" s="54"/>
      <c r="K429" s="54"/>
      <c r="L429" s="54"/>
      <c r="M429" s="54"/>
      <c r="N429" s="54"/>
      <c r="O429" s="54"/>
      <c r="P429" s="86"/>
      <c r="Q429" s="54"/>
      <c r="R429" s="54"/>
    </row>
    <row r="430">
      <c r="A430" s="54"/>
      <c r="B430" s="114"/>
      <c r="C430" s="114"/>
      <c r="D430" s="114"/>
      <c r="E430" s="114"/>
      <c r="F430" s="114"/>
      <c r="G430" s="114"/>
      <c r="H430" s="54"/>
      <c r="I430" s="54"/>
      <c r="J430" s="54"/>
      <c r="K430" s="54"/>
      <c r="L430" s="54"/>
      <c r="M430" s="54"/>
      <c r="N430" s="54"/>
      <c r="O430" s="54"/>
      <c r="P430" s="86"/>
      <c r="Q430" s="54"/>
      <c r="R430" s="54"/>
    </row>
    <row r="431">
      <c r="A431" s="54"/>
      <c r="B431" s="114"/>
      <c r="C431" s="114"/>
      <c r="D431" s="114"/>
      <c r="E431" s="114"/>
      <c r="F431" s="114"/>
      <c r="G431" s="114"/>
      <c r="H431" s="54"/>
      <c r="I431" s="54"/>
      <c r="J431" s="54"/>
      <c r="K431" s="54"/>
      <c r="L431" s="54"/>
      <c r="M431" s="54"/>
      <c r="N431" s="54"/>
      <c r="O431" s="54"/>
      <c r="P431" s="86"/>
      <c r="Q431" s="54"/>
      <c r="R431" s="54"/>
    </row>
    <row r="432">
      <c r="A432" s="54"/>
      <c r="B432" s="114"/>
      <c r="C432" s="114"/>
      <c r="D432" s="114"/>
      <c r="E432" s="114"/>
      <c r="F432" s="114"/>
      <c r="G432" s="114"/>
      <c r="H432" s="54"/>
      <c r="I432" s="54"/>
      <c r="J432" s="54"/>
      <c r="K432" s="54"/>
      <c r="L432" s="54"/>
      <c r="M432" s="54"/>
      <c r="N432" s="54"/>
      <c r="O432" s="54"/>
      <c r="P432" s="86"/>
      <c r="Q432" s="54"/>
      <c r="R432" s="54"/>
    </row>
    <row r="433">
      <c r="A433" s="54"/>
      <c r="B433" s="114"/>
      <c r="C433" s="114"/>
      <c r="D433" s="114"/>
      <c r="E433" s="114"/>
      <c r="F433" s="114"/>
      <c r="G433" s="114"/>
      <c r="H433" s="54"/>
      <c r="I433" s="54"/>
      <c r="J433" s="54"/>
      <c r="K433" s="54"/>
      <c r="L433" s="54"/>
      <c r="M433" s="54"/>
      <c r="N433" s="54"/>
      <c r="O433" s="54"/>
      <c r="P433" s="86"/>
      <c r="Q433" s="54"/>
      <c r="R433" s="54"/>
    </row>
    <row r="434">
      <c r="A434" s="54"/>
      <c r="B434" s="114"/>
      <c r="C434" s="114"/>
      <c r="D434" s="114"/>
      <c r="E434" s="114"/>
      <c r="F434" s="114"/>
      <c r="G434" s="114"/>
      <c r="H434" s="54"/>
      <c r="I434" s="54"/>
      <c r="J434" s="54"/>
      <c r="K434" s="54"/>
      <c r="L434" s="54"/>
      <c r="M434" s="54"/>
      <c r="N434" s="54"/>
      <c r="O434" s="54"/>
      <c r="P434" s="86"/>
      <c r="Q434" s="54"/>
      <c r="R434" s="54"/>
    </row>
    <row r="435">
      <c r="A435" s="54"/>
      <c r="B435" s="114"/>
      <c r="C435" s="114"/>
      <c r="D435" s="114"/>
      <c r="E435" s="114"/>
      <c r="F435" s="114"/>
      <c r="G435" s="114"/>
      <c r="H435" s="54"/>
      <c r="I435" s="54"/>
      <c r="J435" s="54"/>
      <c r="K435" s="54"/>
      <c r="L435" s="54"/>
      <c r="M435" s="54"/>
      <c r="N435" s="54"/>
      <c r="O435" s="54"/>
      <c r="P435" s="86"/>
      <c r="Q435" s="54"/>
      <c r="R435" s="54"/>
    </row>
    <row r="436">
      <c r="A436" s="54"/>
      <c r="B436" s="114"/>
      <c r="C436" s="114"/>
      <c r="D436" s="114"/>
      <c r="E436" s="114"/>
      <c r="F436" s="114"/>
      <c r="G436" s="114"/>
      <c r="H436" s="54"/>
      <c r="I436" s="54"/>
      <c r="J436" s="54"/>
      <c r="K436" s="54"/>
      <c r="L436" s="54"/>
      <c r="M436" s="54"/>
      <c r="N436" s="54"/>
      <c r="O436" s="54"/>
      <c r="P436" s="86"/>
      <c r="Q436" s="54"/>
      <c r="R436" s="54"/>
    </row>
    <row r="437">
      <c r="A437" s="54"/>
      <c r="B437" s="114"/>
      <c r="C437" s="114"/>
      <c r="D437" s="114"/>
      <c r="E437" s="114"/>
      <c r="F437" s="114"/>
      <c r="G437" s="114"/>
      <c r="H437" s="54"/>
      <c r="I437" s="54"/>
      <c r="J437" s="54"/>
      <c r="K437" s="54"/>
      <c r="L437" s="54"/>
      <c r="M437" s="54"/>
      <c r="N437" s="54"/>
      <c r="O437" s="54"/>
      <c r="P437" s="86"/>
      <c r="Q437" s="54"/>
      <c r="R437" s="54"/>
    </row>
    <row r="438">
      <c r="A438" s="54"/>
      <c r="B438" s="114"/>
      <c r="C438" s="114"/>
      <c r="D438" s="114"/>
      <c r="E438" s="114"/>
      <c r="F438" s="114"/>
      <c r="G438" s="114"/>
      <c r="H438" s="54"/>
      <c r="I438" s="54"/>
      <c r="J438" s="54"/>
      <c r="K438" s="54"/>
      <c r="L438" s="54"/>
      <c r="M438" s="54"/>
      <c r="N438" s="54"/>
      <c r="O438" s="54"/>
      <c r="P438" s="86"/>
      <c r="Q438" s="54"/>
      <c r="R438" s="54"/>
    </row>
    <row r="439">
      <c r="A439" s="54"/>
      <c r="B439" s="114"/>
      <c r="C439" s="114"/>
      <c r="D439" s="114"/>
      <c r="E439" s="114"/>
      <c r="F439" s="114"/>
      <c r="G439" s="114"/>
      <c r="H439" s="54"/>
      <c r="I439" s="54"/>
      <c r="J439" s="54"/>
      <c r="K439" s="54"/>
      <c r="L439" s="54"/>
      <c r="M439" s="54"/>
      <c r="N439" s="54"/>
      <c r="O439" s="54"/>
      <c r="P439" s="86"/>
      <c r="Q439" s="54"/>
      <c r="R439" s="54"/>
    </row>
    <row r="440">
      <c r="A440" s="54"/>
      <c r="B440" s="114"/>
      <c r="C440" s="114"/>
      <c r="D440" s="114"/>
      <c r="E440" s="114"/>
      <c r="F440" s="114"/>
      <c r="G440" s="114"/>
      <c r="H440" s="54"/>
      <c r="I440" s="54"/>
      <c r="J440" s="54"/>
      <c r="K440" s="54"/>
      <c r="L440" s="54"/>
      <c r="M440" s="54"/>
      <c r="N440" s="54"/>
      <c r="O440" s="54"/>
      <c r="P440" s="86"/>
      <c r="Q440" s="54"/>
      <c r="R440" s="54"/>
    </row>
    <row r="441">
      <c r="A441" s="54"/>
      <c r="B441" s="114"/>
      <c r="C441" s="114"/>
      <c r="D441" s="114"/>
      <c r="E441" s="114"/>
      <c r="F441" s="114"/>
      <c r="G441" s="114"/>
      <c r="H441" s="54"/>
      <c r="I441" s="54"/>
      <c r="J441" s="54"/>
      <c r="K441" s="54"/>
      <c r="L441" s="54"/>
      <c r="M441" s="54"/>
      <c r="N441" s="54"/>
      <c r="O441" s="54"/>
      <c r="P441" s="86"/>
      <c r="Q441" s="54"/>
      <c r="R441" s="54"/>
    </row>
    <row r="442">
      <c r="A442" s="54"/>
      <c r="B442" s="114"/>
      <c r="C442" s="114"/>
      <c r="D442" s="114"/>
      <c r="E442" s="114"/>
      <c r="F442" s="114"/>
      <c r="G442" s="114"/>
      <c r="H442" s="54"/>
      <c r="I442" s="54"/>
      <c r="J442" s="54"/>
      <c r="K442" s="54"/>
      <c r="L442" s="54"/>
      <c r="M442" s="54"/>
      <c r="N442" s="54"/>
      <c r="O442" s="54"/>
      <c r="P442" s="86"/>
      <c r="Q442" s="54"/>
      <c r="R442" s="54"/>
    </row>
    <row r="443">
      <c r="A443" s="54"/>
      <c r="B443" s="114"/>
      <c r="C443" s="114"/>
      <c r="D443" s="114"/>
      <c r="E443" s="114"/>
      <c r="F443" s="114"/>
      <c r="G443" s="114"/>
      <c r="H443" s="54"/>
      <c r="I443" s="54"/>
      <c r="J443" s="54"/>
      <c r="K443" s="54"/>
      <c r="L443" s="54"/>
      <c r="M443" s="54"/>
      <c r="N443" s="54"/>
      <c r="O443" s="54"/>
      <c r="P443" s="86"/>
      <c r="Q443" s="54"/>
      <c r="R443" s="54"/>
    </row>
    <row r="444">
      <c r="A444" s="54"/>
      <c r="B444" s="114"/>
      <c r="C444" s="114"/>
      <c r="D444" s="114"/>
      <c r="E444" s="114"/>
      <c r="F444" s="114"/>
      <c r="G444" s="114"/>
      <c r="H444" s="54"/>
      <c r="I444" s="54"/>
      <c r="J444" s="54"/>
      <c r="K444" s="54"/>
      <c r="L444" s="54"/>
      <c r="M444" s="54"/>
      <c r="N444" s="54"/>
      <c r="O444" s="54"/>
      <c r="P444" s="86"/>
      <c r="Q444" s="54"/>
      <c r="R444" s="54"/>
    </row>
    <row r="445">
      <c r="A445" s="54"/>
      <c r="B445" s="114"/>
      <c r="C445" s="114"/>
      <c r="D445" s="114"/>
      <c r="E445" s="114"/>
      <c r="F445" s="114"/>
      <c r="G445" s="114"/>
      <c r="H445" s="54"/>
      <c r="I445" s="54"/>
      <c r="J445" s="54"/>
      <c r="K445" s="54"/>
      <c r="L445" s="54"/>
      <c r="M445" s="54"/>
      <c r="N445" s="54"/>
      <c r="O445" s="54"/>
      <c r="P445" s="86"/>
      <c r="Q445" s="54"/>
      <c r="R445" s="54"/>
    </row>
    <row r="446">
      <c r="A446" s="54"/>
      <c r="B446" s="114"/>
      <c r="C446" s="114"/>
      <c r="D446" s="114"/>
      <c r="E446" s="114"/>
      <c r="F446" s="114"/>
      <c r="G446" s="114"/>
      <c r="H446" s="54"/>
      <c r="I446" s="54"/>
      <c r="J446" s="54"/>
      <c r="K446" s="54"/>
      <c r="L446" s="54"/>
      <c r="M446" s="54"/>
      <c r="N446" s="54"/>
      <c r="O446" s="54"/>
      <c r="P446" s="86"/>
      <c r="Q446" s="54"/>
      <c r="R446" s="54"/>
    </row>
    <row r="447">
      <c r="A447" s="54"/>
      <c r="B447" s="114"/>
      <c r="C447" s="114"/>
      <c r="D447" s="114"/>
      <c r="E447" s="114"/>
      <c r="F447" s="114"/>
      <c r="G447" s="114"/>
      <c r="H447" s="54"/>
      <c r="I447" s="54"/>
      <c r="J447" s="54"/>
      <c r="K447" s="54"/>
      <c r="L447" s="54"/>
      <c r="M447" s="54"/>
      <c r="N447" s="54"/>
      <c r="O447" s="54"/>
      <c r="P447" s="86"/>
      <c r="Q447" s="54"/>
      <c r="R447" s="54"/>
    </row>
    <row r="448">
      <c r="A448" s="54"/>
      <c r="B448" s="114"/>
      <c r="C448" s="114"/>
      <c r="D448" s="114"/>
      <c r="E448" s="114"/>
      <c r="F448" s="114"/>
      <c r="G448" s="114"/>
      <c r="H448" s="54"/>
      <c r="I448" s="54"/>
      <c r="J448" s="54"/>
      <c r="K448" s="54"/>
      <c r="L448" s="54"/>
      <c r="M448" s="54"/>
      <c r="N448" s="54"/>
      <c r="O448" s="54"/>
      <c r="P448" s="86"/>
      <c r="Q448" s="54"/>
      <c r="R448" s="54"/>
    </row>
    <row r="449">
      <c r="A449" s="54"/>
      <c r="B449" s="114"/>
      <c r="C449" s="114"/>
      <c r="D449" s="114"/>
      <c r="E449" s="114"/>
      <c r="F449" s="114"/>
      <c r="G449" s="114"/>
      <c r="H449" s="54"/>
      <c r="I449" s="54"/>
      <c r="J449" s="54"/>
      <c r="K449" s="54"/>
      <c r="L449" s="54"/>
      <c r="M449" s="54"/>
      <c r="N449" s="54"/>
      <c r="O449" s="54"/>
      <c r="P449" s="86"/>
      <c r="Q449" s="54"/>
      <c r="R449" s="54"/>
    </row>
    <row r="450">
      <c r="A450" s="54"/>
      <c r="B450" s="114"/>
      <c r="C450" s="114"/>
      <c r="D450" s="114"/>
      <c r="E450" s="114"/>
      <c r="F450" s="114"/>
      <c r="G450" s="114"/>
      <c r="H450" s="54"/>
      <c r="I450" s="54"/>
      <c r="J450" s="54"/>
      <c r="K450" s="54"/>
      <c r="L450" s="54"/>
      <c r="M450" s="54"/>
      <c r="N450" s="54"/>
      <c r="O450" s="54"/>
      <c r="P450" s="86"/>
      <c r="Q450" s="54"/>
      <c r="R450" s="54"/>
    </row>
    <row r="451">
      <c r="A451" s="54"/>
      <c r="B451" s="114"/>
      <c r="C451" s="114"/>
      <c r="D451" s="114"/>
      <c r="E451" s="114"/>
      <c r="F451" s="114"/>
      <c r="G451" s="114"/>
      <c r="H451" s="54"/>
      <c r="I451" s="54"/>
      <c r="J451" s="54"/>
      <c r="K451" s="54"/>
      <c r="L451" s="54"/>
      <c r="M451" s="54"/>
      <c r="N451" s="54"/>
      <c r="O451" s="54"/>
      <c r="P451" s="86"/>
      <c r="Q451" s="54"/>
      <c r="R451" s="54"/>
    </row>
    <row r="452">
      <c r="A452" s="54"/>
      <c r="B452" s="114"/>
      <c r="C452" s="114"/>
      <c r="D452" s="114"/>
      <c r="E452" s="114"/>
      <c r="F452" s="114"/>
      <c r="G452" s="114"/>
      <c r="H452" s="54"/>
      <c r="I452" s="54"/>
      <c r="J452" s="54"/>
      <c r="K452" s="54"/>
      <c r="L452" s="54"/>
      <c r="M452" s="54"/>
      <c r="N452" s="54"/>
      <c r="O452" s="54"/>
      <c r="P452" s="86"/>
      <c r="Q452" s="54"/>
      <c r="R452" s="54"/>
    </row>
    <row r="453">
      <c r="A453" s="54"/>
      <c r="B453" s="114"/>
      <c r="C453" s="114"/>
      <c r="D453" s="114"/>
      <c r="E453" s="114"/>
      <c r="F453" s="114"/>
      <c r="G453" s="114"/>
      <c r="H453" s="54"/>
      <c r="I453" s="54"/>
      <c r="J453" s="54"/>
      <c r="K453" s="54"/>
      <c r="L453" s="54"/>
      <c r="M453" s="54"/>
      <c r="N453" s="54"/>
      <c r="O453" s="54"/>
      <c r="P453" s="86"/>
      <c r="Q453" s="54"/>
      <c r="R453" s="54"/>
    </row>
    <row r="454">
      <c r="A454" s="54"/>
      <c r="B454" s="114"/>
      <c r="C454" s="114"/>
      <c r="D454" s="114"/>
      <c r="E454" s="114"/>
      <c r="F454" s="114"/>
      <c r="G454" s="114"/>
      <c r="H454" s="54"/>
      <c r="I454" s="54"/>
      <c r="J454" s="54"/>
      <c r="K454" s="54"/>
      <c r="L454" s="54"/>
      <c r="M454" s="54"/>
      <c r="N454" s="54"/>
      <c r="O454" s="54"/>
      <c r="P454" s="86"/>
      <c r="Q454" s="54"/>
      <c r="R454" s="54"/>
    </row>
    <row r="455">
      <c r="A455" s="54"/>
      <c r="B455" s="114"/>
      <c r="C455" s="114"/>
      <c r="D455" s="114"/>
      <c r="E455" s="114"/>
      <c r="F455" s="114"/>
      <c r="G455" s="114"/>
      <c r="H455" s="54"/>
      <c r="I455" s="54"/>
      <c r="J455" s="54"/>
      <c r="K455" s="54"/>
      <c r="L455" s="54"/>
      <c r="M455" s="54"/>
      <c r="N455" s="54"/>
      <c r="O455" s="54"/>
      <c r="P455" s="86"/>
      <c r="Q455" s="54"/>
      <c r="R455" s="54"/>
    </row>
    <row r="456">
      <c r="A456" s="54"/>
      <c r="B456" s="114"/>
      <c r="C456" s="114"/>
      <c r="D456" s="114"/>
      <c r="E456" s="114"/>
      <c r="F456" s="114"/>
      <c r="G456" s="114"/>
      <c r="H456" s="54"/>
      <c r="I456" s="54"/>
      <c r="J456" s="54"/>
      <c r="K456" s="54"/>
      <c r="L456" s="54"/>
      <c r="M456" s="54"/>
      <c r="N456" s="54"/>
      <c r="O456" s="54"/>
      <c r="P456" s="86"/>
      <c r="Q456" s="54"/>
      <c r="R456" s="54"/>
    </row>
    <row r="457">
      <c r="A457" s="54"/>
      <c r="B457" s="114"/>
      <c r="C457" s="114"/>
      <c r="D457" s="114"/>
      <c r="E457" s="114"/>
      <c r="F457" s="114"/>
      <c r="G457" s="114"/>
      <c r="H457" s="54"/>
      <c r="I457" s="54"/>
      <c r="J457" s="54"/>
      <c r="K457" s="54"/>
      <c r="L457" s="54"/>
      <c r="M457" s="54"/>
      <c r="N457" s="54"/>
      <c r="O457" s="54"/>
      <c r="P457" s="86"/>
      <c r="Q457" s="54"/>
      <c r="R457" s="54"/>
    </row>
    <row r="458">
      <c r="A458" s="54"/>
      <c r="B458" s="114"/>
      <c r="C458" s="114"/>
      <c r="D458" s="114"/>
      <c r="E458" s="114"/>
      <c r="F458" s="114"/>
      <c r="G458" s="114"/>
      <c r="H458" s="54"/>
      <c r="I458" s="54"/>
      <c r="J458" s="54"/>
      <c r="K458" s="54"/>
      <c r="L458" s="54"/>
      <c r="M458" s="54"/>
      <c r="N458" s="54"/>
      <c r="O458" s="54"/>
      <c r="P458" s="86"/>
      <c r="Q458" s="54"/>
      <c r="R458" s="54"/>
    </row>
    <row r="459">
      <c r="A459" s="54"/>
      <c r="B459" s="114"/>
      <c r="C459" s="114"/>
      <c r="D459" s="114"/>
      <c r="E459" s="114"/>
      <c r="F459" s="114"/>
      <c r="G459" s="114"/>
      <c r="H459" s="54"/>
      <c r="I459" s="54"/>
      <c r="J459" s="54"/>
      <c r="K459" s="54"/>
      <c r="L459" s="54"/>
      <c r="M459" s="54"/>
      <c r="N459" s="54"/>
      <c r="O459" s="54"/>
      <c r="P459" s="86"/>
      <c r="Q459" s="54"/>
      <c r="R459" s="54"/>
    </row>
    <row r="460">
      <c r="A460" s="54"/>
      <c r="B460" s="114"/>
      <c r="C460" s="114"/>
      <c r="D460" s="114"/>
      <c r="E460" s="114"/>
      <c r="F460" s="114"/>
      <c r="G460" s="114"/>
      <c r="H460" s="54"/>
      <c r="I460" s="54"/>
      <c r="J460" s="54"/>
      <c r="K460" s="54"/>
      <c r="L460" s="54"/>
      <c r="M460" s="54"/>
      <c r="N460" s="54"/>
      <c r="O460" s="54"/>
      <c r="P460" s="86"/>
      <c r="Q460" s="54"/>
      <c r="R460" s="54"/>
    </row>
    <row r="461">
      <c r="A461" s="54"/>
      <c r="B461" s="114"/>
      <c r="C461" s="114"/>
      <c r="D461" s="114"/>
      <c r="E461" s="114"/>
      <c r="F461" s="114"/>
      <c r="G461" s="114"/>
      <c r="H461" s="54"/>
      <c r="I461" s="54"/>
      <c r="J461" s="54"/>
      <c r="K461" s="54"/>
      <c r="L461" s="54"/>
      <c r="M461" s="54"/>
      <c r="N461" s="54"/>
      <c r="O461" s="54"/>
      <c r="P461" s="86"/>
      <c r="Q461" s="54"/>
      <c r="R461" s="54"/>
    </row>
    <row r="462">
      <c r="A462" s="54"/>
      <c r="B462" s="114"/>
      <c r="C462" s="114"/>
      <c r="D462" s="114"/>
      <c r="E462" s="114"/>
      <c r="F462" s="114"/>
      <c r="G462" s="114"/>
      <c r="H462" s="54"/>
      <c r="I462" s="54"/>
      <c r="J462" s="54"/>
      <c r="K462" s="54"/>
      <c r="L462" s="54"/>
      <c r="M462" s="54"/>
      <c r="N462" s="54"/>
      <c r="O462" s="54"/>
      <c r="P462" s="86"/>
      <c r="Q462" s="54"/>
      <c r="R462" s="54"/>
    </row>
    <row r="463">
      <c r="A463" s="54"/>
      <c r="B463" s="114"/>
      <c r="C463" s="114"/>
      <c r="D463" s="114"/>
      <c r="E463" s="114"/>
      <c r="F463" s="114"/>
      <c r="G463" s="114"/>
      <c r="H463" s="54"/>
      <c r="I463" s="54"/>
      <c r="J463" s="54"/>
      <c r="K463" s="54"/>
      <c r="L463" s="54"/>
      <c r="M463" s="54"/>
      <c r="N463" s="54"/>
      <c r="O463" s="54"/>
      <c r="P463" s="86"/>
      <c r="Q463" s="54"/>
      <c r="R463" s="54"/>
    </row>
    <row r="464">
      <c r="A464" s="54"/>
      <c r="B464" s="114"/>
      <c r="C464" s="114"/>
      <c r="D464" s="114"/>
      <c r="E464" s="114"/>
      <c r="F464" s="114"/>
      <c r="G464" s="114"/>
      <c r="H464" s="54"/>
      <c r="I464" s="54"/>
      <c r="J464" s="54"/>
      <c r="K464" s="54"/>
      <c r="L464" s="54"/>
      <c r="M464" s="54"/>
      <c r="N464" s="54"/>
      <c r="O464" s="54"/>
      <c r="P464" s="86"/>
      <c r="Q464" s="54"/>
      <c r="R464" s="54"/>
    </row>
    <row r="465">
      <c r="A465" s="54"/>
      <c r="B465" s="114"/>
      <c r="C465" s="114"/>
      <c r="D465" s="114"/>
      <c r="E465" s="114"/>
      <c r="F465" s="114"/>
      <c r="G465" s="114"/>
      <c r="H465" s="54"/>
      <c r="I465" s="54"/>
      <c r="J465" s="54"/>
      <c r="K465" s="54"/>
      <c r="L465" s="54"/>
      <c r="M465" s="54"/>
      <c r="N465" s="54"/>
      <c r="O465" s="54"/>
      <c r="P465" s="86"/>
      <c r="Q465" s="54"/>
      <c r="R465" s="54"/>
    </row>
    <row r="466">
      <c r="A466" s="54"/>
      <c r="B466" s="114"/>
      <c r="C466" s="114"/>
      <c r="D466" s="114"/>
      <c r="E466" s="114"/>
      <c r="F466" s="114"/>
      <c r="G466" s="114"/>
      <c r="H466" s="54"/>
      <c r="I466" s="54"/>
      <c r="J466" s="54"/>
      <c r="K466" s="54"/>
      <c r="L466" s="54"/>
      <c r="M466" s="54"/>
      <c r="N466" s="54"/>
      <c r="O466" s="54"/>
      <c r="P466" s="86"/>
      <c r="Q466" s="54"/>
      <c r="R466" s="54"/>
    </row>
    <row r="467">
      <c r="A467" s="54"/>
      <c r="B467" s="114"/>
      <c r="C467" s="114"/>
      <c r="D467" s="114"/>
      <c r="E467" s="114"/>
      <c r="F467" s="114"/>
      <c r="G467" s="114"/>
      <c r="H467" s="54"/>
      <c r="I467" s="54"/>
      <c r="J467" s="54"/>
      <c r="K467" s="54"/>
      <c r="L467" s="54"/>
      <c r="M467" s="54"/>
      <c r="N467" s="54"/>
      <c r="O467" s="54"/>
      <c r="P467" s="86"/>
      <c r="Q467" s="54"/>
      <c r="R467" s="54"/>
    </row>
    <row r="468">
      <c r="A468" s="54"/>
      <c r="B468" s="114"/>
      <c r="C468" s="114"/>
      <c r="D468" s="114"/>
      <c r="E468" s="114"/>
      <c r="F468" s="114"/>
      <c r="G468" s="114"/>
      <c r="H468" s="54"/>
      <c r="I468" s="54"/>
      <c r="J468" s="54"/>
      <c r="K468" s="54"/>
      <c r="L468" s="54"/>
      <c r="M468" s="54"/>
      <c r="N468" s="54"/>
      <c r="O468" s="54"/>
      <c r="P468" s="86"/>
      <c r="Q468" s="54"/>
      <c r="R468" s="54"/>
    </row>
    <row r="469">
      <c r="A469" s="54"/>
      <c r="B469" s="114"/>
      <c r="C469" s="114"/>
      <c r="D469" s="114"/>
      <c r="E469" s="114"/>
      <c r="F469" s="114"/>
      <c r="G469" s="114"/>
      <c r="H469" s="54"/>
      <c r="I469" s="54"/>
      <c r="J469" s="54"/>
      <c r="K469" s="54"/>
      <c r="L469" s="54"/>
      <c r="M469" s="54"/>
      <c r="N469" s="54"/>
      <c r="O469" s="54"/>
      <c r="P469" s="86"/>
      <c r="Q469" s="54"/>
      <c r="R469" s="54"/>
    </row>
    <row r="470">
      <c r="A470" s="54"/>
      <c r="B470" s="114"/>
      <c r="C470" s="114"/>
      <c r="D470" s="114"/>
      <c r="E470" s="114"/>
      <c r="F470" s="114"/>
      <c r="G470" s="114"/>
      <c r="H470" s="54"/>
      <c r="I470" s="54"/>
      <c r="J470" s="54"/>
      <c r="K470" s="54"/>
      <c r="L470" s="54"/>
      <c r="M470" s="54"/>
      <c r="N470" s="54"/>
      <c r="O470" s="54"/>
      <c r="P470" s="86"/>
      <c r="Q470" s="54"/>
      <c r="R470" s="54"/>
    </row>
    <row r="471">
      <c r="A471" s="54"/>
      <c r="B471" s="114"/>
      <c r="C471" s="114"/>
      <c r="D471" s="114"/>
      <c r="E471" s="114"/>
      <c r="F471" s="114"/>
      <c r="G471" s="114"/>
      <c r="H471" s="54"/>
      <c r="I471" s="54"/>
      <c r="J471" s="54"/>
      <c r="K471" s="54"/>
      <c r="L471" s="54"/>
      <c r="M471" s="54"/>
      <c r="N471" s="54"/>
      <c r="O471" s="54"/>
      <c r="P471" s="86"/>
      <c r="Q471" s="54"/>
      <c r="R471" s="54"/>
    </row>
    <row r="472">
      <c r="A472" s="54"/>
      <c r="B472" s="114"/>
      <c r="C472" s="114"/>
      <c r="D472" s="114"/>
      <c r="E472" s="114"/>
      <c r="F472" s="114"/>
      <c r="G472" s="114"/>
      <c r="H472" s="54"/>
      <c r="I472" s="54"/>
      <c r="J472" s="54"/>
      <c r="K472" s="54"/>
      <c r="L472" s="54"/>
      <c r="M472" s="54"/>
      <c r="N472" s="54"/>
      <c r="O472" s="54"/>
      <c r="P472" s="86"/>
      <c r="Q472" s="54"/>
      <c r="R472" s="54"/>
    </row>
    <row r="473">
      <c r="A473" s="54"/>
      <c r="B473" s="114"/>
      <c r="C473" s="114"/>
      <c r="D473" s="114"/>
      <c r="E473" s="114"/>
      <c r="F473" s="114"/>
      <c r="G473" s="114"/>
      <c r="H473" s="54"/>
      <c r="I473" s="54"/>
      <c r="J473" s="54"/>
      <c r="K473" s="54"/>
      <c r="L473" s="54"/>
      <c r="M473" s="54"/>
      <c r="N473" s="54"/>
      <c r="O473" s="54"/>
      <c r="P473" s="86"/>
      <c r="Q473" s="54"/>
      <c r="R473" s="54"/>
    </row>
    <row r="474">
      <c r="A474" s="54"/>
      <c r="B474" s="114"/>
      <c r="C474" s="114"/>
      <c r="D474" s="114"/>
      <c r="E474" s="114"/>
      <c r="F474" s="114"/>
      <c r="G474" s="114"/>
      <c r="H474" s="54"/>
      <c r="I474" s="54"/>
      <c r="J474" s="54"/>
      <c r="K474" s="54"/>
      <c r="L474" s="54"/>
      <c r="M474" s="54"/>
      <c r="N474" s="54"/>
      <c r="O474" s="54"/>
      <c r="P474" s="86"/>
      <c r="Q474" s="54"/>
      <c r="R474" s="54"/>
    </row>
    <row r="475">
      <c r="A475" s="54"/>
      <c r="B475" s="114"/>
      <c r="C475" s="114"/>
      <c r="D475" s="114"/>
      <c r="E475" s="114"/>
      <c r="F475" s="114"/>
      <c r="G475" s="114"/>
      <c r="H475" s="54"/>
      <c r="I475" s="54"/>
      <c r="J475" s="54"/>
      <c r="K475" s="54"/>
      <c r="L475" s="54"/>
      <c r="M475" s="54"/>
      <c r="N475" s="54"/>
      <c r="O475" s="54"/>
      <c r="P475" s="86"/>
      <c r="Q475" s="54"/>
      <c r="R475" s="54"/>
    </row>
    <row r="476">
      <c r="A476" s="54"/>
      <c r="B476" s="114"/>
      <c r="C476" s="114"/>
      <c r="D476" s="114"/>
      <c r="E476" s="114"/>
      <c r="F476" s="114"/>
      <c r="G476" s="114"/>
      <c r="H476" s="54"/>
      <c r="I476" s="54"/>
      <c r="J476" s="54"/>
      <c r="K476" s="54"/>
      <c r="L476" s="54"/>
      <c r="M476" s="54"/>
      <c r="N476" s="54"/>
      <c r="O476" s="54"/>
      <c r="P476" s="86"/>
      <c r="Q476" s="54"/>
      <c r="R476" s="54"/>
    </row>
    <row r="477">
      <c r="A477" s="54"/>
      <c r="B477" s="114"/>
      <c r="C477" s="114"/>
      <c r="D477" s="114"/>
      <c r="E477" s="114"/>
      <c r="F477" s="114"/>
      <c r="G477" s="114"/>
      <c r="H477" s="54"/>
      <c r="I477" s="54"/>
      <c r="J477" s="54"/>
      <c r="K477" s="54"/>
      <c r="L477" s="54"/>
      <c r="M477" s="54"/>
      <c r="N477" s="54"/>
      <c r="O477" s="54"/>
      <c r="P477" s="86"/>
      <c r="Q477" s="54"/>
      <c r="R477" s="54"/>
    </row>
    <row r="478">
      <c r="A478" s="54"/>
      <c r="B478" s="114"/>
      <c r="C478" s="114"/>
      <c r="D478" s="114"/>
      <c r="E478" s="114"/>
      <c r="F478" s="114"/>
      <c r="G478" s="114"/>
      <c r="H478" s="54"/>
      <c r="I478" s="54"/>
      <c r="J478" s="54"/>
      <c r="K478" s="54"/>
      <c r="L478" s="54"/>
      <c r="M478" s="54"/>
      <c r="N478" s="54"/>
      <c r="O478" s="54"/>
      <c r="P478" s="86"/>
      <c r="Q478" s="54"/>
      <c r="R478" s="54"/>
    </row>
    <row r="479">
      <c r="A479" s="54"/>
      <c r="B479" s="114"/>
      <c r="C479" s="114"/>
      <c r="D479" s="114"/>
      <c r="E479" s="114"/>
      <c r="F479" s="114"/>
      <c r="G479" s="114"/>
      <c r="H479" s="54"/>
      <c r="I479" s="54"/>
      <c r="J479" s="54"/>
      <c r="K479" s="54"/>
      <c r="L479" s="54"/>
      <c r="M479" s="54"/>
      <c r="N479" s="54"/>
      <c r="O479" s="54"/>
      <c r="P479" s="86"/>
      <c r="Q479" s="54"/>
      <c r="R479" s="54"/>
    </row>
    <row r="480">
      <c r="A480" s="54"/>
      <c r="B480" s="114"/>
      <c r="C480" s="114"/>
      <c r="D480" s="114"/>
      <c r="E480" s="114"/>
      <c r="F480" s="114"/>
      <c r="G480" s="114"/>
      <c r="H480" s="54"/>
      <c r="I480" s="54"/>
      <c r="J480" s="54"/>
      <c r="K480" s="54"/>
      <c r="L480" s="54"/>
      <c r="M480" s="54"/>
      <c r="N480" s="54"/>
      <c r="O480" s="54"/>
      <c r="P480" s="86"/>
      <c r="Q480" s="54"/>
      <c r="R480" s="54"/>
    </row>
    <row r="481">
      <c r="A481" s="54"/>
      <c r="B481" s="114"/>
      <c r="C481" s="114"/>
      <c r="D481" s="114"/>
      <c r="E481" s="114"/>
      <c r="F481" s="114"/>
      <c r="G481" s="114"/>
      <c r="H481" s="54"/>
      <c r="I481" s="54"/>
      <c r="J481" s="54"/>
      <c r="K481" s="54"/>
      <c r="L481" s="54"/>
      <c r="M481" s="54"/>
      <c r="N481" s="54"/>
      <c r="O481" s="54"/>
      <c r="P481" s="86"/>
      <c r="Q481" s="54"/>
      <c r="R481" s="54"/>
    </row>
    <row r="482">
      <c r="A482" s="54"/>
      <c r="B482" s="114"/>
      <c r="C482" s="114"/>
      <c r="D482" s="114"/>
      <c r="E482" s="114"/>
      <c r="F482" s="114"/>
      <c r="G482" s="114"/>
      <c r="H482" s="54"/>
      <c r="I482" s="54"/>
      <c r="J482" s="54"/>
      <c r="K482" s="54"/>
      <c r="L482" s="54"/>
      <c r="M482" s="54"/>
      <c r="N482" s="54"/>
      <c r="O482" s="54"/>
      <c r="P482" s="86"/>
      <c r="Q482" s="54"/>
      <c r="R482" s="54"/>
    </row>
    <row r="483">
      <c r="A483" s="54"/>
      <c r="B483" s="114"/>
      <c r="C483" s="114"/>
      <c r="D483" s="114"/>
      <c r="E483" s="114"/>
      <c r="F483" s="114"/>
      <c r="G483" s="114"/>
      <c r="H483" s="54"/>
      <c r="I483" s="54"/>
      <c r="J483" s="54"/>
      <c r="K483" s="54"/>
      <c r="L483" s="54"/>
      <c r="M483" s="54"/>
      <c r="N483" s="54"/>
      <c r="O483" s="54"/>
      <c r="P483" s="86"/>
      <c r="Q483" s="54"/>
      <c r="R483" s="54"/>
    </row>
    <row r="484">
      <c r="A484" s="54"/>
      <c r="B484" s="114"/>
      <c r="C484" s="114"/>
      <c r="D484" s="114"/>
      <c r="E484" s="114"/>
      <c r="F484" s="114"/>
      <c r="G484" s="114"/>
      <c r="H484" s="54"/>
      <c r="I484" s="54"/>
      <c r="J484" s="54"/>
      <c r="K484" s="54"/>
      <c r="L484" s="54"/>
      <c r="M484" s="54"/>
      <c r="N484" s="54"/>
      <c r="O484" s="54"/>
      <c r="P484" s="86"/>
      <c r="Q484" s="54"/>
      <c r="R484" s="54"/>
    </row>
    <row r="485">
      <c r="A485" s="54"/>
      <c r="B485" s="114"/>
      <c r="C485" s="114"/>
      <c r="D485" s="114"/>
      <c r="E485" s="114"/>
      <c r="F485" s="114"/>
      <c r="G485" s="114"/>
      <c r="H485" s="54"/>
      <c r="I485" s="54"/>
      <c r="J485" s="54"/>
      <c r="K485" s="54"/>
      <c r="L485" s="54"/>
      <c r="M485" s="54"/>
      <c r="N485" s="54"/>
      <c r="O485" s="54"/>
      <c r="P485" s="86"/>
      <c r="Q485" s="54"/>
      <c r="R485" s="54"/>
    </row>
    <row r="486">
      <c r="A486" s="54"/>
      <c r="B486" s="114"/>
      <c r="C486" s="114"/>
      <c r="D486" s="114"/>
      <c r="E486" s="114"/>
      <c r="F486" s="114"/>
      <c r="G486" s="114"/>
      <c r="H486" s="54"/>
      <c r="I486" s="54"/>
      <c r="J486" s="54"/>
      <c r="K486" s="54"/>
      <c r="L486" s="54"/>
      <c r="M486" s="54"/>
      <c r="N486" s="54"/>
      <c r="O486" s="54"/>
      <c r="P486" s="86"/>
      <c r="Q486" s="54"/>
      <c r="R486" s="54"/>
    </row>
    <row r="487">
      <c r="A487" s="54"/>
      <c r="B487" s="114"/>
      <c r="C487" s="114"/>
      <c r="D487" s="114"/>
      <c r="E487" s="114"/>
      <c r="F487" s="114"/>
      <c r="G487" s="114"/>
      <c r="H487" s="54"/>
      <c r="I487" s="54"/>
      <c r="J487" s="54"/>
      <c r="K487" s="54"/>
      <c r="L487" s="54"/>
      <c r="M487" s="54"/>
      <c r="N487" s="54"/>
      <c r="O487" s="54"/>
      <c r="P487" s="86"/>
      <c r="Q487" s="54"/>
      <c r="R487" s="54"/>
    </row>
    <row r="488">
      <c r="A488" s="54"/>
      <c r="B488" s="114"/>
      <c r="C488" s="114"/>
      <c r="D488" s="114"/>
      <c r="E488" s="114"/>
      <c r="F488" s="114"/>
      <c r="G488" s="114"/>
      <c r="H488" s="54"/>
      <c r="I488" s="54"/>
      <c r="J488" s="54"/>
      <c r="K488" s="54"/>
      <c r="L488" s="54"/>
      <c r="M488" s="54"/>
      <c r="N488" s="54"/>
      <c r="O488" s="54"/>
      <c r="P488" s="86"/>
      <c r="Q488" s="54"/>
      <c r="R488" s="54"/>
    </row>
    <row r="489">
      <c r="A489" s="54"/>
      <c r="B489" s="114"/>
      <c r="C489" s="114"/>
      <c r="D489" s="114"/>
      <c r="E489" s="114"/>
      <c r="F489" s="114"/>
      <c r="G489" s="114"/>
      <c r="H489" s="54"/>
      <c r="I489" s="54"/>
      <c r="J489" s="54"/>
      <c r="K489" s="54"/>
      <c r="L489" s="54"/>
      <c r="M489" s="54"/>
      <c r="N489" s="54"/>
      <c r="O489" s="54"/>
      <c r="P489" s="86"/>
      <c r="Q489" s="54"/>
      <c r="R489" s="54"/>
    </row>
    <row r="490">
      <c r="A490" s="54"/>
      <c r="B490" s="114"/>
      <c r="C490" s="114"/>
      <c r="D490" s="114"/>
      <c r="E490" s="114"/>
      <c r="F490" s="114"/>
      <c r="G490" s="114"/>
      <c r="H490" s="54"/>
      <c r="I490" s="54"/>
      <c r="J490" s="54"/>
      <c r="K490" s="54"/>
      <c r="L490" s="54"/>
      <c r="M490" s="54"/>
      <c r="N490" s="54"/>
      <c r="O490" s="54"/>
      <c r="P490" s="86"/>
      <c r="Q490" s="54"/>
      <c r="R490" s="54"/>
    </row>
    <row r="491">
      <c r="A491" s="54"/>
      <c r="B491" s="114"/>
      <c r="C491" s="114"/>
      <c r="D491" s="114"/>
      <c r="E491" s="114"/>
      <c r="F491" s="114"/>
      <c r="G491" s="114"/>
      <c r="H491" s="54"/>
      <c r="I491" s="54"/>
      <c r="J491" s="54"/>
      <c r="K491" s="54"/>
      <c r="L491" s="54"/>
      <c r="M491" s="54"/>
      <c r="N491" s="54"/>
      <c r="O491" s="54"/>
      <c r="P491" s="86"/>
      <c r="Q491" s="54"/>
      <c r="R491" s="54"/>
    </row>
    <row r="492">
      <c r="A492" s="54"/>
      <c r="B492" s="114"/>
      <c r="C492" s="114"/>
      <c r="D492" s="114"/>
      <c r="E492" s="114"/>
      <c r="F492" s="114"/>
      <c r="G492" s="114"/>
      <c r="H492" s="54"/>
      <c r="I492" s="54"/>
      <c r="J492" s="54"/>
      <c r="K492" s="54"/>
      <c r="L492" s="54"/>
      <c r="M492" s="54"/>
      <c r="N492" s="54"/>
      <c r="O492" s="54"/>
      <c r="P492" s="86"/>
      <c r="Q492" s="54"/>
      <c r="R492" s="54"/>
    </row>
    <row r="493">
      <c r="A493" s="54"/>
      <c r="B493" s="114"/>
      <c r="C493" s="114"/>
      <c r="D493" s="114"/>
      <c r="E493" s="114"/>
      <c r="F493" s="114"/>
      <c r="G493" s="114"/>
      <c r="H493" s="54"/>
      <c r="I493" s="54"/>
      <c r="J493" s="54"/>
      <c r="K493" s="54"/>
      <c r="L493" s="54"/>
      <c r="M493" s="54"/>
      <c r="N493" s="54"/>
      <c r="O493" s="54"/>
      <c r="P493" s="86"/>
      <c r="Q493" s="54"/>
      <c r="R493" s="54"/>
    </row>
    <row r="494">
      <c r="A494" s="54"/>
      <c r="B494" s="114"/>
      <c r="C494" s="114"/>
      <c r="D494" s="114"/>
      <c r="E494" s="114"/>
      <c r="F494" s="114"/>
      <c r="G494" s="114"/>
      <c r="H494" s="54"/>
      <c r="I494" s="54"/>
      <c r="J494" s="54"/>
      <c r="K494" s="54"/>
      <c r="L494" s="54"/>
      <c r="M494" s="54"/>
      <c r="N494" s="54"/>
      <c r="O494" s="54"/>
      <c r="P494" s="86"/>
      <c r="Q494" s="54"/>
      <c r="R494" s="54"/>
    </row>
    <row r="495">
      <c r="A495" s="54"/>
      <c r="B495" s="114"/>
      <c r="C495" s="114"/>
      <c r="D495" s="114"/>
      <c r="E495" s="114"/>
      <c r="F495" s="114"/>
      <c r="G495" s="114"/>
      <c r="H495" s="54"/>
      <c r="I495" s="54"/>
      <c r="J495" s="54"/>
      <c r="K495" s="54"/>
      <c r="L495" s="54"/>
      <c r="M495" s="54"/>
      <c r="N495" s="54"/>
      <c r="O495" s="54"/>
      <c r="P495" s="86"/>
      <c r="Q495" s="54"/>
      <c r="R495" s="54"/>
    </row>
    <row r="496">
      <c r="A496" s="54"/>
      <c r="B496" s="114"/>
      <c r="C496" s="114"/>
      <c r="D496" s="114"/>
      <c r="E496" s="114"/>
      <c r="F496" s="114"/>
      <c r="G496" s="114"/>
      <c r="H496" s="54"/>
      <c r="I496" s="54"/>
      <c r="J496" s="54"/>
      <c r="K496" s="54"/>
      <c r="L496" s="54"/>
      <c r="M496" s="54"/>
      <c r="N496" s="54"/>
      <c r="O496" s="54"/>
      <c r="P496" s="86"/>
      <c r="Q496" s="54"/>
      <c r="R496" s="54"/>
    </row>
    <row r="497">
      <c r="A497" s="54"/>
      <c r="B497" s="114"/>
      <c r="C497" s="114"/>
      <c r="D497" s="114"/>
      <c r="E497" s="114"/>
      <c r="F497" s="114"/>
      <c r="G497" s="114"/>
      <c r="H497" s="54"/>
      <c r="I497" s="54"/>
      <c r="J497" s="54"/>
      <c r="K497" s="54"/>
      <c r="L497" s="54"/>
      <c r="M497" s="54"/>
      <c r="N497" s="54"/>
      <c r="O497" s="54"/>
      <c r="P497" s="86"/>
      <c r="Q497" s="54"/>
      <c r="R497" s="54"/>
    </row>
    <row r="498">
      <c r="A498" s="54"/>
      <c r="B498" s="114"/>
      <c r="C498" s="114"/>
      <c r="D498" s="114"/>
      <c r="E498" s="114"/>
      <c r="F498" s="114"/>
      <c r="G498" s="114"/>
      <c r="H498" s="54"/>
      <c r="I498" s="54"/>
      <c r="J498" s="54"/>
      <c r="K498" s="54"/>
      <c r="L498" s="54"/>
      <c r="M498" s="54"/>
      <c r="N498" s="54"/>
      <c r="O498" s="54"/>
      <c r="P498" s="86"/>
      <c r="Q498" s="54"/>
      <c r="R498" s="54"/>
    </row>
    <row r="499">
      <c r="A499" s="54"/>
      <c r="B499" s="114"/>
      <c r="C499" s="114"/>
      <c r="D499" s="114"/>
      <c r="E499" s="114"/>
      <c r="F499" s="114"/>
      <c r="G499" s="114"/>
      <c r="H499" s="54"/>
      <c r="I499" s="54"/>
      <c r="J499" s="54"/>
      <c r="K499" s="54"/>
      <c r="L499" s="54"/>
      <c r="M499" s="54"/>
      <c r="N499" s="54"/>
      <c r="O499" s="54"/>
      <c r="P499" s="86"/>
      <c r="Q499" s="54"/>
      <c r="R499" s="54"/>
    </row>
    <row r="500">
      <c r="A500" s="54"/>
      <c r="B500" s="114"/>
      <c r="C500" s="114"/>
      <c r="D500" s="114"/>
      <c r="E500" s="114"/>
      <c r="F500" s="114"/>
      <c r="G500" s="114"/>
      <c r="H500" s="54"/>
      <c r="I500" s="54"/>
      <c r="J500" s="54"/>
      <c r="K500" s="54"/>
      <c r="L500" s="54"/>
      <c r="M500" s="54"/>
      <c r="N500" s="54"/>
      <c r="O500" s="54"/>
      <c r="P500" s="86"/>
      <c r="Q500" s="54"/>
      <c r="R500" s="54"/>
    </row>
    <row r="501">
      <c r="A501" s="54"/>
      <c r="B501" s="114"/>
      <c r="C501" s="114"/>
      <c r="D501" s="114"/>
      <c r="E501" s="114"/>
      <c r="F501" s="114"/>
      <c r="G501" s="114"/>
      <c r="H501" s="54"/>
      <c r="I501" s="54"/>
      <c r="J501" s="54"/>
      <c r="K501" s="54"/>
      <c r="L501" s="54"/>
      <c r="M501" s="54"/>
      <c r="N501" s="54"/>
      <c r="O501" s="54"/>
      <c r="P501" s="86"/>
      <c r="Q501" s="54"/>
      <c r="R501" s="54"/>
    </row>
    <row r="502">
      <c r="A502" s="54"/>
      <c r="B502" s="114"/>
      <c r="C502" s="114"/>
      <c r="D502" s="114"/>
      <c r="E502" s="114"/>
      <c r="F502" s="114"/>
      <c r="G502" s="114"/>
      <c r="H502" s="54"/>
      <c r="I502" s="54"/>
      <c r="J502" s="54"/>
      <c r="K502" s="54"/>
      <c r="L502" s="54"/>
      <c r="M502" s="54"/>
      <c r="N502" s="54"/>
      <c r="O502" s="54"/>
      <c r="P502" s="86"/>
      <c r="Q502" s="54"/>
      <c r="R502" s="54"/>
    </row>
    <row r="503">
      <c r="A503" s="54"/>
      <c r="B503" s="114"/>
      <c r="C503" s="114"/>
      <c r="D503" s="114"/>
      <c r="E503" s="114"/>
      <c r="F503" s="114"/>
      <c r="G503" s="114"/>
      <c r="H503" s="54"/>
      <c r="I503" s="54"/>
      <c r="J503" s="54"/>
      <c r="K503" s="54"/>
      <c r="L503" s="54"/>
      <c r="M503" s="54"/>
      <c r="N503" s="54"/>
      <c r="O503" s="54"/>
      <c r="P503" s="86"/>
      <c r="Q503" s="54"/>
      <c r="R503" s="54"/>
    </row>
    <row r="504">
      <c r="A504" s="54"/>
      <c r="B504" s="114"/>
      <c r="C504" s="114"/>
      <c r="D504" s="114"/>
      <c r="E504" s="114"/>
      <c r="F504" s="114"/>
      <c r="G504" s="114"/>
      <c r="H504" s="54"/>
      <c r="I504" s="54"/>
      <c r="J504" s="54"/>
      <c r="K504" s="54"/>
      <c r="L504" s="54"/>
      <c r="M504" s="54"/>
      <c r="N504" s="54"/>
      <c r="O504" s="54"/>
      <c r="P504" s="86"/>
      <c r="Q504" s="54"/>
      <c r="R504" s="54"/>
    </row>
    <row r="505">
      <c r="A505" s="54"/>
      <c r="B505" s="114"/>
      <c r="C505" s="114"/>
      <c r="D505" s="114"/>
      <c r="E505" s="114"/>
      <c r="F505" s="114"/>
      <c r="G505" s="114"/>
      <c r="H505" s="54"/>
      <c r="I505" s="54"/>
      <c r="J505" s="54"/>
      <c r="K505" s="54"/>
      <c r="L505" s="54"/>
      <c r="M505" s="54"/>
      <c r="N505" s="54"/>
      <c r="O505" s="54"/>
      <c r="P505" s="86"/>
      <c r="Q505" s="54"/>
      <c r="R505" s="54"/>
    </row>
    <row r="506">
      <c r="A506" s="54"/>
      <c r="B506" s="114"/>
      <c r="C506" s="114"/>
      <c r="D506" s="114"/>
      <c r="E506" s="114"/>
      <c r="F506" s="114"/>
      <c r="G506" s="114"/>
      <c r="H506" s="54"/>
      <c r="I506" s="54"/>
      <c r="J506" s="54"/>
      <c r="K506" s="54"/>
      <c r="L506" s="54"/>
      <c r="M506" s="54"/>
      <c r="N506" s="54"/>
      <c r="O506" s="54"/>
      <c r="P506" s="86"/>
      <c r="Q506" s="54"/>
      <c r="R506" s="54"/>
    </row>
    <row r="507">
      <c r="A507" s="54"/>
      <c r="B507" s="114"/>
      <c r="C507" s="114"/>
      <c r="D507" s="114"/>
      <c r="E507" s="114"/>
      <c r="F507" s="114"/>
      <c r="G507" s="114"/>
      <c r="H507" s="54"/>
      <c r="I507" s="54"/>
      <c r="J507" s="54"/>
      <c r="K507" s="54"/>
      <c r="L507" s="54"/>
      <c r="M507" s="54"/>
      <c r="N507" s="54"/>
      <c r="O507" s="54"/>
      <c r="P507" s="86"/>
      <c r="Q507" s="54"/>
      <c r="R507" s="54"/>
    </row>
    <row r="508">
      <c r="A508" s="54"/>
      <c r="B508" s="114"/>
      <c r="C508" s="114"/>
      <c r="D508" s="114"/>
      <c r="E508" s="114"/>
      <c r="F508" s="114"/>
      <c r="G508" s="114"/>
      <c r="H508" s="54"/>
      <c r="I508" s="54"/>
      <c r="J508" s="54"/>
      <c r="K508" s="54"/>
      <c r="L508" s="54"/>
      <c r="M508" s="54"/>
      <c r="N508" s="54"/>
      <c r="O508" s="54"/>
      <c r="P508" s="86"/>
      <c r="Q508" s="54"/>
      <c r="R508" s="54"/>
    </row>
    <row r="509">
      <c r="A509" s="54"/>
      <c r="B509" s="114"/>
      <c r="C509" s="114"/>
      <c r="D509" s="114"/>
      <c r="E509" s="114"/>
      <c r="F509" s="114"/>
      <c r="G509" s="114"/>
      <c r="H509" s="54"/>
      <c r="I509" s="54"/>
      <c r="J509" s="54"/>
      <c r="K509" s="54"/>
      <c r="L509" s="54"/>
      <c r="M509" s="54"/>
      <c r="N509" s="54"/>
      <c r="O509" s="54"/>
      <c r="P509" s="86"/>
      <c r="Q509" s="54"/>
      <c r="R509" s="54"/>
    </row>
    <row r="510">
      <c r="A510" s="54"/>
      <c r="B510" s="114"/>
      <c r="C510" s="114"/>
      <c r="D510" s="114"/>
      <c r="E510" s="114"/>
      <c r="F510" s="114"/>
      <c r="G510" s="114"/>
      <c r="H510" s="54"/>
      <c r="I510" s="54"/>
      <c r="J510" s="54"/>
      <c r="K510" s="54"/>
      <c r="L510" s="54"/>
      <c r="M510" s="54"/>
      <c r="N510" s="54"/>
      <c r="O510" s="54"/>
      <c r="P510" s="86"/>
      <c r="Q510" s="54"/>
      <c r="R510" s="54"/>
    </row>
    <row r="511">
      <c r="A511" s="54"/>
      <c r="B511" s="114"/>
      <c r="C511" s="114"/>
      <c r="D511" s="114"/>
      <c r="E511" s="114"/>
      <c r="F511" s="114"/>
      <c r="G511" s="114"/>
      <c r="H511" s="54"/>
      <c r="I511" s="54"/>
      <c r="J511" s="54"/>
      <c r="K511" s="54"/>
      <c r="L511" s="54"/>
      <c r="M511" s="54"/>
      <c r="N511" s="54"/>
      <c r="O511" s="54"/>
      <c r="P511" s="86"/>
      <c r="Q511" s="54"/>
      <c r="R511" s="54"/>
    </row>
    <row r="512">
      <c r="A512" s="54"/>
      <c r="B512" s="114"/>
      <c r="C512" s="114"/>
      <c r="D512" s="114"/>
      <c r="E512" s="114"/>
      <c r="F512" s="114"/>
      <c r="G512" s="114"/>
      <c r="H512" s="54"/>
      <c r="I512" s="54"/>
      <c r="J512" s="54"/>
      <c r="K512" s="54"/>
      <c r="L512" s="54"/>
      <c r="M512" s="54"/>
      <c r="N512" s="54"/>
      <c r="O512" s="54"/>
      <c r="P512" s="86"/>
      <c r="Q512" s="54"/>
      <c r="R512" s="54"/>
    </row>
    <row r="513">
      <c r="A513" s="54"/>
      <c r="B513" s="114"/>
      <c r="C513" s="114"/>
      <c r="D513" s="114"/>
      <c r="E513" s="114"/>
      <c r="F513" s="114"/>
      <c r="G513" s="114"/>
      <c r="H513" s="54"/>
      <c r="I513" s="54"/>
      <c r="J513" s="54"/>
      <c r="K513" s="54"/>
      <c r="L513" s="54"/>
      <c r="M513" s="54"/>
      <c r="N513" s="54"/>
      <c r="O513" s="54"/>
      <c r="P513" s="86"/>
      <c r="Q513" s="54"/>
      <c r="R513" s="54"/>
    </row>
    <row r="514">
      <c r="A514" s="54"/>
      <c r="B514" s="114"/>
      <c r="C514" s="114"/>
      <c r="D514" s="114"/>
      <c r="E514" s="114"/>
      <c r="F514" s="114"/>
      <c r="G514" s="114"/>
      <c r="H514" s="54"/>
      <c r="I514" s="54"/>
      <c r="J514" s="54"/>
      <c r="K514" s="54"/>
      <c r="L514" s="54"/>
      <c r="M514" s="54"/>
      <c r="N514" s="54"/>
      <c r="O514" s="54"/>
      <c r="P514" s="86"/>
      <c r="Q514" s="54"/>
      <c r="R514" s="54"/>
    </row>
    <row r="515">
      <c r="A515" s="54"/>
      <c r="B515" s="114"/>
      <c r="C515" s="114"/>
      <c r="D515" s="114"/>
      <c r="E515" s="114"/>
      <c r="F515" s="114"/>
      <c r="G515" s="114"/>
      <c r="H515" s="54"/>
      <c r="I515" s="54"/>
      <c r="J515" s="54"/>
      <c r="K515" s="54"/>
      <c r="L515" s="54"/>
      <c r="M515" s="54"/>
      <c r="N515" s="54"/>
      <c r="O515" s="54"/>
      <c r="P515" s="86"/>
      <c r="Q515" s="54"/>
      <c r="R515" s="54"/>
    </row>
    <row r="516">
      <c r="A516" s="54"/>
      <c r="B516" s="114"/>
      <c r="C516" s="114"/>
      <c r="D516" s="114"/>
      <c r="E516" s="114"/>
      <c r="F516" s="114"/>
      <c r="G516" s="114"/>
      <c r="H516" s="54"/>
      <c r="I516" s="54"/>
      <c r="J516" s="54"/>
      <c r="K516" s="54"/>
      <c r="L516" s="54"/>
      <c r="M516" s="54"/>
      <c r="N516" s="54"/>
      <c r="O516" s="54"/>
      <c r="P516" s="86"/>
      <c r="Q516" s="54"/>
      <c r="R516" s="54"/>
    </row>
    <row r="517">
      <c r="A517" s="54"/>
      <c r="B517" s="114"/>
      <c r="C517" s="114"/>
      <c r="D517" s="114"/>
      <c r="E517" s="114"/>
      <c r="F517" s="114"/>
      <c r="G517" s="114"/>
      <c r="H517" s="54"/>
      <c r="I517" s="54"/>
      <c r="J517" s="54"/>
      <c r="K517" s="54"/>
      <c r="L517" s="54"/>
      <c r="M517" s="54"/>
      <c r="N517" s="54"/>
      <c r="O517" s="54"/>
      <c r="P517" s="86"/>
      <c r="Q517" s="54"/>
      <c r="R517" s="54"/>
    </row>
    <row r="518">
      <c r="A518" s="54"/>
      <c r="B518" s="114"/>
      <c r="C518" s="114"/>
      <c r="D518" s="114"/>
      <c r="E518" s="114"/>
      <c r="F518" s="114"/>
      <c r="G518" s="114"/>
      <c r="H518" s="54"/>
      <c r="I518" s="54"/>
      <c r="J518" s="54"/>
      <c r="K518" s="54"/>
      <c r="L518" s="54"/>
      <c r="M518" s="54"/>
      <c r="N518" s="54"/>
      <c r="O518" s="54"/>
      <c r="P518" s="86"/>
      <c r="Q518" s="54"/>
      <c r="R518" s="54"/>
    </row>
    <row r="519">
      <c r="A519" s="54"/>
      <c r="B519" s="114"/>
      <c r="C519" s="114"/>
      <c r="D519" s="114"/>
      <c r="E519" s="114"/>
      <c r="F519" s="114"/>
      <c r="G519" s="114"/>
      <c r="H519" s="54"/>
      <c r="I519" s="54"/>
      <c r="J519" s="54"/>
      <c r="K519" s="54"/>
      <c r="L519" s="54"/>
      <c r="M519" s="54"/>
      <c r="N519" s="54"/>
      <c r="O519" s="54"/>
      <c r="P519" s="86"/>
      <c r="Q519" s="54"/>
      <c r="R519" s="54"/>
    </row>
    <row r="520">
      <c r="A520" s="54"/>
      <c r="B520" s="114"/>
      <c r="C520" s="114"/>
      <c r="D520" s="114"/>
      <c r="E520" s="114"/>
      <c r="F520" s="114"/>
      <c r="G520" s="114"/>
      <c r="H520" s="54"/>
      <c r="I520" s="54"/>
      <c r="J520" s="54"/>
      <c r="K520" s="54"/>
      <c r="L520" s="54"/>
      <c r="M520" s="54"/>
      <c r="N520" s="54"/>
      <c r="O520" s="54"/>
      <c r="P520" s="86"/>
      <c r="Q520" s="54"/>
      <c r="R520" s="54"/>
    </row>
    <row r="521">
      <c r="A521" s="54"/>
      <c r="B521" s="114"/>
      <c r="C521" s="114"/>
      <c r="D521" s="114"/>
      <c r="E521" s="114"/>
      <c r="F521" s="114"/>
      <c r="G521" s="114"/>
      <c r="H521" s="54"/>
      <c r="I521" s="54"/>
      <c r="J521" s="54"/>
      <c r="K521" s="54"/>
      <c r="L521" s="54"/>
      <c r="M521" s="54"/>
      <c r="N521" s="54"/>
      <c r="O521" s="54"/>
      <c r="P521" s="86"/>
      <c r="Q521" s="54"/>
      <c r="R521" s="54"/>
    </row>
    <row r="522">
      <c r="A522" s="54"/>
      <c r="B522" s="114"/>
      <c r="C522" s="114"/>
      <c r="D522" s="114"/>
      <c r="E522" s="114"/>
      <c r="F522" s="114"/>
      <c r="G522" s="114"/>
      <c r="H522" s="54"/>
      <c r="I522" s="54"/>
      <c r="J522" s="54"/>
      <c r="K522" s="54"/>
      <c r="L522" s="54"/>
      <c r="M522" s="54"/>
      <c r="N522" s="54"/>
      <c r="O522" s="54"/>
      <c r="P522" s="86"/>
      <c r="Q522" s="54"/>
      <c r="R522" s="54"/>
    </row>
    <row r="523">
      <c r="A523" s="54"/>
      <c r="B523" s="114"/>
      <c r="C523" s="114"/>
      <c r="D523" s="114"/>
      <c r="E523" s="114"/>
      <c r="F523" s="114"/>
      <c r="G523" s="114"/>
      <c r="H523" s="54"/>
      <c r="I523" s="54"/>
      <c r="J523" s="54"/>
      <c r="K523" s="54"/>
      <c r="L523" s="54"/>
      <c r="M523" s="54"/>
      <c r="N523" s="54"/>
      <c r="O523" s="54"/>
      <c r="P523" s="86"/>
      <c r="Q523" s="54"/>
      <c r="R523" s="54"/>
    </row>
    <row r="524">
      <c r="A524" s="54"/>
      <c r="B524" s="114"/>
      <c r="C524" s="114"/>
      <c r="D524" s="114"/>
      <c r="E524" s="114"/>
      <c r="F524" s="114"/>
      <c r="G524" s="114"/>
      <c r="H524" s="54"/>
      <c r="I524" s="54"/>
      <c r="J524" s="54"/>
      <c r="K524" s="54"/>
      <c r="L524" s="54"/>
      <c r="M524" s="54"/>
      <c r="N524" s="54"/>
      <c r="O524" s="54"/>
      <c r="P524" s="86"/>
      <c r="Q524" s="54"/>
      <c r="R524" s="54"/>
    </row>
    <row r="525">
      <c r="A525" s="54"/>
      <c r="B525" s="114"/>
      <c r="C525" s="114"/>
      <c r="D525" s="114"/>
      <c r="E525" s="114"/>
      <c r="F525" s="114"/>
      <c r="G525" s="114"/>
      <c r="H525" s="54"/>
      <c r="I525" s="54"/>
      <c r="J525" s="54"/>
      <c r="K525" s="54"/>
      <c r="L525" s="54"/>
      <c r="M525" s="54"/>
      <c r="N525" s="54"/>
      <c r="O525" s="54"/>
      <c r="P525" s="86"/>
      <c r="Q525" s="54"/>
      <c r="R525" s="54"/>
    </row>
    <row r="526">
      <c r="A526" s="54"/>
      <c r="B526" s="114"/>
      <c r="C526" s="114"/>
      <c r="D526" s="114"/>
      <c r="E526" s="114"/>
      <c r="F526" s="114"/>
      <c r="G526" s="114"/>
      <c r="H526" s="54"/>
      <c r="I526" s="54"/>
      <c r="J526" s="54"/>
      <c r="K526" s="54"/>
      <c r="L526" s="54"/>
      <c r="M526" s="54"/>
      <c r="N526" s="54"/>
      <c r="O526" s="54"/>
      <c r="P526" s="86"/>
      <c r="Q526" s="54"/>
      <c r="R526" s="54"/>
    </row>
    <row r="527">
      <c r="A527" s="54"/>
      <c r="B527" s="114"/>
      <c r="C527" s="114"/>
      <c r="D527" s="114"/>
      <c r="E527" s="114"/>
      <c r="F527" s="114"/>
      <c r="G527" s="114"/>
      <c r="H527" s="54"/>
      <c r="I527" s="54"/>
      <c r="J527" s="54"/>
      <c r="K527" s="54"/>
      <c r="L527" s="54"/>
      <c r="M527" s="54"/>
      <c r="N527" s="54"/>
      <c r="O527" s="54"/>
      <c r="P527" s="86"/>
      <c r="Q527" s="54"/>
      <c r="R527" s="54"/>
    </row>
    <row r="528">
      <c r="A528" s="54"/>
      <c r="B528" s="114"/>
      <c r="C528" s="114"/>
      <c r="D528" s="114"/>
      <c r="E528" s="114"/>
      <c r="F528" s="114"/>
      <c r="G528" s="114"/>
      <c r="H528" s="54"/>
      <c r="I528" s="54"/>
      <c r="J528" s="54"/>
      <c r="K528" s="54"/>
      <c r="L528" s="54"/>
      <c r="M528" s="54"/>
      <c r="N528" s="54"/>
      <c r="O528" s="54"/>
      <c r="P528" s="86"/>
      <c r="Q528" s="54"/>
      <c r="R528" s="54"/>
    </row>
    <row r="529">
      <c r="A529" s="54"/>
      <c r="B529" s="114"/>
      <c r="C529" s="114"/>
      <c r="D529" s="114"/>
      <c r="E529" s="114"/>
      <c r="F529" s="114"/>
      <c r="G529" s="114"/>
      <c r="H529" s="54"/>
      <c r="I529" s="54"/>
      <c r="J529" s="54"/>
      <c r="K529" s="54"/>
      <c r="L529" s="54"/>
      <c r="M529" s="54"/>
      <c r="N529" s="54"/>
      <c r="O529" s="54"/>
      <c r="P529" s="86"/>
      <c r="Q529" s="54"/>
      <c r="R529" s="54"/>
    </row>
    <row r="530">
      <c r="A530" s="54"/>
      <c r="B530" s="114"/>
      <c r="C530" s="114"/>
      <c r="D530" s="114"/>
      <c r="E530" s="114"/>
      <c r="F530" s="114"/>
      <c r="G530" s="114"/>
      <c r="H530" s="54"/>
      <c r="I530" s="54"/>
      <c r="J530" s="54"/>
      <c r="K530" s="54"/>
      <c r="L530" s="54"/>
      <c r="M530" s="54"/>
      <c r="N530" s="54"/>
      <c r="O530" s="54"/>
      <c r="P530" s="86"/>
      <c r="Q530" s="54"/>
      <c r="R530" s="54"/>
    </row>
    <row r="531">
      <c r="A531" s="54"/>
      <c r="B531" s="114"/>
      <c r="C531" s="114"/>
      <c r="D531" s="114"/>
      <c r="E531" s="114"/>
      <c r="F531" s="114"/>
      <c r="G531" s="114"/>
      <c r="H531" s="54"/>
      <c r="I531" s="54"/>
      <c r="J531" s="54"/>
      <c r="K531" s="54"/>
      <c r="L531" s="54"/>
      <c r="M531" s="54"/>
      <c r="N531" s="54"/>
      <c r="O531" s="54"/>
      <c r="P531" s="86"/>
      <c r="Q531" s="54"/>
      <c r="R531" s="54"/>
    </row>
    <row r="532">
      <c r="A532" s="54"/>
      <c r="B532" s="114"/>
      <c r="C532" s="114"/>
      <c r="D532" s="114"/>
      <c r="E532" s="114"/>
      <c r="F532" s="114"/>
      <c r="G532" s="114"/>
      <c r="H532" s="54"/>
      <c r="I532" s="54"/>
      <c r="J532" s="54"/>
      <c r="K532" s="54"/>
      <c r="L532" s="54"/>
      <c r="M532" s="54"/>
      <c r="N532" s="54"/>
      <c r="O532" s="54"/>
      <c r="P532" s="86"/>
      <c r="Q532" s="54"/>
      <c r="R532" s="54"/>
    </row>
    <row r="533">
      <c r="A533" s="54"/>
      <c r="B533" s="114"/>
      <c r="C533" s="114"/>
      <c r="D533" s="114"/>
      <c r="E533" s="114"/>
      <c r="F533" s="114"/>
      <c r="G533" s="114"/>
      <c r="H533" s="54"/>
      <c r="I533" s="54"/>
      <c r="J533" s="54"/>
      <c r="K533" s="54"/>
      <c r="L533" s="54"/>
      <c r="M533" s="54"/>
      <c r="N533" s="54"/>
      <c r="O533" s="54"/>
      <c r="P533" s="86"/>
      <c r="Q533" s="54"/>
      <c r="R533" s="54"/>
    </row>
    <row r="534">
      <c r="A534" s="54"/>
      <c r="B534" s="114"/>
      <c r="C534" s="114"/>
      <c r="D534" s="114"/>
      <c r="E534" s="114"/>
      <c r="F534" s="114"/>
      <c r="G534" s="114"/>
      <c r="H534" s="54"/>
      <c r="I534" s="54"/>
      <c r="J534" s="54"/>
      <c r="K534" s="54"/>
      <c r="L534" s="54"/>
      <c r="M534" s="54"/>
      <c r="N534" s="54"/>
      <c r="O534" s="54"/>
      <c r="P534" s="86"/>
      <c r="Q534" s="54"/>
      <c r="R534" s="54"/>
    </row>
    <row r="535">
      <c r="A535" s="54"/>
      <c r="B535" s="114"/>
      <c r="C535" s="114"/>
      <c r="D535" s="114"/>
      <c r="E535" s="114"/>
      <c r="F535" s="114"/>
      <c r="G535" s="114"/>
      <c r="H535" s="54"/>
      <c r="I535" s="54"/>
      <c r="J535" s="54"/>
      <c r="K535" s="54"/>
      <c r="L535" s="54"/>
      <c r="M535" s="54"/>
      <c r="N535" s="54"/>
      <c r="O535" s="54"/>
      <c r="P535" s="86"/>
      <c r="Q535" s="54"/>
      <c r="R535" s="54"/>
    </row>
    <row r="536">
      <c r="A536" s="54"/>
      <c r="B536" s="114"/>
      <c r="C536" s="114"/>
      <c r="D536" s="114"/>
      <c r="E536" s="114"/>
      <c r="F536" s="114"/>
      <c r="G536" s="114"/>
      <c r="H536" s="54"/>
      <c r="I536" s="54"/>
      <c r="J536" s="54"/>
      <c r="K536" s="54"/>
      <c r="L536" s="54"/>
      <c r="M536" s="54"/>
      <c r="N536" s="54"/>
      <c r="O536" s="54"/>
      <c r="P536" s="86"/>
      <c r="Q536" s="54"/>
      <c r="R536" s="54"/>
    </row>
    <row r="537">
      <c r="A537" s="54"/>
      <c r="B537" s="114"/>
      <c r="C537" s="114"/>
      <c r="D537" s="114"/>
      <c r="E537" s="114"/>
      <c r="F537" s="114"/>
      <c r="G537" s="114"/>
      <c r="H537" s="54"/>
      <c r="I537" s="54"/>
      <c r="J537" s="54"/>
      <c r="K537" s="54"/>
      <c r="L537" s="54"/>
      <c r="M537" s="54"/>
      <c r="N537" s="54"/>
      <c r="O537" s="54"/>
      <c r="P537" s="86"/>
      <c r="Q537" s="54"/>
      <c r="R537" s="54"/>
    </row>
    <row r="538">
      <c r="A538" s="54"/>
      <c r="B538" s="114"/>
      <c r="C538" s="114"/>
      <c r="D538" s="114"/>
      <c r="E538" s="114"/>
      <c r="F538" s="114"/>
      <c r="G538" s="114"/>
      <c r="H538" s="54"/>
      <c r="I538" s="54"/>
      <c r="J538" s="54"/>
      <c r="K538" s="54"/>
      <c r="L538" s="54"/>
      <c r="M538" s="54"/>
      <c r="N538" s="54"/>
      <c r="O538" s="54"/>
      <c r="P538" s="86"/>
      <c r="Q538" s="54"/>
      <c r="R538" s="54"/>
    </row>
    <row r="539">
      <c r="A539" s="54"/>
      <c r="B539" s="114"/>
      <c r="C539" s="114"/>
      <c r="D539" s="114"/>
      <c r="E539" s="114"/>
      <c r="F539" s="114"/>
      <c r="G539" s="114"/>
      <c r="H539" s="54"/>
      <c r="I539" s="54"/>
      <c r="J539" s="54"/>
      <c r="K539" s="54"/>
      <c r="L539" s="54"/>
      <c r="M539" s="54"/>
      <c r="N539" s="54"/>
      <c r="O539" s="54"/>
      <c r="P539" s="86"/>
      <c r="Q539" s="54"/>
      <c r="R539" s="54"/>
    </row>
    <row r="540">
      <c r="A540" s="54"/>
      <c r="B540" s="114"/>
      <c r="C540" s="114"/>
      <c r="D540" s="114"/>
      <c r="E540" s="114"/>
      <c r="F540" s="114"/>
      <c r="G540" s="114"/>
      <c r="H540" s="54"/>
      <c r="I540" s="54"/>
      <c r="J540" s="54"/>
      <c r="K540" s="54"/>
      <c r="L540" s="54"/>
      <c r="M540" s="54"/>
      <c r="N540" s="54"/>
      <c r="O540" s="54"/>
      <c r="P540" s="86"/>
      <c r="Q540" s="54"/>
      <c r="R540" s="54"/>
    </row>
    <row r="541">
      <c r="A541" s="54"/>
      <c r="B541" s="114"/>
      <c r="C541" s="114"/>
      <c r="D541" s="114"/>
      <c r="E541" s="114"/>
      <c r="F541" s="114"/>
      <c r="G541" s="114"/>
      <c r="H541" s="54"/>
      <c r="I541" s="54"/>
      <c r="J541" s="54"/>
      <c r="K541" s="54"/>
      <c r="L541" s="54"/>
      <c r="M541" s="54"/>
      <c r="N541" s="54"/>
      <c r="O541" s="54"/>
      <c r="P541" s="86"/>
      <c r="Q541" s="54"/>
      <c r="R541" s="54"/>
    </row>
    <row r="542">
      <c r="A542" s="54"/>
      <c r="B542" s="114"/>
      <c r="C542" s="114"/>
      <c r="D542" s="114"/>
      <c r="E542" s="114"/>
      <c r="F542" s="114"/>
      <c r="G542" s="114"/>
      <c r="H542" s="54"/>
      <c r="I542" s="54"/>
      <c r="J542" s="54"/>
      <c r="K542" s="54"/>
      <c r="L542" s="54"/>
      <c r="M542" s="54"/>
      <c r="N542" s="54"/>
      <c r="O542" s="54"/>
      <c r="P542" s="86"/>
      <c r="Q542" s="54"/>
      <c r="R542" s="54"/>
    </row>
    <row r="543">
      <c r="A543" s="54"/>
      <c r="B543" s="114"/>
      <c r="C543" s="114"/>
      <c r="D543" s="114"/>
      <c r="E543" s="114"/>
      <c r="F543" s="114"/>
      <c r="G543" s="114"/>
      <c r="H543" s="54"/>
      <c r="I543" s="54"/>
      <c r="J543" s="54"/>
      <c r="K543" s="54"/>
      <c r="L543" s="54"/>
      <c r="M543" s="54"/>
      <c r="N543" s="54"/>
      <c r="O543" s="54"/>
      <c r="P543" s="86"/>
      <c r="Q543" s="54"/>
      <c r="R543" s="54"/>
    </row>
    <row r="544">
      <c r="A544" s="54"/>
      <c r="B544" s="114"/>
      <c r="C544" s="114"/>
      <c r="D544" s="114"/>
      <c r="E544" s="114"/>
      <c r="F544" s="114"/>
      <c r="G544" s="114"/>
      <c r="H544" s="54"/>
      <c r="I544" s="54"/>
      <c r="J544" s="54"/>
      <c r="K544" s="54"/>
      <c r="L544" s="54"/>
      <c r="M544" s="54"/>
      <c r="N544" s="54"/>
      <c r="O544" s="54"/>
      <c r="P544" s="86"/>
      <c r="Q544" s="54"/>
      <c r="R544" s="54"/>
    </row>
    <row r="545">
      <c r="A545" s="54"/>
      <c r="B545" s="114"/>
      <c r="C545" s="114"/>
      <c r="D545" s="114"/>
      <c r="E545" s="114"/>
      <c r="F545" s="114"/>
      <c r="G545" s="114"/>
      <c r="H545" s="54"/>
      <c r="I545" s="54"/>
      <c r="J545" s="54"/>
      <c r="K545" s="54"/>
      <c r="L545" s="54"/>
      <c r="M545" s="54"/>
      <c r="N545" s="54"/>
      <c r="O545" s="54"/>
      <c r="P545" s="86"/>
      <c r="Q545" s="54"/>
      <c r="R545" s="54"/>
    </row>
    <row r="546">
      <c r="A546" s="54"/>
      <c r="B546" s="114"/>
      <c r="C546" s="114"/>
      <c r="D546" s="114"/>
      <c r="E546" s="114"/>
      <c r="F546" s="114"/>
      <c r="G546" s="114"/>
      <c r="H546" s="54"/>
      <c r="I546" s="54"/>
      <c r="J546" s="54"/>
      <c r="K546" s="54"/>
      <c r="L546" s="54"/>
      <c r="M546" s="54"/>
      <c r="N546" s="54"/>
      <c r="O546" s="54"/>
      <c r="P546" s="86"/>
      <c r="Q546" s="54"/>
      <c r="R546" s="54"/>
    </row>
    <row r="547">
      <c r="A547" s="54"/>
      <c r="B547" s="114"/>
      <c r="C547" s="114"/>
      <c r="D547" s="114"/>
      <c r="E547" s="114"/>
      <c r="F547" s="114"/>
      <c r="G547" s="114"/>
      <c r="H547" s="54"/>
      <c r="I547" s="54"/>
      <c r="J547" s="54"/>
      <c r="K547" s="54"/>
      <c r="L547" s="54"/>
      <c r="M547" s="54"/>
      <c r="N547" s="54"/>
      <c r="O547" s="54"/>
      <c r="P547" s="86"/>
      <c r="Q547" s="54"/>
      <c r="R547" s="54"/>
    </row>
    <row r="548">
      <c r="A548" s="54"/>
      <c r="B548" s="114"/>
      <c r="C548" s="114"/>
      <c r="D548" s="114"/>
      <c r="E548" s="114"/>
      <c r="F548" s="114"/>
      <c r="G548" s="114"/>
      <c r="H548" s="54"/>
      <c r="I548" s="54"/>
      <c r="J548" s="54"/>
      <c r="K548" s="54"/>
      <c r="L548" s="54"/>
      <c r="M548" s="54"/>
      <c r="N548" s="54"/>
      <c r="O548" s="54"/>
      <c r="P548" s="86"/>
      <c r="Q548" s="54"/>
      <c r="R548" s="54"/>
    </row>
    <row r="549">
      <c r="A549" s="54"/>
      <c r="B549" s="114"/>
      <c r="C549" s="114"/>
      <c r="D549" s="114"/>
      <c r="E549" s="114"/>
      <c r="F549" s="114"/>
      <c r="G549" s="114"/>
      <c r="H549" s="54"/>
      <c r="I549" s="54"/>
      <c r="J549" s="54"/>
      <c r="K549" s="54"/>
      <c r="L549" s="54"/>
      <c r="M549" s="54"/>
      <c r="N549" s="54"/>
      <c r="O549" s="54"/>
      <c r="P549" s="86"/>
      <c r="Q549" s="54"/>
      <c r="R549" s="54"/>
    </row>
    <row r="550">
      <c r="A550" s="54"/>
      <c r="B550" s="114"/>
      <c r="C550" s="114"/>
      <c r="D550" s="114"/>
      <c r="E550" s="114"/>
      <c r="F550" s="114"/>
      <c r="G550" s="114"/>
      <c r="H550" s="54"/>
      <c r="I550" s="54"/>
      <c r="J550" s="54"/>
      <c r="K550" s="54"/>
      <c r="L550" s="54"/>
      <c r="M550" s="54"/>
      <c r="N550" s="54"/>
      <c r="O550" s="54"/>
      <c r="P550" s="86"/>
      <c r="Q550" s="54"/>
      <c r="R550" s="54"/>
    </row>
    <row r="551">
      <c r="A551" s="54"/>
      <c r="B551" s="114"/>
      <c r="C551" s="114"/>
      <c r="D551" s="114"/>
      <c r="E551" s="114"/>
      <c r="F551" s="114"/>
      <c r="G551" s="114"/>
      <c r="H551" s="54"/>
      <c r="I551" s="54"/>
      <c r="J551" s="54"/>
      <c r="K551" s="54"/>
      <c r="L551" s="54"/>
      <c r="M551" s="54"/>
      <c r="N551" s="54"/>
      <c r="O551" s="54"/>
      <c r="P551" s="86"/>
      <c r="Q551" s="54"/>
      <c r="R551" s="54"/>
    </row>
    <row r="552">
      <c r="A552" s="54"/>
      <c r="B552" s="114"/>
      <c r="C552" s="114"/>
      <c r="D552" s="114"/>
      <c r="E552" s="114"/>
      <c r="F552" s="114"/>
      <c r="G552" s="114"/>
      <c r="H552" s="54"/>
      <c r="I552" s="54"/>
      <c r="J552" s="54"/>
      <c r="K552" s="54"/>
      <c r="L552" s="54"/>
      <c r="M552" s="54"/>
      <c r="N552" s="54"/>
      <c r="O552" s="54"/>
      <c r="P552" s="86"/>
      <c r="Q552" s="54"/>
      <c r="R552" s="54"/>
    </row>
    <row r="553">
      <c r="A553" s="54"/>
      <c r="B553" s="114"/>
      <c r="C553" s="114"/>
      <c r="D553" s="114"/>
      <c r="E553" s="114"/>
      <c r="F553" s="114"/>
      <c r="G553" s="114"/>
      <c r="H553" s="54"/>
      <c r="I553" s="54"/>
      <c r="J553" s="54"/>
      <c r="K553" s="54"/>
      <c r="L553" s="54"/>
      <c r="M553" s="54"/>
      <c r="N553" s="54"/>
      <c r="O553" s="54"/>
      <c r="P553" s="86"/>
      <c r="Q553" s="54"/>
      <c r="R553" s="54"/>
    </row>
    <row r="554">
      <c r="A554" s="54"/>
      <c r="B554" s="114"/>
      <c r="C554" s="114"/>
      <c r="D554" s="114"/>
      <c r="E554" s="114"/>
      <c r="F554" s="114"/>
      <c r="G554" s="114"/>
      <c r="H554" s="54"/>
      <c r="I554" s="54"/>
      <c r="J554" s="54"/>
      <c r="K554" s="54"/>
      <c r="L554" s="54"/>
      <c r="M554" s="54"/>
      <c r="N554" s="54"/>
      <c r="O554" s="54"/>
      <c r="P554" s="86"/>
      <c r="Q554" s="54"/>
      <c r="R554" s="54"/>
    </row>
    <row r="555">
      <c r="A555" s="54"/>
      <c r="B555" s="114"/>
      <c r="C555" s="114"/>
      <c r="D555" s="114"/>
      <c r="E555" s="114"/>
      <c r="F555" s="114"/>
      <c r="G555" s="114"/>
      <c r="H555" s="54"/>
      <c r="I555" s="54"/>
      <c r="J555" s="54"/>
      <c r="K555" s="54"/>
      <c r="L555" s="54"/>
      <c r="M555" s="54"/>
      <c r="N555" s="54"/>
      <c r="O555" s="54"/>
      <c r="P555" s="86"/>
      <c r="Q555" s="54"/>
      <c r="R555" s="54"/>
    </row>
    <row r="556">
      <c r="A556" s="54"/>
      <c r="B556" s="114"/>
      <c r="C556" s="114"/>
      <c r="D556" s="114"/>
      <c r="E556" s="114"/>
      <c r="F556" s="114"/>
      <c r="G556" s="114"/>
      <c r="H556" s="54"/>
      <c r="I556" s="54"/>
      <c r="J556" s="54"/>
      <c r="K556" s="54"/>
      <c r="L556" s="54"/>
      <c r="M556" s="54"/>
      <c r="N556" s="54"/>
      <c r="O556" s="54"/>
      <c r="P556" s="86"/>
      <c r="Q556" s="54"/>
      <c r="R556" s="54"/>
    </row>
    <row r="557">
      <c r="A557" s="54"/>
      <c r="B557" s="114"/>
      <c r="C557" s="114"/>
      <c r="D557" s="114"/>
      <c r="E557" s="114"/>
      <c r="F557" s="114"/>
      <c r="G557" s="114"/>
      <c r="H557" s="54"/>
      <c r="I557" s="54"/>
      <c r="J557" s="54"/>
      <c r="K557" s="54"/>
      <c r="L557" s="54"/>
      <c r="M557" s="54"/>
      <c r="N557" s="54"/>
      <c r="O557" s="54"/>
      <c r="P557" s="86"/>
      <c r="Q557" s="54"/>
      <c r="R557" s="54"/>
    </row>
    <row r="558">
      <c r="A558" s="54"/>
      <c r="B558" s="114"/>
      <c r="C558" s="114"/>
      <c r="D558" s="114"/>
      <c r="E558" s="114"/>
      <c r="F558" s="114"/>
      <c r="G558" s="114"/>
      <c r="H558" s="54"/>
      <c r="I558" s="54"/>
      <c r="J558" s="54"/>
      <c r="K558" s="54"/>
      <c r="L558" s="54"/>
      <c r="M558" s="54"/>
      <c r="N558" s="54"/>
      <c r="O558" s="54"/>
      <c r="P558" s="86"/>
      <c r="Q558" s="54"/>
      <c r="R558" s="54"/>
    </row>
    <row r="559">
      <c r="A559" s="54"/>
      <c r="B559" s="114"/>
      <c r="C559" s="114"/>
      <c r="D559" s="114"/>
      <c r="E559" s="114"/>
      <c r="F559" s="114"/>
      <c r="G559" s="114"/>
      <c r="H559" s="54"/>
      <c r="I559" s="54"/>
      <c r="J559" s="54"/>
      <c r="K559" s="54"/>
      <c r="L559" s="54"/>
      <c r="M559" s="54"/>
      <c r="N559" s="54"/>
      <c r="O559" s="54"/>
      <c r="P559" s="86"/>
      <c r="Q559" s="54"/>
      <c r="R559" s="54"/>
    </row>
    <row r="560">
      <c r="A560" s="54"/>
      <c r="B560" s="114"/>
      <c r="C560" s="114"/>
      <c r="D560" s="114"/>
      <c r="E560" s="114"/>
      <c r="F560" s="114"/>
      <c r="G560" s="114"/>
      <c r="H560" s="54"/>
      <c r="I560" s="54"/>
      <c r="J560" s="54"/>
      <c r="K560" s="54"/>
      <c r="L560" s="54"/>
      <c r="M560" s="54"/>
      <c r="N560" s="54"/>
      <c r="O560" s="54"/>
      <c r="P560" s="86"/>
      <c r="Q560" s="54"/>
      <c r="R560" s="54"/>
    </row>
    <row r="561">
      <c r="A561" s="54"/>
      <c r="B561" s="114"/>
      <c r="C561" s="114"/>
      <c r="D561" s="114"/>
      <c r="E561" s="114"/>
      <c r="F561" s="114"/>
      <c r="G561" s="114"/>
      <c r="H561" s="54"/>
      <c r="I561" s="54"/>
      <c r="J561" s="54"/>
      <c r="K561" s="54"/>
      <c r="L561" s="54"/>
      <c r="M561" s="54"/>
      <c r="N561" s="54"/>
      <c r="O561" s="54"/>
      <c r="P561" s="86"/>
      <c r="Q561" s="54"/>
      <c r="R561" s="54"/>
    </row>
    <row r="562">
      <c r="A562" s="54"/>
      <c r="B562" s="114"/>
      <c r="C562" s="114"/>
      <c r="D562" s="114"/>
      <c r="E562" s="114"/>
      <c r="F562" s="114"/>
      <c r="G562" s="114"/>
      <c r="H562" s="54"/>
      <c r="I562" s="54"/>
      <c r="J562" s="54"/>
      <c r="K562" s="54"/>
      <c r="L562" s="54"/>
      <c r="M562" s="54"/>
      <c r="N562" s="54"/>
      <c r="O562" s="54"/>
      <c r="P562" s="86"/>
      <c r="Q562" s="54"/>
      <c r="R562" s="54"/>
    </row>
    <row r="563">
      <c r="A563" s="54"/>
      <c r="B563" s="114"/>
      <c r="C563" s="114"/>
      <c r="D563" s="114"/>
      <c r="E563" s="114"/>
      <c r="F563" s="114"/>
      <c r="G563" s="114"/>
      <c r="H563" s="54"/>
      <c r="I563" s="54"/>
      <c r="J563" s="54"/>
      <c r="K563" s="54"/>
      <c r="L563" s="54"/>
      <c r="M563" s="54"/>
      <c r="N563" s="54"/>
      <c r="O563" s="54"/>
      <c r="P563" s="86"/>
      <c r="Q563" s="54"/>
      <c r="R563" s="54"/>
    </row>
    <row r="564">
      <c r="A564" s="54"/>
      <c r="B564" s="114"/>
      <c r="C564" s="114"/>
      <c r="D564" s="114"/>
      <c r="E564" s="114"/>
      <c r="F564" s="114"/>
      <c r="G564" s="114"/>
      <c r="H564" s="54"/>
      <c r="I564" s="54"/>
      <c r="J564" s="54"/>
      <c r="K564" s="54"/>
      <c r="L564" s="54"/>
      <c r="M564" s="54"/>
      <c r="N564" s="54"/>
      <c r="O564" s="54"/>
      <c r="P564" s="86"/>
      <c r="Q564" s="54"/>
      <c r="R564" s="54"/>
    </row>
    <row r="565">
      <c r="A565" s="54"/>
      <c r="B565" s="114"/>
      <c r="C565" s="114"/>
      <c r="D565" s="114"/>
      <c r="E565" s="114"/>
      <c r="F565" s="114"/>
      <c r="G565" s="114"/>
      <c r="H565" s="54"/>
      <c r="I565" s="54"/>
      <c r="J565" s="54"/>
      <c r="K565" s="54"/>
      <c r="L565" s="54"/>
      <c r="M565" s="54"/>
      <c r="N565" s="54"/>
      <c r="O565" s="54"/>
      <c r="P565" s="86"/>
      <c r="Q565" s="54"/>
      <c r="R565" s="54"/>
    </row>
    <row r="566">
      <c r="A566" s="54"/>
      <c r="B566" s="114"/>
      <c r="C566" s="114"/>
      <c r="D566" s="114"/>
      <c r="E566" s="114"/>
      <c r="F566" s="114"/>
      <c r="G566" s="114"/>
      <c r="H566" s="54"/>
      <c r="I566" s="54"/>
      <c r="J566" s="54"/>
      <c r="K566" s="54"/>
      <c r="L566" s="54"/>
      <c r="M566" s="54"/>
      <c r="N566" s="54"/>
      <c r="O566" s="54"/>
      <c r="P566" s="86"/>
      <c r="Q566" s="54"/>
      <c r="R566" s="54"/>
    </row>
    <row r="567">
      <c r="A567" s="54"/>
      <c r="B567" s="114"/>
      <c r="C567" s="114"/>
      <c r="D567" s="114"/>
      <c r="E567" s="114"/>
      <c r="F567" s="114"/>
      <c r="G567" s="114"/>
      <c r="H567" s="54"/>
      <c r="I567" s="54"/>
      <c r="J567" s="54"/>
      <c r="K567" s="54"/>
      <c r="L567" s="54"/>
      <c r="M567" s="54"/>
      <c r="N567" s="54"/>
      <c r="O567" s="54"/>
      <c r="P567" s="86"/>
      <c r="Q567" s="54"/>
      <c r="R567" s="54"/>
    </row>
    <row r="568">
      <c r="A568" s="54"/>
      <c r="B568" s="114"/>
      <c r="C568" s="114"/>
      <c r="D568" s="114"/>
      <c r="E568" s="114"/>
      <c r="F568" s="114"/>
      <c r="G568" s="114"/>
      <c r="H568" s="54"/>
      <c r="I568" s="54"/>
      <c r="J568" s="54"/>
      <c r="K568" s="54"/>
      <c r="L568" s="54"/>
      <c r="M568" s="54"/>
      <c r="N568" s="54"/>
      <c r="O568" s="54"/>
      <c r="P568" s="86"/>
      <c r="Q568" s="54"/>
      <c r="R568" s="54"/>
    </row>
    <row r="569">
      <c r="A569" s="54"/>
      <c r="B569" s="114"/>
      <c r="C569" s="114"/>
      <c r="D569" s="114"/>
      <c r="E569" s="114"/>
      <c r="F569" s="114"/>
      <c r="G569" s="114"/>
      <c r="H569" s="54"/>
      <c r="I569" s="54"/>
      <c r="J569" s="54"/>
      <c r="K569" s="54"/>
      <c r="L569" s="54"/>
      <c r="M569" s="54"/>
      <c r="N569" s="54"/>
      <c r="O569" s="54"/>
      <c r="P569" s="86"/>
      <c r="Q569" s="54"/>
      <c r="R569" s="54"/>
    </row>
    <row r="570">
      <c r="A570" s="54"/>
      <c r="B570" s="114"/>
      <c r="C570" s="114"/>
      <c r="D570" s="114"/>
      <c r="E570" s="114"/>
      <c r="F570" s="114"/>
      <c r="G570" s="114"/>
      <c r="H570" s="54"/>
      <c r="I570" s="54"/>
      <c r="J570" s="54"/>
      <c r="K570" s="54"/>
      <c r="L570" s="54"/>
      <c r="M570" s="54"/>
      <c r="N570" s="54"/>
      <c r="O570" s="54"/>
      <c r="P570" s="86"/>
      <c r="Q570" s="54"/>
      <c r="R570" s="54"/>
    </row>
    <row r="571">
      <c r="A571" s="54"/>
      <c r="B571" s="114"/>
      <c r="C571" s="114"/>
      <c r="D571" s="114"/>
      <c r="E571" s="114"/>
      <c r="F571" s="114"/>
      <c r="G571" s="114"/>
      <c r="H571" s="54"/>
      <c r="I571" s="54"/>
      <c r="J571" s="54"/>
      <c r="K571" s="54"/>
      <c r="L571" s="54"/>
      <c r="M571" s="54"/>
      <c r="N571" s="54"/>
      <c r="O571" s="54"/>
      <c r="P571" s="86"/>
      <c r="Q571" s="54"/>
      <c r="R571" s="54"/>
    </row>
    <row r="572">
      <c r="A572" s="54"/>
      <c r="B572" s="114"/>
      <c r="C572" s="114"/>
      <c r="D572" s="114"/>
      <c r="E572" s="114"/>
      <c r="F572" s="114"/>
      <c r="G572" s="114"/>
      <c r="H572" s="54"/>
      <c r="I572" s="54"/>
      <c r="J572" s="54"/>
      <c r="K572" s="54"/>
      <c r="L572" s="54"/>
      <c r="M572" s="54"/>
      <c r="N572" s="54"/>
      <c r="O572" s="54"/>
      <c r="P572" s="86"/>
      <c r="Q572" s="54"/>
      <c r="R572" s="54"/>
    </row>
    <row r="573">
      <c r="A573" s="54"/>
      <c r="B573" s="114"/>
      <c r="C573" s="114"/>
      <c r="D573" s="114"/>
      <c r="E573" s="114"/>
      <c r="F573" s="114"/>
      <c r="G573" s="114"/>
      <c r="H573" s="54"/>
      <c r="I573" s="54"/>
      <c r="J573" s="54"/>
      <c r="K573" s="54"/>
      <c r="L573" s="54"/>
      <c r="M573" s="54"/>
      <c r="N573" s="54"/>
      <c r="O573" s="54"/>
      <c r="P573" s="86"/>
      <c r="Q573" s="54"/>
      <c r="R573" s="54"/>
    </row>
    <row r="574">
      <c r="A574" s="54"/>
      <c r="B574" s="114"/>
      <c r="C574" s="114"/>
      <c r="D574" s="114"/>
      <c r="E574" s="114"/>
      <c r="F574" s="114"/>
      <c r="G574" s="114"/>
      <c r="H574" s="54"/>
      <c r="I574" s="54"/>
      <c r="J574" s="54"/>
      <c r="K574" s="54"/>
      <c r="L574" s="54"/>
      <c r="M574" s="54"/>
      <c r="N574" s="54"/>
      <c r="O574" s="54"/>
      <c r="P574" s="86"/>
      <c r="Q574" s="54"/>
      <c r="R574" s="54"/>
    </row>
    <row r="575">
      <c r="A575" s="54"/>
      <c r="B575" s="114"/>
      <c r="C575" s="114"/>
      <c r="D575" s="114"/>
      <c r="E575" s="114"/>
      <c r="F575" s="114"/>
      <c r="G575" s="114"/>
      <c r="H575" s="54"/>
      <c r="I575" s="54"/>
      <c r="J575" s="54"/>
      <c r="K575" s="54"/>
      <c r="L575" s="54"/>
      <c r="M575" s="54"/>
      <c r="N575" s="54"/>
      <c r="O575" s="54"/>
      <c r="P575" s="86"/>
      <c r="Q575" s="54"/>
      <c r="R575" s="54"/>
    </row>
    <row r="576">
      <c r="A576" s="54"/>
      <c r="B576" s="114"/>
      <c r="C576" s="114"/>
      <c r="D576" s="114"/>
      <c r="E576" s="114"/>
      <c r="F576" s="114"/>
      <c r="G576" s="114"/>
      <c r="H576" s="54"/>
      <c r="I576" s="54"/>
      <c r="J576" s="54"/>
      <c r="K576" s="54"/>
      <c r="L576" s="54"/>
      <c r="M576" s="54"/>
      <c r="N576" s="54"/>
      <c r="O576" s="54"/>
      <c r="P576" s="86"/>
      <c r="Q576" s="54"/>
      <c r="R576" s="54"/>
    </row>
    <row r="577">
      <c r="A577" s="54"/>
      <c r="B577" s="114"/>
      <c r="C577" s="114"/>
      <c r="D577" s="114"/>
      <c r="E577" s="114"/>
      <c r="F577" s="114"/>
      <c r="G577" s="114"/>
      <c r="H577" s="54"/>
      <c r="I577" s="54"/>
      <c r="J577" s="54"/>
      <c r="K577" s="54"/>
      <c r="L577" s="54"/>
      <c r="M577" s="54"/>
      <c r="N577" s="54"/>
      <c r="O577" s="54"/>
      <c r="P577" s="86"/>
      <c r="Q577" s="54"/>
      <c r="R577" s="54"/>
    </row>
    <row r="578">
      <c r="A578" s="54"/>
      <c r="B578" s="114"/>
      <c r="C578" s="114"/>
      <c r="D578" s="114"/>
      <c r="E578" s="114"/>
      <c r="F578" s="114"/>
      <c r="G578" s="114"/>
      <c r="H578" s="54"/>
      <c r="I578" s="54"/>
      <c r="J578" s="54"/>
      <c r="K578" s="54"/>
      <c r="L578" s="54"/>
      <c r="M578" s="54"/>
      <c r="N578" s="54"/>
      <c r="O578" s="54"/>
      <c r="P578" s="86"/>
      <c r="Q578" s="54"/>
      <c r="R578" s="54"/>
    </row>
    <row r="579">
      <c r="A579" s="54"/>
      <c r="B579" s="114"/>
      <c r="C579" s="114"/>
      <c r="D579" s="114"/>
      <c r="E579" s="114"/>
      <c r="F579" s="114"/>
      <c r="G579" s="114"/>
      <c r="H579" s="54"/>
      <c r="I579" s="54"/>
      <c r="J579" s="54"/>
      <c r="K579" s="54"/>
      <c r="L579" s="54"/>
      <c r="M579" s="54"/>
      <c r="N579" s="54"/>
      <c r="O579" s="54"/>
      <c r="P579" s="86"/>
      <c r="Q579" s="54"/>
      <c r="R579" s="54"/>
    </row>
    <row r="580">
      <c r="A580" s="54"/>
      <c r="B580" s="114"/>
      <c r="C580" s="114"/>
      <c r="D580" s="114"/>
      <c r="E580" s="114"/>
      <c r="F580" s="114"/>
      <c r="G580" s="114"/>
      <c r="H580" s="54"/>
      <c r="I580" s="54"/>
      <c r="J580" s="54"/>
      <c r="K580" s="54"/>
      <c r="L580" s="54"/>
      <c r="M580" s="54"/>
      <c r="N580" s="54"/>
      <c r="O580" s="54"/>
      <c r="P580" s="86"/>
      <c r="Q580" s="54"/>
      <c r="R580" s="54"/>
    </row>
    <row r="581">
      <c r="A581" s="54"/>
      <c r="B581" s="114"/>
      <c r="C581" s="114"/>
      <c r="D581" s="114"/>
      <c r="E581" s="114"/>
      <c r="F581" s="114"/>
      <c r="G581" s="114"/>
      <c r="H581" s="54"/>
      <c r="I581" s="54"/>
      <c r="J581" s="54"/>
      <c r="K581" s="54"/>
      <c r="L581" s="54"/>
      <c r="M581" s="54"/>
      <c r="N581" s="54"/>
      <c r="O581" s="54"/>
      <c r="P581" s="86"/>
      <c r="Q581" s="54"/>
      <c r="R581" s="54"/>
    </row>
    <row r="582">
      <c r="A582" s="54"/>
      <c r="B582" s="114"/>
      <c r="C582" s="114"/>
      <c r="D582" s="114"/>
      <c r="E582" s="114"/>
      <c r="F582" s="114"/>
      <c r="G582" s="114"/>
      <c r="H582" s="54"/>
      <c r="I582" s="54"/>
      <c r="J582" s="54"/>
      <c r="K582" s="54"/>
      <c r="L582" s="54"/>
      <c r="M582" s="54"/>
      <c r="N582" s="54"/>
      <c r="O582" s="54"/>
      <c r="P582" s="86"/>
      <c r="Q582" s="54"/>
      <c r="R582" s="54"/>
    </row>
    <row r="583">
      <c r="A583" s="54"/>
      <c r="B583" s="114"/>
      <c r="C583" s="114"/>
      <c r="D583" s="114"/>
      <c r="E583" s="114"/>
      <c r="F583" s="114"/>
      <c r="G583" s="114"/>
      <c r="H583" s="54"/>
      <c r="I583" s="54"/>
      <c r="J583" s="54"/>
      <c r="K583" s="54"/>
      <c r="L583" s="54"/>
      <c r="M583" s="54"/>
      <c r="N583" s="54"/>
      <c r="O583" s="54"/>
      <c r="P583" s="86"/>
      <c r="Q583" s="54"/>
      <c r="R583" s="54"/>
    </row>
    <row r="584">
      <c r="A584" s="54"/>
      <c r="B584" s="114"/>
      <c r="C584" s="114"/>
      <c r="D584" s="114"/>
      <c r="E584" s="114"/>
      <c r="F584" s="114"/>
      <c r="G584" s="114"/>
      <c r="H584" s="54"/>
      <c r="I584" s="54"/>
      <c r="J584" s="54"/>
      <c r="K584" s="54"/>
      <c r="L584" s="54"/>
      <c r="M584" s="54"/>
      <c r="N584" s="54"/>
      <c r="O584" s="54"/>
      <c r="P584" s="86"/>
      <c r="Q584" s="54"/>
      <c r="R584" s="54"/>
    </row>
    <row r="585">
      <c r="A585" s="54"/>
      <c r="B585" s="114"/>
      <c r="C585" s="114"/>
      <c r="D585" s="114"/>
      <c r="E585" s="114"/>
      <c r="F585" s="114"/>
      <c r="G585" s="114"/>
      <c r="H585" s="54"/>
      <c r="I585" s="54"/>
      <c r="J585" s="54"/>
      <c r="K585" s="54"/>
      <c r="L585" s="54"/>
      <c r="M585" s="54"/>
      <c r="N585" s="54"/>
      <c r="O585" s="54"/>
      <c r="P585" s="86"/>
      <c r="Q585" s="54"/>
      <c r="R585" s="54"/>
    </row>
    <row r="586">
      <c r="A586" s="54"/>
      <c r="B586" s="114"/>
      <c r="C586" s="114"/>
      <c r="D586" s="114"/>
      <c r="E586" s="114"/>
      <c r="F586" s="114"/>
      <c r="G586" s="114"/>
      <c r="H586" s="54"/>
      <c r="I586" s="54"/>
      <c r="J586" s="54"/>
      <c r="K586" s="54"/>
      <c r="L586" s="54"/>
      <c r="M586" s="54"/>
      <c r="N586" s="54"/>
      <c r="O586" s="54"/>
      <c r="P586" s="86"/>
      <c r="Q586" s="54"/>
      <c r="R586" s="54"/>
    </row>
    <row r="587">
      <c r="A587" s="54"/>
      <c r="B587" s="114"/>
      <c r="C587" s="114"/>
      <c r="D587" s="114"/>
      <c r="E587" s="114"/>
      <c r="F587" s="114"/>
      <c r="G587" s="114"/>
      <c r="H587" s="54"/>
      <c r="I587" s="54"/>
      <c r="J587" s="54"/>
      <c r="K587" s="54"/>
      <c r="L587" s="54"/>
      <c r="M587" s="54"/>
      <c r="N587" s="54"/>
      <c r="O587" s="54"/>
      <c r="P587" s="86"/>
      <c r="Q587" s="54"/>
      <c r="R587" s="54"/>
    </row>
    <row r="588">
      <c r="A588" s="54"/>
      <c r="B588" s="114"/>
      <c r="C588" s="114"/>
      <c r="D588" s="114"/>
      <c r="E588" s="114"/>
      <c r="F588" s="114"/>
      <c r="G588" s="114"/>
      <c r="H588" s="54"/>
      <c r="I588" s="54"/>
      <c r="J588" s="54"/>
      <c r="K588" s="54"/>
      <c r="L588" s="54"/>
      <c r="M588" s="54"/>
      <c r="N588" s="54"/>
      <c r="O588" s="54"/>
      <c r="P588" s="86"/>
      <c r="Q588" s="54"/>
      <c r="R588" s="54"/>
    </row>
    <row r="589">
      <c r="A589" s="54"/>
      <c r="B589" s="114"/>
      <c r="C589" s="114"/>
      <c r="D589" s="114"/>
      <c r="E589" s="114"/>
      <c r="F589" s="114"/>
      <c r="G589" s="114"/>
      <c r="H589" s="54"/>
      <c r="I589" s="54"/>
      <c r="J589" s="54"/>
      <c r="K589" s="54"/>
      <c r="L589" s="54"/>
      <c r="M589" s="54"/>
      <c r="N589" s="54"/>
      <c r="O589" s="54"/>
      <c r="P589" s="86"/>
      <c r="Q589" s="54"/>
      <c r="R589" s="54"/>
    </row>
    <row r="590">
      <c r="A590" s="54"/>
      <c r="B590" s="114"/>
      <c r="C590" s="114"/>
      <c r="D590" s="114"/>
      <c r="E590" s="114"/>
      <c r="F590" s="114"/>
      <c r="G590" s="114"/>
      <c r="H590" s="54"/>
      <c r="I590" s="54"/>
      <c r="J590" s="54"/>
      <c r="K590" s="54"/>
      <c r="L590" s="54"/>
      <c r="M590" s="54"/>
      <c r="N590" s="54"/>
      <c r="O590" s="54"/>
      <c r="P590" s="86"/>
      <c r="Q590" s="54"/>
      <c r="R590" s="54"/>
    </row>
    <row r="591">
      <c r="A591" s="54"/>
      <c r="B591" s="114"/>
      <c r="C591" s="114"/>
      <c r="D591" s="114"/>
      <c r="E591" s="114"/>
      <c r="F591" s="114"/>
      <c r="G591" s="114"/>
      <c r="H591" s="54"/>
      <c r="I591" s="54"/>
      <c r="J591" s="54"/>
      <c r="K591" s="54"/>
      <c r="L591" s="54"/>
      <c r="M591" s="54"/>
      <c r="N591" s="54"/>
      <c r="O591" s="54"/>
      <c r="P591" s="86"/>
      <c r="Q591" s="54"/>
      <c r="R591" s="54"/>
    </row>
    <row r="592">
      <c r="A592" s="54"/>
      <c r="B592" s="114"/>
      <c r="C592" s="114"/>
      <c r="D592" s="114"/>
      <c r="E592" s="114"/>
      <c r="F592" s="114"/>
      <c r="G592" s="114"/>
      <c r="H592" s="54"/>
      <c r="I592" s="54"/>
      <c r="J592" s="54"/>
      <c r="K592" s="54"/>
      <c r="L592" s="54"/>
      <c r="M592" s="54"/>
      <c r="N592" s="54"/>
      <c r="O592" s="54"/>
      <c r="P592" s="86"/>
      <c r="Q592" s="54"/>
      <c r="R592" s="54"/>
    </row>
    <row r="593">
      <c r="A593" s="54"/>
      <c r="B593" s="114"/>
      <c r="C593" s="114"/>
      <c r="D593" s="114"/>
      <c r="E593" s="114"/>
      <c r="F593" s="114"/>
      <c r="G593" s="114"/>
      <c r="H593" s="54"/>
      <c r="I593" s="54"/>
      <c r="J593" s="54"/>
      <c r="K593" s="54"/>
      <c r="L593" s="54"/>
      <c r="M593" s="54"/>
      <c r="N593" s="54"/>
      <c r="O593" s="54"/>
      <c r="P593" s="86"/>
      <c r="Q593" s="54"/>
      <c r="R593" s="54"/>
    </row>
    <row r="594">
      <c r="A594" s="54"/>
      <c r="B594" s="114"/>
      <c r="C594" s="114"/>
      <c r="D594" s="114"/>
      <c r="E594" s="114"/>
      <c r="F594" s="114"/>
      <c r="G594" s="114"/>
      <c r="H594" s="54"/>
      <c r="I594" s="54"/>
      <c r="J594" s="54"/>
      <c r="K594" s="54"/>
      <c r="L594" s="54"/>
      <c r="M594" s="54"/>
      <c r="N594" s="54"/>
      <c r="O594" s="54"/>
      <c r="P594" s="86"/>
      <c r="Q594" s="54"/>
      <c r="R594" s="54"/>
    </row>
    <row r="595">
      <c r="A595" s="54"/>
      <c r="B595" s="114"/>
      <c r="C595" s="114"/>
      <c r="D595" s="114"/>
      <c r="E595" s="114"/>
      <c r="F595" s="114"/>
      <c r="G595" s="114"/>
      <c r="H595" s="54"/>
      <c r="I595" s="54"/>
      <c r="J595" s="54"/>
      <c r="K595" s="54"/>
      <c r="L595" s="54"/>
      <c r="M595" s="54"/>
      <c r="N595" s="54"/>
      <c r="O595" s="54"/>
      <c r="P595" s="86"/>
      <c r="Q595" s="54"/>
      <c r="R595" s="54"/>
    </row>
    <row r="596">
      <c r="A596" s="54"/>
      <c r="B596" s="114"/>
      <c r="C596" s="114"/>
      <c r="D596" s="114"/>
      <c r="E596" s="114"/>
      <c r="F596" s="114"/>
      <c r="G596" s="114"/>
      <c r="H596" s="54"/>
      <c r="I596" s="54"/>
      <c r="J596" s="54"/>
      <c r="K596" s="54"/>
      <c r="L596" s="54"/>
      <c r="M596" s="54"/>
      <c r="N596" s="54"/>
      <c r="O596" s="54"/>
      <c r="P596" s="86"/>
      <c r="Q596" s="54"/>
      <c r="R596" s="54"/>
    </row>
    <row r="597">
      <c r="A597" s="54"/>
      <c r="B597" s="114"/>
      <c r="C597" s="114"/>
      <c r="D597" s="114"/>
      <c r="E597" s="114"/>
      <c r="F597" s="114"/>
      <c r="G597" s="114"/>
      <c r="H597" s="54"/>
      <c r="I597" s="54"/>
      <c r="J597" s="54"/>
      <c r="K597" s="54"/>
      <c r="L597" s="54"/>
      <c r="M597" s="54"/>
      <c r="N597" s="54"/>
      <c r="O597" s="54"/>
      <c r="P597" s="86"/>
      <c r="Q597" s="54"/>
      <c r="R597" s="54"/>
    </row>
    <row r="598">
      <c r="A598" s="54"/>
      <c r="B598" s="114"/>
      <c r="C598" s="114"/>
      <c r="D598" s="114"/>
      <c r="E598" s="114"/>
      <c r="F598" s="114"/>
      <c r="G598" s="114"/>
      <c r="H598" s="54"/>
      <c r="I598" s="54"/>
      <c r="J598" s="54"/>
      <c r="K598" s="54"/>
      <c r="L598" s="54"/>
      <c r="M598" s="54"/>
      <c r="N598" s="54"/>
      <c r="O598" s="54"/>
      <c r="P598" s="86"/>
      <c r="Q598" s="54"/>
      <c r="R598" s="54"/>
    </row>
    <row r="599">
      <c r="A599" s="54"/>
      <c r="B599" s="114"/>
      <c r="C599" s="114"/>
      <c r="D599" s="114"/>
      <c r="E599" s="114"/>
      <c r="F599" s="114"/>
      <c r="G599" s="114"/>
      <c r="H599" s="54"/>
      <c r="I599" s="54"/>
      <c r="J599" s="54"/>
      <c r="K599" s="54"/>
      <c r="L599" s="54"/>
      <c r="M599" s="54"/>
      <c r="N599" s="54"/>
      <c r="O599" s="54"/>
      <c r="P599" s="86"/>
      <c r="Q599" s="54"/>
      <c r="R599" s="54"/>
    </row>
    <row r="600">
      <c r="A600" s="54"/>
      <c r="B600" s="114"/>
      <c r="C600" s="114"/>
      <c r="D600" s="114"/>
      <c r="E600" s="114"/>
      <c r="F600" s="114"/>
      <c r="G600" s="114"/>
      <c r="H600" s="54"/>
      <c r="I600" s="54"/>
      <c r="J600" s="54"/>
      <c r="K600" s="54"/>
      <c r="L600" s="54"/>
      <c r="M600" s="54"/>
      <c r="N600" s="54"/>
      <c r="O600" s="54"/>
      <c r="P600" s="86"/>
      <c r="Q600" s="54"/>
      <c r="R600" s="54"/>
    </row>
    <row r="601">
      <c r="A601" s="54"/>
      <c r="B601" s="114"/>
      <c r="C601" s="114"/>
      <c r="D601" s="114"/>
      <c r="E601" s="114"/>
      <c r="F601" s="114"/>
      <c r="G601" s="114"/>
      <c r="H601" s="54"/>
      <c r="I601" s="54"/>
      <c r="J601" s="54"/>
      <c r="K601" s="54"/>
      <c r="L601" s="54"/>
      <c r="M601" s="54"/>
      <c r="N601" s="54"/>
      <c r="O601" s="54"/>
      <c r="P601" s="86"/>
      <c r="Q601" s="54"/>
      <c r="R601" s="54"/>
    </row>
    <row r="602">
      <c r="A602" s="54"/>
      <c r="B602" s="114"/>
      <c r="C602" s="114"/>
      <c r="D602" s="114"/>
      <c r="E602" s="114"/>
      <c r="F602" s="114"/>
      <c r="G602" s="114"/>
      <c r="H602" s="54"/>
      <c r="I602" s="54"/>
      <c r="J602" s="54"/>
      <c r="K602" s="54"/>
      <c r="L602" s="54"/>
      <c r="M602" s="54"/>
      <c r="N602" s="54"/>
      <c r="O602" s="54"/>
      <c r="P602" s="86"/>
      <c r="Q602" s="54"/>
      <c r="R602" s="54"/>
    </row>
    <row r="603">
      <c r="A603" s="54"/>
      <c r="B603" s="114"/>
      <c r="C603" s="114"/>
      <c r="D603" s="114"/>
      <c r="E603" s="114"/>
      <c r="F603" s="114"/>
      <c r="G603" s="114"/>
      <c r="H603" s="54"/>
      <c r="I603" s="54"/>
      <c r="J603" s="54"/>
      <c r="K603" s="54"/>
      <c r="L603" s="54"/>
      <c r="M603" s="54"/>
      <c r="N603" s="54"/>
      <c r="O603" s="54"/>
      <c r="P603" s="86"/>
      <c r="Q603" s="54"/>
      <c r="R603" s="54"/>
    </row>
    <row r="604">
      <c r="A604" s="54"/>
      <c r="B604" s="114"/>
      <c r="C604" s="114"/>
      <c r="D604" s="114"/>
      <c r="E604" s="114"/>
      <c r="F604" s="114"/>
      <c r="G604" s="114"/>
      <c r="H604" s="54"/>
      <c r="I604" s="54"/>
      <c r="J604" s="54"/>
      <c r="K604" s="54"/>
      <c r="L604" s="54"/>
      <c r="M604" s="54"/>
      <c r="N604" s="54"/>
      <c r="O604" s="54"/>
      <c r="P604" s="86"/>
      <c r="Q604" s="54"/>
      <c r="R604" s="54"/>
    </row>
    <row r="605">
      <c r="A605" s="54"/>
      <c r="B605" s="114"/>
      <c r="C605" s="114"/>
      <c r="D605" s="114"/>
      <c r="E605" s="114"/>
      <c r="F605" s="114"/>
      <c r="G605" s="114"/>
      <c r="H605" s="54"/>
      <c r="I605" s="54"/>
      <c r="J605" s="54"/>
      <c r="K605" s="54"/>
      <c r="L605" s="54"/>
      <c r="M605" s="54"/>
      <c r="N605" s="54"/>
      <c r="O605" s="54"/>
      <c r="P605" s="86"/>
      <c r="Q605" s="54"/>
      <c r="R605" s="54"/>
    </row>
    <row r="606">
      <c r="A606" s="54"/>
      <c r="B606" s="114"/>
      <c r="C606" s="114"/>
      <c r="D606" s="114"/>
      <c r="E606" s="114"/>
      <c r="F606" s="114"/>
      <c r="G606" s="114"/>
      <c r="H606" s="54"/>
      <c r="I606" s="54"/>
      <c r="J606" s="54"/>
      <c r="K606" s="54"/>
      <c r="L606" s="54"/>
      <c r="M606" s="54"/>
      <c r="N606" s="54"/>
      <c r="O606" s="54"/>
      <c r="P606" s="86"/>
      <c r="Q606" s="54"/>
      <c r="R606" s="54"/>
    </row>
    <row r="607">
      <c r="A607" s="54"/>
      <c r="B607" s="114"/>
      <c r="C607" s="114"/>
      <c r="D607" s="114"/>
      <c r="E607" s="114"/>
      <c r="F607" s="114"/>
      <c r="G607" s="114"/>
      <c r="H607" s="54"/>
      <c r="I607" s="54"/>
      <c r="J607" s="54"/>
      <c r="K607" s="54"/>
      <c r="L607" s="54"/>
      <c r="M607" s="54"/>
      <c r="N607" s="54"/>
      <c r="O607" s="54"/>
      <c r="P607" s="86"/>
      <c r="Q607" s="54"/>
      <c r="R607" s="54"/>
    </row>
    <row r="608">
      <c r="A608" s="54"/>
      <c r="B608" s="114"/>
      <c r="C608" s="114"/>
      <c r="D608" s="114"/>
      <c r="E608" s="114"/>
      <c r="F608" s="114"/>
      <c r="G608" s="114"/>
      <c r="H608" s="54"/>
      <c r="I608" s="54"/>
      <c r="J608" s="54"/>
      <c r="K608" s="54"/>
      <c r="L608" s="54"/>
      <c r="M608" s="54"/>
      <c r="N608" s="54"/>
      <c r="O608" s="54"/>
      <c r="P608" s="86"/>
      <c r="Q608" s="54"/>
      <c r="R608" s="54"/>
    </row>
    <row r="609">
      <c r="A609" s="54"/>
      <c r="B609" s="114"/>
      <c r="C609" s="114"/>
      <c r="D609" s="114"/>
      <c r="E609" s="114"/>
      <c r="F609" s="114"/>
      <c r="G609" s="114"/>
      <c r="H609" s="54"/>
      <c r="I609" s="54"/>
      <c r="J609" s="54"/>
      <c r="K609" s="54"/>
      <c r="L609" s="54"/>
      <c r="M609" s="54"/>
      <c r="N609" s="54"/>
      <c r="O609" s="54"/>
      <c r="P609" s="86"/>
      <c r="Q609" s="54"/>
      <c r="R609" s="54"/>
    </row>
    <row r="610">
      <c r="A610" s="54"/>
      <c r="B610" s="114"/>
      <c r="C610" s="114"/>
      <c r="D610" s="114"/>
      <c r="E610" s="114"/>
      <c r="F610" s="114"/>
      <c r="G610" s="114"/>
      <c r="H610" s="54"/>
      <c r="I610" s="54"/>
      <c r="J610" s="54"/>
      <c r="K610" s="54"/>
      <c r="L610" s="54"/>
      <c r="M610" s="54"/>
      <c r="N610" s="54"/>
      <c r="O610" s="54"/>
      <c r="P610" s="86"/>
      <c r="Q610" s="54"/>
      <c r="R610" s="54"/>
    </row>
    <row r="611">
      <c r="A611" s="54"/>
      <c r="B611" s="114"/>
      <c r="C611" s="114"/>
      <c r="D611" s="114"/>
      <c r="E611" s="114"/>
      <c r="F611" s="114"/>
      <c r="G611" s="114"/>
      <c r="H611" s="54"/>
      <c r="I611" s="54"/>
      <c r="J611" s="54"/>
      <c r="K611" s="54"/>
      <c r="L611" s="54"/>
      <c r="M611" s="54"/>
      <c r="N611" s="54"/>
      <c r="O611" s="54"/>
      <c r="P611" s="86"/>
      <c r="Q611" s="54"/>
      <c r="R611" s="54"/>
    </row>
    <row r="612">
      <c r="A612" s="54"/>
      <c r="B612" s="114"/>
      <c r="C612" s="114"/>
      <c r="D612" s="114"/>
      <c r="E612" s="114"/>
      <c r="F612" s="114"/>
      <c r="G612" s="114"/>
      <c r="H612" s="54"/>
      <c r="I612" s="54"/>
      <c r="J612" s="54"/>
      <c r="K612" s="54"/>
      <c r="L612" s="54"/>
      <c r="M612" s="54"/>
      <c r="N612" s="54"/>
      <c r="O612" s="54"/>
      <c r="P612" s="86"/>
      <c r="Q612" s="54"/>
      <c r="R612" s="54"/>
    </row>
    <row r="613">
      <c r="A613" s="54"/>
      <c r="B613" s="114"/>
      <c r="C613" s="114"/>
      <c r="D613" s="114"/>
      <c r="E613" s="114"/>
      <c r="F613" s="114"/>
      <c r="G613" s="114"/>
      <c r="H613" s="54"/>
      <c r="I613" s="54"/>
      <c r="J613" s="54"/>
      <c r="K613" s="54"/>
      <c r="L613" s="54"/>
      <c r="M613" s="54"/>
      <c r="N613" s="54"/>
      <c r="O613" s="54"/>
      <c r="P613" s="86"/>
      <c r="Q613" s="54"/>
      <c r="R613" s="54"/>
    </row>
    <row r="614">
      <c r="A614" s="54"/>
      <c r="B614" s="114"/>
      <c r="C614" s="114"/>
      <c r="D614" s="114"/>
      <c r="E614" s="114"/>
      <c r="F614" s="114"/>
      <c r="G614" s="114"/>
      <c r="H614" s="54"/>
      <c r="I614" s="54"/>
      <c r="J614" s="54"/>
      <c r="K614" s="54"/>
      <c r="L614" s="54"/>
      <c r="M614" s="54"/>
      <c r="N614" s="54"/>
      <c r="O614" s="54"/>
      <c r="P614" s="86"/>
      <c r="Q614" s="54"/>
      <c r="R614" s="54"/>
    </row>
    <row r="615">
      <c r="A615" s="54"/>
      <c r="B615" s="114"/>
      <c r="C615" s="114"/>
      <c r="D615" s="114"/>
      <c r="E615" s="114"/>
      <c r="F615" s="114"/>
      <c r="G615" s="114"/>
      <c r="H615" s="54"/>
      <c r="I615" s="54"/>
      <c r="J615" s="54"/>
      <c r="K615" s="54"/>
      <c r="L615" s="54"/>
      <c r="M615" s="54"/>
      <c r="N615" s="54"/>
      <c r="O615" s="54"/>
      <c r="P615" s="86"/>
      <c r="Q615" s="54"/>
      <c r="R615" s="54"/>
    </row>
    <row r="616">
      <c r="A616" s="54"/>
      <c r="B616" s="114"/>
      <c r="C616" s="114"/>
      <c r="D616" s="114"/>
      <c r="E616" s="114"/>
      <c r="F616" s="114"/>
      <c r="G616" s="114"/>
      <c r="H616" s="54"/>
      <c r="I616" s="54"/>
      <c r="J616" s="54"/>
      <c r="K616" s="54"/>
      <c r="L616" s="54"/>
      <c r="M616" s="54"/>
      <c r="N616" s="54"/>
      <c r="O616" s="54"/>
      <c r="P616" s="86"/>
      <c r="Q616" s="54"/>
      <c r="R616" s="54"/>
    </row>
    <row r="617">
      <c r="A617" s="54"/>
      <c r="B617" s="114"/>
      <c r="C617" s="114"/>
      <c r="D617" s="114"/>
      <c r="E617" s="114"/>
      <c r="F617" s="114"/>
      <c r="G617" s="114"/>
      <c r="H617" s="54"/>
      <c r="I617" s="54"/>
      <c r="J617" s="54"/>
      <c r="K617" s="54"/>
      <c r="L617" s="54"/>
      <c r="M617" s="54"/>
      <c r="N617" s="54"/>
      <c r="O617" s="54"/>
      <c r="P617" s="86"/>
      <c r="Q617" s="54"/>
      <c r="R617" s="54"/>
    </row>
    <row r="618">
      <c r="A618" s="54"/>
      <c r="B618" s="114"/>
      <c r="C618" s="114"/>
      <c r="D618" s="114"/>
      <c r="E618" s="114"/>
      <c r="F618" s="114"/>
      <c r="G618" s="114"/>
      <c r="H618" s="54"/>
      <c r="I618" s="54"/>
      <c r="J618" s="54"/>
      <c r="K618" s="54"/>
      <c r="L618" s="54"/>
      <c r="M618" s="54"/>
      <c r="N618" s="54"/>
      <c r="O618" s="54"/>
      <c r="P618" s="86"/>
      <c r="Q618" s="54"/>
      <c r="R618" s="54"/>
    </row>
    <row r="619">
      <c r="A619" s="54"/>
      <c r="B619" s="114"/>
      <c r="C619" s="114"/>
      <c r="D619" s="114"/>
      <c r="E619" s="114"/>
      <c r="F619" s="114"/>
      <c r="G619" s="114"/>
      <c r="H619" s="54"/>
      <c r="I619" s="54"/>
      <c r="J619" s="54"/>
      <c r="K619" s="54"/>
      <c r="L619" s="54"/>
      <c r="M619" s="54"/>
      <c r="N619" s="54"/>
      <c r="O619" s="54"/>
      <c r="P619" s="86"/>
      <c r="Q619" s="54"/>
      <c r="R619" s="54"/>
    </row>
    <row r="620">
      <c r="A620" s="54"/>
      <c r="B620" s="114"/>
      <c r="C620" s="114"/>
      <c r="D620" s="114"/>
      <c r="E620" s="114"/>
      <c r="F620" s="114"/>
      <c r="G620" s="114"/>
      <c r="H620" s="54"/>
      <c r="I620" s="54"/>
      <c r="J620" s="54"/>
      <c r="K620" s="54"/>
      <c r="L620" s="54"/>
      <c r="M620" s="54"/>
      <c r="N620" s="54"/>
      <c r="O620" s="54"/>
      <c r="P620" s="86"/>
      <c r="Q620" s="54"/>
      <c r="R620" s="54"/>
    </row>
    <row r="621">
      <c r="A621" s="54"/>
      <c r="B621" s="114"/>
      <c r="C621" s="114"/>
      <c r="D621" s="114"/>
      <c r="E621" s="114"/>
      <c r="F621" s="114"/>
      <c r="G621" s="114"/>
      <c r="H621" s="54"/>
      <c r="I621" s="54"/>
      <c r="J621" s="54"/>
      <c r="K621" s="54"/>
      <c r="L621" s="54"/>
      <c r="M621" s="54"/>
      <c r="N621" s="54"/>
      <c r="O621" s="54"/>
      <c r="P621" s="86"/>
      <c r="Q621" s="54"/>
      <c r="R621" s="54"/>
    </row>
    <row r="622">
      <c r="A622" s="54"/>
      <c r="B622" s="114"/>
      <c r="C622" s="114"/>
      <c r="D622" s="114"/>
      <c r="E622" s="114"/>
      <c r="F622" s="114"/>
      <c r="G622" s="114"/>
      <c r="H622" s="54"/>
      <c r="I622" s="54"/>
      <c r="J622" s="54"/>
      <c r="K622" s="54"/>
      <c r="L622" s="54"/>
      <c r="M622" s="54"/>
      <c r="N622" s="54"/>
      <c r="O622" s="54"/>
      <c r="P622" s="86"/>
      <c r="Q622" s="54"/>
      <c r="R622" s="54"/>
    </row>
    <row r="623">
      <c r="A623" s="54"/>
      <c r="B623" s="114"/>
      <c r="C623" s="114"/>
      <c r="D623" s="114"/>
      <c r="E623" s="114"/>
      <c r="F623" s="114"/>
      <c r="G623" s="114"/>
      <c r="H623" s="54"/>
      <c r="I623" s="54"/>
      <c r="J623" s="54"/>
      <c r="K623" s="54"/>
      <c r="L623" s="54"/>
      <c r="M623" s="54"/>
      <c r="N623" s="54"/>
      <c r="O623" s="54"/>
      <c r="P623" s="86"/>
      <c r="Q623" s="54"/>
      <c r="R623" s="54"/>
    </row>
    <row r="624">
      <c r="A624" s="54"/>
      <c r="B624" s="114"/>
      <c r="C624" s="114"/>
      <c r="D624" s="114"/>
      <c r="E624" s="114"/>
      <c r="F624" s="114"/>
      <c r="G624" s="114"/>
      <c r="H624" s="54"/>
      <c r="I624" s="54"/>
      <c r="J624" s="54"/>
      <c r="K624" s="54"/>
      <c r="L624" s="54"/>
      <c r="M624" s="54"/>
      <c r="N624" s="54"/>
      <c r="O624" s="54"/>
      <c r="P624" s="86"/>
      <c r="Q624" s="54"/>
      <c r="R624" s="54"/>
    </row>
    <row r="625">
      <c r="A625" s="54"/>
      <c r="B625" s="114"/>
      <c r="C625" s="114"/>
      <c r="D625" s="114"/>
      <c r="E625" s="114"/>
      <c r="F625" s="114"/>
      <c r="G625" s="114"/>
      <c r="H625" s="54"/>
      <c r="I625" s="54"/>
      <c r="J625" s="54"/>
      <c r="K625" s="54"/>
      <c r="L625" s="54"/>
      <c r="M625" s="54"/>
      <c r="N625" s="54"/>
      <c r="O625" s="54"/>
      <c r="P625" s="86"/>
      <c r="Q625" s="54"/>
      <c r="R625" s="54"/>
    </row>
    <row r="626">
      <c r="A626" s="54"/>
      <c r="B626" s="114"/>
      <c r="C626" s="114"/>
      <c r="D626" s="114"/>
      <c r="E626" s="114"/>
      <c r="F626" s="114"/>
      <c r="G626" s="114"/>
      <c r="H626" s="54"/>
      <c r="I626" s="54"/>
      <c r="J626" s="54"/>
      <c r="K626" s="54"/>
      <c r="L626" s="54"/>
      <c r="M626" s="54"/>
      <c r="N626" s="54"/>
      <c r="O626" s="54"/>
      <c r="P626" s="86"/>
      <c r="Q626" s="54"/>
      <c r="R626" s="54"/>
    </row>
    <row r="627">
      <c r="A627" s="54"/>
      <c r="B627" s="114"/>
      <c r="C627" s="114"/>
      <c r="D627" s="114"/>
      <c r="E627" s="114"/>
      <c r="F627" s="114"/>
      <c r="G627" s="114"/>
      <c r="H627" s="54"/>
      <c r="I627" s="54"/>
      <c r="J627" s="54"/>
      <c r="K627" s="54"/>
      <c r="L627" s="54"/>
      <c r="M627" s="54"/>
      <c r="N627" s="54"/>
      <c r="O627" s="54"/>
      <c r="P627" s="86"/>
      <c r="Q627" s="54"/>
      <c r="R627" s="54"/>
    </row>
    <row r="628">
      <c r="A628" s="54"/>
      <c r="B628" s="114"/>
      <c r="C628" s="114"/>
      <c r="D628" s="114"/>
      <c r="E628" s="114"/>
      <c r="F628" s="114"/>
      <c r="G628" s="114"/>
      <c r="H628" s="54"/>
      <c r="I628" s="54"/>
      <c r="J628" s="54"/>
      <c r="K628" s="54"/>
      <c r="L628" s="54"/>
      <c r="M628" s="54"/>
      <c r="N628" s="54"/>
      <c r="O628" s="54"/>
      <c r="P628" s="86"/>
      <c r="Q628" s="54"/>
      <c r="R628" s="54"/>
    </row>
    <row r="629">
      <c r="A629" s="54"/>
      <c r="B629" s="114"/>
      <c r="C629" s="114"/>
      <c r="D629" s="114"/>
      <c r="E629" s="114"/>
      <c r="F629" s="114"/>
      <c r="G629" s="114"/>
      <c r="H629" s="54"/>
      <c r="I629" s="54"/>
      <c r="J629" s="54"/>
      <c r="K629" s="54"/>
      <c r="L629" s="54"/>
      <c r="M629" s="54"/>
      <c r="N629" s="54"/>
      <c r="O629" s="54"/>
      <c r="P629" s="86"/>
      <c r="Q629" s="54"/>
      <c r="R629" s="54"/>
    </row>
    <row r="630">
      <c r="A630" s="54"/>
      <c r="B630" s="114"/>
      <c r="C630" s="114"/>
      <c r="D630" s="114"/>
      <c r="E630" s="114"/>
      <c r="F630" s="114"/>
      <c r="G630" s="114"/>
      <c r="H630" s="54"/>
      <c r="I630" s="54"/>
      <c r="J630" s="54"/>
      <c r="K630" s="54"/>
      <c r="L630" s="54"/>
      <c r="M630" s="54"/>
      <c r="N630" s="54"/>
      <c r="O630" s="54"/>
      <c r="P630" s="86"/>
      <c r="Q630" s="54"/>
      <c r="R630" s="54"/>
    </row>
    <row r="631">
      <c r="A631" s="54"/>
      <c r="B631" s="114"/>
      <c r="C631" s="114"/>
      <c r="D631" s="114"/>
      <c r="E631" s="114"/>
      <c r="F631" s="114"/>
      <c r="G631" s="114"/>
      <c r="H631" s="54"/>
      <c r="I631" s="54"/>
      <c r="J631" s="54"/>
      <c r="K631" s="54"/>
      <c r="L631" s="54"/>
      <c r="M631" s="54"/>
      <c r="N631" s="54"/>
      <c r="O631" s="54"/>
      <c r="P631" s="86"/>
      <c r="Q631" s="54"/>
      <c r="R631" s="54"/>
    </row>
    <row r="632">
      <c r="A632" s="54"/>
      <c r="B632" s="114"/>
      <c r="C632" s="114"/>
      <c r="D632" s="114"/>
      <c r="E632" s="114"/>
      <c r="F632" s="114"/>
      <c r="G632" s="114"/>
      <c r="H632" s="54"/>
      <c r="I632" s="54"/>
      <c r="J632" s="54"/>
      <c r="K632" s="54"/>
      <c r="L632" s="54"/>
      <c r="M632" s="54"/>
      <c r="N632" s="54"/>
      <c r="O632" s="54"/>
      <c r="P632" s="86"/>
      <c r="Q632" s="54"/>
      <c r="R632" s="54"/>
    </row>
    <row r="633">
      <c r="A633" s="54"/>
      <c r="B633" s="114"/>
      <c r="C633" s="114"/>
      <c r="D633" s="114"/>
      <c r="E633" s="114"/>
      <c r="F633" s="114"/>
      <c r="G633" s="114"/>
      <c r="H633" s="54"/>
      <c r="I633" s="54"/>
      <c r="J633" s="54"/>
      <c r="K633" s="54"/>
      <c r="L633" s="54"/>
      <c r="M633" s="54"/>
      <c r="N633" s="54"/>
      <c r="O633" s="54"/>
      <c r="P633" s="86"/>
      <c r="Q633" s="54"/>
      <c r="R633" s="54"/>
    </row>
    <row r="634">
      <c r="A634" s="54"/>
      <c r="B634" s="114"/>
      <c r="C634" s="114"/>
      <c r="D634" s="114"/>
      <c r="E634" s="114"/>
      <c r="F634" s="114"/>
      <c r="G634" s="114"/>
      <c r="H634" s="54"/>
      <c r="I634" s="54"/>
      <c r="J634" s="54"/>
      <c r="K634" s="54"/>
      <c r="L634" s="54"/>
      <c r="M634" s="54"/>
      <c r="N634" s="54"/>
      <c r="O634" s="54"/>
      <c r="P634" s="86"/>
      <c r="Q634" s="54"/>
      <c r="R634" s="54"/>
    </row>
    <row r="635">
      <c r="A635" s="54"/>
      <c r="B635" s="114"/>
      <c r="C635" s="114"/>
      <c r="D635" s="114"/>
      <c r="E635" s="114"/>
      <c r="F635" s="114"/>
      <c r="G635" s="114"/>
      <c r="H635" s="54"/>
      <c r="I635" s="54"/>
      <c r="J635" s="54"/>
      <c r="K635" s="54"/>
      <c r="L635" s="54"/>
      <c r="M635" s="54"/>
      <c r="N635" s="54"/>
      <c r="O635" s="54"/>
      <c r="P635" s="86"/>
      <c r="Q635" s="54"/>
      <c r="R635" s="54"/>
    </row>
    <row r="636">
      <c r="A636" s="54"/>
      <c r="B636" s="114"/>
      <c r="C636" s="114"/>
      <c r="D636" s="114"/>
      <c r="E636" s="114"/>
      <c r="F636" s="114"/>
      <c r="G636" s="114"/>
      <c r="H636" s="54"/>
      <c r="I636" s="54"/>
      <c r="J636" s="54"/>
      <c r="K636" s="54"/>
      <c r="L636" s="54"/>
      <c r="M636" s="54"/>
      <c r="N636" s="54"/>
      <c r="O636" s="54"/>
      <c r="P636" s="86"/>
      <c r="Q636" s="54"/>
      <c r="R636" s="54"/>
    </row>
    <row r="637">
      <c r="A637" s="54"/>
      <c r="B637" s="114"/>
      <c r="C637" s="114"/>
      <c r="D637" s="114"/>
      <c r="E637" s="114"/>
      <c r="F637" s="114"/>
      <c r="G637" s="114"/>
      <c r="H637" s="54"/>
      <c r="I637" s="54"/>
      <c r="J637" s="54"/>
      <c r="K637" s="54"/>
      <c r="L637" s="54"/>
      <c r="M637" s="54"/>
      <c r="N637" s="54"/>
      <c r="O637" s="54"/>
      <c r="P637" s="86"/>
      <c r="Q637" s="54"/>
      <c r="R637" s="54"/>
    </row>
    <row r="638">
      <c r="A638" s="54"/>
      <c r="B638" s="114"/>
      <c r="C638" s="114"/>
      <c r="D638" s="114"/>
      <c r="E638" s="114"/>
      <c r="F638" s="114"/>
      <c r="G638" s="114"/>
      <c r="H638" s="54"/>
      <c r="I638" s="54"/>
      <c r="J638" s="54"/>
      <c r="K638" s="54"/>
      <c r="L638" s="54"/>
      <c r="M638" s="54"/>
      <c r="N638" s="54"/>
      <c r="O638" s="54"/>
      <c r="P638" s="86"/>
      <c r="Q638" s="54"/>
      <c r="R638" s="54"/>
    </row>
    <row r="639">
      <c r="A639" s="54"/>
      <c r="B639" s="114"/>
      <c r="C639" s="114"/>
      <c r="D639" s="114"/>
      <c r="E639" s="114"/>
      <c r="F639" s="114"/>
      <c r="G639" s="114"/>
      <c r="H639" s="54"/>
      <c r="I639" s="54"/>
      <c r="J639" s="54"/>
      <c r="K639" s="54"/>
      <c r="L639" s="54"/>
      <c r="M639" s="54"/>
      <c r="N639" s="54"/>
      <c r="O639" s="54"/>
      <c r="P639" s="86"/>
      <c r="Q639" s="54"/>
      <c r="R639" s="54"/>
    </row>
    <row r="640">
      <c r="A640" s="54"/>
      <c r="B640" s="114"/>
      <c r="C640" s="114"/>
      <c r="D640" s="114"/>
      <c r="E640" s="114"/>
      <c r="F640" s="114"/>
      <c r="G640" s="114"/>
      <c r="H640" s="54"/>
      <c r="I640" s="54"/>
      <c r="J640" s="54"/>
      <c r="K640" s="54"/>
      <c r="L640" s="54"/>
      <c r="M640" s="54"/>
      <c r="N640" s="54"/>
      <c r="O640" s="54"/>
      <c r="P640" s="86"/>
      <c r="Q640" s="54"/>
      <c r="R640" s="54"/>
    </row>
    <row r="641">
      <c r="A641" s="54"/>
      <c r="B641" s="114"/>
      <c r="C641" s="114"/>
      <c r="D641" s="114"/>
      <c r="E641" s="114"/>
      <c r="F641" s="114"/>
      <c r="G641" s="114"/>
      <c r="H641" s="54"/>
      <c r="I641" s="54"/>
      <c r="J641" s="54"/>
      <c r="K641" s="54"/>
      <c r="L641" s="54"/>
      <c r="M641" s="54"/>
      <c r="N641" s="54"/>
      <c r="O641" s="54"/>
      <c r="P641" s="86"/>
      <c r="Q641" s="54"/>
      <c r="R641" s="54"/>
    </row>
    <row r="642">
      <c r="A642" s="54"/>
      <c r="B642" s="114"/>
      <c r="C642" s="114"/>
      <c r="D642" s="114"/>
      <c r="E642" s="114"/>
      <c r="F642" s="114"/>
      <c r="G642" s="114"/>
      <c r="H642" s="54"/>
      <c r="I642" s="54"/>
      <c r="J642" s="54"/>
      <c r="K642" s="54"/>
      <c r="L642" s="54"/>
      <c r="M642" s="54"/>
      <c r="N642" s="54"/>
      <c r="O642" s="54"/>
      <c r="P642" s="86"/>
      <c r="Q642" s="54"/>
      <c r="R642" s="54"/>
    </row>
    <row r="643">
      <c r="A643" s="54"/>
      <c r="B643" s="114"/>
      <c r="C643" s="114"/>
      <c r="D643" s="114"/>
      <c r="E643" s="114"/>
      <c r="F643" s="114"/>
      <c r="G643" s="114"/>
      <c r="H643" s="54"/>
      <c r="I643" s="54"/>
      <c r="J643" s="54"/>
      <c r="K643" s="54"/>
      <c r="L643" s="54"/>
      <c r="M643" s="54"/>
      <c r="N643" s="54"/>
      <c r="O643" s="54"/>
      <c r="P643" s="86"/>
      <c r="Q643" s="54"/>
      <c r="R643" s="54"/>
    </row>
    <row r="644">
      <c r="A644" s="54"/>
      <c r="B644" s="114"/>
      <c r="C644" s="114"/>
      <c r="D644" s="114"/>
      <c r="E644" s="114"/>
      <c r="F644" s="114"/>
      <c r="G644" s="114"/>
      <c r="H644" s="54"/>
      <c r="I644" s="54"/>
      <c r="J644" s="54"/>
      <c r="K644" s="54"/>
      <c r="L644" s="54"/>
      <c r="M644" s="54"/>
      <c r="N644" s="54"/>
      <c r="O644" s="54"/>
      <c r="P644" s="86"/>
      <c r="Q644" s="54"/>
      <c r="R644" s="54"/>
    </row>
    <row r="645">
      <c r="A645" s="54"/>
      <c r="B645" s="114"/>
      <c r="C645" s="114"/>
      <c r="D645" s="114"/>
      <c r="E645" s="114"/>
      <c r="F645" s="114"/>
      <c r="G645" s="114"/>
      <c r="H645" s="54"/>
      <c r="I645" s="54"/>
      <c r="J645" s="54"/>
      <c r="K645" s="54"/>
      <c r="L645" s="54"/>
      <c r="M645" s="54"/>
      <c r="N645" s="54"/>
      <c r="O645" s="54"/>
      <c r="P645" s="86"/>
      <c r="Q645" s="54"/>
      <c r="R645" s="54"/>
    </row>
    <row r="646">
      <c r="A646" s="54"/>
      <c r="B646" s="114"/>
      <c r="C646" s="114"/>
      <c r="D646" s="114"/>
      <c r="E646" s="114"/>
      <c r="F646" s="114"/>
      <c r="G646" s="114"/>
      <c r="H646" s="54"/>
      <c r="I646" s="54"/>
      <c r="J646" s="54"/>
      <c r="K646" s="54"/>
      <c r="L646" s="54"/>
      <c r="M646" s="54"/>
      <c r="N646" s="54"/>
      <c r="O646" s="54"/>
      <c r="P646" s="86"/>
      <c r="Q646" s="54"/>
      <c r="R646" s="54"/>
    </row>
    <row r="647">
      <c r="A647" s="54"/>
      <c r="B647" s="114"/>
      <c r="C647" s="114"/>
      <c r="D647" s="114"/>
      <c r="E647" s="114"/>
      <c r="F647" s="114"/>
      <c r="G647" s="114"/>
      <c r="H647" s="54"/>
      <c r="I647" s="54"/>
      <c r="J647" s="54"/>
      <c r="K647" s="54"/>
      <c r="L647" s="54"/>
      <c r="M647" s="54"/>
      <c r="N647" s="54"/>
      <c r="O647" s="54"/>
      <c r="P647" s="86"/>
      <c r="Q647" s="54"/>
      <c r="R647" s="54"/>
    </row>
    <row r="648">
      <c r="A648" s="54"/>
      <c r="B648" s="114"/>
      <c r="C648" s="114"/>
      <c r="D648" s="114"/>
      <c r="E648" s="114"/>
      <c r="F648" s="114"/>
      <c r="G648" s="114"/>
      <c r="H648" s="54"/>
      <c r="I648" s="54"/>
      <c r="J648" s="54"/>
      <c r="K648" s="54"/>
      <c r="L648" s="54"/>
      <c r="M648" s="54"/>
      <c r="N648" s="54"/>
      <c r="O648" s="54"/>
      <c r="P648" s="86"/>
      <c r="Q648" s="54"/>
      <c r="R648" s="54"/>
    </row>
    <row r="649">
      <c r="A649" s="54"/>
      <c r="B649" s="114"/>
      <c r="C649" s="114"/>
      <c r="D649" s="114"/>
      <c r="E649" s="114"/>
      <c r="F649" s="114"/>
      <c r="G649" s="114"/>
      <c r="H649" s="54"/>
      <c r="I649" s="54"/>
      <c r="J649" s="54"/>
      <c r="K649" s="54"/>
      <c r="L649" s="54"/>
      <c r="M649" s="54"/>
      <c r="N649" s="54"/>
      <c r="O649" s="54"/>
      <c r="P649" s="86"/>
      <c r="Q649" s="54"/>
      <c r="R649" s="54"/>
    </row>
    <row r="650">
      <c r="A650" s="54"/>
      <c r="B650" s="114"/>
      <c r="C650" s="114"/>
      <c r="D650" s="114"/>
      <c r="E650" s="114"/>
      <c r="F650" s="114"/>
      <c r="G650" s="114"/>
      <c r="H650" s="54"/>
      <c r="I650" s="54"/>
      <c r="J650" s="54"/>
      <c r="K650" s="54"/>
      <c r="L650" s="54"/>
      <c r="M650" s="54"/>
      <c r="N650" s="54"/>
      <c r="O650" s="54"/>
      <c r="P650" s="86"/>
      <c r="Q650" s="54"/>
      <c r="R650" s="54"/>
    </row>
    <row r="651">
      <c r="A651" s="54"/>
      <c r="B651" s="114"/>
      <c r="C651" s="114"/>
      <c r="D651" s="114"/>
      <c r="E651" s="114"/>
      <c r="F651" s="114"/>
      <c r="G651" s="114"/>
      <c r="H651" s="54"/>
      <c r="I651" s="54"/>
      <c r="J651" s="54"/>
      <c r="K651" s="54"/>
      <c r="L651" s="54"/>
      <c r="M651" s="54"/>
      <c r="N651" s="54"/>
      <c r="O651" s="54"/>
      <c r="P651" s="86"/>
      <c r="Q651" s="54"/>
      <c r="R651" s="54"/>
    </row>
    <row r="652">
      <c r="A652" s="54"/>
      <c r="B652" s="114"/>
      <c r="C652" s="114"/>
      <c r="D652" s="114"/>
      <c r="E652" s="114"/>
      <c r="F652" s="114"/>
      <c r="G652" s="114"/>
      <c r="H652" s="54"/>
      <c r="I652" s="54"/>
      <c r="J652" s="54"/>
      <c r="K652" s="54"/>
      <c r="L652" s="54"/>
      <c r="M652" s="54"/>
      <c r="N652" s="54"/>
      <c r="O652" s="54"/>
      <c r="P652" s="86"/>
      <c r="Q652" s="54"/>
      <c r="R652" s="54"/>
    </row>
    <row r="653">
      <c r="A653" s="54"/>
      <c r="B653" s="114"/>
      <c r="C653" s="114"/>
      <c r="D653" s="114"/>
      <c r="E653" s="114"/>
      <c r="F653" s="114"/>
      <c r="G653" s="114"/>
      <c r="H653" s="54"/>
      <c r="I653" s="54"/>
      <c r="J653" s="54"/>
      <c r="K653" s="54"/>
      <c r="L653" s="54"/>
      <c r="M653" s="54"/>
      <c r="N653" s="54"/>
      <c r="O653" s="54"/>
      <c r="P653" s="86"/>
      <c r="Q653" s="54"/>
      <c r="R653" s="54"/>
    </row>
    <row r="654">
      <c r="A654" s="54"/>
      <c r="B654" s="114"/>
      <c r="C654" s="114"/>
      <c r="D654" s="114"/>
      <c r="E654" s="114"/>
      <c r="F654" s="114"/>
      <c r="G654" s="114"/>
      <c r="H654" s="54"/>
      <c r="I654" s="54"/>
      <c r="J654" s="54"/>
      <c r="K654" s="54"/>
      <c r="L654" s="54"/>
      <c r="M654" s="54"/>
      <c r="N654" s="54"/>
      <c r="O654" s="54"/>
      <c r="P654" s="86"/>
      <c r="Q654" s="54"/>
      <c r="R654" s="54"/>
    </row>
    <row r="655">
      <c r="A655" s="54"/>
      <c r="B655" s="114"/>
      <c r="C655" s="114"/>
      <c r="D655" s="114"/>
      <c r="E655" s="114"/>
      <c r="F655" s="114"/>
      <c r="G655" s="114"/>
      <c r="H655" s="54"/>
      <c r="I655" s="54"/>
      <c r="J655" s="54"/>
      <c r="K655" s="54"/>
      <c r="L655" s="54"/>
      <c r="M655" s="54"/>
      <c r="N655" s="54"/>
      <c r="O655" s="54"/>
      <c r="P655" s="86"/>
      <c r="Q655" s="54"/>
      <c r="R655" s="54"/>
    </row>
    <row r="656">
      <c r="A656" s="54"/>
      <c r="B656" s="114"/>
      <c r="C656" s="114"/>
      <c r="D656" s="114"/>
      <c r="E656" s="114"/>
      <c r="F656" s="114"/>
      <c r="G656" s="114"/>
      <c r="H656" s="54"/>
      <c r="I656" s="54"/>
      <c r="J656" s="54"/>
      <c r="K656" s="54"/>
      <c r="L656" s="54"/>
      <c r="M656" s="54"/>
      <c r="N656" s="54"/>
      <c r="O656" s="54"/>
      <c r="P656" s="86"/>
      <c r="Q656" s="54"/>
      <c r="R656" s="54"/>
    </row>
    <row r="657">
      <c r="A657" s="54"/>
      <c r="B657" s="114"/>
      <c r="C657" s="114"/>
      <c r="D657" s="114"/>
      <c r="E657" s="114"/>
      <c r="F657" s="114"/>
      <c r="G657" s="114"/>
      <c r="H657" s="54"/>
      <c r="I657" s="54"/>
      <c r="J657" s="54"/>
      <c r="K657" s="54"/>
      <c r="L657" s="54"/>
      <c r="M657" s="54"/>
      <c r="N657" s="54"/>
      <c r="O657" s="54"/>
      <c r="P657" s="86"/>
      <c r="Q657" s="54"/>
      <c r="R657" s="54"/>
    </row>
    <row r="658">
      <c r="A658" s="54"/>
      <c r="B658" s="114"/>
      <c r="C658" s="114"/>
      <c r="D658" s="114"/>
      <c r="E658" s="114"/>
      <c r="F658" s="114"/>
      <c r="G658" s="114"/>
      <c r="H658" s="54"/>
      <c r="I658" s="54"/>
      <c r="J658" s="54"/>
      <c r="K658" s="54"/>
      <c r="L658" s="54"/>
      <c r="M658" s="54"/>
      <c r="N658" s="54"/>
      <c r="O658" s="54"/>
      <c r="P658" s="86"/>
      <c r="Q658" s="54"/>
      <c r="R658" s="54"/>
    </row>
    <row r="659">
      <c r="A659" s="54"/>
      <c r="B659" s="114"/>
      <c r="C659" s="114"/>
      <c r="D659" s="114"/>
      <c r="E659" s="114"/>
      <c r="F659" s="114"/>
      <c r="G659" s="114"/>
      <c r="H659" s="54"/>
      <c r="I659" s="54"/>
      <c r="J659" s="54"/>
      <c r="K659" s="54"/>
      <c r="L659" s="54"/>
      <c r="M659" s="54"/>
      <c r="N659" s="54"/>
      <c r="O659" s="54"/>
      <c r="P659" s="86"/>
      <c r="Q659" s="54"/>
      <c r="R659" s="54"/>
    </row>
    <row r="660">
      <c r="A660" s="54"/>
      <c r="B660" s="114"/>
      <c r="C660" s="114"/>
      <c r="D660" s="114"/>
      <c r="E660" s="114"/>
      <c r="F660" s="114"/>
      <c r="G660" s="114"/>
      <c r="H660" s="54"/>
      <c r="I660" s="54"/>
      <c r="J660" s="54"/>
      <c r="K660" s="54"/>
      <c r="L660" s="54"/>
      <c r="M660" s="54"/>
      <c r="N660" s="54"/>
      <c r="O660" s="54"/>
      <c r="P660" s="86"/>
      <c r="Q660" s="54"/>
      <c r="R660" s="54"/>
    </row>
    <row r="661">
      <c r="A661" s="54"/>
      <c r="B661" s="114"/>
      <c r="C661" s="114"/>
      <c r="D661" s="114"/>
      <c r="E661" s="114"/>
      <c r="F661" s="114"/>
      <c r="G661" s="114"/>
      <c r="H661" s="54"/>
      <c r="I661" s="54"/>
      <c r="J661" s="54"/>
      <c r="K661" s="54"/>
      <c r="L661" s="54"/>
      <c r="M661" s="54"/>
      <c r="N661" s="54"/>
      <c r="O661" s="54"/>
      <c r="P661" s="86"/>
      <c r="Q661" s="54"/>
      <c r="R661" s="54"/>
    </row>
    <row r="662">
      <c r="A662" s="54"/>
      <c r="B662" s="114"/>
      <c r="C662" s="114"/>
      <c r="D662" s="114"/>
      <c r="E662" s="114"/>
      <c r="F662" s="114"/>
      <c r="G662" s="114"/>
      <c r="H662" s="54"/>
      <c r="I662" s="54"/>
      <c r="J662" s="54"/>
      <c r="K662" s="54"/>
      <c r="L662" s="54"/>
      <c r="M662" s="54"/>
      <c r="N662" s="54"/>
      <c r="O662" s="54"/>
      <c r="P662" s="86"/>
      <c r="Q662" s="54"/>
      <c r="R662" s="54"/>
    </row>
    <row r="663">
      <c r="A663" s="54"/>
      <c r="B663" s="114"/>
      <c r="C663" s="114"/>
      <c r="D663" s="114"/>
      <c r="E663" s="114"/>
      <c r="F663" s="114"/>
      <c r="G663" s="114"/>
      <c r="H663" s="54"/>
      <c r="I663" s="54"/>
      <c r="J663" s="54"/>
      <c r="K663" s="54"/>
      <c r="L663" s="54"/>
      <c r="M663" s="54"/>
      <c r="N663" s="54"/>
      <c r="O663" s="54"/>
      <c r="P663" s="86"/>
      <c r="Q663" s="54"/>
      <c r="R663" s="54"/>
    </row>
    <row r="664">
      <c r="A664" s="54"/>
      <c r="B664" s="114"/>
      <c r="C664" s="114"/>
      <c r="D664" s="114"/>
      <c r="E664" s="114"/>
      <c r="F664" s="114"/>
      <c r="G664" s="114"/>
      <c r="H664" s="54"/>
      <c r="I664" s="54"/>
      <c r="J664" s="54"/>
      <c r="K664" s="54"/>
      <c r="L664" s="54"/>
      <c r="M664" s="54"/>
      <c r="N664" s="54"/>
      <c r="O664" s="54"/>
      <c r="P664" s="86"/>
      <c r="Q664" s="54"/>
      <c r="R664" s="54"/>
    </row>
    <row r="665">
      <c r="A665" s="54"/>
      <c r="B665" s="114"/>
      <c r="C665" s="114"/>
      <c r="D665" s="114"/>
      <c r="E665" s="114"/>
      <c r="F665" s="114"/>
      <c r="G665" s="114"/>
      <c r="H665" s="54"/>
      <c r="I665" s="54"/>
      <c r="J665" s="54"/>
      <c r="K665" s="54"/>
      <c r="L665" s="54"/>
      <c r="M665" s="54"/>
      <c r="N665" s="54"/>
      <c r="O665" s="54"/>
      <c r="P665" s="86"/>
      <c r="Q665" s="54"/>
      <c r="R665" s="54"/>
    </row>
    <row r="666">
      <c r="A666" s="54"/>
      <c r="B666" s="114"/>
      <c r="C666" s="114"/>
      <c r="D666" s="114"/>
      <c r="E666" s="114"/>
      <c r="F666" s="114"/>
      <c r="G666" s="114"/>
      <c r="H666" s="54"/>
      <c r="I666" s="54"/>
      <c r="J666" s="54"/>
      <c r="K666" s="54"/>
      <c r="L666" s="54"/>
      <c r="M666" s="54"/>
      <c r="N666" s="54"/>
      <c r="O666" s="54"/>
      <c r="P666" s="86"/>
      <c r="Q666" s="54"/>
      <c r="R666" s="54"/>
    </row>
    <row r="667">
      <c r="A667" s="54"/>
      <c r="B667" s="114"/>
      <c r="C667" s="114"/>
      <c r="D667" s="114"/>
      <c r="E667" s="114"/>
      <c r="F667" s="114"/>
      <c r="G667" s="114"/>
      <c r="H667" s="54"/>
      <c r="I667" s="54"/>
      <c r="J667" s="54"/>
      <c r="K667" s="54"/>
      <c r="L667" s="54"/>
      <c r="M667" s="54"/>
      <c r="N667" s="54"/>
      <c r="O667" s="54"/>
      <c r="P667" s="86"/>
      <c r="Q667" s="54"/>
      <c r="R667" s="54"/>
    </row>
    <row r="668">
      <c r="A668" s="54"/>
      <c r="B668" s="114"/>
      <c r="C668" s="114"/>
      <c r="D668" s="114"/>
      <c r="E668" s="114"/>
      <c r="F668" s="114"/>
      <c r="G668" s="114"/>
      <c r="H668" s="54"/>
      <c r="I668" s="54"/>
      <c r="J668" s="54"/>
      <c r="K668" s="54"/>
      <c r="L668" s="54"/>
      <c r="M668" s="54"/>
      <c r="N668" s="54"/>
      <c r="O668" s="54"/>
      <c r="P668" s="86"/>
      <c r="Q668" s="54"/>
      <c r="R668" s="54"/>
    </row>
    <row r="669">
      <c r="A669" s="54"/>
      <c r="B669" s="114"/>
      <c r="C669" s="114"/>
      <c r="D669" s="114"/>
      <c r="E669" s="114"/>
      <c r="F669" s="114"/>
      <c r="G669" s="114"/>
      <c r="H669" s="54"/>
      <c r="I669" s="54"/>
      <c r="J669" s="54"/>
      <c r="K669" s="54"/>
      <c r="L669" s="54"/>
      <c r="M669" s="54"/>
      <c r="N669" s="54"/>
      <c r="O669" s="54"/>
      <c r="P669" s="86"/>
      <c r="Q669" s="54"/>
      <c r="R669" s="54"/>
    </row>
    <row r="670">
      <c r="A670" s="54"/>
      <c r="B670" s="114"/>
      <c r="C670" s="114"/>
      <c r="D670" s="114"/>
      <c r="E670" s="114"/>
      <c r="F670" s="114"/>
      <c r="G670" s="114"/>
      <c r="H670" s="54"/>
      <c r="I670" s="54"/>
      <c r="J670" s="54"/>
      <c r="K670" s="54"/>
      <c r="L670" s="54"/>
      <c r="M670" s="54"/>
      <c r="N670" s="54"/>
      <c r="O670" s="54"/>
      <c r="P670" s="86"/>
      <c r="Q670" s="54"/>
      <c r="R670" s="54"/>
    </row>
    <row r="671">
      <c r="A671" s="54"/>
      <c r="B671" s="114"/>
      <c r="C671" s="114"/>
      <c r="D671" s="114"/>
      <c r="E671" s="114"/>
      <c r="F671" s="114"/>
      <c r="G671" s="114"/>
      <c r="H671" s="54"/>
      <c r="I671" s="54"/>
      <c r="J671" s="54"/>
      <c r="K671" s="54"/>
      <c r="L671" s="54"/>
      <c r="M671" s="54"/>
      <c r="N671" s="54"/>
      <c r="O671" s="54"/>
      <c r="P671" s="86"/>
      <c r="Q671" s="54"/>
      <c r="R671" s="54"/>
    </row>
    <row r="672">
      <c r="A672" s="54"/>
      <c r="B672" s="114"/>
      <c r="C672" s="114"/>
      <c r="D672" s="114"/>
      <c r="E672" s="114"/>
      <c r="F672" s="114"/>
      <c r="G672" s="114"/>
      <c r="H672" s="54"/>
      <c r="I672" s="54"/>
      <c r="J672" s="54"/>
      <c r="K672" s="54"/>
      <c r="L672" s="54"/>
      <c r="M672" s="54"/>
      <c r="N672" s="54"/>
      <c r="O672" s="54"/>
      <c r="P672" s="86"/>
      <c r="Q672" s="54"/>
      <c r="R672" s="54"/>
    </row>
    <row r="673">
      <c r="A673" s="54"/>
      <c r="B673" s="114"/>
      <c r="C673" s="114"/>
      <c r="D673" s="114"/>
      <c r="E673" s="114"/>
      <c r="F673" s="114"/>
      <c r="G673" s="114"/>
      <c r="H673" s="54"/>
      <c r="I673" s="54"/>
      <c r="J673" s="54"/>
      <c r="K673" s="54"/>
      <c r="L673" s="54"/>
      <c r="M673" s="54"/>
      <c r="N673" s="54"/>
      <c r="O673" s="54"/>
      <c r="P673" s="86"/>
      <c r="Q673" s="54"/>
      <c r="R673" s="54"/>
    </row>
    <row r="674">
      <c r="A674" s="54"/>
      <c r="B674" s="114"/>
      <c r="C674" s="114"/>
      <c r="D674" s="114"/>
      <c r="E674" s="114"/>
      <c r="F674" s="114"/>
      <c r="G674" s="114"/>
      <c r="H674" s="54"/>
      <c r="I674" s="54"/>
      <c r="J674" s="54"/>
      <c r="K674" s="54"/>
      <c r="L674" s="54"/>
      <c r="M674" s="54"/>
      <c r="N674" s="54"/>
      <c r="O674" s="54"/>
      <c r="P674" s="86"/>
      <c r="Q674" s="54"/>
      <c r="R674" s="54"/>
    </row>
    <row r="675">
      <c r="A675" s="54"/>
      <c r="B675" s="114"/>
      <c r="C675" s="114"/>
      <c r="D675" s="114"/>
      <c r="E675" s="114"/>
      <c r="F675" s="114"/>
      <c r="G675" s="114"/>
      <c r="H675" s="54"/>
      <c r="I675" s="54"/>
      <c r="J675" s="54"/>
      <c r="K675" s="54"/>
      <c r="L675" s="54"/>
      <c r="M675" s="54"/>
      <c r="N675" s="54"/>
      <c r="O675" s="54"/>
      <c r="P675" s="86"/>
      <c r="Q675" s="54"/>
      <c r="R675" s="54"/>
    </row>
    <row r="676">
      <c r="A676" s="54"/>
      <c r="B676" s="114"/>
      <c r="C676" s="114"/>
      <c r="D676" s="114"/>
      <c r="E676" s="114"/>
      <c r="F676" s="114"/>
      <c r="G676" s="114"/>
      <c r="H676" s="54"/>
      <c r="I676" s="54"/>
      <c r="J676" s="54"/>
      <c r="K676" s="54"/>
      <c r="L676" s="54"/>
      <c r="M676" s="54"/>
      <c r="N676" s="54"/>
      <c r="O676" s="54"/>
      <c r="P676" s="86"/>
      <c r="Q676" s="54"/>
      <c r="R676" s="54"/>
    </row>
    <row r="677">
      <c r="A677" s="54"/>
      <c r="B677" s="114"/>
      <c r="C677" s="114"/>
      <c r="D677" s="114"/>
      <c r="E677" s="114"/>
      <c r="F677" s="114"/>
      <c r="G677" s="114"/>
      <c r="H677" s="54"/>
      <c r="I677" s="54"/>
      <c r="J677" s="54"/>
      <c r="K677" s="54"/>
      <c r="L677" s="54"/>
      <c r="M677" s="54"/>
      <c r="N677" s="54"/>
      <c r="O677" s="54"/>
      <c r="P677" s="86"/>
      <c r="Q677" s="54"/>
      <c r="R677" s="54"/>
    </row>
    <row r="678">
      <c r="A678" s="54"/>
      <c r="B678" s="114"/>
      <c r="C678" s="114"/>
      <c r="D678" s="114"/>
      <c r="E678" s="114"/>
      <c r="F678" s="114"/>
      <c r="G678" s="114"/>
      <c r="H678" s="54"/>
      <c r="I678" s="54"/>
      <c r="J678" s="54"/>
      <c r="K678" s="54"/>
      <c r="L678" s="54"/>
      <c r="M678" s="54"/>
      <c r="N678" s="54"/>
      <c r="O678" s="54"/>
      <c r="P678" s="86"/>
      <c r="Q678" s="54"/>
      <c r="R678" s="54"/>
    </row>
    <row r="679">
      <c r="A679" s="54"/>
      <c r="B679" s="114"/>
      <c r="C679" s="114"/>
      <c r="D679" s="114"/>
      <c r="E679" s="114"/>
      <c r="F679" s="114"/>
      <c r="G679" s="114"/>
      <c r="H679" s="54"/>
      <c r="I679" s="54"/>
      <c r="J679" s="54"/>
      <c r="K679" s="54"/>
      <c r="L679" s="54"/>
      <c r="M679" s="54"/>
      <c r="N679" s="54"/>
      <c r="O679" s="54"/>
      <c r="P679" s="86"/>
      <c r="Q679" s="54"/>
      <c r="R679" s="54"/>
    </row>
    <row r="680">
      <c r="A680" s="54"/>
      <c r="B680" s="114"/>
      <c r="C680" s="114"/>
      <c r="D680" s="114"/>
      <c r="E680" s="114"/>
      <c r="F680" s="114"/>
      <c r="G680" s="114"/>
      <c r="H680" s="54"/>
      <c r="I680" s="54"/>
      <c r="J680" s="54"/>
      <c r="K680" s="54"/>
      <c r="L680" s="54"/>
      <c r="M680" s="54"/>
      <c r="N680" s="54"/>
      <c r="O680" s="54"/>
      <c r="P680" s="86"/>
      <c r="Q680" s="54"/>
      <c r="R680" s="54"/>
    </row>
    <row r="681">
      <c r="A681" s="54"/>
      <c r="B681" s="114"/>
      <c r="C681" s="114"/>
      <c r="D681" s="114"/>
      <c r="E681" s="114"/>
      <c r="F681" s="114"/>
      <c r="G681" s="114"/>
      <c r="H681" s="54"/>
      <c r="I681" s="54"/>
      <c r="J681" s="54"/>
      <c r="K681" s="54"/>
      <c r="L681" s="54"/>
      <c r="M681" s="54"/>
      <c r="N681" s="54"/>
      <c r="O681" s="54"/>
      <c r="P681" s="86"/>
      <c r="Q681" s="54"/>
      <c r="R681" s="54"/>
    </row>
    <row r="682">
      <c r="A682" s="54"/>
      <c r="B682" s="114"/>
      <c r="C682" s="114"/>
      <c r="D682" s="114"/>
      <c r="E682" s="114"/>
      <c r="F682" s="114"/>
      <c r="G682" s="114"/>
      <c r="H682" s="54"/>
      <c r="I682" s="54"/>
      <c r="J682" s="54"/>
      <c r="K682" s="54"/>
      <c r="L682" s="54"/>
      <c r="M682" s="54"/>
      <c r="N682" s="54"/>
      <c r="O682" s="54"/>
      <c r="P682" s="86"/>
      <c r="Q682" s="54"/>
      <c r="R682" s="54"/>
    </row>
    <row r="683">
      <c r="A683" s="54"/>
      <c r="B683" s="114"/>
      <c r="C683" s="114"/>
      <c r="D683" s="114"/>
      <c r="E683" s="114"/>
      <c r="F683" s="114"/>
      <c r="G683" s="114"/>
      <c r="H683" s="54"/>
      <c r="I683" s="54"/>
      <c r="J683" s="54"/>
      <c r="K683" s="54"/>
      <c r="L683" s="54"/>
      <c r="M683" s="54"/>
      <c r="N683" s="54"/>
      <c r="O683" s="54"/>
      <c r="P683" s="86"/>
      <c r="Q683" s="54"/>
      <c r="R683" s="54"/>
    </row>
    <row r="684">
      <c r="A684" s="54"/>
      <c r="B684" s="114"/>
      <c r="C684" s="114"/>
      <c r="D684" s="114"/>
      <c r="E684" s="114"/>
      <c r="F684" s="114"/>
      <c r="G684" s="114"/>
      <c r="H684" s="54"/>
      <c r="I684" s="54"/>
      <c r="J684" s="54"/>
      <c r="K684" s="54"/>
      <c r="L684" s="54"/>
      <c r="M684" s="54"/>
      <c r="N684" s="54"/>
      <c r="O684" s="54"/>
      <c r="P684" s="86"/>
      <c r="Q684" s="54"/>
      <c r="R684" s="54"/>
    </row>
    <row r="685">
      <c r="A685" s="54"/>
      <c r="B685" s="114"/>
      <c r="C685" s="114"/>
      <c r="D685" s="114"/>
      <c r="E685" s="114"/>
      <c r="F685" s="114"/>
      <c r="G685" s="114"/>
      <c r="H685" s="54"/>
      <c r="I685" s="54"/>
      <c r="J685" s="54"/>
      <c r="K685" s="54"/>
      <c r="L685" s="54"/>
      <c r="M685" s="54"/>
      <c r="N685" s="54"/>
      <c r="O685" s="54"/>
      <c r="P685" s="86"/>
      <c r="Q685" s="54"/>
      <c r="R685" s="54"/>
    </row>
    <row r="686">
      <c r="A686" s="54"/>
      <c r="B686" s="114"/>
      <c r="C686" s="114"/>
      <c r="D686" s="114"/>
      <c r="E686" s="114"/>
      <c r="F686" s="114"/>
      <c r="G686" s="114"/>
      <c r="H686" s="54"/>
      <c r="I686" s="54"/>
      <c r="J686" s="54"/>
      <c r="K686" s="54"/>
      <c r="L686" s="54"/>
      <c r="M686" s="54"/>
      <c r="N686" s="54"/>
      <c r="O686" s="54"/>
      <c r="P686" s="86"/>
      <c r="Q686" s="54"/>
      <c r="R686" s="54"/>
    </row>
    <row r="687">
      <c r="A687" s="54"/>
      <c r="B687" s="114"/>
      <c r="C687" s="114"/>
      <c r="D687" s="114"/>
      <c r="E687" s="114"/>
      <c r="F687" s="114"/>
      <c r="G687" s="114"/>
      <c r="H687" s="54"/>
      <c r="I687" s="54"/>
      <c r="J687" s="54"/>
      <c r="K687" s="54"/>
      <c r="L687" s="54"/>
      <c r="M687" s="54"/>
      <c r="N687" s="54"/>
      <c r="O687" s="54"/>
      <c r="P687" s="86"/>
      <c r="Q687" s="54"/>
      <c r="R687" s="54"/>
    </row>
    <row r="688">
      <c r="A688" s="54"/>
      <c r="B688" s="114"/>
      <c r="C688" s="114"/>
      <c r="D688" s="114"/>
      <c r="E688" s="114"/>
      <c r="F688" s="114"/>
      <c r="G688" s="114"/>
      <c r="H688" s="54"/>
      <c r="I688" s="54"/>
      <c r="J688" s="54"/>
      <c r="K688" s="54"/>
      <c r="L688" s="54"/>
      <c r="M688" s="54"/>
      <c r="N688" s="54"/>
      <c r="O688" s="54"/>
      <c r="P688" s="86"/>
      <c r="Q688" s="54"/>
      <c r="R688" s="54"/>
    </row>
    <row r="689">
      <c r="A689" s="54"/>
      <c r="B689" s="114"/>
      <c r="C689" s="114"/>
      <c r="D689" s="114"/>
      <c r="E689" s="114"/>
      <c r="F689" s="114"/>
      <c r="G689" s="114"/>
      <c r="H689" s="54"/>
      <c r="I689" s="54"/>
      <c r="J689" s="54"/>
      <c r="K689" s="54"/>
      <c r="L689" s="54"/>
      <c r="M689" s="54"/>
      <c r="N689" s="54"/>
      <c r="O689" s="54"/>
      <c r="P689" s="86"/>
      <c r="Q689" s="54"/>
      <c r="R689" s="54"/>
    </row>
    <row r="690">
      <c r="A690" s="54"/>
      <c r="B690" s="114"/>
      <c r="C690" s="114"/>
      <c r="D690" s="114"/>
      <c r="E690" s="114"/>
      <c r="F690" s="114"/>
      <c r="G690" s="114"/>
      <c r="H690" s="54"/>
      <c r="I690" s="54"/>
      <c r="J690" s="54"/>
      <c r="K690" s="54"/>
      <c r="L690" s="54"/>
      <c r="M690" s="54"/>
      <c r="N690" s="54"/>
      <c r="O690" s="54"/>
      <c r="P690" s="86"/>
      <c r="Q690" s="54"/>
      <c r="R690" s="54"/>
    </row>
    <row r="691">
      <c r="A691" s="54"/>
      <c r="B691" s="114"/>
      <c r="C691" s="114"/>
      <c r="D691" s="114"/>
      <c r="E691" s="114"/>
      <c r="F691" s="114"/>
      <c r="G691" s="114"/>
      <c r="H691" s="54"/>
      <c r="I691" s="54"/>
      <c r="J691" s="54"/>
      <c r="K691" s="54"/>
      <c r="L691" s="54"/>
      <c r="M691" s="54"/>
      <c r="N691" s="54"/>
      <c r="O691" s="54"/>
      <c r="P691" s="86"/>
      <c r="Q691" s="54"/>
      <c r="R691" s="54"/>
    </row>
    <row r="692">
      <c r="A692" s="54"/>
      <c r="B692" s="114"/>
      <c r="C692" s="114"/>
      <c r="D692" s="114"/>
      <c r="E692" s="114"/>
      <c r="F692" s="114"/>
      <c r="G692" s="114"/>
      <c r="H692" s="54"/>
      <c r="I692" s="54"/>
      <c r="J692" s="54"/>
      <c r="K692" s="54"/>
      <c r="L692" s="54"/>
      <c r="M692" s="54"/>
      <c r="N692" s="54"/>
      <c r="O692" s="54"/>
      <c r="P692" s="86"/>
      <c r="Q692" s="54"/>
      <c r="R692" s="54"/>
    </row>
    <row r="693">
      <c r="A693" s="54"/>
      <c r="B693" s="114"/>
      <c r="C693" s="114"/>
      <c r="D693" s="114"/>
      <c r="E693" s="114"/>
      <c r="F693" s="114"/>
      <c r="G693" s="114"/>
      <c r="H693" s="54"/>
      <c r="I693" s="54"/>
      <c r="J693" s="54"/>
      <c r="K693" s="54"/>
      <c r="L693" s="54"/>
      <c r="M693" s="54"/>
      <c r="N693" s="54"/>
      <c r="O693" s="54"/>
      <c r="P693" s="86"/>
      <c r="Q693" s="54"/>
      <c r="R693" s="54"/>
    </row>
    <row r="694">
      <c r="A694" s="54"/>
      <c r="B694" s="114"/>
      <c r="C694" s="114"/>
      <c r="D694" s="114"/>
      <c r="E694" s="114"/>
      <c r="F694" s="114"/>
      <c r="G694" s="114"/>
      <c r="H694" s="54"/>
      <c r="I694" s="54"/>
      <c r="J694" s="54"/>
      <c r="K694" s="54"/>
      <c r="L694" s="54"/>
      <c r="M694" s="54"/>
      <c r="N694" s="54"/>
      <c r="O694" s="54"/>
      <c r="P694" s="86"/>
      <c r="Q694" s="54"/>
      <c r="R694" s="54"/>
    </row>
    <row r="695">
      <c r="A695" s="54"/>
      <c r="B695" s="114"/>
      <c r="C695" s="114"/>
      <c r="D695" s="114"/>
      <c r="E695" s="114"/>
      <c r="F695" s="114"/>
      <c r="G695" s="114"/>
      <c r="H695" s="54"/>
      <c r="I695" s="54"/>
      <c r="J695" s="54"/>
      <c r="K695" s="54"/>
      <c r="L695" s="54"/>
      <c r="M695" s="54"/>
      <c r="N695" s="54"/>
      <c r="O695" s="54"/>
      <c r="P695" s="86"/>
      <c r="Q695" s="54"/>
      <c r="R695" s="54"/>
    </row>
    <row r="696">
      <c r="A696" s="54"/>
      <c r="B696" s="114"/>
      <c r="C696" s="114"/>
      <c r="D696" s="114"/>
      <c r="E696" s="114"/>
      <c r="F696" s="114"/>
      <c r="G696" s="114"/>
      <c r="H696" s="54"/>
      <c r="I696" s="54"/>
      <c r="J696" s="54"/>
      <c r="K696" s="54"/>
      <c r="L696" s="54"/>
      <c r="M696" s="54"/>
      <c r="N696" s="54"/>
      <c r="O696" s="54"/>
      <c r="P696" s="86"/>
      <c r="Q696" s="54"/>
      <c r="R696" s="54"/>
    </row>
    <row r="697">
      <c r="A697" s="54"/>
      <c r="B697" s="114"/>
      <c r="C697" s="114"/>
      <c r="D697" s="114"/>
      <c r="E697" s="114"/>
      <c r="F697" s="114"/>
      <c r="G697" s="114"/>
      <c r="H697" s="54"/>
      <c r="I697" s="54"/>
      <c r="J697" s="54"/>
      <c r="K697" s="54"/>
      <c r="L697" s="54"/>
      <c r="M697" s="54"/>
      <c r="N697" s="54"/>
      <c r="O697" s="54"/>
      <c r="P697" s="86"/>
      <c r="Q697" s="54"/>
      <c r="R697" s="54"/>
    </row>
    <row r="698">
      <c r="A698" s="54"/>
      <c r="B698" s="114"/>
      <c r="C698" s="114"/>
      <c r="D698" s="114"/>
      <c r="E698" s="114"/>
      <c r="F698" s="114"/>
      <c r="G698" s="114"/>
      <c r="H698" s="54"/>
      <c r="I698" s="54"/>
      <c r="J698" s="54"/>
      <c r="K698" s="54"/>
      <c r="L698" s="54"/>
      <c r="M698" s="54"/>
      <c r="N698" s="54"/>
      <c r="O698" s="54"/>
      <c r="P698" s="86"/>
      <c r="Q698" s="54"/>
      <c r="R698" s="54"/>
    </row>
    <row r="699">
      <c r="A699" s="54"/>
      <c r="B699" s="114"/>
      <c r="C699" s="114"/>
      <c r="D699" s="114"/>
      <c r="E699" s="114"/>
      <c r="F699" s="114"/>
      <c r="G699" s="114"/>
      <c r="H699" s="54"/>
      <c r="I699" s="54"/>
      <c r="J699" s="54"/>
      <c r="K699" s="54"/>
      <c r="L699" s="54"/>
      <c r="M699" s="54"/>
      <c r="N699" s="54"/>
      <c r="O699" s="54"/>
      <c r="P699" s="86"/>
      <c r="Q699" s="54"/>
      <c r="R699" s="54"/>
    </row>
    <row r="700">
      <c r="A700" s="54"/>
      <c r="B700" s="114"/>
      <c r="C700" s="114"/>
      <c r="D700" s="114"/>
      <c r="E700" s="114"/>
      <c r="F700" s="114"/>
      <c r="G700" s="114"/>
      <c r="H700" s="54"/>
      <c r="I700" s="54"/>
      <c r="J700" s="54"/>
      <c r="K700" s="54"/>
      <c r="L700" s="54"/>
      <c r="M700" s="54"/>
      <c r="N700" s="54"/>
      <c r="O700" s="54"/>
      <c r="P700" s="86"/>
      <c r="Q700" s="54"/>
      <c r="R700" s="54"/>
    </row>
    <row r="701">
      <c r="A701" s="54"/>
      <c r="B701" s="114"/>
      <c r="C701" s="114"/>
      <c r="D701" s="114"/>
      <c r="E701" s="114"/>
      <c r="F701" s="114"/>
      <c r="G701" s="114"/>
      <c r="H701" s="54"/>
      <c r="I701" s="54"/>
      <c r="J701" s="54"/>
      <c r="K701" s="54"/>
      <c r="L701" s="54"/>
      <c r="M701" s="54"/>
      <c r="N701" s="54"/>
      <c r="O701" s="54"/>
      <c r="P701" s="86"/>
      <c r="Q701" s="54"/>
      <c r="R701" s="54"/>
    </row>
    <row r="702">
      <c r="A702" s="54"/>
      <c r="B702" s="114"/>
      <c r="C702" s="114"/>
      <c r="D702" s="114"/>
      <c r="E702" s="114"/>
      <c r="F702" s="114"/>
      <c r="G702" s="114"/>
      <c r="H702" s="54"/>
      <c r="I702" s="54"/>
      <c r="J702" s="54"/>
      <c r="K702" s="54"/>
      <c r="L702" s="54"/>
      <c r="M702" s="54"/>
      <c r="N702" s="54"/>
      <c r="O702" s="54"/>
      <c r="P702" s="86"/>
      <c r="Q702" s="54"/>
      <c r="R702" s="54"/>
    </row>
    <row r="703">
      <c r="A703" s="54"/>
      <c r="B703" s="114"/>
      <c r="C703" s="114"/>
      <c r="D703" s="114"/>
      <c r="E703" s="114"/>
      <c r="F703" s="114"/>
      <c r="G703" s="114"/>
      <c r="H703" s="54"/>
      <c r="I703" s="54"/>
      <c r="J703" s="54"/>
      <c r="K703" s="54"/>
      <c r="L703" s="54"/>
      <c r="M703" s="54"/>
      <c r="N703" s="54"/>
      <c r="O703" s="54"/>
      <c r="P703" s="86"/>
      <c r="Q703" s="54"/>
      <c r="R703" s="54"/>
    </row>
    <row r="704">
      <c r="A704" s="54"/>
      <c r="B704" s="114"/>
      <c r="C704" s="114"/>
      <c r="D704" s="114"/>
      <c r="E704" s="114"/>
      <c r="F704" s="114"/>
      <c r="G704" s="114"/>
      <c r="H704" s="54"/>
      <c r="I704" s="54"/>
      <c r="J704" s="54"/>
      <c r="K704" s="54"/>
      <c r="L704" s="54"/>
      <c r="M704" s="54"/>
      <c r="N704" s="54"/>
      <c r="O704" s="54"/>
      <c r="P704" s="86"/>
      <c r="Q704" s="54"/>
      <c r="R704" s="54"/>
    </row>
    <row r="705">
      <c r="A705" s="54"/>
      <c r="B705" s="114"/>
      <c r="C705" s="114"/>
      <c r="D705" s="114"/>
      <c r="E705" s="114"/>
      <c r="F705" s="114"/>
      <c r="G705" s="114"/>
      <c r="H705" s="54"/>
      <c r="I705" s="54"/>
      <c r="J705" s="54"/>
      <c r="K705" s="54"/>
      <c r="L705" s="54"/>
      <c r="M705" s="54"/>
      <c r="N705" s="54"/>
      <c r="O705" s="54"/>
      <c r="P705" s="86"/>
      <c r="Q705" s="54"/>
      <c r="R705" s="54"/>
    </row>
    <row r="706">
      <c r="A706" s="54"/>
      <c r="B706" s="114"/>
      <c r="C706" s="114"/>
      <c r="D706" s="114"/>
      <c r="E706" s="114"/>
      <c r="F706" s="114"/>
      <c r="G706" s="114"/>
      <c r="H706" s="54"/>
      <c r="I706" s="54"/>
      <c r="J706" s="54"/>
      <c r="K706" s="54"/>
      <c r="L706" s="54"/>
      <c r="M706" s="54"/>
      <c r="N706" s="54"/>
      <c r="O706" s="54"/>
      <c r="P706" s="86"/>
      <c r="Q706" s="54"/>
      <c r="R706" s="54"/>
    </row>
    <row r="707">
      <c r="A707" s="54"/>
      <c r="B707" s="114"/>
      <c r="C707" s="114"/>
      <c r="D707" s="114"/>
      <c r="E707" s="114"/>
      <c r="F707" s="114"/>
      <c r="G707" s="114"/>
      <c r="H707" s="54"/>
      <c r="I707" s="54"/>
      <c r="J707" s="54"/>
      <c r="K707" s="54"/>
      <c r="L707" s="54"/>
      <c r="M707" s="54"/>
      <c r="N707" s="54"/>
      <c r="O707" s="54"/>
      <c r="P707" s="86"/>
      <c r="Q707" s="54"/>
      <c r="R707" s="54"/>
    </row>
    <row r="708">
      <c r="A708" s="54"/>
      <c r="B708" s="114"/>
      <c r="C708" s="114"/>
      <c r="D708" s="114"/>
      <c r="E708" s="114"/>
      <c r="F708" s="114"/>
      <c r="G708" s="114"/>
      <c r="H708" s="54"/>
      <c r="I708" s="54"/>
      <c r="J708" s="54"/>
      <c r="K708" s="54"/>
      <c r="L708" s="54"/>
      <c r="M708" s="54"/>
      <c r="N708" s="54"/>
      <c r="O708" s="54"/>
      <c r="P708" s="86"/>
      <c r="Q708" s="54"/>
      <c r="R708" s="54"/>
    </row>
    <row r="709">
      <c r="A709" s="54"/>
      <c r="B709" s="114"/>
      <c r="C709" s="114"/>
      <c r="D709" s="114"/>
      <c r="E709" s="114"/>
      <c r="F709" s="114"/>
      <c r="G709" s="114"/>
      <c r="H709" s="54"/>
      <c r="I709" s="54"/>
      <c r="J709" s="54"/>
      <c r="K709" s="54"/>
      <c r="L709" s="54"/>
      <c r="M709" s="54"/>
      <c r="N709" s="54"/>
      <c r="O709" s="54"/>
      <c r="P709" s="86"/>
      <c r="Q709" s="54"/>
      <c r="R709" s="54"/>
    </row>
    <row r="710">
      <c r="A710" s="54"/>
      <c r="B710" s="114"/>
      <c r="C710" s="114"/>
      <c r="D710" s="114"/>
      <c r="E710" s="114"/>
      <c r="F710" s="114"/>
      <c r="G710" s="114"/>
      <c r="H710" s="54"/>
      <c r="I710" s="54"/>
      <c r="J710" s="54"/>
      <c r="K710" s="54"/>
      <c r="L710" s="54"/>
      <c r="M710" s="54"/>
      <c r="N710" s="54"/>
      <c r="O710" s="54"/>
      <c r="P710" s="86"/>
      <c r="Q710" s="54"/>
      <c r="R710" s="54"/>
    </row>
    <row r="711">
      <c r="A711" s="54"/>
      <c r="B711" s="114"/>
      <c r="C711" s="114"/>
      <c r="D711" s="114"/>
      <c r="E711" s="114"/>
      <c r="F711" s="114"/>
      <c r="G711" s="114"/>
      <c r="H711" s="54"/>
      <c r="I711" s="54"/>
      <c r="J711" s="54"/>
      <c r="K711" s="54"/>
      <c r="L711" s="54"/>
      <c r="M711" s="54"/>
      <c r="N711" s="54"/>
      <c r="O711" s="54"/>
      <c r="P711" s="86"/>
      <c r="Q711" s="54"/>
      <c r="R711" s="54"/>
    </row>
    <row r="712">
      <c r="A712" s="54"/>
      <c r="B712" s="114"/>
      <c r="C712" s="114"/>
      <c r="D712" s="114"/>
      <c r="E712" s="114"/>
      <c r="F712" s="114"/>
      <c r="G712" s="114"/>
      <c r="H712" s="54"/>
      <c r="I712" s="54"/>
      <c r="J712" s="54"/>
      <c r="K712" s="54"/>
      <c r="L712" s="54"/>
      <c r="M712" s="54"/>
      <c r="N712" s="54"/>
      <c r="O712" s="54"/>
      <c r="P712" s="86"/>
      <c r="Q712" s="54"/>
      <c r="R712" s="54"/>
    </row>
    <row r="713">
      <c r="A713" s="54"/>
      <c r="B713" s="114"/>
      <c r="C713" s="114"/>
      <c r="D713" s="114"/>
      <c r="E713" s="114"/>
      <c r="F713" s="114"/>
      <c r="G713" s="114"/>
      <c r="H713" s="54"/>
      <c r="I713" s="54"/>
      <c r="J713" s="54"/>
      <c r="K713" s="54"/>
      <c r="L713" s="54"/>
      <c r="M713" s="54"/>
      <c r="N713" s="54"/>
      <c r="O713" s="54"/>
      <c r="P713" s="86"/>
      <c r="Q713" s="54"/>
      <c r="R713" s="54"/>
    </row>
    <row r="714">
      <c r="A714" s="54"/>
      <c r="B714" s="114"/>
      <c r="C714" s="114"/>
      <c r="D714" s="114"/>
      <c r="E714" s="114"/>
      <c r="F714" s="114"/>
      <c r="G714" s="114"/>
      <c r="H714" s="54"/>
      <c r="I714" s="54"/>
      <c r="J714" s="54"/>
      <c r="K714" s="54"/>
      <c r="L714" s="54"/>
      <c r="M714" s="54"/>
      <c r="N714" s="54"/>
      <c r="O714" s="54"/>
      <c r="P714" s="86"/>
      <c r="Q714" s="54"/>
      <c r="R714" s="54"/>
    </row>
    <row r="715">
      <c r="A715" s="54"/>
      <c r="B715" s="114"/>
      <c r="C715" s="114"/>
      <c r="D715" s="114"/>
      <c r="E715" s="114"/>
      <c r="F715" s="114"/>
      <c r="G715" s="114"/>
      <c r="H715" s="54"/>
      <c r="I715" s="54"/>
      <c r="J715" s="54"/>
      <c r="K715" s="54"/>
      <c r="L715" s="54"/>
      <c r="M715" s="54"/>
      <c r="N715" s="54"/>
      <c r="O715" s="54"/>
      <c r="P715" s="86"/>
      <c r="Q715" s="54"/>
      <c r="R715" s="54"/>
    </row>
    <row r="716">
      <c r="A716" s="54"/>
      <c r="B716" s="114"/>
      <c r="C716" s="114"/>
      <c r="D716" s="114"/>
      <c r="E716" s="114"/>
      <c r="F716" s="114"/>
      <c r="G716" s="114"/>
      <c r="H716" s="54"/>
      <c r="I716" s="54"/>
      <c r="J716" s="54"/>
      <c r="K716" s="54"/>
      <c r="L716" s="54"/>
      <c r="M716" s="54"/>
      <c r="N716" s="54"/>
      <c r="O716" s="54"/>
      <c r="P716" s="86"/>
      <c r="Q716" s="54"/>
      <c r="R716" s="54"/>
    </row>
    <row r="717">
      <c r="A717" s="54"/>
      <c r="B717" s="114"/>
      <c r="C717" s="114"/>
      <c r="D717" s="114"/>
      <c r="E717" s="114"/>
      <c r="F717" s="114"/>
      <c r="G717" s="114"/>
      <c r="H717" s="54"/>
      <c r="I717" s="54"/>
      <c r="J717" s="54"/>
      <c r="K717" s="54"/>
      <c r="L717" s="54"/>
      <c r="M717" s="54"/>
      <c r="N717" s="54"/>
      <c r="O717" s="54"/>
      <c r="P717" s="86"/>
      <c r="Q717" s="54"/>
      <c r="R717" s="54"/>
    </row>
    <row r="718">
      <c r="A718" s="54"/>
      <c r="B718" s="114"/>
      <c r="C718" s="114"/>
      <c r="D718" s="114"/>
      <c r="E718" s="114"/>
      <c r="F718" s="114"/>
      <c r="G718" s="114"/>
      <c r="H718" s="54"/>
      <c r="I718" s="54"/>
      <c r="J718" s="54"/>
      <c r="K718" s="54"/>
      <c r="L718" s="54"/>
      <c r="M718" s="54"/>
      <c r="N718" s="54"/>
      <c r="O718" s="54"/>
      <c r="P718" s="86"/>
      <c r="Q718" s="54"/>
      <c r="R718" s="54"/>
    </row>
    <row r="719">
      <c r="A719" s="54"/>
      <c r="B719" s="114"/>
      <c r="C719" s="114"/>
      <c r="D719" s="114"/>
      <c r="E719" s="114"/>
      <c r="F719" s="114"/>
      <c r="G719" s="114"/>
      <c r="H719" s="54"/>
      <c r="I719" s="54"/>
      <c r="J719" s="54"/>
      <c r="K719" s="54"/>
      <c r="L719" s="54"/>
      <c r="M719" s="54"/>
      <c r="N719" s="54"/>
      <c r="O719" s="54"/>
      <c r="P719" s="86"/>
      <c r="Q719" s="54"/>
      <c r="R719" s="54"/>
    </row>
    <row r="720">
      <c r="A720" s="54"/>
      <c r="B720" s="114"/>
      <c r="C720" s="114"/>
      <c r="D720" s="114"/>
      <c r="E720" s="114"/>
      <c r="F720" s="114"/>
      <c r="G720" s="114"/>
      <c r="H720" s="54"/>
      <c r="I720" s="54"/>
      <c r="J720" s="54"/>
      <c r="K720" s="54"/>
      <c r="L720" s="54"/>
      <c r="M720" s="54"/>
      <c r="N720" s="54"/>
      <c r="O720" s="54"/>
      <c r="P720" s="86"/>
      <c r="Q720" s="54"/>
      <c r="R720" s="54"/>
    </row>
    <row r="721">
      <c r="A721" s="54"/>
      <c r="B721" s="114"/>
      <c r="C721" s="114"/>
      <c r="D721" s="114"/>
      <c r="E721" s="114"/>
      <c r="F721" s="114"/>
      <c r="G721" s="114"/>
      <c r="H721" s="54"/>
      <c r="I721" s="54"/>
      <c r="J721" s="54"/>
      <c r="K721" s="54"/>
      <c r="L721" s="54"/>
      <c r="M721" s="54"/>
      <c r="N721" s="54"/>
      <c r="O721" s="54"/>
      <c r="P721" s="86"/>
      <c r="Q721" s="54"/>
      <c r="R721" s="54"/>
    </row>
    <row r="722">
      <c r="A722" s="54"/>
      <c r="B722" s="114"/>
      <c r="C722" s="114"/>
      <c r="D722" s="114"/>
      <c r="E722" s="114"/>
      <c r="F722" s="114"/>
      <c r="G722" s="114"/>
      <c r="H722" s="54"/>
      <c r="I722" s="54"/>
      <c r="J722" s="54"/>
      <c r="K722" s="54"/>
      <c r="L722" s="54"/>
      <c r="M722" s="54"/>
      <c r="N722" s="54"/>
      <c r="O722" s="54"/>
      <c r="P722" s="86"/>
      <c r="Q722" s="54"/>
      <c r="R722" s="54"/>
    </row>
    <row r="723">
      <c r="A723" s="54"/>
      <c r="B723" s="114"/>
      <c r="C723" s="114"/>
      <c r="D723" s="114"/>
      <c r="E723" s="114"/>
      <c r="F723" s="114"/>
      <c r="G723" s="114"/>
      <c r="H723" s="54"/>
      <c r="I723" s="54"/>
      <c r="J723" s="54"/>
      <c r="K723" s="54"/>
      <c r="L723" s="54"/>
      <c r="M723" s="54"/>
      <c r="N723" s="54"/>
      <c r="O723" s="54"/>
      <c r="P723" s="86"/>
      <c r="Q723" s="54"/>
      <c r="R723" s="54"/>
    </row>
    <row r="724">
      <c r="A724" s="54"/>
      <c r="B724" s="114"/>
      <c r="C724" s="114"/>
      <c r="D724" s="114"/>
      <c r="E724" s="114"/>
      <c r="F724" s="114"/>
      <c r="G724" s="114"/>
      <c r="H724" s="54"/>
      <c r="I724" s="54"/>
      <c r="J724" s="54"/>
      <c r="K724" s="54"/>
      <c r="L724" s="54"/>
      <c r="M724" s="54"/>
      <c r="N724" s="54"/>
      <c r="O724" s="54"/>
      <c r="P724" s="86"/>
      <c r="Q724" s="54"/>
      <c r="R724" s="54"/>
    </row>
    <row r="725">
      <c r="A725" s="54"/>
      <c r="B725" s="114"/>
      <c r="C725" s="114"/>
      <c r="D725" s="114"/>
      <c r="E725" s="114"/>
      <c r="F725" s="114"/>
      <c r="G725" s="114"/>
      <c r="H725" s="54"/>
      <c r="I725" s="54"/>
      <c r="J725" s="54"/>
      <c r="K725" s="54"/>
      <c r="L725" s="54"/>
      <c r="M725" s="54"/>
      <c r="N725" s="54"/>
      <c r="O725" s="54"/>
      <c r="P725" s="86"/>
      <c r="Q725" s="54"/>
      <c r="R725" s="54"/>
    </row>
    <row r="726">
      <c r="A726" s="54"/>
      <c r="B726" s="114"/>
      <c r="C726" s="114"/>
      <c r="D726" s="114"/>
      <c r="E726" s="114"/>
      <c r="F726" s="114"/>
      <c r="G726" s="114"/>
      <c r="H726" s="54"/>
      <c r="I726" s="54"/>
      <c r="J726" s="54"/>
      <c r="K726" s="54"/>
      <c r="L726" s="54"/>
      <c r="M726" s="54"/>
      <c r="N726" s="54"/>
      <c r="O726" s="54"/>
      <c r="P726" s="86"/>
      <c r="Q726" s="54"/>
      <c r="R726" s="54"/>
    </row>
    <row r="727">
      <c r="A727" s="54"/>
      <c r="B727" s="114"/>
      <c r="C727" s="114"/>
      <c r="D727" s="114"/>
      <c r="E727" s="114"/>
      <c r="F727" s="114"/>
      <c r="G727" s="114"/>
      <c r="H727" s="54"/>
      <c r="I727" s="54"/>
      <c r="J727" s="54"/>
      <c r="K727" s="54"/>
      <c r="L727" s="54"/>
      <c r="M727" s="54"/>
      <c r="N727" s="54"/>
      <c r="O727" s="54"/>
      <c r="P727" s="86"/>
      <c r="Q727" s="54"/>
      <c r="R727" s="54"/>
    </row>
    <row r="728">
      <c r="A728" s="54"/>
      <c r="B728" s="114"/>
      <c r="C728" s="114"/>
      <c r="D728" s="114"/>
      <c r="E728" s="114"/>
      <c r="F728" s="114"/>
      <c r="G728" s="114"/>
      <c r="H728" s="54"/>
      <c r="I728" s="54"/>
      <c r="J728" s="54"/>
      <c r="K728" s="54"/>
      <c r="L728" s="54"/>
      <c r="M728" s="54"/>
      <c r="N728" s="54"/>
      <c r="O728" s="54"/>
      <c r="P728" s="86"/>
      <c r="Q728" s="54"/>
      <c r="R728" s="54"/>
    </row>
    <row r="729">
      <c r="A729" s="54"/>
      <c r="B729" s="114"/>
      <c r="C729" s="114"/>
      <c r="D729" s="114"/>
      <c r="E729" s="114"/>
      <c r="F729" s="114"/>
      <c r="G729" s="114"/>
      <c r="H729" s="54"/>
      <c r="I729" s="54"/>
      <c r="J729" s="54"/>
      <c r="K729" s="54"/>
      <c r="L729" s="54"/>
      <c r="M729" s="54"/>
      <c r="N729" s="54"/>
      <c r="O729" s="54"/>
      <c r="P729" s="86"/>
      <c r="Q729" s="54"/>
      <c r="R729" s="54"/>
    </row>
    <row r="730">
      <c r="A730" s="54"/>
      <c r="B730" s="114"/>
      <c r="C730" s="114"/>
      <c r="D730" s="114"/>
      <c r="E730" s="114"/>
      <c r="F730" s="114"/>
      <c r="G730" s="114"/>
      <c r="H730" s="54"/>
      <c r="I730" s="54"/>
      <c r="J730" s="54"/>
      <c r="K730" s="54"/>
      <c r="L730" s="54"/>
      <c r="M730" s="54"/>
      <c r="N730" s="54"/>
      <c r="O730" s="54"/>
      <c r="P730" s="86"/>
      <c r="Q730" s="54"/>
      <c r="R730" s="54"/>
    </row>
    <row r="731">
      <c r="A731" s="54"/>
      <c r="B731" s="114"/>
      <c r="C731" s="114"/>
      <c r="D731" s="114"/>
      <c r="E731" s="114"/>
      <c r="F731" s="114"/>
      <c r="G731" s="114"/>
      <c r="H731" s="54"/>
      <c r="I731" s="54"/>
      <c r="J731" s="54"/>
      <c r="K731" s="54"/>
      <c r="L731" s="54"/>
      <c r="M731" s="54"/>
      <c r="N731" s="54"/>
      <c r="O731" s="54"/>
      <c r="P731" s="86"/>
      <c r="Q731" s="54"/>
      <c r="R731" s="54"/>
    </row>
    <row r="732">
      <c r="A732" s="54"/>
      <c r="B732" s="114"/>
      <c r="C732" s="114"/>
      <c r="D732" s="114"/>
      <c r="E732" s="114"/>
      <c r="F732" s="114"/>
      <c r="G732" s="114"/>
      <c r="H732" s="54"/>
      <c r="I732" s="54"/>
      <c r="J732" s="54"/>
      <c r="K732" s="54"/>
      <c r="L732" s="54"/>
      <c r="M732" s="54"/>
      <c r="N732" s="54"/>
      <c r="O732" s="54"/>
      <c r="P732" s="86"/>
      <c r="Q732" s="54"/>
      <c r="R732" s="54"/>
    </row>
    <row r="733">
      <c r="A733" s="54"/>
      <c r="B733" s="114"/>
      <c r="C733" s="114"/>
      <c r="D733" s="114"/>
      <c r="E733" s="114"/>
      <c r="F733" s="114"/>
      <c r="G733" s="114"/>
      <c r="H733" s="54"/>
      <c r="I733" s="54"/>
      <c r="J733" s="54"/>
      <c r="K733" s="54"/>
      <c r="L733" s="54"/>
      <c r="M733" s="54"/>
      <c r="N733" s="54"/>
      <c r="O733" s="54"/>
      <c r="P733" s="86"/>
      <c r="Q733" s="54"/>
      <c r="R733" s="54"/>
    </row>
    <row r="734">
      <c r="A734" s="54"/>
      <c r="B734" s="114"/>
      <c r="C734" s="114"/>
      <c r="D734" s="114"/>
      <c r="E734" s="114"/>
      <c r="F734" s="114"/>
      <c r="G734" s="114"/>
      <c r="H734" s="54"/>
      <c r="I734" s="54"/>
      <c r="J734" s="54"/>
      <c r="K734" s="54"/>
      <c r="L734" s="54"/>
      <c r="M734" s="54"/>
      <c r="N734" s="54"/>
      <c r="O734" s="54"/>
      <c r="P734" s="86"/>
      <c r="Q734" s="54"/>
      <c r="R734" s="54"/>
    </row>
    <row r="735">
      <c r="A735" s="54"/>
      <c r="B735" s="114"/>
      <c r="C735" s="114"/>
      <c r="D735" s="114"/>
      <c r="E735" s="114"/>
      <c r="F735" s="114"/>
      <c r="G735" s="114"/>
      <c r="H735" s="54"/>
      <c r="I735" s="54"/>
      <c r="J735" s="54"/>
      <c r="K735" s="54"/>
      <c r="L735" s="54"/>
      <c r="M735" s="54"/>
      <c r="N735" s="54"/>
      <c r="O735" s="54"/>
      <c r="P735" s="86"/>
      <c r="Q735" s="54"/>
      <c r="R735" s="54"/>
    </row>
    <row r="736">
      <c r="A736" s="54"/>
      <c r="B736" s="114"/>
      <c r="C736" s="114"/>
      <c r="D736" s="114"/>
      <c r="E736" s="114"/>
      <c r="F736" s="114"/>
      <c r="G736" s="114"/>
      <c r="H736" s="54"/>
      <c r="I736" s="54"/>
      <c r="J736" s="54"/>
      <c r="K736" s="54"/>
      <c r="L736" s="54"/>
      <c r="M736" s="54"/>
      <c r="N736" s="54"/>
      <c r="O736" s="54"/>
      <c r="P736" s="86"/>
      <c r="Q736" s="54"/>
      <c r="R736" s="54"/>
    </row>
    <row r="737">
      <c r="A737" s="54"/>
      <c r="B737" s="114"/>
      <c r="C737" s="114"/>
      <c r="D737" s="114"/>
      <c r="E737" s="114"/>
      <c r="F737" s="114"/>
      <c r="G737" s="114"/>
      <c r="H737" s="54"/>
      <c r="I737" s="54"/>
      <c r="J737" s="54"/>
      <c r="K737" s="54"/>
      <c r="L737" s="54"/>
      <c r="M737" s="54"/>
      <c r="N737" s="54"/>
      <c r="O737" s="54"/>
      <c r="P737" s="86"/>
      <c r="Q737" s="54"/>
      <c r="R737" s="54"/>
    </row>
    <row r="738">
      <c r="A738" s="54"/>
      <c r="B738" s="114"/>
      <c r="C738" s="114"/>
      <c r="D738" s="114"/>
      <c r="E738" s="114"/>
      <c r="F738" s="114"/>
      <c r="G738" s="114"/>
      <c r="H738" s="54"/>
      <c r="I738" s="54"/>
      <c r="J738" s="54"/>
      <c r="K738" s="54"/>
      <c r="L738" s="54"/>
      <c r="M738" s="54"/>
      <c r="N738" s="54"/>
      <c r="O738" s="54"/>
      <c r="P738" s="86"/>
      <c r="Q738" s="54"/>
      <c r="R738" s="54"/>
    </row>
    <row r="739">
      <c r="A739" s="54"/>
      <c r="B739" s="114"/>
      <c r="C739" s="114"/>
      <c r="D739" s="114"/>
      <c r="E739" s="114"/>
      <c r="F739" s="114"/>
      <c r="G739" s="114"/>
      <c r="H739" s="54"/>
      <c r="I739" s="54"/>
      <c r="J739" s="54"/>
      <c r="K739" s="54"/>
      <c r="L739" s="54"/>
      <c r="M739" s="54"/>
      <c r="N739" s="54"/>
      <c r="O739" s="54"/>
      <c r="P739" s="86"/>
      <c r="Q739" s="54"/>
      <c r="R739" s="54"/>
    </row>
    <row r="740">
      <c r="A740" s="54"/>
      <c r="B740" s="114"/>
      <c r="C740" s="114"/>
      <c r="D740" s="114"/>
      <c r="E740" s="114"/>
      <c r="F740" s="114"/>
      <c r="G740" s="114"/>
      <c r="H740" s="54"/>
      <c r="I740" s="54"/>
      <c r="J740" s="54"/>
      <c r="K740" s="54"/>
      <c r="L740" s="54"/>
      <c r="M740" s="54"/>
      <c r="N740" s="54"/>
      <c r="O740" s="54"/>
      <c r="P740" s="86"/>
      <c r="Q740" s="54"/>
      <c r="R740" s="54"/>
    </row>
    <row r="741">
      <c r="A741" s="54"/>
      <c r="B741" s="114"/>
      <c r="C741" s="114"/>
      <c r="D741" s="114"/>
      <c r="E741" s="114"/>
      <c r="F741" s="114"/>
      <c r="G741" s="114"/>
      <c r="H741" s="54"/>
      <c r="I741" s="54"/>
      <c r="J741" s="54"/>
      <c r="K741" s="54"/>
      <c r="L741" s="54"/>
      <c r="M741" s="54"/>
      <c r="N741" s="54"/>
      <c r="O741" s="54"/>
      <c r="P741" s="86"/>
      <c r="Q741" s="54"/>
      <c r="R741" s="54"/>
    </row>
    <row r="742">
      <c r="A742" s="54"/>
      <c r="B742" s="114"/>
      <c r="C742" s="114"/>
      <c r="D742" s="114"/>
      <c r="E742" s="114"/>
      <c r="F742" s="114"/>
      <c r="G742" s="114"/>
      <c r="H742" s="54"/>
      <c r="I742" s="54"/>
      <c r="J742" s="54"/>
      <c r="K742" s="54"/>
      <c r="L742" s="54"/>
      <c r="M742" s="54"/>
      <c r="N742" s="54"/>
      <c r="O742" s="54"/>
      <c r="P742" s="86"/>
      <c r="Q742" s="54"/>
      <c r="R742" s="54"/>
    </row>
    <row r="743">
      <c r="A743" s="54"/>
      <c r="B743" s="114"/>
      <c r="C743" s="114"/>
      <c r="D743" s="114"/>
      <c r="E743" s="114"/>
      <c r="F743" s="114"/>
      <c r="G743" s="114"/>
      <c r="H743" s="54"/>
      <c r="I743" s="54"/>
      <c r="J743" s="54"/>
      <c r="K743" s="54"/>
      <c r="L743" s="54"/>
      <c r="M743" s="54"/>
      <c r="N743" s="54"/>
      <c r="O743" s="54"/>
      <c r="P743" s="86"/>
      <c r="Q743" s="54"/>
      <c r="R743" s="54"/>
    </row>
    <row r="744">
      <c r="A744" s="54"/>
      <c r="B744" s="114"/>
      <c r="C744" s="114"/>
      <c r="D744" s="114"/>
      <c r="E744" s="114"/>
      <c r="F744" s="114"/>
      <c r="G744" s="114"/>
      <c r="H744" s="54"/>
      <c r="I744" s="54"/>
      <c r="J744" s="54"/>
      <c r="K744" s="54"/>
      <c r="L744" s="54"/>
      <c r="M744" s="54"/>
      <c r="N744" s="54"/>
      <c r="O744" s="54"/>
      <c r="P744" s="86"/>
      <c r="Q744" s="54"/>
      <c r="R744" s="54"/>
    </row>
    <row r="745">
      <c r="A745" s="54"/>
      <c r="B745" s="114"/>
      <c r="C745" s="114"/>
      <c r="D745" s="114"/>
      <c r="E745" s="114"/>
      <c r="F745" s="114"/>
      <c r="G745" s="114"/>
      <c r="H745" s="54"/>
      <c r="I745" s="54"/>
      <c r="J745" s="54"/>
      <c r="K745" s="54"/>
      <c r="L745" s="54"/>
      <c r="M745" s="54"/>
      <c r="N745" s="54"/>
      <c r="O745" s="54"/>
      <c r="P745" s="86"/>
      <c r="Q745" s="54"/>
      <c r="R745" s="54"/>
    </row>
    <row r="746">
      <c r="A746" s="54"/>
      <c r="B746" s="114"/>
      <c r="C746" s="114"/>
      <c r="D746" s="114"/>
      <c r="E746" s="114"/>
      <c r="F746" s="114"/>
      <c r="G746" s="114"/>
      <c r="H746" s="54"/>
      <c r="I746" s="54"/>
      <c r="J746" s="54"/>
      <c r="K746" s="54"/>
      <c r="L746" s="54"/>
      <c r="M746" s="54"/>
      <c r="N746" s="54"/>
      <c r="O746" s="54"/>
      <c r="P746" s="86"/>
      <c r="Q746" s="54"/>
      <c r="R746" s="54"/>
    </row>
    <row r="747">
      <c r="A747" s="54"/>
      <c r="B747" s="114"/>
      <c r="C747" s="114"/>
      <c r="D747" s="114"/>
      <c r="E747" s="114"/>
      <c r="F747" s="114"/>
      <c r="G747" s="114"/>
      <c r="H747" s="54"/>
      <c r="I747" s="54"/>
      <c r="J747" s="54"/>
      <c r="K747" s="54"/>
      <c r="L747" s="54"/>
      <c r="M747" s="54"/>
      <c r="N747" s="54"/>
      <c r="O747" s="54"/>
      <c r="P747" s="86"/>
      <c r="Q747" s="54"/>
      <c r="R747" s="54"/>
    </row>
    <row r="748">
      <c r="A748" s="54"/>
      <c r="B748" s="114"/>
      <c r="C748" s="114"/>
      <c r="D748" s="114"/>
      <c r="E748" s="114"/>
      <c r="F748" s="114"/>
      <c r="G748" s="114"/>
      <c r="H748" s="54"/>
      <c r="I748" s="54"/>
      <c r="J748" s="54"/>
      <c r="K748" s="54"/>
      <c r="L748" s="54"/>
      <c r="M748" s="54"/>
      <c r="N748" s="54"/>
      <c r="O748" s="54"/>
      <c r="P748" s="86"/>
      <c r="Q748" s="54"/>
      <c r="R748" s="54"/>
    </row>
    <row r="749">
      <c r="A749" s="54"/>
      <c r="B749" s="114"/>
      <c r="C749" s="114"/>
      <c r="D749" s="114"/>
      <c r="E749" s="114"/>
      <c r="F749" s="114"/>
      <c r="G749" s="114"/>
      <c r="H749" s="54"/>
      <c r="I749" s="54"/>
      <c r="J749" s="54"/>
      <c r="K749" s="54"/>
      <c r="L749" s="54"/>
      <c r="M749" s="54"/>
      <c r="N749" s="54"/>
      <c r="O749" s="54"/>
      <c r="P749" s="86"/>
      <c r="Q749" s="54"/>
      <c r="R749" s="54"/>
    </row>
    <row r="750">
      <c r="A750" s="54"/>
      <c r="B750" s="114"/>
      <c r="C750" s="114"/>
      <c r="D750" s="114"/>
      <c r="E750" s="114"/>
      <c r="F750" s="114"/>
      <c r="G750" s="114"/>
      <c r="H750" s="54"/>
      <c r="I750" s="54"/>
      <c r="J750" s="54"/>
      <c r="K750" s="54"/>
      <c r="L750" s="54"/>
      <c r="M750" s="54"/>
      <c r="N750" s="54"/>
      <c r="O750" s="54"/>
      <c r="P750" s="86"/>
      <c r="Q750" s="54"/>
      <c r="R750" s="54"/>
    </row>
    <row r="751">
      <c r="A751" s="54"/>
      <c r="B751" s="114"/>
      <c r="C751" s="114"/>
      <c r="D751" s="114"/>
      <c r="E751" s="114"/>
      <c r="F751" s="114"/>
      <c r="G751" s="114"/>
      <c r="H751" s="54"/>
      <c r="I751" s="54"/>
      <c r="J751" s="54"/>
      <c r="K751" s="54"/>
      <c r="L751" s="54"/>
      <c r="M751" s="54"/>
      <c r="N751" s="54"/>
      <c r="O751" s="54"/>
      <c r="P751" s="86"/>
      <c r="Q751" s="54"/>
      <c r="R751" s="54"/>
    </row>
    <row r="752">
      <c r="A752" s="54"/>
      <c r="B752" s="114"/>
      <c r="C752" s="114"/>
      <c r="D752" s="114"/>
      <c r="E752" s="114"/>
      <c r="F752" s="114"/>
      <c r="G752" s="114"/>
      <c r="H752" s="54"/>
      <c r="I752" s="54"/>
      <c r="J752" s="54"/>
      <c r="K752" s="54"/>
      <c r="L752" s="54"/>
      <c r="M752" s="54"/>
      <c r="N752" s="54"/>
      <c r="O752" s="54"/>
      <c r="P752" s="86"/>
      <c r="Q752" s="54"/>
      <c r="R752" s="54"/>
    </row>
    <row r="753">
      <c r="A753" s="54"/>
      <c r="B753" s="114"/>
      <c r="C753" s="114"/>
      <c r="D753" s="114"/>
      <c r="E753" s="114"/>
      <c r="F753" s="114"/>
      <c r="G753" s="114"/>
      <c r="H753" s="54"/>
      <c r="I753" s="54"/>
      <c r="J753" s="54"/>
      <c r="K753" s="54"/>
      <c r="L753" s="54"/>
      <c r="M753" s="54"/>
      <c r="N753" s="54"/>
      <c r="O753" s="54"/>
      <c r="P753" s="86"/>
      <c r="Q753" s="54"/>
      <c r="R753" s="54"/>
    </row>
    <row r="754">
      <c r="A754" s="54"/>
      <c r="B754" s="114"/>
      <c r="C754" s="114"/>
      <c r="D754" s="114"/>
      <c r="E754" s="114"/>
      <c r="F754" s="114"/>
      <c r="G754" s="114"/>
      <c r="H754" s="54"/>
      <c r="I754" s="54"/>
      <c r="J754" s="54"/>
      <c r="K754" s="54"/>
      <c r="L754" s="54"/>
      <c r="M754" s="54"/>
      <c r="N754" s="54"/>
      <c r="O754" s="54"/>
      <c r="P754" s="86"/>
      <c r="Q754" s="54"/>
      <c r="R754" s="54"/>
    </row>
    <row r="755">
      <c r="A755" s="54"/>
      <c r="B755" s="114"/>
      <c r="C755" s="114"/>
      <c r="D755" s="114"/>
      <c r="E755" s="114"/>
      <c r="F755" s="114"/>
      <c r="G755" s="114"/>
      <c r="H755" s="54"/>
      <c r="I755" s="54"/>
      <c r="J755" s="54"/>
      <c r="K755" s="54"/>
      <c r="L755" s="54"/>
      <c r="M755" s="54"/>
      <c r="N755" s="54"/>
      <c r="O755" s="54"/>
      <c r="P755" s="86"/>
      <c r="Q755" s="54"/>
      <c r="R755" s="54"/>
    </row>
    <row r="756">
      <c r="A756" s="54"/>
      <c r="B756" s="114"/>
      <c r="C756" s="114"/>
      <c r="D756" s="114"/>
      <c r="E756" s="114"/>
      <c r="F756" s="114"/>
      <c r="G756" s="114"/>
      <c r="H756" s="54"/>
      <c r="I756" s="54"/>
      <c r="J756" s="54"/>
      <c r="K756" s="54"/>
      <c r="L756" s="54"/>
      <c r="M756" s="54"/>
      <c r="N756" s="54"/>
      <c r="O756" s="54"/>
      <c r="P756" s="86"/>
      <c r="Q756" s="54"/>
      <c r="R756" s="54"/>
    </row>
    <row r="757">
      <c r="A757" s="54"/>
      <c r="B757" s="114"/>
      <c r="C757" s="114"/>
      <c r="D757" s="114"/>
      <c r="E757" s="114"/>
      <c r="F757" s="114"/>
      <c r="G757" s="114"/>
      <c r="H757" s="54"/>
      <c r="I757" s="54"/>
      <c r="J757" s="54"/>
      <c r="K757" s="54"/>
      <c r="L757" s="54"/>
      <c r="M757" s="54"/>
      <c r="N757" s="54"/>
      <c r="O757" s="54"/>
      <c r="P757" s="86"/>
      <c r="Q757" s="54"/>
      <c r="R757" s="54"/>
    </row>
    <row r="758">
      <c r="A758" s="54"/>
      <c r="B758" s="114"/>
      <c r="C758" s="114"/>
      <c r="D758" s="114"/>
      <c r="E758" s="114"/>
      <c r="F758" s="114"/>
      <c r="G758" s="114"/>
      <c r="H758" s="54"/>
      <c r="I758" s="54"/>
      <c r="J758" s="54"/>
      <c r="K758" s="54"/>
      <c r="L758" s="54"/>
      <c r="M758" s="54"/>
      <c r="N758" s="54"/>
      <c r="O758" s="54"/>
      <c r="P758" s="86"/>
      <c r="Q758" s="54"/>
      <c r="R758" s="54"/>
    </row>
    <row r="759">
      <c r="A759" s="54"/>
      <c r="B759" s="114"/>
      <c r="C759" s="114"/>
      <c r="D759" s="114"/>
      <c r="E759" s="114"/>
      <c r="F759" s="114"/>
      <c r="G759" s="114"/>
      <c r="H759" s="54"/>
      <c r="I759" s="54"/>
      <c r="J759" s="54"/>
      <c r="K759" s="54"/>
      <c r="L759" s="54"/>
      <c r="M759" s="54"/>
      <c r="N759" s="54"/>
      <c r="O759" s="54"/>
      <c r="P759" s="86"/>
      <c r="Q759" s="54"/>
      <c r="R759" s="54"/>
    </row>
    <row r="760">
      <c r="A760" s="54"/>
      <c r="B760" s="114"/>
      <c r="C760" s="114"/>
      <c r="D760" s="114"/>
      <c r="E760" s="114"/>
      <c r="F760" s="114"/>
      <c r="G760" s="114"/>
      <c r="H760" s="54"/>
      <c r="I760" s="54"/>
      <c r="J760" s="54"/>
      <c r="K760" s="54"/>
      <c r="L760" s="54"/>
      <c r="M760" s="54"/>
      <c r="N760" s="54"/>
      <c r="O760" s="54"/>
      <c r="P760" s="86"/>
      <c r="Q760" s="54"/>
      <c r="R760" s="54"/>
    </row>
    <row r="761">
      <c r="A761" s="54"/>
      <c r="B761" s="114"/>
      <c r="C761" s="114"/>
      <c r="D761" s="114"/>
      <c r="E761" s="114"/>
      <c r="F761" s="114"/>
      <c r="G761" s="114"/>
      <c r="H761" s="54"/>
      <c r="I761" s="54"/>
      <c r="J761" s="54"/>
      <c r="K761" s="54"/>
      <c r="L761" s="54"/>
      <c r="M761" s="54"/>
      <c r="N761" s="54"/>
      <c r="O761" s="54"/>
      <c r="P761" s="86"/>
      <c r="Q761" s="54"/>
      <c r="R761" s="54"/>
    </row>
    <row r="762">
      <c r="A762" s="54"/>
      <c r="B762" s="114"/>
      <c r="C762" s="114"/>
      <c r="D762" s="114"/>
      <c r="E762" s="114"/>
      <c r="F762" s="114"/>
      <c r="G762" s="114"/>
      <c r="H762" s="54"/>
      <c r="I762" s="54"/>
      <c r="J762" s="54"/>
      <c r="K762" s="54"/>
      <c r="L762" s="54"/>
      <c r="M762" s="54"/>
      <c r="N762" s="54"/>
      <c r="O762" s="54"/>
      <c r="P762" s="86"/>
      <c r="Q762" s="54"/>
      <c r="R762" s="54"/>
    </row>
    <row r="763">
      <c r="A763" s="54"/>
      <c r="B763" s="114"/>
      <c r="C763" s="114"/>
      <c r="D763" s="114"/>
      <c r="E763" s="114"/>
      <c r="F763" s="114"/>
      <c r="G763" s="114"/>
      <c r="H763" s="54"/>
      <c r="I763" s="54"/>
      <c r="J763" s="54"/>
      <c r="K763" s="54"/>
      <c r="L763" s="54"/>
      <c r="M763" s="54"/>
      <c r="N763" s="54"/>
      <c r="O763" s="54"/>
      <c r="P763" s="86"/>
      <c r="Q763" s="54"/>
      <c r="R763" s="54"/>
    </row>
    <row r="764">
      <c r="A764" s="54"/>
      <c r="B764" s="114"/>
      <c r="C764" s="114"/>
      <c r="D764" s="114"/>
      <c r="E764" s="114"/>
      <c r="F764" s="114"/>
      <c r="G764" s="114"/>
      <c r="H764" s="54"/>
      <c r="I764" s="54"/>
      <c r="J764" s="54"/>
      <c r="K764" s="54"/>
      <c r="L764" s="54"/>
      <c r="M764" s="54"/>
      <c r="N764" s="54"/>
      <c r="O764" s="54"/>
      <c r="P764" s="86"/>
      <c r="Q764" s="54"/>
      <c r="R764" s="54"/>
    </row>
    <row r="765">
      <c r="A765" s="54"/>
      <c r="B765" s="114"/>
      <c r="C765" s="114"/>
      <c r="D765" s="114"/>
      <c r="E765" s="114"/>
      <c r="F765" s="114"/>
      <c r="G765" s="114"/>
      <c r="H765" s="54"/>
      <c r="I765" s="54"/>
      <c r="J765" s="54"/>
      <c r="K765" s="54"/>
      <c r="L765" s="54"/>
      <c r="M765" s="54"/>
      <c r="N765" s="54"/>
      <c r="O765" s="54"/>
      <c r="P765" s="86"/>
      <c r="Q765" s="54"/>
      <c r="R765" s="54"/>
    </row>
    <row r="766">
      <c r="A766" s="54"/>
      <c r="B766" s="114"/>
      <c r="C766" s="114"/>
      <c r="D766" s="114"/>
      <c r="E766" s="114"/>
      <c r="F766" s="114"/>
      <c r="G766" s="114"/>
      <c r="H766" s="54"/>
      <c r="I766" s="54"/>
      <c r="J766" s="54"/>
      <c r="K766" s="54"/>
      <c r="L766" s="54"/>
      <c r="M766" s="54"/>
      <c r="N766" s="54"/>
      <c r="O766" s="54"/>
      <c r="P766" s="86"/>
      <c r="Q766" s="54"/>
      <c r="R766" s="54"/>
    </row>
    <row r="767">
      <c r="A767" s="54"/>
      <c r="B767" s="114"/>
      <c r="C767" s="114"/>
      <c r="D767" s="114"/>
      <c r="E767" s="114"/>
      <c r="F767" s="114"/>
      <c r="G767" s="114"/>
      <c r="H767" s="54"/>
      <c r="I767" s="54"/>
      <c r="J767" s="54"/>
      <c r="K767" s="54"/>
      <c r="L767" s="54"/>
      <c r="M767" s="54"/>
      <c r="N767" s="54"/>
      <c r="O767" s="54"/>
      <c r="P767" s="86"/>
      <c r="Q767" s="54"/>
      <c r="R767" s="54"/>
    </row>
    <row r="768">
      <c r="A768" s="54"/>
      <c r="B768" s="114"/>
      <c r="C768" s="114"/>
      <c r="D768" s="114"/>
      <c r="E768" s="114"/>
      <c r="F768" s="114"/>
      <c r="G768" s="114"/>
      <c r="H768" s="54"/>
      <c r="I768" s="54"/>
      <c r="J768" s="54"/>
      <c r="K768" s="54"/>
      <c r="L768" s="54"/>
      <c r="M768" s="54"/>
      <c r="N768" s="54"/>
      <c r="O768" s="54"/>
      <c r="P768" s="86"/>
      <c r="Q768" s="54"/>
      <c r="R768" s="54"/>
    </row>
    <row r="769">
      <c r="A769" s="54"/>
      <c r="B769" s="114"/>
      <c r="C769" s="114"/>
      <c r="D769" s="114"/>
      <c r="E769" s="114"/>
      <c r="F769" s="114"/>
      <c r="G769" s="114"/>
      <c r="H769" s="54"/>
      <c r="I769" s="54"/>
      <c r="J769" s="54"/>
      <c r="K769" s="54"/>
      <c r="L769" s="54"/>
      <c r="M769" s="54"/>
      <c r="N769" s="54"/>
      <c r="O769" s="54"/>
      <c r="P769" s="86"/>
      <c r="Q769" s="54"/>
      <c r="R769" s="54"/>
    </row>
    <row r="770">
      <c r="A770" s="54"/>
      <c r="B770" s="114"/>
      <c r="C770" s="114"/>
      <c r="D770" s="114"/>
      <c r="E770" s="114"/>
      <c r="F770" s="114"/>
      <c r="G770" s="114"/>
      <c r="H770" s="54"/>
      <c r="I770" s="54"/>
      <c r="J770" s="54"/>
      <c r="K770" s="54"/>
      <c r="L770" s="54"/>
      <c r="M770" s="54"/>
      <c r="N770" s="54"/>
      <c r="O770" s="54"/>
      <c r="P770" s="86"/>
      <c r="Q770" s="54"/>
      <c r="R770" s="54"/>
    </row>
    <row r="771">
      <c r="A771" s="54"/>
      <c r="B771" s="114"/>
      <c r="C771" s="114"/>
      <c r="D771" s="114"/>
      <c r="E771" s="114"/>
      <c r="F771" s="114"/>
      <c r="G771" s="114"/>
      <c r="H771" s="54"/>
      <c r="I771" s="54"/>
      <c r="J771" s="54"/>
      <c r="K771" s="54"/>
      <c r="L771" s="54"/>
      <c r="M771" s="54"/>
      <c r="N771" s="54"/>
      <c r="O771" s="54"/>
      <c r="P771" s="86"/>
      <c r="Q771" s="54"/>
      <c r="R771" s="54"/>
    </row>
    <row r="772">
      <c r="A772" s="54"/>
      <c r="B772" s="114"/>
      <c r="C772" s="114"/>
      <c r="D772" s="114"/>
      <c r="E772" s="114"/>
      <c r="F772" s="114"/>
      <c r="G772" s="114"/>
      <c r="H772" s="54"/>
      <c r="I772" s="54"/>
      <c r="J772" s="54"/>
      <c r="K772" s="54"/>
      <c r="L772" s="54"/>
      <c r="M772" s="54"/>
      <c r="N772" s="54"/>
      <c r="O772" s="54"/>
      <c r="P772" s="86"/>
      <c r="Q772" s="54"/>
      <c r="R772" s="54"/>
    </row>
    <row r="773">
      <c r="A773" s="54"/>
      <c r="B773" s="114"/>
      <c r="C773" s="114"/>
      <c r="D773" s="114"/>
      <c r="E773" s="114"/>
      <c r="F773" s="114"/>
      <c r="G773" s="114"/>
      <c r="H773" s="54"/>
      <c r="I773" s="54"/>
      <c r="J773" s="54"/>
      <c r="K773" s="54"/>
      <c r="L773" s="54"/>
      <c r="M773" s="54"/>
      <c r="N773" s="54"/>
      <c r="O773" s="54"/>
      <c r="P773" s="86"/>
      <c r="Q773" s="54"/>
      <c r="R773" s="54"/>
    </row>
    <row r="774">
      <c r="A774" s="54"/>
      <c r="B774" s="114"/>
      <c r="C774" s="114"/>
      <c r="D774" s="114"/>
      <c r="E774" s="114"/>
      <c r="F774" s="114"/>
      <c r="G774" s="114"/>
      <c r="H774" s="54"/>
      <c r="I774" s="54"/>
      <c r="J774" s="54"/>
      <c r="K774" s="54"/>
      <c r="L774" s="54"/>
      <c r="M774" s="54"/>
      <c r="N774" s="54"/>
      <c r="O774" s="54"/>
      <c r="P774" s="86"/>
      <c r="Q774" s="54"/>
      <c r="R774" s="54"/>
    </row>
    <row r="775">
      <c r="A775" s="54"/>
      <c r="B775" s="114"/>
      <c r="C775" s="114"/>
      <c r="D775" s="114"/>
      <c r="E775" s="114"/>
      <c r="F775" s="114"/>
      <c r="G775" s="114"/>
      <c r="H775" s="54"/>
      <c r="I775" s="54"/>
      <c r="J775" s="54"/>
      <c r="K775" s="54"/>
      <c r="L775" s="54"/>
      <c r="M775" s="54"/>
      <c r="N775" s="54"/>
      <c r="O775" s="54"/>
      <c r="P775" s="86"/>
      <c r="Q775" s="54"/>
      <c r="R775" s="54"/>
    </row>
    <row r="776">
      <c r="A776" s="54"/>
      <c r="B776" s="114"/>
      <c r="C776" s="114"/>
      <c r="D776" s="114"/>
      <c r="E776" s="114"/>
      <c r="F776" s="114"/>
      <c r="G776" s="114"/>
      <c r="H776" s="54"/>
      <c r="I776" s="54"/>
      <c r="J776" s="54"/>
      <c r="K776" s="54"/>
      <c r="L776" s="54"/>
      <c r="M776" s="54"/>
      <c r="N776" s="54"/>
      <c r="O776" s="54"/>
      <c r="P776" s="86"/>
      <c r="Q776" s="54"/>
      <c r="R776" s="54"/>
    </row>
    <row r="777">
      <c r="A777" s="54"/>
      <c r="B777" s="114"/>
      <c r="C777" s="114"/>
      <c r="D777" s="114"/>
      <c r="E777" s="114"/>
      <c r="F777" s="114"/>
      <c r="G777" s="114"/>
      <c r="H777" s="54"/>
      <c r="I777" s="54"/>
      <c r="J777" s="54"/>
      <c r="K777" s="54"/>
      <c r="L777" s="54"/>
      <c r="M777" s="54"/>
      <c r="N777" s="54"/>
      <c r="O777" s="54"/>
      <c r="P777" s="86"/>
      <c r="Q777" s="54"/>
      <c r="R777" s="54"/>
    </row>
    <row r="778">
      <c r="A778" s="54"/>
      <c r="B778" s="114"/>
      <c r="C778" s="114"/>
      <c r="D778" s="114"/>
      <c r="E778" s="114"/>
      <c r="F778" s="114"/>
      <c r="G778" s="114"/>
      <c r="H778" s="54"/>
      <c r="I778" s="54"/>
      <c r="J778" s="54"/>
      <c r="K778" s="54"/>
      <c r="L778" s="54"/>
      <c r="M778" s="54"/>
      <c r="N778" s="54"/>
      <c r="O778" s="54"/>
      <c r="P778" s="86"/>
      <c r="Q778" s="54"/>
      <c r="R778" s="54"/>
    </row>
    <row r="779">
      <c r="A779" s="54"/>
      <c r="B779" s="114"/>
      <c r="C779" s="114"/>
      <c r="D779" s="114"/>
      <c r="E779" s="114"/>
      <c r="F779" s="114"/>
      <c r="G779" s="114"/>
      <c r="H779" s="54"/>
      <c r="I779" s="54"/>
      <c r="J779" s="54"/>
      <c r="K779" s="54"/>
      <c r="L779" s="54"/>
      <c r="M779" s="54"/>
      <c r="N779" s="54"/>
      <c r="O779" s="54"/>
      <c r="P779" s="86"/>
      <c r="Q779" s="54"/>
      <c r="R779" s="54"/>
    </row>
    <row r="780">
      <c r="A780" s="54"/>
      <c r="B780" s="114"/>
      <c r="C780" s="114"/>
      <c r="D780" s="114"/>
      <c r="E780" s="114"/>
      <c r="F780" s="114"/>
      <c r="G780" s="114"/>
      <c r="H780" s="54"/>
      <c r="I780" s="54"/>
      <c r="J780" s="54"/>
      <c r="K780" s="54"/>
      <c r="L780" s="54"/>
      <c r="M780" s="54"/>
      <c r="N780" s="54"/>
      <c r="O780" s="54"/>
      <c r="P780" s="86"/>
      <c r="Q780" s="54"/>
      <c r="R780" s="54"/>
    </row>
    <row r="781">
      <c r="A781" s="54"/>
      <c r="B781" s="114"/>
      <c r="C781" s="114"/>
      <c r="D781" s="114"/>
      <c r="E781" s="114"/>
      <c r="F781" s="114"/>
      <c r="G781" s="114"/>
      <c r="H781" s="54"/>
      <c r="I781" s="54"/>
      <c r="J781" s="54"/>
      <c r="K781" s="54"/>
      <c r="L781" s="54"/>
      <c r="M781" s="54"/>
      <c r="N781" s="54"/>
      <c r="O781" s="54"/>
      <c r="P781" s="86"/>
      <c r="Q781" s="54"/>
      <c r="R781" s="54"/>
    </row>
    <row r="782">
      <c r="A782" s="54"/>
      <c r="B782" s="114"/>
      <c r="C782" s="114"/>
      <c r="D782" s="114"/>
      <c r="E782" s="114"/>
      <c r="F782" s="114"/>
      <c r="G782" s="114"/>
      <c r="H782" s="54"/>
      <c r="I782" s="54"/>
      <c r="J782" s="54"/>
      <c r="K782" s="54"/>
      <c r="L782" s="54"/>
      <c r="M782" s="54"/>
      <c r="N782" s="54"/>
      <c r="O782" s="54"/>
      <c r="P782" s="86"/>
      <c r="Q782" s="54"/>
      <c r="R782" s="54"/>
    </row>
    <row r="783">
      <c r="A783" s="54"/>
      <c r="B783" s="114"/>
      <c r="C783" s="114"/>
      <c r="D783" s="114"/>
      <c r="E783" s="114"/>
      <c r="F783" s="114"/>
      <c r="G783" s="114"/>
      <c r="H783" s="54"/>
      <c r="I783" s="54"/>
      <c r="J783" s="54"/>
      <c r="K783" s="54"/>
      <c r="L783" s="54"/>
      <c r="M783" s="54"/>
      <c r="N783" s="54"/>
      <c r="O783" s="54"/>
      <c r="P783" s="86"/>
      <c r="Q783" s="54"/>
      <c r="R783" s="54"/>
    </row>
    <row r="784">
      <c r="A784" s="54"/>
      <c r="B784" s="114"/>
      <c r="C784" s="114"/>
      <c r="D784" s="114"/>
      <c r="E784" s="114"/>
      <c r="F784" s="114"/>
      <c r="G784" s="114"/>
      <c r="H784" s="54"/>
      <c r="I784" s="54"/>
      <c r="J784" s="54"/>
      <c r="K784" s="54"/>
      <c r="L784" s="54"/>
      <c r="M784" s="54"/>
      <c r="N784" s="54"/>
      <c r="O784" s="54"/>
      <c r="P784" s="86"/>
      <c r="Q784" s="54"/>
      <c r="R784" s="54"/>
    </row>
    <row r="785">
      <c r="A785" s="54"/>
      <c r="B785" s="114"/>
      <c r="C785" s="114"/>
      <c r="D785" s="114"/>
      <c r="E785" s="114"/>
      <c r="F785" s="114"/>
      <c r="G785" s="114"/>
      <c r="H785" s="54"/>
      <c r="I785" s="54"/>
      <c r="J785" s="54"/>
      <c r="K785" s="54"/>
      <c r="L785" s="54"/>
      <c r="M785" s="54"/>
      <c r="N785" s="54"/>
      <c r="O785" s="54"/>
      <c r="P785" s="86"/>
      <c r="Q785" s="54"/>
      <c r="R785" s="54"/>
    </row>
    <row r="786">
      <c r="A786" s="54"/>
      <c r="B786" s="114"/>
      <c r="C786" s="114"/>
      <c r="D786" s="114"/>
      <c r="E786" s="114"/>
      <c r="F786" s="114"/>
      <c r="G786" s="114"/>
      <c r="H786" s="54"/>
      <c r="I786" s="54"/>
      <c r="J786" s="54"/>
      <c r="K786" s="54"/>
      <c r="L786" s="54"/>
      <c r="M786" s="54"/>
      <c r="N786" s="54"/>
      <c r="O786" s="54"/>
      <c r="P786" s="86"/>
      <c r="Q786" s="54"/>
      <c r="R786" s="54"/>
    </row>
    <row r="787">
      <c r="A787" s="54"/>
      <c r="B787" s="114"/>
      <c r="C787" s="114"/>
      <c r="D787" s="114"/>
      <c r="E787" s="114"/>
      <c r="F787" s="114"/>
      <c r="G787" s="114"/>
      <c r="H787" s="54"/>
      <c r="I787" s="54"/>
      <c r="J787" s="54"/>
      <c r="K787" s="54"/>
      <c r="L787" s="54"/>
      <c r="M787" s="54"/>
      <c r="N787" s="54"/>
      <c r="O787" s="54"/>
      <c r="P787" s="86"/>
      <c r="Q787" s="54"/>
      <c r="R787" s="54"/>
    </row>
    <row r="788">
      <c r="A788" s="54"/>
      <c r="B788" s="114"/>
      <c r="C788" s="114"/>
      <c r="D788" s="114"/>
      <c r="E788" s="114"/>
      <c r="F788" s="114"/>
      <c r="G788" s="114"/>
      <c r="H788" s="54"/>
      <c r="I788" s="54"/>
      <c r="J788" s="54"/>
      <c r="K788" s="54"/>
      <c r="L788" s="54"/>
      <c r="M788" s="54"/>
      <c r="N788" s="54"/>
      <c r="O788" s="54"/>
      <c r="P788" s="86"/>
      <c r="Q788" s="54"/>
      <c r="R788" s="54"/>
    </row>
    <row r="789">
      <c r="A789" s="54"/>
      <c r="B789" s="114"/>
      <c r="C789" s="114"/>
      <c r="D789" s="114"/>
      <c r="E789" s="114"/>
      <c r="F789" s="114"/>
      <c r="G789" s="114"/>
      <c r="H789" s="54"/>
      <c r="I789" s="54"/>
      <c r="J789" s="54"/>
      <c r="K789" s="54"/>
      <c r="L789" s="54"/>
      <c r="M789" s="54"/>
      <c r="N789" s="54"/>
      <c r="O789" s="54"/>
      <c r="P789" s="86"/>
      <c r="Q789" s="54"/>
      <c r="R789" s="54"/>
    </row>
    <row r="790">
      <c r="A790" s="54"/>
      <c r="B790" s="114"/>
      <c r="C790" s="114"/>
      <c r="D790" s="114"/>
      <c r="E790" s="114"/>
      <c r="F790" s="114"/>
      <c r="G790" s="114"/>
      <c r="H790" s="54"/>
      <c r="I790" s="54"/>
      <c r="J790" s="54"/>
      <c r="K790" s="54"/>
      <c r="L790" s="54"/>
      <c r="M790" s="54"/>
      <c r="N790" s="54"/>
      <c r="O790" s="54"/>
      <c r="P790" s="86"/>
      <c r="Q790" s="54"/>
      <c r="R790" s="54"/>
    </row>
    <row r="791">
      <c r="A791" s="54"/>
      <c r="B791" s="114"/>
      <c r="C791" s="114"/>
      <c r="D791" s="114"/>
      <c r="E791" s="114"/>
      <c r="F791" s="114"/>
      <c r="G791" s="114"/>
      <c r="H791" s="54"/>
      <c r="I791" s="54"/>
      <c r="J791" s="54"/>
      <c r="K791" s="54"/>
      <c r="L791" s="54"/>
      <c r="M791" s="54"/>
      <c r="N791" s="54"/>
      <c r="O791" s="54"/>
      <c r="P791" s="86"/>
      <c r="Q791" s="54"/>
      <c r="R791" s="54"/>
    </row>
    <row r="792">
      <c r="A792" s="54"/>
      <c r="B792" s="114"/>
      <c r="C792" s="114"/>
      <c r="D792" s="114"/>
      <c r="E792" s="114"/>
      <c r="F792" s="114"/>
      <c r="G792" s="114"/>
      <c r="H792" s="54"/>
      <c r="I792" s="54"/>
      <c r="J792" s="54"/>
      <c r="K792" s="54"/>
      <c r="L792" s="54"/>
      <c r="M792" s="54"/>
      <c r="N792" s="54"/>
      <c r="O792" s="54"/>
      <c r="P792" s="86"/>
      <c r="Q792" s="54"/>
      <c r="R792" s="54"/>
    </row>
    <row r="793">
      <c r="A793" s="54"/>
      <c r="B793" s="114"/>
      <c r="C793" s="114"/>
      <c r="D793" s="114"/>
      <c r="E793" s="114"/>
      <c r="F793" s="114"/>
      <c r="G793" s="114"/>
      <c r="H793" s="54"/>
      <c r="I793" s="54"/>
      <c r="J793" s="54"/>
      <c r="K793" s="54"/>
      <c r="L793" s="54"/>
      <c r="M793" s="54"/>
      <c r="N793" s="54"/>
      <c r="O793" s="54"/>
      <c r="P793" s="86"/>
      <c r="Q793" s="54"/>
      <c r="R793" s="54"/>
    </row>
    <row r="794">
      <c r="A794" s="54"/>
      <c r="B794" s="114"/>
      <c r="C794" s="114"/>
      <c r="D794" s="114"/>
      <c r="E794" s="114"/>
      <c r="F794" s="114"/>
      <c r="G794" s="114"/>
      <c r="H794" s="54"/>
      <c r="I794" s="54"/>
      <c r="J794" s="54"/>
      <c r="K794" s="54"/>
      <c r="L794" s="54"/>
      <c r="M794" s="54"/>
      <c r="N794" s="54"/>
      <c r="O794" s="54"/>
      <c r="P794" s="86"/>
      <c r="Q794" s="54"/>
      <c r="R794" s="54"/>
    </row>
    <row r="795">
      <c r="A795" s="54"/>
      <c r="B795" s="114"/>
      <c r="C795" s="114"/>
      <c r="D795" s="114"/>
      <c r="E795" s="114"/>
      <c r="F795" s="114"/>
      <c r="G795" s="114"/>
      <c r="H795" s="54"/>
      <c r="I795" s="54"/>
      <c r="J795" s="54"/>
      <c r="K795" s="54"/>
      <c r="L795" s="54"/>
      <c r="M795" s="54"/>
      <c r="N795" s="54"/>
      <c r="O795" s="54"/>
      <c r="P795" s="86"/>
      <c r="Q795" s="54"/>
      <c r="R795" s="54"/>
    </row>
    <row r="796">
      <c r="A796" s="54"/>
      <c r="B796" s="114"/>
      <c r="C796" s="114"/>
      <c r="D796" s="114"/>
      <c r="E796" s="114"/>
      <c r="F796" s="114"/>
      <c r="G796" s="114"/>
      <c r="H796" s="54"/>
      <c r="I796" s="54"/>
      <c r="J796" s="54"/>
      <c r="K796" s="54"/>
      <c r="L796" s="54"/>
      <c r="M796" s="54"/>
      <c r="N796" s="54"/>
      <c r="O796" s="54"/>
      <c r="P796" s="86"/>
      <c r="Q796" s="54"/>
      <c r="R796" s="54"/>
    </row>
    <row r="797">
      <c r="A797" s="54"/>
      <c r="B797" s="114"/>
      <c r="C797" s="114"/>
      <c r="D797" s="114"/>
      <c r="E797" s="114"/>
      <c r="F797" s="114"/>
      <c r="G797" s="114"/>
      <c r="H797" s="54"/>
      <c r="I797" s="54"/>
      <c r="J797" s="54"/>
      <c r="K797" s="54"/>
      <c r="L797" s="54"/>
      <c r="M797" s="54"/>
      <c r="N797" s="54"/>
      <c r="O797" s="54"/>
      <c r="P797" s="86"/>
      <c r="Q797" s="54"/>
      <c r="R797" s="54"/>
    </row>
    <row r="798">
      <c r="A798" s="54"/>
      <c r="B798" s="114"/>
      <c r="C798" s="114"/>
      <c r="D798" s="114"/>
      <c r="E798" s="114"/>
      <c r="F798" s="114"/>
      <c r="G798" s="114"/>
      <c r="H798" s="54"/>
      <c r="I798" s="54"/>
      <c r="J798" s="54"/>
      <c r="K798" s="54"/>
      <c r="L798" s="54"/>
      <c r="M798" s="54"/>
      <c r="N798" s="54"/>
      <c r="O798" s="54"/>
      <c r="P798" s="86"/>
      <c r="Q798" s="54"/>
      <c r="R798" s="54"/>
    </row>
    <row r="799">
      <c r="A799" s="54"/>
      <c r="B799" s="114"/>
      <c r="C799" s="114"/>
      <c r="D799" s="114"/>
      <c r="E799" s="114"/>
      <c r="F799" s="114"/>
      <c r="G799" s="114"/>
      <c r="H799" s="54"/>
      <c r="I799" s="54"/>
      <c r="J799" s="54"/>
      <c r="K799" s="54"/>
      <c r="L799" s="54"/>
      <c r="M799" s="54"/>
      <c r="N799" s="54"/>
      <c r="O799" s="54"/>
      <c r="P799" s="86"/>
      <c r="Q799" s="54"/>
      <c r="R799" s="54"/>
    </row>
    <row r="800">
      <c r="A800" s="54"/>
      <c r="B800" s="114"/>
      <c r="C800" s="114"/>
      <c r="D800" s="114"/>
      <c r="E800" s="114"/>
      <c r="F800" s="114"/>
      <c r="G800" s="114"/>
      <c r="H800" s="54"/>
      <c r="I800" s="54"/>
      <c r="J800" s="54"/>
      <c r="K800" s="54"/>
      <c r="L800" s="54"/>
      <c r="M800" s="54"/>
      <c r="N800" s="54"/>
      <c r="O800" s="54"/>
      <c r="P800" s="86"/>
      <c r="Q800" s="54"/>
      <c r="R800" s="54"/>
    </row>
    <row r="801">
      <c r="A801" s="54"/>
      <c r="B801" s="114"/>
      <c r="C801" s="114"/>
      <c r="D801" s="114"/>
      <c r="E801" s="114"/>
      <c r="F801" s="114"/>
      <c r="G801" s="114"/>
      <c r="H801" s="54"/>
      <c r="I801" s="54"/>
      <c r="J801" s="54"/>
      <c r="K801" s="54"/>
      <c r="L801" s="54"/>
      <c r="M801" s="54"/>
      <c r="N801" s="54"/>
      <c r="O801" s="54"/>
      <c r="P801" s="86"/>
      <c r="Q801" s="54"/>
      <c r="R801" s="54"/>
    </row>
    <row r="802">
      <c r="A802" s="54"/>
      <c r="B802" s="114"/>
      <c r="C802" s="114"/>
      <c r="D802" s="114"/>
      <c r="E802" s="114"/>
      <c r="F802" s="114"/>
      <c r="G802" s="114"/>
      <c r="H802" s="54"/>
      <c r="I802" s="54"/>
      <c r="J802" s="54"/>
      <c r="K802" s="54"/>
      <c r="L802" s="54"/>
      <c r="M802" s="54"/>
      <c r="N802" s="54"/>
      <c r="O802" s="54"/>
      <c r="P802" s="86"/>
      <c r="Q802" s="54"/>
      <c r="R802" s="54"/>
    </row>
    <row r="803">
      <c r="A803" s="54"/>
      <c r="B803" s="114"/>
      <c r="C803" s="114"/>
      <c r="D803" s="114"/>
      <c r="E803" s="114"/>
      <c r="F803" s="114"/>
      <c r="G803" s="114"/>
      <c r="H803" s="54"/>
      <c r="I803" s="54"/>
      <c r="J803" s="54"/>
      <c r="K803" s="54"/>
      <c r="L803" s="54"/>
      <c r="M803" s="54"/>
      <c r="N803" s="54"/>
      <c r="O803" s="54"/>
      <c r="P803" s="86"/>
      <c r="Q803" s="54"/>
      <c r="R803" s="54"/>
    </row>
    <row r="804">
      <c r="A804" s="54"/>
      <c r="B804" s="114"/>
      <c r="C804" s="114"/>
      <c r="D804" s="114"/>
      <c r="E804" s="114"/>
      <c r="F804" s="114"/>
      <c r="G804" s="114"/>
      <c r="H804" s="54"/>
      <c r="I804" s="54"/>
      <c r="J804" s="54"/>
      <c r="K804" s="54"/>
      <c r="L804" s="54"/>
      <c r="M804" s="54"/>
      <c r="N804" s="54"/>
      <c r="O804" s="54"/>
      <c r="P804" s="86"/>
      <c r="Q804" s="54"/>
      <c r="R804" s="54"/>
    </row>
    <row r="805">
      <c r="A805" s="54"/>
      <c r="B805" s="114"/>
      <c r="C805" s="114"/>
      <c r="D805" s="114"/>
      <c r="E805" s="114"/>
      <c r="F805" s="114"/>
      <c r="G805" s="114"/>
      <c r="H805" s="54"/>
      <c r="I805" s="54"/>
      <c r="J805" s="54"/>
      <c r="K805" s="54"/>
      <c r="L805" s="54"/>
      <c r="M805" s="54"/>
      <c r="N805" s="54"/>
      <c r="O805" s="54"/>
      <c r="P805" s="86"/>
      <c r="Q805" s="54"/>
      <c r="R805" s="54"/>
    </row>
    <row r="806">
      <c r="A806" s="54"/>
      <c r="B806" s="114"/>
      <c r="C806" s="114"/>
      <c r="D806" s="114"/>
      <c r="E806" s="114"/>
      <c r="F806" s="114"/>
      <c r="G806" s="114"/>
      <c r="H806" s="54"/>
      <c r="I806" s="54"/>
      <c r="J806" s="54"/>
      <c r="K806" s="54"/>
      <c r="L806" s="54"/>
      <c r="M806" s="54"/>
      <c r="N806" s="54"/>
      <c r="O806" s="54"/>
      <c r="P806" s="86"/>
      <c r="Q806" s="54"/>
      <c r="R806" s="54"/>
    </row>
    <row r="807">
      <c r="A807" s="54"/>
      <c r="B807" s="114"/>
      <c r="C807" s="114"/>
      <c r="D807" s="114"/>
      <c r="E807" s="114"/>
      <c r="F807" s="114"/>
      <c r="G807" s="114"/>
      <c r="H807" s="54"/>
      <c r="I807" s="54"/>
      <c r="J807" s="54"/>
      <c r="K807" s="54"/>
      <c r="L807" s="54"/>
      <c r="M807" s="54"/>
      <c r="N807" s="54"/>
      <c r="O807" s="54"/>
      <c r="P807" s="86"/>
      <c r="Q807" s="54"/>
      <c r="R807" s="54"/>
    </row>
    <row r="808">
      <c r="A808" s="54"/>
      <c r="B808" s="114"/>
      <c r="C808" s="114"/>
      <c r="D808" s="114"/>
      <c r="E808" s="114"/>
      <c r="F808" s="114"/>
      <c r="G808" s="114"/>
      <c r="H808" s="54"/>
      <c r="I808" s="54"/>
      <c r="J808" s="54"/>
      <c r="K808" s="54"/>
      <c r="L808" s="54"/>
      <c r="M808" s="54"/>
      <c r="N808" s="54"/>
      <c r="O808" s="54"/>
      <c r="P808" s="86"/>
      <c r="Q808" s="54"/>
      <c r="R808" s="54"/>
    </row>
    <row r="809">
      <c r="A809" s="54"/>
      <c r="B809" s="114"/>
      <c r="C809" s="114"/>
      <c r="D809" s="114"/>
      <c r="E809" s="114"/>
      <c r="F809" s="114"/>
      <c r="G809" s="114"/>
      <c r="H809" s="54"/>
      <c r="I809" s="54"/>
      <c r="J809" s="54"/>
      <c r="K809" s="54"/>
      <c r="L809" s="54"/>
      <c r="M809" s="54"/>
      <c r="N809" s="54"/>
      <c r="O809" s="54"/>
      <c r="P809" s="86"/>
      <c r="Q809" s="54"/>
      <c r="R809" s="54"/>
    </row>
    <row r="810">
      <c r="A810" s="54"/>
      <c r="B810" s="114"/>
      <c r="C810" s="114"/>
      <c r="D810" s="114"/>
      <c r="E810" s="114"/>
      <c r="F810" s="114"/>
      <c r="G810" s="114"/>
      <c r="H810" s="54"/>
      <c r="I810" s="54"/>
      <c r="J810" s="54"/>
      <c r="K810" s="54"/>
      <c r="L810" s="54"/>
      <c r="M810" s="54"/>
      <c r="N810" s="54"/>
      <c r="O810" s="54"/>
      <c r="P810" s="86"/>
      <c r="Q810" s="54"/>
      <c r="R810" s="54"/>
    </row>
    <row r="811">
      <c r="A811" s="54"/>
      <c r="B811" s="114"/>
      <c r="C811" s="114"/>
      <c r="D811" s="114"/>
      <c r="E811" s="114"/>
      <c r="F811" s="114"/>
      <c r="G811" s="114"/>
      <c r="H811" s="54"/>
      <c r="I811" s="54"/>
      <c r="J811" s="54"/>
      <c r="K811" s="54"/>
      <c r="L811" s="54"/>
      <c r="M811" s="54"/>
      <c r="N811" s="54"/>
      <c r="O811" s="54"/>
      <c r="P811" s="86"/>
      <c r="Q811" s="54"/>
      <c r="R811" s="54"/>
    </row>
    <row r="812">
      <c r="A812" s="54"/>
      <c r="B812" s="114"/>
      <c r="C812" s="114"/>
      <c r="D812" s="114"/>
      <c r="E812" s="114"/>
      <c r="F812" s="114"/>
      <c r="G812" s="114"/>
      <c r="H812" s="54"/>
      <c r="I812" s="54"/>
      <c r="J812" s="54"/>
      <c r="K812" s="54"/>
      <c r="L812" s="54"/>
      <c r="M812" s="54"/>
      <c r="N812" s="54"/>
      <c r="O812" s="54"/>
      <c r="P812" s="86"/>
      <c r="Q812" s="54"/>
      <c r="R812" s="54"/>
    </row>
    <row r="813">
      <c r="A813" s="54"/>
      <c r="B813" s="114"/>
      <c r="C813" s="114"/>
      <c r="D813" s="114"/>
      <c r="E813" s="114"/>
      <c r="F813" s="114"/>
      <c r="G813" s="114"/>
      <c r="H813" s="54"/>
      <c r="I813" s="54"/>
      <c r="J813" s="54"/>
      <c r="K813" s="54"/>
      <c r="L813" s="54"/>
      <c r="M813" s="54"/>
      <c r="N813" s="54"/>
      <c r="O813" s="54"/>
      <c r="P813" s="86"/>
      <c r="Q813" s="54"/>
      <c r="R813" s="54"/>
    </row>
    <row r="814">
      <c r="A814" s="54"/>
      <c r="B814" s="114"/>
      <c r="C814" s="114"/>
      <c r="D814" s="114"/>
      <c r="E814" s="114"/>
      <c r="F814" s="114"/>
      <c r="G814" s="114"/>
      <c r="H814" s="54"/>
      <c r="I814" s="54"/>
      <c r="J814" s="54"/>
      <c r="K814" s="54"/>
      <c r="L814" s="54"/>
      <c r="M814" s="54"/>
      <c r="N814" s="54"/>
      <c r="O814" s="54"/>
      <c r="P814" s="86"/>
      <c r="Q814" s="54"/>
      <c r="R814" s="54"/>
    </row>
    <row r="815">
      <c r="A815" s="54"/>
      <c r="B815" s="114"/>
      <c r="C815" s="114"/>
      <c r="D815" s="114"/>
      <c r="E815" s="114"/>
      <c r="F815" s="114"/>
      <c r="G815" s="114"/>
      <c r="H815" s="54"/>
      <c r="I815" s="54"/>
      <c r="J815" s="54"/>
      <c r="K815" s="54"/>
      <c r="L815" s="54"/>
      <c r="M815" s="54"/>
      <c r="N815" s="54"/>
      <c r="O815" s="54"/>
      <c r="P815" s="86"/>
      <c r="Q815" s="54"/>
      <c r="R815" s="54"/>
    </row>
    <row r="816">
      <c r="A816" s="54"/>
      <c r="B816" s="114"/>
      <c r="C816" s="114"/>
      <c r="D816" s="114"/>
      <c r="E816" s="114"/>
      <c r="F816" s="114"/>
      <c r="G816" s="114"/>
      <c r="H816" s="54"/>
      <c r="I816" s="54"/>
      <c r="J816" s="54"/>
      <c r="K816" s="54"/>
      <c r="L816" s="54"/>
      <c r="M816" s="54"/>
      <c r="N816" s="54"/>
      <c r="O816" s="54"/>
      <c r="P816" s="86"/>
      <c r="Q816" s="54"/>
      <c r="R816" s="54"/>
    </row>
    <row r="817">
      <c r="A817" s="54"/>
      <c r="B817" s="114"/>
      <c r="C817" s="114"/>
      <c r="D817" s="114"/>
      <c r="E817" s="114"/>
      <c r="F817" s="114"/>
      <c r="G817" s="114"/>
      <c r="H817" s="54"/>
      <c r="I817" s="54"/>
      <c r="J817" s="54"/>
      <c r="K817" s="54"/>
      <c r="L817" s="54"/>
      <c r="M817" s="54"/>
      <c r="N817" s="54"/>
      <c r="O817" s="54"/>
      <c r="P817" s="86"/>
      <c r="Q817" s="54"/>
      <c r="R817" s="54"/>
    </row>
    <row r="818">
      <c r="A818" s="54"/>
      <c r="B818" s="114"/>
      <c r="C818" s="114"/>
      <c r="D818" s="114"/>
      <c r="E818" s="114"/>
      <c r="F818" s="114"/>
      <c r="G818" s="114"/>
      <c r="H818" s="54"/>
      <c r="I818" s="54"/>
      <c r="J818" s="54"/>
      <c r="K818" s="54"/>
      <c r="L818" s="54"/>
      <c r="M818" s="54"/>
      <c r="N818" s="54"/>
      <c r="O818" s="54"/>
      <c r="P818" s="86"/>
      <c r="Q818" s="54"/>
      <c r="R818" s="54"/>
    </row>
    <row r="819">
      <c r="A819" s="54"/>
      <c r="B819" s="114"/>
      <c r="C819" s="114"/>
      <c r="D819" s="114"/>
      <c r="E819" s="114"/>
      <c r="F819" s="114"/>
      <c r="G819" s="114"/>
      <c r="H819" s="54"/>
      <c r="I819" s="54"/>
      <c r="J819" s="54"/>
      <c r="K819" s="54"/>
      <c r="L819" s="54"/>
      <c r="M819" s="54"/>
      <c r="N819" s="54"/>
      <c r="O819" s="54"/>
      <c r="P819" s="86"/>
      <c r="Q819" s="54"/>
      <c r="R819" s="54"/>
    </row>
    <row r="820">
      <c r="A820" s="54"/>
      <c r="B820" s="114"/>
      <c r="C820" s="114"/>
      <c r="D820" s="114"/>
      <c r="E820" s="114"/>
      <c r="F820" s="114"/>
      <c r="G820" s="114"/>
      <c r="H820" s="54"/>
      <c r="I820" s="54"/>
      <c r="J820" s="54"/>
      <c r="K820" s="54"/>
      <c r="L820" s="54"/>
      <c r="M820" s="54"/>
      <c r="N820" s="54"/>
      <c r="O820" s="54"/>
      <c r="P820" s="86"/>
      <c r="Q820" s="54"/>
      <c r="R820" s="54"/>
    </row>
    <row r="821">
      <c r="A821" s="54"/>
      <c r="B821" s="114"/>
      <c r="C821" s="114"/>
      <c r="D821" s="114"/>
      <c r="E821" s="114"/>
      <c r="F821" s="114"/>
      <c r="G821" s="114"/>
      <c r="H821" s="54"/>
      <c r="I821" s="54"/>
      <c r="J821" s="54"/>
      <c r="K821" s="54"/>
      <c r="L821" s="54"/>
      <c r="M821" s="54"/>
      <c r="N821" s="54"/>
      <c r="O821" s="54"/>
      <c r="P821" s="86"/>
      <c r="Q821" s="54"/>
      <c r="R821" s="54"/>
    </row>
    <row r="822">
      <c r="A822" s="54"/>
      <c r="B822" s="114"/>
      <c r="C822" s="114"/>
      <c r="D822" s="114"/>
      <c r="E822" s="114"/>
      <c r="F822" s="114"/>
      <c r="G822" s="114"/>
      <c r="H822" s="54"/>
      <c r="I822" s="54"/>
      <c r="J822" s="54"/>
      <c r="K822" s="54"/>
      <c r="L822" s="54"/>
      <c r="M822" s="54"/>
      <c r="N822" s="54"/>
      <c r="O822" s="54"/>
      <c r="P822" s="86"/>
      <c r="Q822" s="54"/>
      <c r="R822" s="54"/>
    </row>
    <row r="823">
      <c r="A823" s="54"/>
      <c r="B823" s="114"/>
      <c r="C823" s="114"/>
      <c r="D823" s="114"/>
      <c r="E823" s="114"/>
      <c r="F823" s="114"/>
      <c r="G823" s="114"/>
      <c r="H823" s="54"/>
      <c r="I823" s="54"/>
      <c r="J823" s="54"/>
      <c r="K823" s="54"/>
      <c r="L823" s="54"/>
      <c r="M823" s="54"/>
      <c r="N823" s="54"/>
      <c r="O823" s="54"/>
      <c r="P823" s="86"/>
      <c r="Q823" s="54"/>
      <c r="R823" s="54"/>
    </row>
    <row r="824">
      <c r="A824" s="54"/>
      <c r="B824" s="114"/>
      <c r="C824" s="114"/>
      <c r="D824" s="114"/>
      <c r="E824" s="114"/>
      <c r="F824" s="114"/>
      <c r="G824" s="114"/>
      <c r="H824" s="54"/>
      <c r="I824" s="54"/>
      <c r="J824" s="54"/>
      <c r="K824" s="54"/>
      <c r="L824" s="54"/>
      <c r="M824" s="54"/>
      <c r="N824" s="54"/>
      <c r="O824" s="54"/>
      <c r="P824" s="86"/>
      <c r="Q824" s="54"/>
      <c r="R824" s="54"/>
    </row>
    <row r="825">
      <c r="A825" s="54"/>
      <c r="B825" s="114"/>
      <c r="C825" s="114"/>
      <c r="D825" s="114"/>
      <c r="E825" s="114"/>
      <c r="F825" s="114"/>
      <c r="G825" s="114"/>
      <c r="H825" s="54"/>
      <c r="I825" s="54"/>
      <c r="J825" s="54"/>
      <c r="K825" s="54"/>
      <c r="L825" s="54"/>
      <c r="M825" s="54"/>
      <c r="N825" s="54"/>
      <c r="O825" s="54"/>
      <c r="P825" s="86"/>
      <c r="Q825" s="54"/>
      <c r="R825" s="54"/>
    </row>
    <row r="826">
      <c r="A826" s="54"/>
      <c r="B826" s="114"/>
      <c r="C826" s="114"/>
      <c r="D826" s="114"/>
      <c r="E826" s="114"/>
      <c r="F826" s="114"/>
      <c r="G826" s="114"/>
      <c r="H826" s="54"/>
      <c r="I826" s="54"/>
      <c r="J826" s="54"/>
      <c r="K826" s="54"/>
      <c r="L826" s="54"/>
      <c r="M826" s="54"/>
      <c r="N826" s="54"/>
      <c r="O826" s="54"/>
      <c r="P826" s="86"/>
      <c r="Q826" s="54"/>
      <c r="R826" s="54"/>
    </row>
    <row r="827">
      <c r="A827" s="54"/>
      <c r="B827" s="114"/>
      <c r="C827" s="114"/>
      <c r="D827" s="114"/>
      <c r="E827" s="114"/>
      <c r="F827" s="114"/>
      <c r="G827" s="114"/>
      <c r="H827" s="54"/>
      <c r="I827" s="54"/>
      <c r="J827" s="54"/>
      <c r="K827" s="54"/>
      <c r="L827" s="54"/>
      <c r="M827" s="54"/>
      <c r="N827" s="54"/>
      <c r="O827" s="54"/>
      <c r="P827" s="86"/>
      <c r="Q827" s="54"/>
      <c r="R827" s="54"/>
    </row>
    <row r="828">
      <c r="A828" s="54"/>
      <c r="B828" s="114"/>
      <c r="C828" s="114"/>
      <c r="D828" s="114"/>
      <c r="E828" s="114"/>
      <c r="F828" s="114"/>
      <c r="G828" s="114"/>
      <c r="H828" s="54"/>
      <c r="I828" s="54"/>
      <c r="J828" s="54"/>
      <c r="K828" s="54"/>
      <c r="L828" s="54"/>
      <c r="M828" s="54"/>
      <c r="N828" s="54"/>
      <c r="O828" s="54"/>
      <c r="P828" s="86"/>
      <c r="Q828" s="54"/>
      <c r="R828" s="54"/>
    </row>
    <row r="829">
      <c r="A829" s="54"/>
      <c r="B829" s="114"/>
      <c r="C829" s="114"/>
      <c r="D829" s="114"/>
      <c r="E829" s="114"/>
      <c r="F829" s="114"/>
      <c r="G829" s="114"/>
      <c r="H829" s="54"/>
      <c r="I829" s="54"/>
      <c r="J829" s="54"/>
      <c r="K829" s="54"/>
      <c r="L829" s="54"/>
      <c r="M829" s="54"/>
      <c r="N829" s="54"/>
      <c r="O829" s="54"/>
      <c r="P829" s="86"/>
      <c r="Q829" s="54"/>
      <c r="R829" s="54"/>
    </row>
    <row r="830">
      <c r="A830" s="54"/>
      <c r="B830" s="114"/>
      <c r="C830" s="114"/>
      <c r="D830" s="114"/>
      <c r="E830" s="114"/>
      <c r="F830" s="114"/>
      <c r="G830" s="114"/>
      <c r="H830" s="54"/>
      <c r="I830" s="54"/>
      <c r="J830" s="54"/>
      <c r="K830" s="54"/>
      <c r="L830" s="54"/>
      <c r="M830" s="54"/>
      <c r="N830" s="54"/>
      <c r="O830" s="54"/>
      <c r="P830" s="86"/>
      <c r="Q830" s="54"/>
      <c r="R830" s="54"/>
    </row>
    <row r="831">
      <c r="A831" s="54"/>
      <c r="B831" s="114"/>
      <c r="C831" s="114"/>
      <c r="D831" s="114"/>
      <c r="E831" s="114"/>
      <c r="F831" s="114"/>
      <c r="G831" s="114"/>
      <c r="H831" s="54"/>
      <c r="I831" s="54"/>
      <c r="J831" s="54"/>
      <c r="K831" s="54"/>
      <c r="L831" s="54"/>
      <c r="M831" s="54"/>
      <c r="N831" s="54"/>
      <c r="O831" s="54"/>
      <c r="P831" s="86"/>
      <c r="Q831" s="54"/>
      <c r="R831" s="54"/>
    </row>
    <row r="832">
      <c r="A832" s="54"/>
      <c r="B832" s="114"/>
      <c r="C832" s="114"/>
      <c r="D832" s="114"/>
      <c r="E832" s="114"/>
      <c r="F832" s="114"/>
      <c r="G832" s="114"/>
      <c r="H832" s="54"/>
      <c r="I832" s="54"/>
      <c r="J832" s="54"/>
      <c r="K832" s="54"/>
      <c r="L832" s="54"/>
      <c r="M832" s="54"/>
      <c r="N832" s="54"/>
      <c r="O832" s="54"/>
      <c r="P832" s="86"/>
      <c r="Q832" s="54"/>
      <c r="R832" s="54"/>
    </row>
    <row r="833">
      <c r="A833" s="54"/>
      <c r="B833" s="114"/>
      <c r="C833" s="114"/>
      <c r="D833" s="114"/>
      <c r="E833" s="114"/>
      <c r="F833" s="114"/>
      <c r="G833" s="114"/>
      <c r="H833" s="54"/>
      <c r="I833" s="54"/>
      <c r="J833" s="54"/>
      <c r="K833" s="54"/>
      <c r="L833" s="54"/>
      <c r="M833" s="54"/>
      <c r="N833" s="54"/>
      <c r="O833" s="54"/>
      <c r="P833" s="86"/>
      <c r="Q833" s="54"/>
      <c r="R833" s="54"/>
    </row>
    <row r="834">
      <c r="A834" s="54"/>
      <c r="B834" s="114"/>
      <c r="C834" s="114"/>
      <c r="D834" s="114"/>
      <c r="E834" s="114"/>
      <c r="F834" s="114"/>
      <c r="G834" s="114"/>
      <c r="H834" s="54"/>
      <c r="I834" s="54"/>
      <c r="J834" s="54"/>
      <c r="K834" s="54"/>
      <c r="L834" s="54"/>
      <c r="M834" s="54"/>
      <c r="N834" s="54"/>
      <c r="O834" s="54"/>
      <c r="P834" s="86"/>
      <c r="Q834" s="54"/>
      <c r="R834" s="54"/>
    </row>
    <row r="835">
      <c r="A835" s="54"/>
      <c r="B835" s="114"/>
      <c r="C835" s="114"/>
      <c r="D835" s="114"/>
      <c r="E835" s="114"/>
      <c r="F835" s="114"/>
      <c r="G835" s="114"/>
      <c r="H835" s="54"/>
      <c r="I835" s="54"/>
      <c r="J835" s="54"/>
      <c r="K835" s="54"/>
      <c r="L835" s="54"/>
      <c r="M835" s="54"/>
      <c r="N835" s="54"/>
      <c r="O835" s="54"/>
      <c r="P835" s="86"/>
      <c r="Q835" s="54"/>
      <c r="R835" s="54"/>
    </row>
    <row r="836">
      <c r="A836" s="54"/>
      <c r="B836" s="114"/>
      <c r="C836" s="114"/>
      <c r="D836" s="114"/>
      <c r="E836" s="114"/>
      <c r="F836" s="114"/>
      <c r="G836" s="114"/>
      <c r="H836" s="54"/>
      <c r="I836" s="54"/>
      <c r="J836" s="54"/>
      <c r="K836" s="54"/>
      <c r="L836" s="54"/>
      <c r="M836" s="54"/>
      <c r="N836" s="54"/>
      <c r="O836" s="54"/>
      <c r="P836" s="86"/>
      <c r="Q836" s="54"/>
      <c r="R836" s="54"/>
    </row>
    <row r="837">
      <c r="A837" s="54"/>
      <c r="B837" s="114"/>
      <c r="C837" s="114"/>
      <c r="D837" s="114"/>
      <c r="E837" s="114"/>
      <c r="F837" s="114"/>
      <c r="G837" s="114"/>
      <c r="H837" s="54"/>
      <c r="I837" s="54"/>
      <c r="J837" s="54"/>
      <c r="K837" s="54"/>
      <c r="L837" s="54"/>
      <c r="M837" s="54"/>
      <c r="N837" s="54"/>
      <c r="O837" s="54"/>
      <c r="P837" s="86"/>
      <c r="Q837" s="54"/>
      <c r="R837" s="54"/>
    </row>
    <row r="838">
      <c r="A838" s="54"/>
      <c r="B838" s="114"/>
      <c r="C838" s="114"/>
      <c r="D838" s="114"/>
      <c r="E838" s="114"/>
      <c r="F838" s="114"/>
      <c r="G838" s="114"/>
      <c r="H838" s="54"/>
      <c r="I838" s="54"/>
      <c r="J838" s="54"/>
      <c r="K838" s="54"/>
      <c r="L838" s="54"/>
      <c r="M838" s="54"/>
      <c r="N838" s="54"/>
      <c r="O838" s="54"/>
      <c r="P838" s="86"/>
      <c r="Q838" s="54"/>
      <c r="R838" s="54"/>
    </row>
    <row r="839">
      <c r="A839" s="54"/>
      <c r="B839" s="114"/>
      <c r="C839" s="114"/>
      <c r="D839" s="114"/>
      <c r="E839" s="114"/>
      <c r="F839" s="114"/>
      <c r="G839" s="114"/>
      <c r="H839" s="54"/>
      <c r="I839" s="54"/>
      <c r="J839" s="54"/>
      <c r="K839" s="54"/>
      <c r="L839" s="54"/>
      <c r="M839" s="54"/>
      <c r="N839" s="54"/>
      <c r="O839" s="54"/>
      <c r="P839" s="86"/>
      <c r="Q839" s="54"/>
      <c r="R839" s="54"/>
    </row>
    <row r="840">
      <c r="A840" s="54"/>
      <c r="B840" s="114"/>
      <c r="C840" s="114"/>
      <c r="D840" s="114"/>
      <c r="E840" s="114"/>
      <c r="F840" s="114"/>
      <c r="G840" s="114"/>
      <c r="H840" s="54"/>
      <c r="I840" s="54"/>
      <c r="J840" s="54"/>
      <c r="K840" s="54"/>
      <c r="L840" s="54"/>
      <c r="M840" s="54"/>
      <c r="N840" s="54"/>
      <c r="O840" s="54"/>
      <c r="P840" s="86"/>
      <c r="Q840" s="54"/>
      <c r="R840" s="54"/>
    </row>
    <row r="841">
      <c r="A841" s="54"/>
      <c r="B841" s="114"/>
      <c r="C841" s="114"/>
      <c r="D841" s="114"/>
      <c r="E841" s="114"/>
      <c r="F841" s="114"/>
      <c r="G841" s="114"/>
      <c r="H841" s="54"/>
      <c r="I841" s="54"/>
      <c r="J841" s="54"/>
      <c r="K841" s="54"/>
      <c r="L841" s="54"/>
      <c r="M841" s="54"/>
      <c r="N841" s="54"/>
      <c r="O841" s="54"/>
      <c r="P841" s="86"/>
      <c r="Q841" s="54"/>
      <c r="R841" s="54"/>
    </row>
    <row r="842">
      <c r="A842" s="54"/>
      <c r="B842" s="114"/>
      <c r="C842" s="114"/>
      <c r="D842" s="114"/>
      <c r="E842" s="114"/>
      <c r="F842" s="114"/>
      <c r="G842" s="114"/>
      <c r="H842" s="54"/>
      <c r="I842" s="54"/>
      <c r="J842" s="54"/>
      <c r="K842" s="54"/>
      <c r="L842" s="54"/>
      <c r="M842" s="54"/>
      <c r="N842" s="54"/>
      <c r="O842" s="54"/>
      <c r="P842" s="86"/>
      <c r="Q842" s="54"/>
      <c r="R842" s="54"/>
    </row>
    <row r="843">
      <c r="A843" s="54"/>
      <c r="B843" s="114"/>
      <c r="C843" s="114"/>
      <c r="D843" s="114"/>
      <c r="E843" s="114"/>
      <c r="F843" s="114"/>
      <c r="G843" s="114"/>
      <c r="H843" s="54"/>
      <c r="I843" s="54"/>
      <c r="J843" s="54"/>
      <c r="K843" s="54"/>
      <c r="L843" s="54"/>
      <c r="M843" s="54"/>
      <c r="N843" s="54"/>
      <c r="O843" s="54"/>
      <c r="P843" s="86"/>
      <c r="Q843" s="54"/>
      <c r="R843" s="54"/>
    </row>
    <row r="844">
      <c r="A844" s="54"/>
      <c r="B844" s="114"/>
      <c r="C844" s="114"/>
      <c r="D844" s="114"/>
      <c r="E844" s="114"/>
      <c r="F844" s="114"/>
      <c r="G844" s="114"/>
      <c r="H844" s="54"/>
      <c r="I844" s="54"/>
      <c r="J844" s="54"/>
      <c r="K844" s="54"/>
      <c r="L844" s="54"/>
      <c r="M844" s="54"/>
      <c r="N844" s="54"/>
      <c r="O844" s="54"/>
      <c r="P844" s="86"/>
      <c r="Q844" s="54"/>
      <c r="R844" s="54"/>
    </row>
    <row r="845">
      <c r="A845" s="54"/>
      <c r="B845" s="114"/>
      <c r="C845" s="114"/>
      <c r="D845" s="114"/>
      <c r="E845" s="114"/>
      <c r="F845" s="114"/>
      <c r="G845" s="114"/>
      <c r="H845" s="54"/>
      <c r="I845" s="54"/>
      <c r="J845" s="54"/>
      <c r="K845" s="54"/>
      <c r="L845" s="54"/>
      <c r="M845" s="54"/>
      <c r="N845" s="54"/>
      <c r="O845" s="54"/>
      <c r="P845" s="86"/>
      <c r="Q845" s="54"/>
      <c r="R845" s="54"/>
    </row>
    <row r="846">
      <c r="A846" s="54"/>
      <c r="B846" s="114"/>
      <c r="C846" s="114"/>
      <c r="D846" s="114"/>
      <c r="E846" s="114"/>
      <c r="F846" s="114"/>
      <c r="G846" s="114"/>
      <c r="H846" s="54"/>
      <c r="I846" s="54"/>
      <c r="J846" s="54"/>
      <c r="K846" s="54"/>
      <c r="L846" s="54"/>
      <c r="M846" s="54"/>
      <c r="N846" s="54"/>
      <c r="O846" s="54"/>
      <c r="P846" s="86"/>
      <c r="Q846" s="54"/>
      <c r="R846" s="54"/>
    </row>
    <row r="847">
      <c r="A847" s="54"/>
      <c r="B847" s="114"/>
      <c r="C847" s="114"/>
      <c r="D847" s="114"/>
      <c r="E847" s="114"/>
      <c r="F847" s="114"/>
      <c r="G847" s="114"/>
      <c r="H847" s="54"/>
      <c r="I847" s="54"/>
      <c r="J847" s="54"/>
      <c r="K847" s="54"/>
      <c r="L847" s="54"/>
      <c r="M847" s="54"/>
      <c r="N847" s="54"/>
      <c r="O847" s="54"/>
      <c r="P847" s="86"/>
      <c r="Q847" s="54"/>
      <c r="R847" s="54"/>
    </row>
    <row r="848">
      <c r="A848" s="54"/>
      <c r="B848" s="114"/>
      <c r="C848" s="114"/>
      <c r="D848" s="114"/>
      <c r="E848" s="114"/>
      <c r="F848" s="114"/>
      <c r="G848" s="114"/>
      <c r="H848" s="54"/>
      <c r="I848" s="54"/>
      <c r="J848" s="54"/>
      <c r="K848" s="54"/>
      <c r="L848" s="54"/>
      <c r="M848" s="54"/>
      <c r="N848" s="54"/>
      <c r="O848" s="54"/>
      <c r="P848" s="86"/>
      <c r="Q848" s="54"/>
      <c r="R848" s="54"/>
    </row>
    <row r="849">
      <c r="A849" s="54"/>
      <c r="B849" s="114"/>
      <c r="C849" s="114"/>
      <c r="D849" s="114"/>
      <c r="E849" s="114"/>
      <c r="F849" s="114"/>
      <c r="G849" s="114"/>
      <c r="H849" s="54"/>
      <c r="I849" s="54"/>
      <c r="J849" s="54"/>
      <c r="K849" s="54"/>
      <c r="L849" s="54"/>
      <c r="M849" s="54"/>
      <c r="N849" s="54"/>
      <c r="O849" s="54"/>
      <c r="P849" s="86"/>
      <c r="Q849" s="54"/>
      <c r="R849" s="54"/>
    </row>
    <row r="850">
      <c r="A850" s="54"/>
      <c r="B850" s="114"/>
      <c r="C850" s="114"/>
      <c r="D850" s="114"/>
      <c r="E850" s="114"/>
      <c r="F850" s="114"/>
      <c r="G850" s="114"/>
      <c r="H850" s="54"/>
      <c r="I850" s="54"/>
      <c r="J850" s="54"/>
      <c r="K850" s="54"/>
      <c r="L850" s="54"/>
      <c r="M850" s="54"/>
      <c r="N850" s="54"/>
      <c r="O850" s="54"/>
      <c r="P850" s="86"/>
      <c r="Q850" s="54"/>
      <c r="R850" s="54"/>
    </row>
    <row r="851">
      <c r="A851" s="54"/>
      <c r="B851" s="114"/>
      <c r="C851" s="114"/>
      <c r="D851" s="114"/>
      <c r="E851" s="114"/>
      <c r="F851" s="114"/>
      <c r="G851" s="114"/>
      <c r="H851" s="54"/>
      <c r="I851" s="54"/>
      <c r="J851" s="54"/>
      <c r="K851" s="54"/>
      <c r="L851" s="54"/>
      <c r="M851" s="54"/>
      <c r="N851" s="54"/>
      <c r="O851" s="54"/>
      <c r="P851" s="86"/>
      <c r="Q851" s="54"/>
      <c r="R851" s="54"/>
    </row>
    <row r="852">
      <c r="A852" s="54"/>
      <c r="B852" s="114"/>
      <c r="C852" s="114"/>
      <c r="D852" s="114"/>
      <c r="E852" s="114"/>
      <c r="F852" s="114"/>
      <c r="G852" s="114"/>
      <c r="H852" s="54"/>
      <c r="I852" s="54"/>
      <c r="J852" s="54"/>
      <c r="K852" s="54"/>
      <c r="L852" s="54"/>
      <c r="M852" s="54"/>
      <c r="N852" s="54"/>
      <c r="O852" s="54"/>
      <c r="P852" s="86"/>
      <c r="Q852" s="54"/>
      <c r="R852" s="54"/>
    </row>
    <row r="853">
      <c r="A853" s="54"/>
      <c r="B853" s="114"/>
      <c r="C853" s="114"/>
      <c r="D853" s="114"/>
      <c r="E853" s="114"/>
      <c r="F853" s="114"/>
      <c r="G853" s="114"/>
      <c r="H853" s="54"/>
      <c r="I853" s="54"/>
      <c r="J853" s="54"/>
      <c r="K853" s="54"/>
      <c r="L853" s="54"/>
      <c r="M853" s="54"/>
      <c r="N853" s="54"/>
      <c r="O853" s="54"/>
      <c r="P853" s="86"/>
      <c r="Q853" s="54"/>
      <c r="R853" s="54"/>
    </row>
    <row r="854">
      <c r="A854" s="54"/>
      <c r="B854" s="114"/>
      <c r="C854" s="114"/>
      <c r="D854" s="114"/>
      <c r="E854" s="114"/>
      <c r="F854" s="114"/>
      <c r="G854" s="114"/>
      <c r="H854" s="54"/>
      <c r="I854" s="54"/>
      <c r="J854" s="54"/>
      <c r="K854" s="54"/>
      <c r="L854" s="54"/>
      <c r="M854" s="54"/>
      <c r="N854" s="54"/>
      <c r="O854" s="54"/>
      <c r="P854" s="86"/>
      <c r="Q854" s="54"/>
      <c r="R854" s="54"/>
    </row>
    <row r="855">
      <c r="A855" s="54"/>
      <c r="B855" s="114"/>
      <c r="C855" s="114"/>
      <c r="D855" s="114"/>
      <c r="E855" s="114"/>
      <c r="F855" s="114"/>
      <c r="G855" s="114"/>
      <c r="H855" s="54"/>
      <c r="I855" s="54"/>
      <c r="J855" s="54"/>
      <c r="K855" s="54"/>
      <c r="L855" s="54"/>
      <c r="M855" s="54"/>
      <c r="N855" s="54"/>
      <c r="O855" s="54"/>
      <c r="P855" s="86"/>
      <c r="Q855" s="54"/>
      <c r="R855" s="54"/>
    </row>
    <row r="856">
      <c r="A856" s="54"/>
      <c r="B856" s="114"/>
      <c r="C856" s="114"/>
      <c r="D856" s="114"/>
      <c r="E856" s="114"/>
      <c r="F856" s="114"/>
      <c r="G856" s="114"/>
      <c r="H856" s="54"/>
      <c r="I856" s="54"/>
      <c r="J856" s="54"/>
      <c r="K856" s="54"/>
      <c r="L856" s="54"/>
      <c r="M856" s="54"/>
      <c r="N856" s="54"/>
      <c r="O856" s="54"/>
      <c r="P856" s="86"/>
      <c r="Q856" s="54"/>
      <c r="R856" s="54"/>
    </row>
    <row r="857">
      <c r="A857" s="54"/>
      <c r="B857" s="114"/>
      <c r="C857" s="114"/>
      <c r="D857" s="114"/>
      <c r="E857" s="114"/>
      <c r="F857" s="114"/>
      <c r="G857" s="114"/>
      <c r="H857" s="54"/>
      <c r="I857" s="54"/>
      <c r="J857" s="54"/>
      <c r="K857" s="54"/>
      <c r="L857" s="54"/>
      <c r="M857" s="54"/>
      <c r="N857" s="54"/>
      <c r="O857" s="54"/>
      <c r="P857" s="86"/>
      <c r="Q857" s="54"/>
      <c r="R857" s="54"/>
    </row>
    <row r="858">
      <c r="A858" s="54"/>
      <c r="B858" s="114"/>
      <c r="C858" s="114"/>
      <c r="D858" s="114"/>
      <c r="E858" s="114"/>
      <c r="F858" s="114"/>
      <c r="G858" s="114"/>
      <c r="H858" s="54"/>
      <c r="I858" s="54"/>
      <c r="J858" s="54"/>
      <c r="K858" s="54"/>
      <c r="L858" s="54"/>
      <c r="M858" s="54"/>
      <c r="N858" s="54"/>
      <c r="O858" s="54"/>
      <c r="P858" s="86"/>
      <c r="Q858" s="54"/>
      <c r="R858" s="54"/>
    </row>
    <row r="859">
      <c r="A859" s="54"/>
      <c r="B859" s="114"/>
      <c r="C859" s="114"/>
      <c r="D859" s="114"/>
      <c r="E859" s="114"/>
      <c r="F859" s="114"/>
      <c r="G859" s="114"/>
      <c r="H859" s="54"/>
      <c r="I859" s="54"/>
      <c r="J859" s="54"/>
      <c r="K859" s="54"/>
      <c r="L859" s="54"/>
      <c r="M859" s="54"/>
      <c r="N859" s="54"/>
      <c r="O859" s="54"/>
      <c r="P859" s="86"/>
      <c r="Q859" s="54"/>
      <c r="R859" s="54"/>
    </row>
    <row r="860">
      <c r="A860" s="54"/>
      <c r="B860" s="114"/>
      <c r="C860" s="114"/>
      <c r="D860" s="114"/>
      <c r="E860" s="114"/>
      <c r="F860" s="114"/>
      <c r="G860" s="114"/>
      <c r="H860" s="54"/>
      <c r="I860" s="54"/>
      <c r="J860" s="54"/>
      <c r="K860" s="54"/>
      <c r="L860" s="54"/>
      <c r="M860" s="54"/>
      <c r="N860" s="54"/>
      <c r="O860" s="54"/>
      <c r="P860" s="86"/>
      <c r="Q860" s="54"/>
      <c r="R860" s="54"/>
    </row>
    <row r="861">
      <c r="A861" s="54"/>
      <c r="B861" s="114"/>
      <c r="C861" s="114"/>
      <c r="D861" s="114"/>
      <c r="E861" s="114"/>
      <c r="F861" s="114"/>
      <c r="G861" s="114"/>
      <c r="H861" s="54"/>
      <c r="I861" s="54"/>
      <c r="J861" s="54"/>
      <c r="K861" s="54"/>
      <c r="L861" s="54"/>
      <c r="M861" s="54"/>
      <c r="N861" s="54"/>
      <c r="O861" s="54"/>
      <c r="P861" s="86"/>
      <c r="Q861" s="54"/>
      <c r="R861" s="54"/>
    </row>
    <row r="862">
      <c r="A862" s="54"/>
      <c r="B862" s="114"/>
      <c r="C862" s="114"/>
      <c r="D862" s="114"/>
      <c r="E862" s="114"/>
      <c r="F862" s="114"/>
      <c r="G862" s="114"/>
      <c r="H862" s="54"/>
      <c r="I862" s="54"/>
      <c r="J862" s="54"/>
      <c r="K862" s="54"/>
      <c r="L862" s="54"/>
      <c r="M862" s="54"/>
      <c r="N862" s="54"/>
      <c r="O862" s="54"/>
      <c r="P862" s="86"/>
      <c r="Q862" s="54"/>
      <c r="R862" s="54"/>
    </row>
    <row r="863">
      <c r="A863" s="54"/>
      <c r="B863" s="114"/>
      <c r="C863" s="114"/>
      <c r="D863" s="114"/>
      <c r="E863" s="114"/>
      <c r="F863" s="114"/>
      <c r="G863" s="114"/>
      <c r="H863" s="54"/>
      <c r="I863" s="54"/>
      <c r="J863" s="54"/>
      <c r="K863" s="54"/>
      <c r="L863" s="54"/>
      <c r="M863" s="54"/>
      <c r="N863" s="54"/>
      <c r="O863" s="54"/>
      <c r="P863" s="86"/>
      <c r="Q863" s="54"/>
      <c r="R863" s="54"/>
    </row>
    <row r="864">
      <c r="A864" s="54"/>
      <c r="B864" s="114"/>
      <c r="C864" s="114"/>
      <c r="D864" s="114"/>
      <c r="E864" s="114"/>
      <c r="F864" s="114"/>
      <c r="G864" s="114"/>
      <c r="H864" s="54"/>
      <c r="I864" s="54"/>
      <c r="J864" s="54"/>
      <c r="K864" s="54"/>
      <c r="L864" s="54"/>
      <c r="M864" s="54"/>
      <c r="N864" s="54"/>
      <c r="O864" s="54"/>
      <c r="P864" s="86"/>
      <c r="Q864" s="54"/>
      <c r="R864" s="54"/>
    </row>
    <row r="865">
      <c r="A865" s="54"/>
      <c r="B865" s="114"/>
      <c r="C865" s="114"/>
      <c r="D865" s="114"/>
      <c r="E865" s="114"/>
      <c r="F865" s="114"/>
      <c r="G865" s="114"/>
      <c r="H865" s="54"/>
      <c r="I865" s="54"/>
      <c r="J865" s="54"/>
      <c r="K865" s="54"/>
      <c r="L865" s="54"/>
      <c r="M865" s="54"/>
      <c r="N865" s="54"/>
      <c r="O865" s="54"/>
      <c r="P865" s="86"/>
      <c r="Q865" s="54"/>
      <c r="R865" s="54"/>
    </row>
    <row r="866">
      <c r="A866" s="54"/>
      <c r="B866" s="114"/>
      <c r="C866" s="114"/>
      <c r="D866" s="114"/>
      <c r="E866" s="114"/>
      <c r="F866" s="114"/>
      <c r="G866" s="114"/>
      <c r="H866" s="54"/>
      <c r="I866" s="54"/>
      <c r="J866" s="54"/>
      <c r="K866" s="54"/>
      <c r="L866" s="54"/>
      <c r="M866" s="54"/>
      <c r="N866" s="54"/>
      <c r="O866" s="54"/>
      <c r="P866" s="86"/>
      <c r="Q866" s="54"/>
      <c r="R866" s="54"/>
    </row>
    <row r="867">
      <c r="A867" s="54"/>
      <c r="B867" s="114"/>
      <c r="C867" s="114"/>
      <c r="D867" s="114"/>
      <c r="E867" s="114"/>
      <c r="F867" s="114"/>
      <c r="G867" s="114"/>
      <c r="H867" s="54"/>
      <c r="I867" s="54"/>
      <c r="J867" s="54"/>
      <c r="K867" s="54"/>
      <c r="L867" s="54"/>
      <c r="M867" s="54"/>
      <c r="N867" s="54"/>
      <c r="O867" s="54"/>
      <c r="P867" s="86"/>
      <c r="Q867" s="54"/>
      <c r="R867" s="54"/>
    </row>
    <row r="868">
      <c r="A868" s="54"/>
      <c r="B868" s="114"/>
      <c r="C868" s="114"/>
      <c r="D868" s="114"/>
      <c r="E868" s="114"/>
      <c r="F868" s="114"/>
      <c r="G868" s="114"/>
      <c r="H868" s="54"/>
      <c r="I868" s="54"/>
      <c r="J868" s="54"/>
      <c r="K868" s="54"/>
      <c r="L868" s="54"/>
      <c r="M868" s="54"/>
      <c r="N868" s="54"/>
      <c r="O868" s="54"/>
      <c r="P868" s="86"/>
      <c r="Q868" s="54"/>
      <c r="R868" s="54"/>
    </row>
    <row r="869">
      <c r="A869" s="54"/>
      <c r="B869" s="114"/>
      <c r="C869" s="114"/>
      <c r="D869" s="114"/>
      <c r="E869" s="114"/>
      <c r="F869" s="114"/>
      <c r="G869" s="114"/>
      <c r="H869" s="54"/>
      <c r="I869" s="54"/>
      <c r="J869" s="54"/>
      <c r="K869" s="54"/>
      <c r="L869" s="54"/>
      <c r="M869" s="54"/>
      <c r="N869" s="54"/>
      <c r="O869" s="54"/>
      <c r="P869" s="86"/>
      <c r="Q869" s="54"/>
      <c r="R869" s="54"/>
    </row>
    <row r="870">
      <c r="A870" s="54"/>
      <c r="B870" s="114"/>
      <c r="C870" s="114"/>
      <c r="D870" s="114"/>
      <c r="E870" s="114"/>
      <c r="F870" s="114"/>
      <c r="G870" s="114"/>
      <c r="H870" s="54"/>
      <c r="I870" s="54"/>
      <c r="J870" s="54"/>
      <c r="K870" s="54"/>
      <c r="L870" s="54"/>
      <c r="M870" s="54"/>
      <c r="N870" s="54"/>
      <c r="O870" s="54"/>
      <c r="P870" s="86"/>
      <c r="Q870" s="54"/>
      <c r="R870" s="54"/>
    </row>
    <row r="871">
      <c r="A871" s="54"/>
      <c r="B871" s="114"/>
      <c r="C871" s="114"/>
      <c r="D871" s="114"/>
      <c r="E871" s="114"/>
      <c r="F871" s="114"/>
      <c r="G871" s="114"/>
      <c r="H871" s="54"/>
      <c r="I871" s="54"/>
      <c r="J871" s="54"/>
      <c r="K871" s="54"/>
      <c r="L871" s="54"/>
      <c r="M871" s="54"/>
      <c r="N871" s="54"/>
      <c r="O871" s="54"/>
      <c r="P871" s="86"/>
      <c r="Q871" s="54"/>
      <c r="R871" s="54"/>
    </row>
    <row r="872">
      <c r="A872" s="54"/>
      <c r="B872" s="114"/>
      <c r="C872" s="114"/>
      <c r="D872" s="114"/>
      <c r="E872" s="114"/>
      <c r="F872" s="114"/>
      <c r="G872" s="114"/>
      <c r="H872" s="54"/>
      <c r="I872" s="54"/>
      <c r="J872" s="54"/>
      <c r="K872" s="54"/>
      <c r="L872" s="54"/>
      <c r="M872" s="54"/>
      <c r="N872" s="54"/>
      <c r="O872" s="54"/>
      <c r="P872" s="86"/>
      <c r="Q872" s="54"/>
      <c r="R872" s="54"/>
    </row>
    <row r="873">
      <c r="A873" s="54"/>
      <c r="B873" s="114"/>
      <c r="C873" s="114"/>
      <c r="D873" s="114"/>
      <c r="E873" s="114"/>
      <c r="F873" s="114"/>
      <c r="G873" s="114"/>
      <c r="H873" s="54"/>
      <c r="I873" s="54"/>
      <c r="J873" s="54"/>
      <c r="K873" s="54"/>
      <c r="L873" s="54"/>
      <c r="M873" s="54"/>
      <c r="N873" s="54"/>
      <c r="O873" s="54"/>
      <c r="P873" s="86"/>
      <c r="Q873" s="54"/>
      <c r="R873" s="54"/>
    </row>
    <row r="874">
      <c r="A874" s="54"/>
      <c r="B874" s="114"/>
      <c r="C874" s="114"/>
      <c r="D874" s="114"/>
      <c r="E874" s="114"/>
      <c r="F874" s="114"/>
      <c r="G874" s="114"/>
      <c r="H874" s="54"/>
      <c r="I874" s="54"/>
      <c r="J874" s="54"/>
      <c r="K874" s="54"/>
      <c r="L874" s="54"/>
      <c r="M874" s="54"/>
      <c r="N874" s="54"/>
      <c r="O874" s="54"/>
      <c r="P874" s="86"/>
      <c r="Q874" s="54"/>
      <c r="R874" s="54"/>
    </row>
    <row r="875">
      <c r="A875" s="54"/>
      <c r="B875" s="114"/>
      <c r="C875" s="114"/>
      <c r="D875" s="114"/>
      <c r="E875" s="114"/>
      <c r="F875" s="114"/>
      <c r="G875" s="114"/>
      <c r="H875" s="54"/>
      <c r="I875" s="54"/>
      <c r="J875" s="54"/>
      <c r="K875" s="54"/>
      <c r="L875" s="54"/>
      <c r="M875" s="54"/>
      <c r="N875" s="54"/>
      <c r="O875" s="54"/>
      <c r="P875" s="86"/>
      <c r="Q875" s="54"/>
      <c r="R875" s="54"/>
    </row>
    <row r="876">
      <c r="A876" s="54"/>
      <c r="B876" s="114"/>
      <c r="C876" s="114"/>
      <c r="D876" s="114"/>
      <c r="E876" s="114"/>
      <c r="F876" s="114"/>
      <c r="G876" s="114"/>
      <c r="H876" s="54"/>
      <c r="I876" s="54"/>
      <c r="J876" s="54"/>
      <c r="K876" s="54"/>
      <c r="L876" s="54"/>
      <c r="M876" s="54"/>
      <c r="N876" s="54"/>
      <c r="O876" s="54"/>
      <c r="P876" s="86"/>
      <c r="Q876" s="54"/>
      <c r="R876" s="54"/>
    </row>
    <row r="877">
      <c r="A877" s="54"/>
      <c r="B877" s="114"/>
      <c r="C877" s="114"/>
      <c r="D877" s="114"/>
      <c r="E877" s="114"/>
      <c r="F877" s="114"/>
      <c r="G877" s="114"/>
      <c r="H877" s="54"/>
      <c r="I877" s="54"/>
      <c r="J877" s="54"/>
      <c r="K877" s="54"/>
      <c r="L877" s="54"/>
      <c r="M877" s="54"/>
      <c r="N877" s="54"/>
      <c r="O877" s="54"/>
      <c r="P877" s="86"/>
      <c r="Q877" s="54"/>
      <c r="R877" s="54"/>
    </row>
    <row r="878">
      <c r="A878" s="54"/>
      <c r="B878" s="114"/>
      <c r="C878" s="114"/>
      <c r="D878" s="114"/>
      <c r="E878" s="114"/>
      <c r="F878" s="114"/>
      <c r="G878" s="114"/>
      <c r="H878" s="54"/>
      <c r="I878" s="54"/>
      <c r="J878" s="54"/>
      <c r="K878" s="54"/>
      <c r="L878" s="54"/>
      <c r="M878" s="54"/>
      <c r="N878" s="54"/>
      <c r="O878" s="54"/>
      <c r="P878" s="86"/>
      <c r="Q878" s="54"/>
      <c r="R878" s="54"/>
    </row>
    <row r="879">
      <c r="A879" s="54"/>
      <c r="B879" s="114"/>
      <c r="C879" s="114"/>
      <c r="D879" s="114"/>
      <c r="E879" s="114"/>
      <c r="F879" s="114"/>
      <c r="G879" s="114"/>
      <c r="H879" s="54"/>
      <c r="I879" s="54"/>
      <c r="J879" s="54"/>
      <c r="K879" s="54"/>
      <c r="L879" s="54"/>
      <c r="M879" s="54"/>
      <c r="N879" s="54"/>
      <c r="O879" s="54"/>
      <c r="P879" s="86"/>
      <c r="Q879" s="54"/>
      <c r="R879" s="54"/>
    </row>
    <row r="880">
      <c r="A880" s="54"/>
      <c r="B880" s="114"/>
      <c r="C880" s="114"/>
      <c r="D880" s="114"/>
      <c r="E880" s="114"/>
      <c r="F880" s="114"/>
      <c r="G880" s="114"/>
      <c r="H880" s="54"/>
      <c r="I880" s="54"/>
      <c r="J880" s="54"/>
      <c r="K880" s="54"/>
      <c r="L880" s="54"/>
      <c r="M880" s="54"/>
      <c r="N880" s="54"/>
      <c r="O880" s="54"/>
      <c r="P880" s="86"/>
      <c r="Q880" s="54"/>
      <c r="R880" s="54"/>
    </row>
    <row r="881">
      <c r="A881" s="54"/>
      <c r="B881" s="114"/>
      <c r="C881" s="114"/>
      <c r="D881" s="114"/>
      <c r="E881" s="114"/>
      <c r="F881" s="114"/>
      <c r="G881" s="114"/>
      <c r="H881" s="54"/>
      <c r="I881" s="54"/>
      <c r="J881" s="54"/>
      <c r="K881" s="54"/>
      <c r="L881" s="54"/>
      <c r="M881" s="54"/>
      <c r="N881" s="54"/>
      <c r="O881" s="54"/>
      <c r="P881" s="86"/>
      <c r="Q881" s="54"/>
      <c r="R881" s="54"/>
    </row>
    <row r="882">
      <c r="A882" s="54"/>
      <c r="B882" s="114"/>
      <c r="C882" s="114"/>
      <c r="D882" s="114"/>
      <c r="E882" s="114"/>
      <c r="F882" s="114"/>
      <c r="G882" s="114"/>
      <c r="H882" s="54"/>
      <c r="I882" s="54"/>
      <c r="J882" s="54"/>
      <c r="K882" s="54"/>
      <c r="L882" s="54"/>
      <c r="M882" s="54"/>
      <c r="N882" s="54"/>
      <c r="O882" s="54"/>
      <c r="P882" s="86"/>
      <c r="Q882" s="54"/>
      <c r="R882" s="54"/>
    </row>
    <row r="883">
      <c r="A883" s="54"/>
      <c r="B883" s="114"/>
      <c r="C883" s="114"/>
      <c r="D883" s="114"/>
      <c r="E883" s="114"/>
      <c r="F883" s="114"/>
      <c r="G883" s="114"/>
      <c r="H883" s="54"/>
      <c r="I883" s="54"/>
      <c r="J883" s="54"/>
      <c r="K883" s="54"/>
      <c r="L883" s="54"/>
      <c r="M883" s="54"/>
      <c r="N883" s="54"/>
      <c r="O883" s="54"/>
      <c r="P883" s="86"/>
      <c r="Q883" s="54"/>
      <c r="R883" s="54"/>
    </row>
    <row r="884">
      <c r="A884" s="54"/>
      <c r="B884" s="114"/>
      <c r="C884" s="114"/>
      <c r="D884" s="114"/>
      <c r="E884" s="114"/>
      <c r="F884" s="114"/>
      <c r="G884" s="114"/>
      <c r="H884" s="54"/>
      <c r="I884" s="54"/>
      <c r="J884" s="54"/>
      <c r="K884" s="54"/>
      <c r="L884" s="54"/>
      <c r="M884" s="54"/>
      <c r="N884" s="54"/>
      <c r="O884" s="54"/>
      <c r="P884" s="86"/>
      <c r="Q884" s="54"/>
      <c r="R884" s="54"/>
    </row>
    <row r="885">
      <c r="A885" s="54"/>
      <c r="B885" s="114"/>
      <c r="C885" s="114"/>
      <c r="D885" s="114"/>
      <c r="E885" s="114"/>
      <c r="F885" s="114"/>
      <c r="G885" s="114"/>
      <c r="H885" s="54"/>
      <c r="I885" s="54"/>
      <c r="J885" s="54"/>
      <c r="K885" s="54"/>
      <c r="L885" s="54"/>
      <c r="M885" s="54"/>
      <c r="N885" s="54"/>
      <c r="O885" s="54"/>
      <c r="P885" s="86"/>
      <c r="Q885" s="54"/>
      <c r="R885" s="54"/>
    </row>
    <row r="886">
      <c r="A886" s="54"/>
      <c r="B886" s="114"/>
      <c r="C886" s="114"/>
      <c r="D886" s="114"/>
      <c r="E886" s="114"/>
      <c r="F886" s="114"/>
      <c r="G886" s="114"/>
      <c r="H886" s="54"/>
      <c r="I886" s="54"/>
      <c r="J886" s="54"/>
      <c r="K886" s="54"/>
      <c r="L886" s="54"/>
      <c r="M886" s="54"/>
      <c r="N886" s="54"/>
      <c r="O886" s="54"/>
      <c r="P886" s="86"/>
      <c r="Q886" s="54"/>
      <c r="R886" s="54"/>
    </row>
    <row r="887">
      <c r="A887" s="54"/>
      <c r="B887" s="114"/>
      <c r="C887" s="114"/>
      <c r="D887" s="114"/>
      <c r="E887" s="114"/>
      <c r="F887" s="114"/>
      <c r="G887" s="114"/>
      <c r="H887" s="54"/>
      <c r="I887" s="54"/>
      <c r="J887" s="54"/>
      <c r="K887" s="54"/>
      <c r="L887" s="54"/>
      <c r="M887" s="54"/>
      <c r="N887" s="54"/>
      <c r="O887" s="54"/>
      <c r="P887" s="86"/>
      <c r="Q887" s="54"/>
      <c r="R887" s="54"/>
    </row>
    <row r="888">
      <c r="A888" s="54"/>
      <c r="B888" s="114"/>
      <c r="C888" s="114"/>
      <c r="D888" s="114"/>
      <c r="E888" s="114"/>
      <c r="F888" s="114"/>
      <c r="G888" s="114"/>
      <c r="H888" s="54"/>
      <c r="I888" s="54"/>
      <c r="J888" s="54"/>
      <c r="K888" s="54"/>
      <c r="L888" s="54"/>
      <c r="M888" s="54"/>
      <c r="N888" s="54"/>
      <c r="O888" s="54"/>
      <c r="P888" s="86"/>
      <c r="Q888" s="54"/>
      <c r="R888" s="54"/>
    </row>
    <row r="889">
      <c r="A889" s="54"/>
      <c r="B889" s="114"/>
      <c r="C889" s="114"/>
      <c r="D889" s="114"/>
      <c r="E889" s="114"/>
      <c r="F889" s="114"/>
      <c r="G889" s="114"/>
      <c r="H889" s="54"/>
      <c r="I889" s="54"/>
      <c r="J889" s="54"/>
      <c r="K889" s="54"/>
      <c r="L889" s="54"/>
      <c r="M889" s="54"/>
      <c r="N889" s="54"/>
      <c r="O889" s="54"/>
      <c r="P889" s="86"/>
      <c r="Q889" s="54"/>
      <c r="R889" s="54"/>
    </row>
    <row r="890">
      <c r="A890" s="54"/>
      <c r="B890" s="114"/>
      <c r="C890" s="114"/>
      <c r="D890" s="114"/>
      <c r="E890" s="114"/>
      <c r="F890" s="114"/>
      <c r="G890" s="114"/>
      <c r="H890" s="54"/>
      <c r="I890" s="54"/>
      <c r="J890" s="54"/>
      <c r="K890" s="54"/>
      <c r="L890" s="54"/>
      <c r="M890" s="54"/>
      <c r="N890" s="54"/>
      <c r="O890" s="54"/>
      <c r="P890" s="86"/>
      <c r="Q890" s="54"/>
      <c r="R890" s="54"/>
    </row>
    <row r="891">
      <c r="A891" s="54"/>
      <c r="B891" s="114"/>
      <c r="C891" s="114"/>
      <c r="D891" s="114"/>
      <c r="E891" s="114"/>
      <c r="F891" s="114"/>
      <c r="G891" s="114"/>
      <c r="H891" s="54"/>
      <c r="I891" s="54"/>
      <c r="J891" s="54"/>
      <c r="K891" s="54"/>
      <c r="L891" s="54"/>
      <c r="M891" s="54"/>
      <c r="N891" s="54"/>
      <c r="O891" s="54"/>
      <c r="P891" s="86"/>
      <c r="Q891" s="54"/>
      <c r="R891" s="54"/>
    </row>
    <row r="892">
      <c r="A892" s="54"/>
      <c r="B892" s="114"/>
      <c r="C892" s="114"/>
      <c r="D892" s="114"/>
      <c r="E892" s="114"/>
      <c r="F892" s="114"/>
      <c r="G892" s="114"/>
      <c r="H892" s="54"/>
      <c r="I892" s="54"/>
      <c r="J892" s="54"/>
      <c r="K892" s="54"/>
      <c r="L892" s="54"/>
      <c r="M892" s="54"/>
      <c r="N892" s="54"/>
      <c r="O892" s="54"/>
      <c r="P892" s="86"/>
      <c r="Q892" s="54"/>
      <c r="R892" s="54"/>
    </row>
    <row r="893">
      <c r="A893" s="54"/>
      <c r="B893" s="114"/>
      <c r="C893" s="114"/>
      <c r="D893" s="114"/>
      <c r="E893" s="114"/>
      <c r="F893" s="114"/>
      <c r="G893" s="114"/>
      <c r="H893" s="54"/>
      <c r="I893" s="54"/>
      <c r="J893" s="54"/>
      <c r="K893" s="54"/>
      <c r="L893" s="54"/>
      <c r="M893" s="54"/>
      <c r="N893" s="54"/>
      <c r="O893" s="54"/>
      <c r="P893" s="86"/>
      <c r="Q893" s="54"/>
      <c r="R893" s="54"/>
    </row>
    <row r="894">
      <c r="A894" s="54"/>
      <c r="B894" s="114"/>
      <c r="C894" s="114"/>
      <c r="D894" s="114"/>
      <c r="E894" s="114"/>
      <c r="F894" s="114"/>
      <c r="G894" s="114"/>
      <c r="H894" s="54"/>
      <c r="I894" s="54"/>
      <c r="J894" s="54"/>
      <c r="K894" s="54"/>
      <c r="L894" s="54"/>
      <c r="M894" s="54"/>
      <c r="N894" s="54"/>
      <c r="O894" s="54"/>
      <c r="P894" s="86"/>
      <c r="Q894" s="54"/>
      <c r="R894" s="54"/>
    </row>
    <row r="895">
      <c r="A895" s="54"/>
      <c r="B895" s="114"/>
      <c r="C895" s="114"/>
      <c r="D895" s="114"/>
      <c r="E895" s="114"/>
      <c r="F895" s="114"/>
      <c r="G895" s="114"/>
      <c r="H895" s="54"/>
      <c r="I895" s="54"/>
      <c r="J895" s="54"/>
      <c r="K895" s="54"/>
      <c r="L895" s="54"/>
      <c r="M895" s="54"/>
      <c r="N895" s="54"/>
      <c r="O895" s="54"/>
      <c r="P895" s="86"/>
      <c r="Q895" s="54"/>
      <c r="R895" s="54"/>
    </row>
    <row r="896">
      <c r="A896" s="54"/>
      <c r="B896" s="114"/>
      <c r="C896" s="114"/>
      <c r="D896" s="114"/>
      <c r="E896" s="114"/>
      <c r="F896" s="114"/>
      <c r="G896" s="114"/>
      <c r="H896" s="54"/>
      <c r="I896" s="54"/>
      <c r="J896" s="54"/>
      <c r="K896" s="54"/>
      <c r="L896" s="54"/>
      <c r="M896" s="54"/>
      <c r="N896" s="54"/>
      <c r="O896" s="54"/>
      <c r="P896" s="86"/>
      <c r="Q896" s="54"/>
      <c r="R896" s="54"/>
    </row>
    <row r="897">
      <c r="A897" s="54"/>
      <c r="B897" s="114"/>
      <c r="C897" s="114"/>
      <c r="D897" s="114"/>
      <c r="E897" s="114"/>
      <c r="F897" s="114"/>
      <c r="G897" s="114"/>
      <c r="H897" s="54"/>
      <c r="I897" s="54"/>
      <c r="J897" s="54"/>
      <c r="K897" s="54"/>
      <c r="L897" s="54"/>
      <c r="M897" s="54"/>
      <c r="N897" s="54"/>
      <c r="O897" s="54"/>
      <c r="P897" s="86"/>
      <c r="Q897" s="54"/>
      <c r="R897" s="54"/>
    </row>
    <row r="898">
      <c r="A898" s="54"/>
      <c r="B898" s="114"/>
      <c r="C898" s="114"/>
      <c r="D898" s="114"/>
      <c r="E898" s="114"/>
      <c r="F898" s="114"/>
      <c r="G898" s="114"/>
      <c r="H898" s="54"/>
      <c r="I898" s="54"/>
      <c r="J898" s="54"/>
      <c r="K898" s="54"/>
      <c r="L898" s="54"/>
      <c r="M898" s="54"/>
      <c r="N898" s="54"/>
      <c r="O898" s="54"/>
      <c r="P898" s="86"/>
      <c r="Q898" s="54"/>
      <c r="R898" s="54"/>
    </row>
    <row r="899">
      <c r="A899" s="54"/>
      <c r="B899" s="114"/>
      <c r="C899" s="114"/>
      <c r="D899" s="114"/>
      <c r="E899" s="114"/>
      <c r="F899" s="114"/>
      <c r="G899" s="114"/>
      <c r="H899" s="54"/>
      <c r="I899" s="54"/>
      <c r="J899" s="54"/>
      <c r="K899" s="54"/>
      <c r="L899" s="54"/>
      <c r="M899" s="54"/>
      <c r="N899" s="54"/>
      <c r="O899" s="54"/>
      <c r="P899" s="86"/>
      <c r="Q899" s="54"/>
      <c r="R899" s="54"/>
    </row>
    <row r="900">
      <c r="A900" s="54"/>
      <c r="B900" s="114"/>
      <c r="C900" s="114"/>
      <c r="D900" s="114"/>
      <c r="E900" s="114"/>
      <c r="F900" s="114"/>
      <c r="G900" s="114"/>
      <c r="H900" s="54"/>
      <c r="I900" s="54"/>
      <c r="J900" s="54"/>
      <c r="K900" s="54"/>
      <c r="L900" s="54"/>
      <c r="M900" s="54"/>
      <c r="N900" s="54"/>
      <c r="O900" s="54"/>
      <c r="P900" s="86"/>
      <c r="Q900" s="54"/>
      <c r="R900" s="54"/>
    </row>
    <row r="901">
      <c r="A901" s="54"/>
      <c r="B901" s="114"/>
      <c r="C901" s="114"/>
      <c r="D901" s="114"/>
      <c r="E901" s="114"/>
      <c r="F901" s="114"/>
      <c r="G901" s="114"/>
      <c r="H901" s="54"/>
      <c r="I901" s="54"/>
      <c r="J901" s="54"/>
      <c r="K901" s="54"/>
      <c r="L901" s="54"/>
      <c r="M901" s="54"/>
      <c r="N901" s="54"/>
      <c r="O901" s="54"/>
      <c r="P901" s="86"/>
      <c r="Q901" s="54"/>
      <c r="R901" s="54"/>
    </row>
    <row r="902">
      <c r="A902" s="54"/>
      <c r="B902" s="114"/>
      <c r="C902" s="114"/>
      <c r="D902" s="114"/>
      <c r="E902" s="114"/>
      <c r="F902" s="114"/>
      <c r="G902" s="114"/>
      <c r="H902" s="54"/>
      <c r="I902" s="54"/>
      <c r="J902" s="54"/>
      <c r="K902" s="54"/>
      <c r="L902" s="54"/>
      <c r="M902" s="54"/>
      <c r="N902" s="54"/>
      <c r="O902" s="54"/>
      <c r="P902" s="86"/>
      <c r="Q902" s="54"/>
      <c r="R902" s="54"/>
    </row>
    <row r="903">
      <c r="A903" s="54"/>
      <c r="B903" s="114"/>
      <c r="C903" s="114"/>
      <c r="D903" s="114"/>
      <c r="E903" s="114"/>
      <c r="F903" s="114"/>
      <c r="G903" s="114"/>
      <c r="H903" s="54"/>
      <c r="I903" s="54"/>
      <c r="J903" s="54"/>
      <c r="K903" s="54"/>
      <c r="L903" s="54"/>
      <c r="M903" s="54"/>
      <c r="N903" s="54"/>
      <c r="O903" s="54"/>
      <c r="P903" s="86"/>
      <c r="Q903" s="54"/>
      <c r="R903" s="54"/>
    </row>
    <row r="904">
      <c r="A904" s="54"/>
      <c r="B904" s="114"/>
      <c r="C904" s="114"/>
      <c r="D904" s="114"/>
      <c r="E904" s="114"/>
      <c r="F904" s="114"/>
      <c r="G904" s="114"/>
      <c r="H904" s="54"/>
      <c r="I904" s="54"/>
      <c r="J904" s="54"/>
      <c r="K904" s="54"/>
      <c r="L904" s="54"/>
      <c r="M904" s="54"/>
      <c r="N904" s="54"/>
      <c r="O904" s="54"/>
      <c r="P904" s="86"/>
      <c r="Q904" s="54"/>
      <c r="R904" s="54"/>
    </row>
    <row r="905">
      <c r="A905" s="54"/>
      <c r="B905" s="114"/>
      <c r="C905" s="114"/>
      <c r="D905" s="114"/>
      <c r="E905" s="114"/>
      <c r="F905" s="114"/>
      <c r="G905" s="114"/>
      <c r="H905" s="54"/>
      <c r="I905" s="54"/>
      <c r="J905" s="54"/>
      <c r="K905" s="54"/>
      <c r="L905" s="54"/>
      <c r="M905" s="54"/>
      <c r="N905" s="54"/>
      <c r="O905" s="54"/>
      <c r="P905" s="86"/>
      <c r="Q905" s="54"/>
      <c r="R905" s="54"/>
    </row>
    <row r="906">
      <c r="A906" s="54"/>
      <c r="B906" s="114"/>
      <c r="C906" s="114"/>
      <c r="D906" s="114"/>
      <c r="E906" s="114"/>
      <c r="F906" s="114"/>
      <c r="G906" s="114"/>
      <c r="H906" s="54"/>
      <c r="I906" s="54"/>
      <c r="J906" s="54"/>
      <c r="K906" s="54"/>
      <c r="L906" s="54"/>
      <c r="M906" s="54"/>
      <c r="N906" s="54"/>
      <c r="O906" s="54"/>
      <c r="P906" s="86"/>
      <c r="Q906" s="54"/>
      <c r="R906" s="54"/>
    </row>
    <row r="907">
      <c r="A907" s="54"/>
      <c r="B907" s="114"/>
      <c r="C907" s="114"/>
      <c r="D907" s="114"/>
      <c r="E907" s="114"/>
      <c r="F907" s="114"/>
      <c r="G907" s="114"/>
      <c r="H907" s="54"/>
      <c r="I907" s="54"/>
      <c r="J907" s="54"/>
      <c r="K907" s="54"/>
      <c r="L907" s="54"/>
      <c r="M907" s="54"/>
      <c r="N907" s="54"/>
      <c r="O907" s="54"/>
      <c r="P907" s="86"/>
      <c r="Q907" s="54"/>
      <c r="R907" s="54"/>
    </row>
    <row r="908">
      <c r="A908" s="54"/>
      <c r="B908" s="114"/>
      <c r="C908" s="114"/>
      <c r="D908" s="114"/>
      <c r="E908" s="114"/>
      <c r="F908" s="114"/>
      <c r="G908" s="114"/>
      <c r="H908" s="54"/>
      <c r="I908" s="54"/>
      <c r="J908" s="54"/>
      <c r="K908" s="54"/>
      <c r="L908" s="54"/>
      <c r="M908" s="54"/>
      <c r="N908" s="54"/>
      <c r="O908" s="54"/>
      <c r="P908" s="86"/>
      <c r="Q908" s="54"/>
      <c r="R908" s="54"/>
    </row>
    <row r="909">
      <c r="A909" s="54"/>
      <c r="B909" s="114"/>
      <c r="C909" s="114"/>
      <c r="D909" s="114"/>
      <c r="E909" s="114"/>
      <c r="F909" s="114"/>
      <c r="G909" s="114"/>
      <c r="H909" s="54"/>
      <c r="I909" s="54"/>
      <c r="J909" s="54"/>
      <c r="K909" s="54"/>
      <c r="L909" s="54"/>
      <c r="M909" s="54"/>
      <c r="N909" s="54"/>
      <c r="O909" s="54"/>
      <c r="P909" s="86"/>
      <c r="Q909" s="54"/>
      <c r="R909" s="54"/>
    </row>
    <row r="910">
      <c r="A910" s="54"/>
      <c r="B910" s="114"/>
      <c r="C910" s="114"/>
      <c r="D910" s="114"/>
      <c r="E910" s="114"/>
      <c r="F910" s="114"/>
      <c r="G910" s="114"/>
      <c r="H910" s="54"/>
      <c r="I910" s="54"/>
      <c r="J910" s="54"/>
      <c r="K910" s="54"/>
      <c r="L910" s="54"/>
      <c r="M910" s="54"/>
      <c r="N910" s="54"/>
      <c r="O910" s="54"/>
      <c r="P910" s="86"/>
      <c r="Q910" s="54"/>
      <c r="R910" s="54"/>
    </row>
    <row r="911">
      <c r="A911" s="54"/>
      <c r="B911" s="114"/>
      <c r="C911" s="114"/>
      <c r="D911" s="114"/>
      <c r="E911" s="114"/>
      <c r="F911" s="114"/>
      <c r="G911" s="114"/>
      <c r="H911" s="54"/>
      <c r="I911" s="54"/>
      <c r="J911" s="54"/>
      <c r="K911" s="54"/>
      <c r="L911" s="54"/>
      <c r="M911" s="54"/>
      <c r="N911" s="54"/>
      <c r="O911" s="54"/>
      <c r="P911" s="86"/>
      <c r="Q911" s="54"/>
      <c r="R911" s="54"/>
    </row>
    <row r="912">
      <c r="A912" s="54"/>
      <c r="B912" s="114"/>
      <c r="C912" s="114"/>
      <c r="D912" s="114"/>
      <c r="E912" s="114"/>
      <c r="F912" s="114"/>
      <c r="G912" s="114"/>
      <c r="H912" s="54"/>
      <c r="I912" s="54"/>
      <c r="J912" s="54"/>
      <c r="K912" s="54"/>
      <c r="L912" s="54"/>
      <c r="M912" s="54"/>
      <c r="N912" s="54"/>
      <c r="O912" s="54"/>
      <c r="P912" s="86"/>
      <c r="Q912" s="54"/>
      <c r="R912" s="54"/>
    </row>
    <row r="913">
      <c r="A913" s="54"/>
      <c r="B913" s="114"/>
      <c r="C913" s="114"/>
      <c r="D913" s="114"/>
      <c r="E913" s="114"/>
      <c r="F913" s="114"/>
      <c r="G913" s="114"/>
      <c r="H913" s="54"/>
      <c r="I913" s="54"/>
      <c r="J913" s="54"/>
      <c r="K913" s="54"/>
      <c r="L913" s="54"/>
      <c r="M913" s="54"/>
      <c r="N913" s="54"/>
      <c r="O913" s="54"/>
      <c r="P913" s="86"/>
      <c r="Q913" s="54"/>
      <c r="R913" s="54"/>
    </row>
    <row r="914">
      <c r="A914" s="54"/>
      <c r="B914" s="114"/>
      <c r="C914" s="114"/>
      <c r="D914" s="114"/>
      <c r="E914" s="114"/>
      <c r="F914" s="114"/>
      <c r="G914" s="114"/>
      <c r="H914" s="54"/>
      <c r="I914" s="54"/>
      <c r="J914" s="54"/>
      <c r="K914" s="54"/>
      <c r="L914" s="54"/>
      <c r="M914" s="54"/>
      <c r="N914" s="54"/>
      <c r="O914" s="54"/>
      <c r="P914" s="86"/>
      <c r="Q914" s="54"/>
      <c r="R914" s="54"/>
    </row>
    <row r="915">
      <c r="A915" s="54"/>
      <c r="B915" s="114"/>
      <c r="C915" s="114"/>
      <c r="D915" s="114"/>
      <c r="E915" s="114"/>
      <c r="F915" s="114"/>
      <c r="G915" s="114"/>
      <c r="H915" s="54"/>
      <c r="I915" s="54"/>
      <c r="J915" s="54"/>
      <c r="K915" s="54"/>
      <c r="L915" s="54"/>
      <c r="M915" s="54"/>
      <c r="N915" s="54"/>
      <c r="O915" s="54"/>
      <c r="P915" s="86"/>
      <c r="Q915" s="54"/>
      <c r="R915" s="54"/>
    </row>
    <row r="916">
      <c r="A916" s="54"/>
      <c r="B916" s="114"/>
      <c r="C916" s="114"/>
      <c r="D916" s="114"/>
      <c r="E916" s="114"/>
      <c r="F916" s="114"/>
      <c r="G916" s="114"/>
      <c r="H916" s="54"/>
      <c r="I916" s="54"/>
      <c r="J916" s="54"/>
      <c r="K916" s="54"/>
      <c r="L916" s="54"/>
      <c r="M916" s="54"/>
      <c r="N916" s="54"/>
      <c r="O916" s="54"/>
      <c r="P916" s="86"/>
      <c r="Q916" s="54"/>
      <c r="R916" s="54"/>
    </row>
    <row r="917">
      <c r="A917" s="54"/>
      <c r="B917" s="114"/>
      <c r="C917" s="114"/>
      <c r="D917" s="114"/>
      <c r="E917" s="114"/>
      <c r="F917" s="114"/>
      <c r="G917" s="114"/>
      <c r="H917" s="54"/>
      <c r="I917" s="54"/>
      <c r="J917" s="54"/>
      <c r="K917" s="54"/>
      <c r="L917" s="54"/>
      <c r="M917" s="54"/>
      <c r="N917" s="54"/>
      <c r="O917" s="54"/>
      <c r="P917" s="86"/>
      <c r="Q917" s="54"/>
      <c r="R917" s="54"/>
    </row>
    <row r="918">
      <c r="A918" s="54"/>
      <c r="B918" s="114"/>
      <c r="C918" s="114"/>
      <c r="D918" s="114"/>
      <c r="E918" s="114"/>
      <c r="F918" s="114"/>
      <c r="G918" s="114"/>
      <c r="H918" s="54"/>
      <c r="I918" s="54"/>
      <c r="J918" s="54"/>
      <c r="K918" s="54"/>
      <c r="L918" s="54"/>
      <c r="M918" s="54"/>
      <c r="N918" s="54"/>
      <c r="O918" s="54"/>
      <c r="P918" s="86"/>
      <c r="Q918" s="54"/>
      <c r="R918" s="54"/>
    </row>
    <row r="919">
      <c r="A919" s="54"/>
      <c r="B919" s="114"/>
      <c r="C919" s="114"/>
      <c r="D919" s="114"/>
      <c r="E919" s="114"/>
      <c r="F919" s="114"/>
      <c r="G919" s="114"/>
      <c r="H919" s="54"/>
      <c r="I919" s="54"/>
      <c r="J919" s="54"/>
      <c r="K919" s="54"/>
      <c r="L919" s="54"/>
      <c r="M919" s="54"/>
      <c r="N919" s="54"/>
      <c r="O919" s="54"/>
      <c r="P919" s="86"/>
      <c r="Q919" s="54"/>
      <c r="R919" s="54"/>
    </row>
    <row r="920">
      <c r="A920" s="54"/>
      <c r="B920" s="114"/>
      <c r="C920" s="114"/>
      <c r="D920" s="114"/>
      <c r="E920" s="114"/>
      <c r="F920" s="114"/>
      <c r="G920" s="114"/>
      <c r="H920" s="54"/>
      <c r="I920" s="54"/>
      <c r="J920" s="54"/>
      <c r="K920" s="54"/>
      <c r="L920" s="54"/>
      <c r="M920" s="54"/>
      <c r="N920" s="54"/>
      <c r="O920" s="54"/>
      <c r="P920" s="86"/>
      <c r="Q920" s="54"/>
      <c r="R920" s="54"/>
    </row>
    <row r="921">
      <c r="A921" s="54"/>
      <c r="B921" s="114"/>
      <c r="C921" s="114"/>
      <c r="D921" s="114"/>
      <c r="E921" s="114"/>
      <c r="F921" s="114"/>
      <c r="G921" s="114"/>
      <c r="H921" s="54"/>
      <c r="I921" s="54"/>
      <c r="J921" s="54"/>
      <c r="K921" s="54"/>
      <c r="L921" s="54"/>
      <c r="M921" s="54"/>
      <c r="N921" s="54"/>
      <c r="O921" s="54"/>
      <c r="P921" s="86"/>
      <c r="Q921" s="54"/>
      <c r="R921" s="54"/>
    </row>
    <row r="922">
      <c r="A922" s="54"/>
      <c r="B922" s="114"/>
      <c r="C922" s="114"/>
      <c r="D922" s="114"/>
      <c r="E922" s="114"/>
      <c r="F922" s="114"/>
      <c r="G922" s="114"/>
      <c r="H922" s="54"/>
      <c r="I922" s="54"/>
      <c r="J922" s="54"/>
      <c r="K922" s="54"/>
      <c r="L922" s="54"/>
      <c r="M922" s="54"/>
      <c r="N922" s="54"/>
      <c r="O922" s="54"/>
      <c r="P922" s="86"/>
      <c r="Q922" s="54"/>
      <c r="R922" s="54"/>
    </row>
    <row r="923">
      <c r="A923" s="54"/>
      <c r="B923" s="114"/>
      <c r="C923" s="114"/>
      <c r="D923" s="114"/>
      <c r="E923" s="114"/>
      <c r="F923" s="114"/>
      <c r="G923" s="114"/>
      <c r="H923" s="54"/>
      <c r="I923" s="54"/>
      <c r="J923" s="54"/>
      <c r="K923" s="54"/>
      <c r="L923" s="54"/>
      <c r="M923" s="54"/>
      <c r="N923" s="54"/>
      <c r="O923" s="54"/>
      <c r="P923" s="86"/>
      <c r="Q923" s="54"/>
      <c r="R923" s="54"/>
    </row>
    <row r="924">
      <c r="A924" s="54"/>
      <c r="B924" s="114"/>
      <c r="C924" s="114"/>
      <c r="D924" s="114"/>
      <c r="E924" s="114"/>
      <c r="F924" s="114"/>
      <c r="G924" s="114"/>
      <c r="H924" s="54"/>
      <c r="I924" s="54"/>
      <c r="J924" s="54"/>
      <c r="K924" s="54"/>
      <c r="L924" s="54"/>
      <c r="M924" s="54"/>
      <c r="N924" s="54"/>
      <c r="O924" s="54"/>
      <c r="P924" s="86"/>
      <c r="Q924" s="54"/>
      <c r="R924" s="54"/>
    </row>
    <row r="925">
      <c r="A925" s="54"/>
      <c r="B925" s="114"/>
      <c r="C925" s="114"/>
      <c r="D925" s="114"/>
      <c r="E925" s="114"/>
      <c r="F925" s="114"/>
      <c r="G925" s="114"/>
      <c r="H925" s="54"/>
      <c r="I925" s="54"/>
      <c r="J925" s="54"/>
      <c r="K925" s="54"/>
      <c r="L925" s="54"/>
      <c r="M925" s="54"/>
      <c r="N925" s="54"/>
      <c r="O925" s="54"/>
      <c r="P925" s="86"/>
      <c r="Q925" s="54"/>
      <c r="R925" s="54"/>
    </row>
    <row r="926">
      <c r="A926" s="54"/>
      <c r="B926" s="114"/>
      <c r="C926" s="114"/>
      <c r="D926" s="114"/>
      <c r="E926" s="114"/>
      <c r="F926" s="114"/>
      <c r="G926" s="114"/>
      <c r="H926" s="54"/>
      <c r="I926" s="54"/>
      <c r="J926" s="54"/>
      <c r="K926" s="54"/>
      <c r="L926" s="54"/>
      <c r="M926" s="54"/>
      <c r="N926" s="54"/>
      <c r="O926" s="54"/>
      <c r="P926" s="86"/>
      <c r="Q926" s="54"/>
      <c r="R926" s="54"/>
    </row>
    <row r="927">
      <c r="A927" s="54"/>
      <c r="B927" s="114"/>
      <c r="C927" s="114"/>
      <c r="D927" s="114"/>
      <c r="E927" s="114"/>
      <c r="F927" s="114"/>
      <c r="G927" s="114"/>
      <c r="H927" s="54"/>
      <c r="I927" s="54"/>
      <c r="J927" s="54"/>
      <c r="K927" s="54"/>
      <c r="L927" s="54"/>
      <c r="M927" s="54"/>
      <c r="N927" s="54"/>
      <c r="O927" s="54"/>
      <c r="P927" s="86"/>
      <c r="Q927" s="54"/>
      <c r="R927" s="54"/>
    </row>
    <row r="928">
      <c r="A928" s="54"/>
      <c r="B928" s="114"/>
      <c r="C928" s="114"/>
      <c r="D928" s="114"/>
      <c r="E928" s="114"/>
      <c r="F928" s="114"/>
      <c r="G928" s="114"/>
      <c r="H928" s="54"/>
      <c r="I928" s="54"/>
      <c r="J928" s="54"/>
      <c r="K928" s="54"/>
      <c r="L928" s="54"/>
      <c r="M928" s="54"/>
      <c r="N928" s="54"/>
      <c r="O928" s="54"/>
      <c r="P928" s="86"/>
      <c r="Q928" s="54"/>
      <c r="R928" s="54"/>
    </row>
    <row r="929">
      <c r="A929" s="54"/>
      <c r="B929" s="114"/>
      <c r="C929" s="114"/>
      <c r="D929" s="114"/>
      <c r="E929" s="114"/>
      <c r="F929" s="114"/>
      <c r="G929" s="114"/>
      <c r="H929" s="54"/>
      <c r="I929" s="54"/>
      <c r="J929" s="54"/>
      <c r="K929" s="54"/>
      <c r="L929" s="54"/>
      <c r="M929" s="54"/>
      <c r="N929" s="54"/>
      <c r="O929" s="54"/>
      <c r="P929" s="86"/>
      <c r="Q929" s="54"/>
      <c r="R929" s="54"/>
    </row>
    <row r="930">
      <c r="A930" s="54"/>
      <c r="B930" s="114"/>
      <c r="C930" s="114"/>
      <c r="D930" s="114"/>
      <c r="E930" s="114"/>
      <c r="F930" s="114"/>
      <c r="G930" s="114"/>
      <c r="H930" s="54"/>
      <c r="I930" s="54"/>
      <c r="J930" s="54"/>
      <c r="K930" s="54"/>
      <c r="L930" s="54"/>
      <c r="M930" s="54"/>
      <c r="N930" s="54"/>
      <c r="O930" s="54"/>
      <c r="P930" s="86"/>
      <c r="Q930" s="54"/>
      <c r="R930" s="54"/>
    </row>
    <row r="931">
      <c r="A931" s="54"/>
      <c r="B931" s="114"/>
      <c r="C931" s="114"/>
      <c r="D931" s="114"/>
      <c r="E931" s="114"/>
      <c r="F931" s="114"/>
      <c r="G931" s="114"/>
      <c r="H931" s="54"/>
      <c r="I931" s="54"/>
      <c r="J931" s="54"/>
      <c r="K931" s="54"/>
      <c r="L931" s="54"/>
      <c r="M931" s="54"/>
      <c r="N931" s="54"/>
      <c r="O931" s="54"/>
      <c r="P931" s="86"/>
      <c r="Q931" s="54"/>
      <c r="R931" s="54"/>
    </row>
    <row r="932">
      <c r="A932" s="54"/>
      <c r="B932" s="114"/>
      <c r="C932" s="114"/>
      <c r="D932" s="114"/>
      <c r="E932" s="114"/>
      <c r="F932" s="114"/>
      <c r="G932" s="114"/>
      <c r="H932" s="54"/>
      <c r="I932" s="54"/>
      <c r="J932" s="54"/>
      <c r="K932" s="54"/>
      <c r="L932" s="54"/>
      <c r="M932" s="54"/>
      <c r="N932" s="54"/>
      <c r="O932" s="54"/>
      <c r="P932" s="86"/>
      <c r="Q932" s="54"/>
      <c r="R932" s="54"/>
    </row>
    <row r="933">
      <c r="A933" s="54"/>
      <c r="B933" s="114"/>
      <c r="C933" s="114"/>
      <c r="D933" s="114"/>
      <c r="E933" s="114"/>
      <c r="F933" s="114"/>
      <c r="G933" s="114"/>
      <c r="H933" s="54"/>
      <c r="I933" s="54"/>
      <c r="J933" s="54"/>
      <c r="K933" s="54"/>
      <c r="L933" s="54"/>
      <c r="M933" s="54"/>
      <c r="N933" s="54"/>
      <c r="O933" s="54"/>
      <c r="P933" s="86"/>
      <c r="Q933" s="54"/>
      <c r="R933" s="54"/>
    </row>
    <row r="934">
      <c r="A934" s="54"/>
      <c r="B934" s="114"/>
      <c r="C934" s="114"/>
      <c r="D934" s="114"/>
      <c r="E934" s="114"/>
      <c r="F934" s="114"/>
      <c r="G934" s="114"/>
      <c r="H934" s="54"/>
      <c r="I934" s="54"/>
      <c r="J934" s="54"/>
      <c r="K934" s="54"/>
      <c r="L934" s="54"/>
      <c r="M934" s="54"/>
      <c r="N934" s="54"/>
      <c r="O934" s="54"/>
      <c r="P934" s="86"/>
      <c r="Q934" s="54"/>
      <c r="R934" s="54"/>
    </row>
    <row r="935">
      <c r="A935" s="54"/>
      <c r="B935" s="114"/>
      <c r="C935" s="114"/>
      <c r="D935" s="114"/>
      <c r="E935" s="114"/>
      <c r="F935" s="114"/>
      <c r="G935" s="114"/>
      <c r="H935" s="54"/>
      <c r="I935" s="54"/>
      <c r="J935" s="54"/>
      <c r="K935" s="54"/>
      <c r="L935" s="54"/>
      <c r="M935" s="54"/>
      <c r="N935" s="54"/>
      <c r="O935" s="54"/>
      <c r="P935" s="86"/>
      <c r="Q935" s="54"/>
      <c r="R935" s="54"/>
    </row>
    <row r="936">
      <c r="A936" s="54"/>
      <c r="B936" s="114"/>
      <c r="C936" s="114"/>
      <c r="D936" s="114"/>
      <c r="E936" s="114"/>
      <c r="F936" s="114"/>
      <c r="G936" s="114"/>
      <c r="H936" s="54"/>
      <c r="I936" s="54"/>
      <c r="J936" s="54"/>
      <c r="K936" s="54"/>
      <c r="L936" s="54"/>
      <c r="M936" s="54"/>
      <c r="N936" s="54"/>
      <c r="O936" s="54"/>
      <c r="P936" s="86"/>
      <c r="Q936" s="54"/>
      <c r="R936" s="54"/>
    </row>
    <row r="937">
      <c r="A937" s="54"/>
      <c r="B937" s="114"/>
      <c r="C937" s="114"/>
      <c r="D937" s="114"/>
      <c r="E937" s="114"/>
      <c r="F937" s="114"/>
      <c r="G937" s="114"/>
      <c r="H937" s="54"/>
      <c r="I937" s="54"/>
      <c r="J937" s="54"/>
      <c r="K937" s="54"/>
      <c r="L937" s="54"/>
      <c r="M937" s="54"/>
      <c r="N937" s="54"/>
      <c r="O937" s="54"/>
      <c r="P937" s="86"/>
      <c r="Q937" s="54"/>
      <c r="R937" s="54"/>
    </row>
    <row r="938">
      <c r="A938" s="54"/>
      <c r="B938" s="114"/>
      <c r="C938" s="114"/>
      <c r="D938" s="114"/>
      <c r="E938" s="114"/>
      <c r="F938" s="114"/>
      <c r="G938" s="114"/>
      <c r="H938" s="54"/>
      <c r="I938" s="54"/>
      <c r="J938" s="54"/>
      <c r="K938" s="54"/>
      <c r="L938" s="54"/>
      <c r="M938" s="54"/>
      <c r="N938" s="54"/>
      <c r="O938" s="54"/>
      <c r="P938" s="86"/>
      <c r="Q938" s="54"/>
      <c r="R938" s="54"/>
    </row>
    <row r="939">
      <c r="A939" s="54"/>
      <c r="B939" s="114"/>
      <c r="C939" s="114"/>
      <c r="D939" s="114"/>
      <c r="E939" s="114"/>
      <c r="F939" s="114"/>
      <c r="G939" s="114"/>
      <c r="H939" s="54"/>
      <c r="I939" s="54"/>
      <c r="J939" s="54"/>
      <c r="K939" s="54"/>
      <c r="L939" s="54"/>
      <c r="M939" s="54"/>
      <c r="N939" s="54"/>
      <c r="O939" s="54"/>
      <c r="P939" s="86"/>
      <c r="Q939" s="54"/>
      <c r="R939" s="54"/>
    </row>
    <row r="940">
      <c r="A940" s="54"/>
      <c r="B940" s="114"/>
      <c r="C940" s="114"/>
      <c r="D940" s="114"/>
      <c r="E940" s="114"/>
      <c r="F940" s="114"/>
      <c r="G940" s="114"/>
      <c r="H940" s="54"/>
      <c r="I940" s="54"/>
      <c r="J940" s="54"/>
      <c r="K940" s="54"/>
      <c r="L940" s="54"/>
      <c r="M940" s="54"/>
      <c r="N940" s="54"/>
      <c r="O940" s="54"/>
      <c r="P940" s="86"/>
      <c r="Q940" s="54"/>
      <c r="R940" s="54"/>
    </row>
    <row r="941">
      <c r="A941" s="54"/>
      <c r="B941" s="114"/>
      <c r="C941" s="114"/>
      <c r="D941" s="114"/>
      <c r="E941" s="114"/>
      <c r="F941" s="114"/>
      <c r="G941" s="114"/>
      <c r="H941" s="54"/>
      <c r="I941" s="54"/>
      <c r="J941" s="54"/>
      <c r="K941" s="54"/>
      <c r="L941" s="54"/>
      <c r="M941" s="54"/>
      <c r="N941" s="54"/>
      <c r="O941" s="54"/>
      <c r="P941" s="86"/>
      <c r="Q941" s="54"/>
      <c r="R941" s="54"/>
    </row>
    <row r="942">
      <c r="A942" s="54"/>
      <c r="B942" s="114"/>
      <c r="C942" s="114"/>
      <c r="D942" s="114"/>
      <c r="E942" s="114"/>
      <c r="F942" s="114"/>
      <c r="G942" s="114"/>
      <c r="H942" s="54"/>
      <c r="I942" s="54"/>
      <c r="J942" s="54"/>
      <c r="K942" s="54"/>
      <c r="L942" s="54"/>
      <c r="M942" s="54"/>
      <c r="N942" s="54"/>
      <c r="O942" s="54"/>
      <c r="P942" s="86"/>
      <c r="Q942" s="54"/>
      <c r="R942" s="54"/>
    </row>
    <row r="943">
      <c r="A943" s="54"/>
      <c r="B943" s="114"/>
      <c r="C943" s="114"/>
      <c r="D943" s="114"/>
      <c r="E943" s="114"/>
      <c r="F943" s="114"/>
      <c r="G943" s="114"/>
      <c r="H943" s="54"/>
      <c r="I943" s="54"/>
      <c r="J943" s="54"/>
      <c r="K943" s="54"/>
      <c r="L943" s="54"/>
      <c r="M943" s="54"/>
      <c r="N943" s="54"/>
      <c r="O943" s="54"/>
      <c r="P943" s="86"/>
      <c r="Q943" s="54"/>
      <c r="R943" s="54"/>
    </row>
    <row r="944">
      <c r="A944" s="54"/>
      <c r="B944" s="114"/>
      <c r="C944" s="114"/>
      <c r="D944" s="114"/>
      <c r="E944" s="114"/>
      <c r="F944" s="114"/>
      <c r="G944" s="114"/>
      <c r="H944" s="54"/>
      <c r="I944" s="54"/>
      <c r="J944" s="54"/>
      <c r="K944" s="54"/>
      <c r="L944" s="54"/>
      <c r="M944" s="54"/>
      <c r="N944" s="54"/>
      <c r="O944" s="54"/>
      <c r="P944" s="86"/>
      <c r="Q944" s="54"/>
      <c r="R944" s="54"/>
    </row>
    <row r="945">
      <c r="A945" s="54"/>
      <c r="B945" s="114"/>
      <c r="C945" s="114"/>
      <c r="D945" s="114"/>
      <c r="E945" s="114"/>
      <c r="F945" s="114"/>
      <c r="G945" s="114"/>
      <c r="H945" s="54"/>
      <c r="I945" s="54"/>
      <c r="J945" s="54"/>
      <c r="K945" s="54"/>
      <c r="L945" s="54"/>
      <c r="M945" s="54"/>
      <c r="N945" s="54"/>
      <c r="O945" s="54"/>
      <c r="P945" s="86"/>
      <c r="Q945" s="54"/>
      <c r="R945" s="54"/>
    </row>
    <row r="946">
      <c r="A946" s="54"/>
      <c r="B946" s="114"/>
      <c r="C946" s="114"/>
      <c r="D946" s="114"/>
      <c r="E946" s="114"/>
      <c r="F946" s="114"/>
      <c r="G946" s="114"/>
      <c r="H946" s="54"/>
      <c r="I946" s="54"/>
      <c r="J946" s="54"/>
      <c r="K946" s="54"/>
      <c r="L946" s="54"/>
      <c r="M946" s="54"/>
      <c r="N946" s="54"/>
      <c r="O946" s="54"/>
      <c r="P946" s="86"/>
      <c r="Q946" s="54"/>
      <c r="R946" s="54"/>
    </row>
    <row r="947">
      <c r="A947" s="54"/>
      <c r="B947" s="114"/>
      <c r="C947" s="114"/>
      <c r="D947" s="114"/>
      <c r="E947" s="114"/>
      <c r="F947" s="114"/>
      <c r="G947" s="114"/>
      <c r="H947" s="54"/>
      <c r="I947" s="54"/>
      <c r="J947" s="54"/>
      <c r="K947" s="54"/>
      <c r="L947" s="54"/>
      <c r="M947" s="54"/>
      <c r="N947" s="54"/>
      <c r="O947" s="54"/>
      <c r="P947" s="86"/>
      <c r="Q947" s="54"/>
      <c r="R947" s="54"/>
    </row>
    <row r="948">
      <c r="A948" s="54"/>
      <c r="B948" s="114"/>
      <c r="C948" s="114"/>
      <c r="D948" s="114"/>
      <c r="E948" s="114"/>
      <c r="F948" s="114"/>
      <c r="G948" s="114"/>
      <c r="H948" s="54"/>
      <c r="I948" s="54"/>
      <c r="J948" s="54"/>
      <c r="K948" s="54"/>
      <c r="L948" s="54"/>
      <c r="M948" s="54"/>
      <c r="N948" s="54"/>
      <c r="O948" s="54"/>
      <c r="P948" s="86"/>
      <c r="Q948" s="54"/>
      <c r="R948" s="54"/>
    </row>
    <row r="949">
      <c r="A949" s="54"/>
      <c r="B949" s="114"/>
      <c r="C949" s="114"/>
      <c r="D949" s="114"/>
      <c r="E949" s="114"/>
      <c r="F949" s="114"/>
      <c r="G949" s="114"/>
      <c r="H949" s="54"/>
      <c r="I949" s="54"/>
      <c r="J949" s="54"/>
      <c r="K949" s="54"/>
      <c r="L949" s="54"/>
      <c r="M949" s="54"/>
      <c r="N949" s="54"/>
      <c r="O949" s="54"/>
      <c r="P949" s="86"/>
      <c r="Q949" s="54"/>
      <c r="R949" s="54"/>
    </row>
    <row r="950">
      <c r="A950" s="54"/>
      <c r="B950" s="114"/>
      <c r="C950" s="114"/>
      <c r="D950" s="114"/>
      <c r="E950" s="114"/>
      <c r="F950" s="114"/>
      <c r="G950" s="114"/>
      <c r="H950" s="54"/>
      <c r="I950" s="54"/>
      <c r="J950" s="54"/>
      <c r="K950" s="54"/>
      <c r="L950" s="54"/>
      <c r="M950" s="54"/>
      <c r="N950" s="54"/>
      <c r="O950" s="54"/>
      <c r="P950" s="86"/>
      <c r="Q950" s="54"/>
      <c r="R950" s="54"/>
    </row>
    <row r="951">
      <c r="A951" s="54"/>
      <c r="B951" s="114"/>
      <c r="C951" s="114"/>
      <c r="D951" s="114"/>
      <c r="E951" s="114"/>
      <c r="F951" s="114"/>
      <c r="G951" s="114"/>
      <c r="H951" s="54"/>
      <c r="I951" s="54"/>
      <c r="J951" s="54"/>
      <c r="K951" s="54"/>
      <c r="L951" s="54"/>
      <c r="M951" s="54"/>
      <c r="N951" s="54"/>
      <c r="O951" s="54"/>
      <c r="P951" s="86"/>
      <c r="Q951" s="54"/>
      <c r="R951" s="54"/>
    </row>
    <row r="952">
      <c r="A952" s="54"/>
      <c r="B952" s="114"/>
      <c r="C952" s="114"/>
      <c r="D952" s="114"/>
      <c r="E952" s="114"/>
      <c r="F952" s="114"/>
      <c r="G952" s="114"/>
      <c r="H952" s="54"/>
      <c r="I952" s="54"/>
      <c r="J952" s="54"/>
      <c r="K952" s="54"/>
      <c r="L952" s="54"/>
      <c r="M952" s="54"/>
      <c r="N952" s="54"/>
      <c r="O952" s="54"/>
      <c r="P952" s="86"/>
      <c r="Q952" s="54"/>
      <c r="R952" s="54"/>
    </row>
    <row r="953">
      <c r="A953" s="54"/>
      <c r="B953" s="114"/>
      <c r="C953" s="114"/>
      <c r="D953" s="114"/>
      <c r="E953" s="114"/>
      <c r="F953" s="114"/>
      <c r="G953" s="114"/>
      <c r="H953" s="54"/>
      <c r="I953" s="54"/>
      <c r="J953" s="54"/>
      <c r="K953" s="54"/>
      <c r="L953" s="54"/>
      <c r="M953" s="54"/>
      <c r="N953" s="54"/>
      <c r="O953" s="54"/>
      <c r="P953" s="86"/>
      <c r="Q953" s="54"/>
      <c r="R953" s="54"/>
    </row>
    <row r="954">
      <c r="A954" s="54"/>
      <c r="B954" s="114"/>
      <c r="C954" s="114"/>
      <c r="D954" s="114"/>
      <c r="E954" s="114"/>
      <c r="F954" s="114"/>
      <c r="G954" s="114"/>
      <c r="H954" s="54"/>
      <c r="I954" s="54"/>
      <c r="J954" s="54"/>
      <c r="K954" s="54"/>
      <c r="L954" s="54"/>
      <c r="M954" s="54"/>
      <c r="N954" s="54"/>
      <c r="O954" s="54"/>
      <c r="P954" s="86"/>
      <c r="Q954" s="54"/>
      <c r="R954" s="54"/>
    </row>
    <row r="955">
      <c r="A955" s="54"/>
      <c r="B955" s="114"/>
      <c r="C955" s="114"/>
      <c r="D955" s="114"/>
      <c r="E955" s="114"/>
      <c r="F955" s="114"/>
      <c r="G955" s="114"/>
      <c r="H955" s="54"/>
      <c r="I955" s="54"/>
      <c r="J955" s="54"/>
      <c r="K955" s="54"/>
      <c r="L955" s="54"/>
      <c r="M955" s="54"/>
      <c r="N955" s="54"/>
      <c r="O955" s="54"/>
      <c r="P955" s="86"/>
      <c r="Q955" s="54"/>
      <c r="R955" s="54"/>
    </row>
    <row r="956">
      <c r="A956" s="54"/>
      <c r="B956" s="114"/>
      <c r="C956" s="114"/>
      <c r="D956" s="114"/>
      <c r="E956" s="114"/>
      <c r="F956" s="114"/>
      <c r="G956" s="114"/>
      <c r="H956" s="54"/>
      <c r="I956" s="54"/>
      <c r="J956" s="54"/>
      <c r="K956" s="54"/>
      <c r="L956" s="54"/>
      <c r="M956" s="54"/>
      <c r="N956" s="54"/>
      <c r="O956" s="54"/>
      <c r="P956" s="86"/>
      <c r="Q956" s="54"/>
      <c r="R956" s="54"/>
    </row>
    <row r="957">
      <c r="A957" s="54"/>
      <c r="B957" s="114"/>
      <c r="C957" s="114"/>
      <c r="D957" s="114"/>
      <c r="E957" s="114"/>
      <c r="F957" s="114"/>
      <c r="G957" s="114"/>
      <c r="H957" s="54"/>
      <c r="I957" s="54"/>
      <c r="J957" s="54"/>
      <c r="K957" s="54"/>
      <c r="L957" s="54"/>
      <c r="M957" s="54"/>
      <c r="N957" s="54"/>
      <c r="O957" s="54"/>
      <c r="P957" s="86"/>
      <c r="Q957" s="54"/>
      <c r="R957" s="54"/>
    </row>
    <row r="958">
      <c r="A958" s="54"/>
      <c r="B958" s="114"/>
      <c r="C958" s="114"/>
      <c r="D958" s="114"/>
      <c r="E958" s="114"/>
      <c r="F958" s="114"/>
      <c r="G958" s="114"/>
      <c r="H958" s="54"/>
      <c r="I958" s="54"/>
      <c r="J958" s="54"/>
      <c r="K958" s="54"/>
      <c r="L958" s="54"/>
      <c r="M958" s="54"/>
      <c r="N958" s="54"/>
      <c r="O958" s="54"/>
      <c r="P958" s="86"/>
      <c r="Q958" s="54"/>
      <c r="R958" s="54"/>
    </row>
    <row r="959">
      <c r="A959" s="54"/>
      <c r="B959" s="114"/>
      <c r="C959" s="114"/>
      <c r="D959" s="114"/>
      <c r="E959" s="114"/>
      <c r="F959" s="114"/>
      <c r="G959" s="114"/>
      <c r="H959" s="54"/>
      <c r="I959" s="54"/>
      <c r="J959" s="54"/>
      <c r="K959" s="54"/>
      <c r="L959" s="54"/>
      <c r="M959" s="54"/>
      <c r="N959" s="54"/>
      <c r="O959" s="54"/>
      <c r="P959" s="86"/>
      <c r="Q959" s="54"/>
      <c r="R959" s="54"/>
    </row>
    <row r="960">
      <c r="A960" s="54"/>
      <c r="B960" s="114"/>
      <c r="C960" s="114"/>
      <c r="D960" s="114"/>
      <c r="E960" s="114"/>
      <c r="F960" s="114"/>
      <c r="G960" s="114"/>
      <c r="H960" s="54"/>
      <c r="I960" s="54"/>
      <c r="J960" s="54"/>
      <c r="K960" s="54"/>
      <c r="L960" s="54"/>
      <c r="M960" s="54"/>
      <c r="N960" s="54"/>
      <c r="O960" s="54"/>
      <c r="P960" s="86"/>
      <c r="Q960" s="54"/>
      <c r="R960" s="54"/>
    </row>
    <row r="961">
      <c r="A961" s="54"/>
      <c r="B961" s="114"/>
      <c r="C961" s="114"/>
      <c r="D961" s="114"/>
      <c r="E961" s="114"/>
      <c r="F961" s="114"/>
      <c r="G961" s="114"/>
      <c r="H961" s="54"/>
      <c r="I961" s="54"/>
      <c r="J961" s="54"/>
      <c r="K961" s="54"/>
      <c r="L961" s="54"/>
      <c r="M961" s="54"/>
      <c r="N961" s="54"/>
      <c r="O961" s="54"/>
      <c r="P961" s="86"/>
      <c r="Q961" s="54"/>
      <c r="R961" s="54"/>
    </row>
    <row r="962">
      <c r="A962" s="54"/>
      <c r="B962" s="114"/>
      <c r="C962" s="114"/>
      <c r="D962" s="114"/>
      <c r="E962" s="114"/>
      <c r="F962" s="114"/>
      <c r="G962" s="114"/>
      <c r="H962" s="54"/>
      <c r="I962" s="54"/>
      <c r="J962" s="54"/>
      <c r="K962" s="54"/>
      <c r="L962" s="54"/>
      <c r="M962" s="54"/>
      <c r="N962" s="54"/>
      <c r="O962" s="54"/>
      <c r="P962" s="86"/>
      <c r="Q962" s="54"/>
      <c r="R962" s="54"/>
    </row>
    <row r="963">
      <c r="A963" s="54"/>
      <c r="B963" s="114"/>
      <c r="C963" s="114"/>
      <c r="D963" s="114"/>
      <c r="E963" s="114"/>
      <c r="F963" s="114"/>
      <c r="G963" s="114"/>
      <c r="H963" s="54"/>
      <c r="I963" s="54"/>
      <c r="J963" s="54"/>
      <c r="K963" s="54"/>
      <c r="L963" s="54"/>
      <c r="M963" s="54"/>
      <c r="N963" s="54"/>
      <c r="O963" s="54"/>
      <c r="P963" s="86"/>
      <c r="Q963" s="54"/>
      <c r="R963" s="54"/>
    </row>
    <row r="964">
      <c r="A964" s="54"/>
      <c r="B964" s="114"/>
      <c r="C964" s="114"/>
      <c r="D964" s="114"/>
      <c r="E964" s="114"/>
      <c r="F964" s="114"/>
      <c r="G964" s="114"/>
      <c r="H964" s="54"/>
      <c r="I964" s="54"/>
      <c r="J964" s="54"/>
      <c r="K964" s="54"/>
      <c r="L964" s="54"/>
      <c r="M964" s="54"/>
      <c r="N964" s="54"/>
      <c r="O964" s="54"/>
      <c r="P964" s="86"/>
      <c r="Q964" s="54"/>
      <c r="R964" s="54"/>
    </row>
    <row r="965">
      <c r="A965" s="54"/>
      <c r="B965" s="114"/>
      <c r="C965" s="114"/>
      <c r="D965" s="114"/>
      <c r="E965" s="114"/>
      <c r="F965" s="114"/>
      <c r="G965" s="114"/>
      <c r="H965" s="54"/>
      <c r="I965" s="54"/>
      <c r="J965" s="54"/>
      <c r="K965" s="54"/>
      <c r="L965" s="54"/>
      <c r="M965" s="54"/>
      <c r="N965" s="54"/>
      <c r="O965" s="54"/>
      <c r="P965" s="86"/>
      <c r="Q965" s="54"/>
      <c r="R965" s="54"/>
    </row>
    <row r="966">
      <c r="A966" s="54"/>
      <c r="B966" s="114"/>
      <c r="C966" s="114"/>
      <c r="D966" s="114"/>
      <c r="E966" s="114"/>
      <c r="F966" s="114"/>
      <c r="G966" s="114"/>
      <c r="H966" s="54"/>
      <c r="I966" s="54"/>
      <c r="J966" s="54"/>
      <c r="K966" s="54"/>
      <c r="L966" s="54"/>
      <c r="M966" s="54"/>
      <c r="N966" s="54"/>
      <c r="O966" s="54"/>
      <c r="P966" s="86"/>
      <c r="Q966" s="54"/>
      <c r="R966" s="54"/>
    </row>
    <row r="967">
      <c r="A967" s="54"/>
      <c r="B967" s="114"/>
      <c r="C967" s="114"/>
      <c r="D967" s="114"/>
      <c r="E967" s="114"/>
      <c r="F967" s="114"/>
      <c r="G967" s="114"/>
      <c r="H967" s="54"/>
      <c r="I967" s="54"/>
      <c r="J967" s="54"/>
      <c r="K967" s="54"/>
      <c r="L967" s="54"/>
      <c r="M967" s="54"/>
      <c r="N967" s="54"/>
      <c r="O967" s="54"/>
      <c r="P967" s="86"/>
      <c r="Q967" s="54"/>
      <c r="R967" s="54"/>
    </row>
    <row r="968">
      <c r="A968" s="54"/>
      <c r="B968" s="114"/>
      <c r="C968" s="114"/>
      <c r="D968" s="114"/>
      <c r="E968" s="114"/>
      <c r="F968" s="114"/>
      <c r="G968" s="114"/>
      <c r="H968" s="54"/>
      <c r="I968" s="54"/>
      <c r="J968" s="54"/>
      <c r="K968" s="54"/>
      <c r="L968" s="54"/>
      <c r="M968" s="54"/>
      <c r="N968" s="54"/>
      <c r="O968" s="54"/>
      <c r="P968" s="86"/>
      <c r="Q968" s="54"/>
      <c r="R968" s="54"/>
    </row>
    <row r="969">
      <c r="A969" s="54"/>
      <c r="B969" s="114"/>
      <c r="C969" s="114"/>
      <c r="D969" s="114"/>
      <c r="E969" s="114"/>
      <c r="F969" s="114"/>
      <c r="G969" s="114"/>
      <c r="H969" s="54"/>
      <c r="I969" s="54"/>
      <c r="J969" s="54"/>
      <c r="K969" s="54"/>
      <c r="L969" s="54"/>
      <c r="M969" s="54"/>
      <c r="N969" s="54"/>
      <c r="O969" s="54"/>
      <c r="P969" s="86"/>
      <c r="Q969" s="54"/>
      <c r="R969" s="54"/>
    </row>
    <row r="970">
      <c r="A970" s="54"/>
      <c r="B970" s="114"/>
      <c r="C970" s="114"/>
      <c r="D970" s="114"/>
      <c r="E970" s="114"/>
      <c r="F970" s="114"/>
      <c r="G970" s="114"/>
      <c r="H970" s="54"/>
      <c r="I970" s="54"/>
      <c r="J970" s="54"/>
      <c r="K970" s="54"/>
      <c r="L970" s="54"/>
      <c r="M970" s="54"/>
      <c r="N970" s="54"/>
      <c r="O970" s="54"/>
      <c r="P970" s="86"/>
      <c r="Q970" s="54"/>
      <c r="R970" s="54"/>
    </row>
    <row r="971">
      <c r="A971" s="54"/>
      <c r="B971" s="114"/>
      <c r="C971" s="114"/>
      <c r="D971" s="114"/>
      <c r="E971" s="114"/>
      <c r="F971" s="114"/>
      <c r="G971" s="114"/>
      <c r="H971" s="54"/>
      <c r="I971" s="54"/>
      <c r="J971" s="54"/>
      <c r="K971" s="54"/>
      <c r="L971" s="54"/>
      <c r="M971" s="54"/>
      <c r="N971" s="54"/>
      <c r="O971" s="54"/>
      <c r="P971" s="86"/>
      <c r="Q971" s="54"/>
      <c r="R971" s="54"/>
    </row>
    <row r="972">
      <c r="A972" s="54"/>
      <c r="B972" s="114"/>
      <c r="C972" s="114"/>
      <c r="D972" s="114"/>
      <c r="E972" s="114"/>
      <c r="F972" s="114"/>
      <c r="G972" s="114"/>
      <c r="H972" s="54"/>
      <c r="I972" s="54"/>
      <c r="J972" s="54"/>
      <c r="K972" s="54"/>
      <c r="L972" s="54"/>
      <c r="M972" s="54"/>
      <c r="N972" s="54"/>
      <c r="O972" s="54"/>
      <c r="P972" s="86"/>
      <c r="Q972" s="54"/>
      <c r="R972" s="54"/>
    </row>
    <row r="973">
      <c r="A973" s="54"/>
      <c r="B973" s="114"/>
      <c r="C973" s="114"/>
      <c r="D973" s="114"/>
      <c r="E973" s="114"/>
      <c r="F973" s="114"/>
      <c r="G973" s="114"/>
      <c r="H973" s="54"/>
      <c r="I973" s="54"/>
      <c r="J973" s="54"/>
      <c r="K973" s="54"/>
      <c r="L973" s="54"/>
      <c r="M973" s="54"/>
      <c r="N973" s="54"/>
      <c r="O973" s="54"/>
      <c r="P973" s="86"/>
      <c r="Q973" s="54"/>
      <c r="R973" s="54"/>
    </row>
    <row r="974">
      <c r="A974" s="54"/>
      <c r="B974" s="114"/>
      <c r="C974" s="114"/>
      <c r="D974" s="114"/>
      <c r="E974" s="114"/>
      <c r="F974" s="114"/>
      <c r="G974" s="114"/>
      <c r="H974" s="54"/>
      <c r="I974" s="54"/>
      <c r="J974" s="54"/>
      <c r="K974" s="54"/>
      <c r="L974" s="54"/>
      <c r="M974" s="54"/>
      <c r="N974" s="54"/>
      <c r="O974" s="54"/>
      <c r="P974" s="86"/>
      <c r="Q974" s="54"/>
      <c r="R974" s="54"/>
    </row>
    <row r="975">
      <c r="A975" s="54"/>
      <c r="B975" s="114"/>
      <c r="C975" s="114"/>
      <c r="D975" s="114"/>
      <c r="E975" s="114"/>
      <c r="F975" s="114"/>
      <c r="G975" s="114"/>
      <c r="H975" s="54"/>
      <c r="I975" s="54"/>
      <c r="J975" s="54"/>
      <c r="K975" s="54"/>
      <c r="L975" s="54"/>
      <c r="M975" s="54"/>
      <c r="N975" s="54"/>
      <c r="O975" s="54"/>
      <c r="P975" s="86"/>
      <c r="Q975" s="54"/>
      <c r="R975" s="54"/>
    </row>
    <row r="976">
      <c r="A976" s="54"/>
      <c r="B976" s="114"/>
      <c r="C976" s="114"/>
      <c r="D976" s="114"/>
      <c r="E976" s="114"/>
      <c r="F976" s="114"/>
      <c r="G976" s="114"/>
      <c r="H976" s="54"/>
      <c r="I976" s="54"/>
      <c r="J976" s="54"/>
      <c r="K976" s="54"/>
      <c r="L976" s="54"/>
      <c r="M976" s="54"/>
      <c r="N976" s="54"/>
      <c r="O976" s="54"/>
      <c r="P976" s="86"/>
      <c r="Q976" s="54"/>
      <c r="R976" s="54"/>
    </row>
    <row r="977">
      <c r="A977" s="54"/>
      <c r="B977" s="114"/>
      <c r="C977" s="114"/>
      <c r="D977" s="114"/>
      <c r="E977" s="114"/>
      <c r="F977" s="114"/>
      <c r="G977" s="114"/>
      <c r="H977" s="54"/>
      <c r="I977" s="54"/>
      <c r="J977" s="54"/>
      <c r="K977" s="54"/>
      <c r="L977" s="54"/>
      <c r="M977" s="54"/>
      <c r="N977" s="54"/>
      <c r="O977" s="54"/>
      <c r="P977" s="86"/>
      <c r="Q977" s="54"/>
      <c r="R977" s="54"/>
    </row>
    <row r="978">
      <c r="A978" s="54"/>
      <c r="B978" s="114"/>
      <c r="C978" s="114"/>
      <c r="D978" s="114"/>
      <c r="E978" s="114"/>
      <c r="F978" s="114"/>
      <c r="G978" s="114"/>
      <c r="H978" s="54"/>
      <c r="I978" s="54"/>
      <c r="J978" s="54"/>
      <c r="K978" s="54"/>
      <c r="L978" s="54"/>
      <c r="M978" s="54"/>
      <c r="N978" s="54"/>
      <c r="O978" s="54"/>
      <c r="P978" s="86"/>
      <c r="Q978" s="54"/>
      <c r="R978" s="54"/>
    </row>
    <row r="979">
      <c r="A979" s="54"/>
      <c r="B979" s="114"/>
      <c r="C979" s="114"/>
      <c r="D979" s="114"/>
      <c r="E979" s="114"/>
      <c r="F979" s="114"/>
      <c r="G979" s="114"/>
      <c r="H979" s="54"/>
      <c r="I979" s="54"/>
      <c r="J979" s="54"/>
      <c r="K979" s="54"/>
      <c r="L979" s="54"/>
      <c r="M979" s="54"/>
      <c r="N979" s="54"/>
      <c r="O979" s="54"/>
      <c r="P979" s="86"/>
      <c r="Q979" s="54"/>
      <c r="R979" s="54"/>
    </row>
    <row r="980">
      <c r="A980" s="54"/>
      <c r="B980" s="114"/>
      <c r="C980" s="114"/>
      <c r="D980" s="114"/>
      <c r="E980" s="114"/>
      <c r="F980" s="114"/>
      <c r="G980" s="114"/>
      <c r="H980" s="54"/>
      <c r="I980" s="54"/>
      <c r="J980" s="54"/>
      <c r="K980" s="54"/>
      <c r="L980" s="54"/>
      <c r="M980" s="54"/>
      <c r="N980" s="54"/>
      <c r="O980" s="54"/>
      <c r="P980" s="86"/>
      <c r="Q980" s="54"/>
      <c r="R980" s="54"/>
    </row>
    <row r="981">
      <c r="A981" s="54"/>
      <c r="B981" s="114"/>
      <c r="C981" s="114"/>
      <c r="D981" s="114"/>
      <c r="E981" s="114"/>
      <c r="F981" s="114"/>
      <c r="G981" s="114"/>
      <c r="H981" s="54"/>
      <c r="I981" s="54"/>
      <c r="J981" s="54"/>
      <c r="K981" s="54"/>
      <c r="L981" s="54"/>
      <c r="M981" s="54"/>
      <c r="N981" s="54"/>
      <c r="O981" s="54"/>
      <c r="P981" s="86"/>
      <c r="Q981" s="54"/>
      <c r="R981" s="54"/>
    </row>
    <row r="982">
      <c r="A982" s="54"/>
      <c r="B982" s="114"/>
      <c r="C982" s="114"/>
      <c r="D982" s="114"/>
      <c r="E982" s="114"/>
      <c r="F982" s="114"/>
      <c r="G982" s="114"/>
      <c r="H982" s="54"/>
      <c r="I982" s="54"/>
      <c r="J982" s="54"/>
      <c r="K982" s="54"/>
      <c r="L982" s="54"/>
      <c r="M982" s="54"/>
      <c r="N982" s="54"/>
      <c r="O982" s="54"/>
      <c r="P982" s="86"/>
      <c r="Q982" s="54"/>
      <c r="R982" s="54"/>
    </row>
    <row r="983">
      <c r="A983" s="54"/>
      <c r="B983" s="114"/>
      <c r="C983" s="114"/>
      <c r="D983" s="114"/>
      <c r="E983" s="114"/>
      <c r="F983" s="114"/>
      <c r="G983" s="114"/>
      <c r="H983" s="54"/>
      <c r="I983" s="54"/>
      <c r="J983" s="54"/>
      <c r="K983" s="54"/>
      <c r="L983" s="54"/>
      <c r="M983" s="54"/>
      <c r="N983" s="54"/>
      <c r="O983" s="54"/>
      <c r="P983" s="86"/>
      <c r="Q983" s="54"/>
      <c r="R983" s="54"/>
    </row>
    <row r="984">
      <c r="A984" s="54"/>
      <c r="B984" s="114"/>
      <c r="C984" s="114"/>
      <c r="D984" s="114"/>
      <c r="E984" s="114"/>
      <c r="F984" s="114"/>
      <c r="G984" s="114"/>
      <c r="H984" s="54"/>
      <c r="I984" s="54"/>
      <c r="J984" s="54"/>
      <c r="K984" s="54"/>
      <c r="L984" s="54"/>
      <c r="M984" s="54"/>
      <c r="N984" s="54"/>
      <c r="O984" s="54"/>
      <c r="P984" s="86"/>
      <c r="Q984" s="54"/>
      <c r="R984" s="54"/>
    </row>
    <row r="985">
      <c r="A985" s="54"/>
      <c r="B985" s="114"/>
      <c r="C985" s="114"/>
      <c r="D985" s="114"/>
      <c r="E985" s="114"/>
      <c r="F985" s="114"/>
      <c r="G985" s="114"/>
      <c r="H985" s="54"/>
      <c r="I985" s="54"/>
      <c r="J985" s="54"/>
      <c r="K985" s="54"/>
      <c r="L985" s="54"/>
      <c r="M985" s="54"/>
      <c r="N985" s="54"/>
      <c r="O985" s="54"/>
      <c r="P985" s="86"/>
      <c r="Q985" s="54"/>
      <c r="R985" s="54"/>
    </row>
    <row r="986">
      <c r="A986" s="54"/>
      <c r="B986" s="114"/>
      <c r="C986" s="114"/>
      <c r="D986" s="114"/>
      <c r="E986" s="114"/>
      <c r="F986" s="114"/>
      <c r="G986" s="114"/>
      <c r="H986" s="54"/>
      <c r="I986" s="54"/>
      <c r="J986" s="54"/>
      <c r="K986" s="54"/>
      <c r="L986" s="54"/>
      <c r="M986" s="54"/>
      <c r="N986" s="54"/>
      <c r="O986" s="54"/>
      <c r="P986" s="86"/>
      <c r="Q986" s="54"/>
      <c r="R986" s="54"/>
    </row>
    <row r="987">
      <c r="A987" s="54"/>
      <c r="B987" s="114"/>
      <c r="C987" s="114"/>
      <c r="D987" s="114"/>
      <c r="E987" s="114"/>
      <c r="F987" s="114"/>
      <c r="G987" s="114"/>
      <c r="H987" s="54"/>
      <c r="I987" s="54"/>
      <c r="J987" s="54"/>
      <c r="K987" s="54"/>
      <c r="L987" s="54"/>
      <c r="M987" s="54"/>
      <c r="N987" s="54"/>
      <c r="O987" s="54"/>
      <c r="P987" s="86"/>
      <c r="Q987" s="54"/>
      <c r="R987" s="54"/>
    </row>
    <row r="988">
      <c r="A988" s="54"/>
      <c r="B988" s="114"/>
      <c r="C988" s="114"/>
      <c r="D988" s="114"/>
      <c r="E988" s="114"/>
      <c r="F988" s="114"/>
      <c r="G988" s="114"/>
      <c r="H988" s="54"/>
      <c r="I988" s="54"/>
      <c r="J988" s="54"/>
      <c r="K988" s="54"/>
      <c r="L988" s="54"/>
      <c r="M988" s="54"/>
      <c r="N988" s="54"/>
      <c r="O988" s="54"/>
      <c r="P988" s="86"/>
      <c r="Q988" s="54"/>
      <c r="R988" s="54"/>
    </row>
    <row r="989">
      <c r="A989" s="54"/>
      <c r="B989" s="114"/>
      <c r="C989" s="114"/>
      <c r="D989" s="114"/>
      <c r="E989" s="114"/>
      <c r="F989" s="114"/>
      <c r="G989" s="114"/>
      <c r="H989" s="54"/>
      <c r="I989" s="54"/>
      <c r="J989" s="54"/>
      <c r="K989" s="54"/>
      <c r="L989" s="54"/>
      <c r="M989" s="54"/>
      <c r="N989" s="54"/>
      <c r="O989" s="54"/>
      <c r="P989" s="86"/>
      <c r="Q989" s="54"/>
      <c r="R989" s="54"/>
    </row>
    <row r="990">
      <c r="A990" s="54"/>
      <c r="B990" s="114"/>
      <c r="C990" s="114"/>
      <c r="D990" s="114"/>
      <c r="E990" s="114"/>
      <c r="F990" s="114"/>
      <c r="G990" s="114"/>
      <c r="H990" s="54"/>
      <c r="I990" s="54"/>
      <c r="J990" s="54"/>
      <c r="K990" s="54"/>
      <c r="L990" s="54"/>
      <c r="M990" s="54"/>
      <c r="N990" s="54"/>
      <c r="O990" s="54"/>
      <c r="P990" s="86"/>
      <c r="Q990" s="54"/>
      <c r="R990" s="54"/>
    </row>
    <row r="991">
      <c r="A991" s="54"/>
      <c r="B991" s="114"/>
      <c r="C991" s="114"/>
      <c r="D991" s="114"/>
      <c r="E991" s="114"/>
      <c r="F991" s="114"/>
      <c r="G991" s="114"/>
      <c r="H991" s="54"/>
      <c r="I991" s="54"/>
      <c r="J991" s="54"/>
      <c r="K991" s="54"/>
      <c r="L991" s="54"/>
      <c r="M991" s="54"/>
      <c r="N991" s="54"/>
      <c r="O991" s="54"/>
      <c r="P991" s="86"/>
      <c r="Q991" s="54"/>
      <c r="R991" s="54"/>
    </row>
    <row r="992">
      <c r="A992" s="54"/>
      <c r="B992" s="114"/>
      <c r="C992" s="114"/>
      <c r="D992" s="114"/>
      <c r="E992" s="114"/>
      <c r="F992" s="114"/>
      <c r="G992" s="114"/>
      <c r="H992" s="54"/>
      <c r="I992" s="54"/>
      <c r="J992" s="54"/>
      <c r="K992" s="54"/>
      <c r="L992" s="54"/>
      <c r="M992" s="54"/>
      <c r="N992" s="54"/>
      <c r="O992" s="54"/>
      <c r="P992" s="86"/>
      <c r="Q992" s="54"/>
      <c r="R992" s="54"/>
    </row>
    <row r="993">
      <c r="A993" s="54"/>
      <c r="B993" s="114"/>
      <c r="C993" s="114"/>
      <c r="D993" s="114"/>
      <c r="E993" s="114"/>
      <c r="F993" s="114"/>
      <c r="G993" s="114"/>
      <c r="H993" s="54"/>
      <c r="I993" s="54"/>
      <c r="J993" s="54"/>
      <c r="K993" s="54"/>
      <c r="L993" s="54"/>
      <c r="M993" s="54"/>
      <c r="N993" s="54"/>
      <c r="O993" s="54"/>
      <c r="P993" s="86"/>
      <c r="Q993" s="54"/>
      <c r="R993" s="54"/>
    </row>
    <row r="994">
      <c r="A994" s="54"/>
      <c r="B994" s="114"/>
      <c r="C994" s="114"/>
      <c r="D994" s="114"/>
      <c r="E994" s="114"/>
      <c r="F994" s="114"/>
      <c r="G994" s="114"/>
      <c r="H994" s="54"/>
      <c r="I994" s="54"/>
      <c r="J994" s="54"/>
      <c r="K994" s="54"/>
      <c r="L994" s="54"/>
      <c r="M994" s="54"/>
      <c r="N994" s="54"/>
      <c r="O994" s="54"/>
      <c r="P994" s="86"/>
      <c r="Q994" s="54"/>
      <c r="R994" s="54"/>
    </row>
    <row r="995">
      <c r="A995" s="54"/>
      <c r="B995" s="114"/>
      <c r="C995" s="114"/>
      <c r="D995" s="114"/>
      <c r="E995" s="114"/>
      <c r="F995" s="114"/>
      <c r="G995" s="114"/>
      <c r="H995" s="54"/>
      <c r="I995" s="54"/>
      <c r="J995" s="54"/>
      <c r="K995" s="54"/>
      <c r="L995" s="54"/>
      <c r="M995" s="54"/>
      <c r="N995" s="54"/>
      <c r="O995" s="54"/>
      <c r="P995" s="86"/>
      <c r="Q995" s="54"/>
      <c r="R995" s="54"/>
    </row>
    <row r="996">
      <c r="A996" s="54"/>
      <c r="B996" s="114"/>
      <c r="C996" s="114"/>
      <c r="D996" s="114"/>
      <c r="E996" s="114"/>
      <c r="F996" s="114"/>
      <c r="G996" s="114"/>
      <c r="H996" s="54"/>
      <c r="I996" s="54"/>
      <c r="J996" s="54"/>
      <c r="K996" s="54"/>
      <c r="L996" s="54"/>
      <c r="M996" s="54"/>
      <c r="N996" s="54"/>
      <c r="O996" s="54"/>
      <c r="P996" s="86"/>
      <c r="Q996" s="54"/>
      <c r="R996" s="54"/>
    </row>
    <row r="997">
      <c r="A997" s="54"/>
      <c r="B997" s="114"/>
      <c r="C997" s="114"/>
      <c r="D997" s="114"/>
      <c r="E997" s="114"/>
      <c r="F997" s="114"/>
      <c r="G997" s="114"/>
      <c r="H997" s="54"/>
      <c r="I997" s="54"/>
      <c r="J997" s="54"/>
      <c r="K997" s="54"/>
      <c r="L997" s="54"/>
      <c r="M997" s="54"/>
      <c r="N997" s="54"/>
      <c r="O997" s="54"/>
      <c r="P997" s="86"/>
      <c r="Q997" s="54"/>
      <c r="R997" s="54"/>
    </row>
    <row r="998">
      <c r="A998" s="54"/>
      <c r="B998" s="114"/>
      <c r="C998" s="114"/>
      <c r="D998" s="114"/>
      <c r="E998" s="114"/>
      <c r="F998" s="114"/>
      <c r="G998" s="114"/>
      <c r="H998" s="54"/>
      <c r="I998" s="54"/>
      <c r="J998" s="54"/>
      <c r="K998" s="54"/>
      <c r="L998" s="54"/>
      <c r="M998" s="54"/>
      <c r="N998" s="54"/>
      <c r="O998" s="54"/>
      <c r="P998" s="86"/>
      <c r="Q998" s="54"/>
      <c r="R998" s="54"/>
    </row>
    <row r="999">
      <c r="A999" s="54"/>
      <c r="B999" s="114"/>
      <c r="C999" s="114"/>
      <c r="D999" s="114"/>
      <c r="E999" s="114"/>
      <c r="F999" s="114"/>
      <c r="G999" s="114"/>
      <c r="H999" s="54"/>
      <c r="I999" s="54"/>
      <c r="J999" s="54"/>
      <c r="K999" s="54"/>
      <c r="L999" s="54"/>
      <c r="M999" s="54"/>
      <c r="N999" s="54"/>
      <c r="O999" s="54"/>
      <c r="P999" s="86"/>
      <c r="Q999" s="54"/>
      <c r="R999" s="54"/>
    </row>
    <row r="1000">
      <c r="A1000" s="54"/>
      <c r="B1000" s="114"/>
      <c r="C1000" s="114"/>
      <c r="D1000" s="114"/>
      <c r="E1000" s="114"/>
      <c r="F1000" s="114"/>
      <c r="G1000" s="114"/>
      <c r="H1000" s="54"/>
      <c r="I1000" s="54"/>
      <c r="J1000" s="54"/>
      <c r="K1000" s="54"/>
      <c r="L1000" s="54"/>
      <c r="M1000" s="54"/>
      <c r="N1000" s="54"/>
      <c r="O1000" s="54"/>
      <c r="P1000" s="86"/>
      <c r="Q1000" s="54"/>
      <c r="R1000" s="54"/>
    </row>
    <row r="1001">
      <c r="A1001" s="54"/>
      <c r="B1001" s="114"/>
      <c r="C1001" s="114"/>
      <c r="D1001" s="114"/>
      <c r="E1001" s="114"/>
      <c r="F1001" s="114"/>
      <c r="G1001" s="114"/>
      <c r="H1001" s="54"/>
      <c r="I1001" s="54"/>
      <c r="J1001" s="54"/>
      <c r="K1001" s="54"/>
      <c r="L1001" s="54"/>
      <c r="M1001" s="54"/>
      <c r="N1001" s="54"/>
      <c r="O1001" s="54"/>
      <c r="P1001" s="86"/>
      <c r="Q1001" s="54"/>
      <c r="R1001" s="54"/>
    </row>
    <row r="1002">
      <c r="A1002" s="54"/>
      <c r="B1002" s="114"/>
      <c r="C1002" s="114"/>
      <c r="D1002" s="114"/>
      <c r="E1002" s="114"/>
      <c r="F1002" s="114"/>
      <c r="G1002" s="114"/>
      <c r="H1002" s="54"/>
      <c r="I1002" s="54"/>
      <c r="J1002" s="54"/>
      <c r="K1002" s="54"/>
      <c r="L1002" s="54"/>
      <c r="M1002" s="54"/>
      <c r="N1002" s="54"/>
      <c r="O1002" s="54"/>
      <c r="P1002" s="86"/>
      <c r="Q1002" s="54"/>
      <c r="R1002" s="54"/>
    </row>
    <row r="1003">
      <c r="A1003" s="54"/>
      <c r="B1003" s="114"/>
      <c r="C1003" s="114"/>
      <c r="D1003" s="114"/>
      <c r="E1003" s="114"/>
      <c r="F1003" s="114"/>
      <c r="G1003" s="114"/>
      <c r="H1003" s="54"/>
      <c r="I1003" s="54"/>
      <c r="J1003" s="54"/>
      <c r="K1003" s="54"/>
      <c r="L1003" s="54"/>
      <c r="M1003" s="54"/>
      <c r="N1003" s="54"/>
      <c r="O1003" s="54"/>
      <c r="P1003" s="86"/>
      <c r="Q1003" s="54"/>
      <c r="R1003" s="54"/>
    </row>
    <row r="1004">
      <c r="A1004" s="54"/>
      <c r="B1004" s="114"/>
      <c r="C1004" s="114"/>
      <c r="D1004" s="114"/>
      <c r="E1004" s="114"/>
      <c r="F1004" s="114"/>
      <c r="G1004" s="114"/>
      <c r="H1004" s="54"/>
      <c r="I1004" s="54"/>
      <c r="J1004" s="54"/>
      <c r="K1004" s="54"/>
      <c r="L1004" s="54"/>
      <c r="M1004" s="54"/>
      <c r="N1004" s="54"/>
      <c r="O1004" s="54"/>
      <c r="P1004" s="86"/>
      <c r="Q1004" s="54"/>
      <c r="R1004" s="54"/>
    </row>
    <row r="1005">
      <c r="A1005" s="54"/>
      <c r="B1005" s="114"/>
      <c r="C1005" s="114"/>
      <c r="D1005" s="114"/>
      <c r="E1005" s="114"/>
      <c r="F1005" s="114"/>
      <c r="G1005" s="114"/>
      <c r="H1005" s="54"/>
      <c r="I1005" s="54"/>
      <c r="J1005" s="54"/>
      <c r="K1005" s="54"/>
      <c r="L1005" s="54"/>
      <c r="M1005" s="54"/>
      <c r="N1005" s="54"/>
      <c r="O1005" s="54"/>
      <c r="P1005" s="86"/>
      <c r="Q1005" s="54"/>
      <c r="R1005" s="54"/>
    </row>
    <row r="1006">
      <c r="A1006" s="54"/>
      <c r="B1006" s="114"/>
      <c r="C1006" s="114"/>
      <c r="D1006" s="114"/>
      <c r="E1006" s="114"/>
      <c r="F1006" s="114"/>
      <c r="G1006" s="114"/>
      <c r="H1006" s="54"/>
      <c r="I1006" s="54"/>
      <c r="J1006" s="54"/>
      <c r="K1006" s="54"/>
      <c r="L1006" s="54"/>
      <c r="M1006" s="54"/>
      <c r="N1006" s="54"/>
      <c r="O1006" s="54"/>
      <c r="P1006" s="86"/>
      <c r="Q1006" s="54"/>
      <c r="R1006" s="54"/>
    </row>
    <row r="1007">
      <c r="A1007" s="54"/>
      <c r="B1007" s="114"/>
      <c r="C1007" s="114"/>
      <c r="D1007" s="114"/>
      <c r="E1007" s="114"/>
      <c r="F1007" s="114"/>
      <c r="G1007" s="114"/>
      <c r="H1007" s="54"/>
      <c r="I1007" s="54"/>
      <c r="J1007" s="54"/>
      <c r="K1007" s="54"/>
      <c r="L1007" s="54"/>
      <c r="M1007" s="54"/>
      <c r="N1007" s="54"/>
      <c r="O1007" s="54"/>
      <c r="P1007" s="86"/>
      <c r="Q1007" s="54"/>
      <c r="R1007" s="54"/>
    </row>
  </sheetData>
  <mergeCells count="44">
    <mergeCell ref="B3:I3"/>
    <mergeCell ref="M4:O4"/>
    <mergeCell ref="B19:I19"/>
    <mergeCell ref="M21:O21"/>
    <mergeCell ref="B28:I28"/>
    <mergeCell ref="M31:O31"/>
    <mergeCell ref="B37:I37"/>
    <mergeCell ref="M49:O49"/>
    <mergeCell ref="M53:O53"/>
    <mergeCell ref="B39:I39"/>
    <mergeCell ref="M40:Q40"/>
    <mergeCell ref="N44:P44"/>
    <mergeCell ref="N45:P45"/>
    <mergeCell ref="B46:I46"/>
    <mergeCell ref="B48:I48"/>
    <mergeCell ref="B52:I52"/>
    <mergeCell ref="B58:I58"/>
    <mergeCell ref="M59:O59"/>
    <mergeCell ref="B65:I65"/>
    <mergeCell ref="M66:Q66"/>
    <mergeCell ref="B70:I70"/>
    <mergeCell ref="M71:Q71"/>
    <mergeCell ref="M80:Q80"/>
    <mergeCell ref="B79:I79"/>
    <mergeCell ref="B85:I85"/>
    <mergeCell ref="B86:I86"/>
    <mergeCell ref="B88:I88"/>
    <mergeCell ref="M89:Q89"/>
    <mergeCell ref="B112:I112"/>
    <mergeCell ref="M113:Q113"/>
    <mergeCell ref="B167:I167"/>
    <mergeCell ref="B191:I191"/>
    <mergeCell ref="M192:Q192"/>
    <mergeCell ref="B206:I206"/>
    <mergeCell ref="M207:Q207"/>
    <mergeCell ref="B233:I233"/>
    <mergeCell ref="M234:Q234"/>
    <mergeCell ref="B129:I129"/>
    <mergeCell ref="M130:Q130"/>
    <mergeCell ref="B144:I144"/>
    <mergeCell ref="M145:Q145"/>
    <mergeCell ref="B155:I155"/>
    <mergeCell ref="M156:Q156"/>
    <mergeCell ref="M168:Q168"/>
  </mergeCells>
  <conditionalFormatting sqref="J2">
    <cfRule type="expression" dxfId="0" priority="1">
      <formula>ABS(J2:J1008)&gt;5</formula>
    </cfRule>
  </conditionalFormatting>
  <conditionalFormatting sqref="J2">
    <cfRule type="expression" dxfId="0" priority="2">
      <formula>ABS(J:J)&gt;10.3</formula>
    </cfRule>
  </conditionalFormatting>
  <conditionalFormatting sqref="K1:K57 K59:K64 K66:K69 K71:K78 K80:K84 K87 K89:K111 K113:K128 K130:K143 K145:K154 K156:K166 K168:K190 K192:K205 K207:K232 K234:K1007">
    <cfRule type="cellIs" dxfId="3" priority="3" operator="greaterThanOrEqual">
      <formula>30</formula>
    </cfRule>
  </conditionalFormatting>
  <conditionalFormatting sqref="K1:K57 K59:K64 K66:K69 K71:K78 K80:K84 K87 K89:K111 K113:K128 K130:K143 K145:K154 K156:K166 K168:K190 K192:K205 K207:K232 K234:K1007">
    <cfRule type="cellIs" dxfId="4" priority="4" operator="greaterThanOrEqual">
      <formula>28.5</formula>
    </cfRule>
  </conditionalFormatting>
  <conditionalFormatting sqref="J1:J57 J59:J64 J66:J69 J71:J78 J80:J84 J87 J89:J111 J113:J128 J130:J143 J145:J154 J156:J166 J168:J190 J192:J205 J207:J232 J234:J1007">
    <cfRule type="expression" dxfId="0" priority="5">
      <formula>ABS(J:J)&gt;5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128</v>
      </c>
      <c r="M1" s="195">
        <v>28.0</v>
      </c>
      <c r="N1" s="9" t="s">
        <v>129</v>
      </c>
      <c r="O1" s="9">
        <v>70.0</v>
      </c>
      <c r="P1" s="44"/>
    </row>
    <row r="2">
      <c r="A2" s="196" t="s">
        <v>287</v>
      </c>
      <c r="B2" s="54"/>
      <c r="C2" s="54"/>
      <c r="D2" s="54"/>
      <c r="E2" s="54"/>
      <c r="F2" s="54">
        <f>SUM(F4:F1000)</f>
        <v>240869</v>
      </c>
      <c r="G2" s="54">
        <f>MAX(G4:G1000)</f>
        <v>1089</v>
      </c>
      <c r="H2" s="54">
        <f t="shared" ref="H2:I2" si="1">SUM(H4:H1000)</f>
        <v>65081</v>
      </c>
      <c r="I2" s="54">
        <f t="shared" si="1"/>
        <v>68849.71</v>
      </c>
      <c r="J2" s="54">
        <f>H2-I2</f>
        <v>-3768.71</v>
      </c>
      <c r="K2" s="63">
        <f>I2/F2*100</f>
        <v>28.5838817</v>
      </c>
      <c r="L2" s="64" t="s">
        <v>65</v>
      </c>
      <c r="M2" s="65"/>
      <c r="P2" s="44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9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</row>
    <row r="4">
      <c r="A4" s="54"/>
      <c r="B4" s="322">
        <v>45295.0</v>
      </c>
      <c r="C4" s="323"/>
      <c r="D4" s="324" t="s">
        <v>280</v>
      </c>
      <c r="E4" s="324">
        <v>1764307.0</v>
      </c>
      <c r="F4" s="324">
        <v>1164.0</v>
      </c>
      <c r="G4" s="324">
        <v>1052.0</v>
      </c>
      <c r="H4" s="325">
        <v>406.0</v>
      </c>
      <c r="I4" s="325">
        <v>430.45</v>
      </c>
      <c r="J4" s="325">
        <v>-24.45</v>
      </c>
      <c r="K4" s="248">
        <v>36.98</v>
      </c>
      <c r="L4" s="54"/>
      <c r="M4" s="54"/>
      <c r="P4" s="44"/>
    </row>
    <row r="5">
      <c r="A5" s="54"/>
      <c r="B5" s="326">
        <v>45306.0</v>
      </c>
      <c r="C5" s="327"/>
      <c r="D5" s="328" t="s">
        <v>280</v>
      </c>
      <c r="E5" s="328">
        <v>1766735.0</v>
      </c>
      <c r="F5" s="328">
        <v>2428.0</v>
      </c>
      <c r="G5" s="328">
        <v>1037.0</v>
      </c>
      <c r="H5" s="329">
        <v>748.0</v>
      </c>
      <c r="I5" s="329">
        <v>800.34</v>
      </c>
      <c r="J5" s="329">
        <v>-52.34</v>
      </c>
      <c r="K5" s="248">
        <v>32.96</v>
      </c>
      <c r="L5" s="54"/>
      <c r="M5" s="54"/>
      <c r="P5" s="44"/>
    </row>
    <row r="6">
      <c r="A6" s="54"/>
      <c r="B6" s="326">
        <v>45322.0</v>
      </c>
      <c r="C6" s="327"/>
      <c r="D6" s="328" t="s">
        <v>280</v>
      </c>
      <c r="E6" s="328">
        <v>1766735.0</v>
      </c>
      <c r="F6" s="328">
        <v>0.0</v>
      </c>
      <c r="G6" s="328" t="s">
        <v>87</v>
      </c>
      <c r="H6" s="329">
        <v>45.0</v>
      </c>
      <c r="I6" s="330"/>
      <c r="J6" s="329">
        <v>45.0</v>
      </c>
      <c r="K6" s="248" t="s">
        <v>140</v>
      </c>
      <c r="L6" s="54"/>
      <c r="M6" s="54"/>
      <c r="P6" s="44"/>
    </row>
    <row r="7">
      <c r="A7" s="54"/>
      <c r="B7" s="326">
        <v>45322.0</v>
      </c>
      <c r="C7" s="327"/>
      <c r="D7" s="328" t="s">
        <v>280</v>
      </c>
      <c r="E7" s="328">
        <v>1768621.0</v>
      </c>
      <c r="F7" s="328">
        <v>1886.0</v>
      </c>
      <c r="G7" s="331"/>
      <c r="H7" s="330"/>
      <c r="I7" s="329">
        <v>668.68</v>
      </c>
      <c r="J7" s="329">
        <v>-668.68</v>
      </c>
      <c r="K7" s="248">
        <v>35.45</v>
      </c>
      <c r="L7" s="54"/>
      <c r="M7" s="54"/>
      <c r="P7" s="44"/>
    </row>
    <row r="8">
      <c r="A8" s="66"/>
      <c r="B8" s="67" t="s">
        <v>68</v>
      </c>
      <c r="J8" s="66"/>
      <c r="K8" s="66"/>
      <c r="L8" s="66"/>
      <c r="M8" s="66"/>
      <c r="N8" s="68"/>
      <c r="O8" s="68"/>
      <c r="P8" s="69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</row>
    <row r="9">
      <c r="A9" s="54"/>
      <c r="B9" s="322">
        <v>45326.0</v>
      </c>
      <c r="C9" s="323"/>
      <c r="D9" s="332"/>
      <c r="E9" s="324">
        <v>1770829.0</v>
      </c>
      <c r="F9" s="324">
        <v>2208.0</v>
      </c>
      <c r="G9" s="324">
        <v>1041.0</v>
      </c>
      <c r="H9" s="325">
        <v>690.0</v>
      </c>
      <c r="I9" s="325">
        <v>738.16</v>
      </c>
      <c r="J9" s="325">
        <v>-48.16</v>
      </c>
      <c r="K9" s="248">
        <v>33.43</v>
      </c>
      <c r="L9" s="54"/>
      <c r="M9" s="54"/>
      <c r="P9" s="44"/>
    </row>
    <row r="10">
      <c r="A10" s="54"/>
      <c r="B10" s="326">
        <v>45331.0</v>
      </c>
      <c r="C10" s="327"/>
      <c r="D10" s="331"/>
      <c r="E10" s="328">
        <v>1772563.0</v>
      </c>
      <c r="F10" s="328">
        <v>1734.0</v>
      </c>
      <c r="G10" s="328">
        <v>1009.0</v>
      </c>
      <c r="H10" s="329">
        <v>530.0</v>
      </c>
      <c r="I10" s="329">
        <v>555.83</v>
      </c>
      <c r="J10" s="329">
        <v>-25.83</v>
      </c>
      <c r="K10" s="248">
        <v>32.05</v>
      </c>
      <c r="L10" s="54"/>
      <c r="M10" s="74" t="s">
        <v>69</v>
      </c>
      <c r="N10" s="75"/>
      <c r="O10" s="76"/>
      <c r="P10" s="44"/>
    </row>
    <row r="11">
      <c r="A11" s="54"/>
      <c r="B11" s="326">
        <v>45336.0</v>
      </c>
      <c r="C11" s="327"/>
      <c r="D11" s="331"/>
      <c r="E11" s="328">
        <v>1774536.0</v>
      </c>
      <c r="F11" s="328">
        <v>1973.0</v>
      </c>
      <c r="G11" s="328">
        <v>1049.0</v>
      </c>
      <c r="H11" s="329">
        <v>617.0</v>
      </c>
      <c r="I11" s="329">
        <v>644.16</v>
      </c>
      <c r="J11" s="329">
        <v>-27.16</v>
      </c>
      <c r="K11" s="248">
        <v>32.65</v>
      </c>
      <c r="L11" s="54"/>
      <c r="M11" s="77" t="s">
        <v>281</v>
      </c>
      <c r="N11" s="78" t="s">
        <v>119</v>
      </c>
      <c r="O11" s="78" t="s">
        <v>27</v>
      </c>
      <c r="P11" s="44"/>
    </row>
    <row r="12">
      <c r="A12" s="54"/>
      <c r="B12" s="326">
        <v>45338.0</v>
      </c>
      <c r="C12" s="327"/>
      <c r="D12" s="331"/>
      <c r="E12" s="328">
        <v>1776210.0</v>
      </c>
      <c r="F12" s="328">
        <v>1674.0</v>
      </c>
      <c r="G12" s="328">
        <v>1042.0</v>
      </c>
      <c r="H12" s="329">
        <v>494.0</v>
      </c>
      <c r="I12" s="329">
        <v>514.87</v>
      </c>
      <c r="J12" s="329">
        <v>-20.87</v>
      </c>
      <c r="K12" s="248">
        <v>30.76</v>
      </c>
      <c r="L12" s="54"/>
      <c r="M12" s="79">
        <f>SUM(F9:F15)</f>
        <v>13473</v>
      </c>
      <c r="N12" s="80">
        <f>SUM(I9:I15)</f>
        <v>4147.72</v>
      </c>
      <c r="O12" s="81">
        <f>N12/M12*100</f>
        <v>30.7854227</v>
      </c>
      <c r="P12" s="44"/>
    </row>
    <row r="13">
      <c r="A13" s="54"/>
      <c r="B13" s="326">
        <v>45341.0</v>
      </c>
      <c r="C13" s="327"/>
      <c r="D13" s="331"/>
      <c r="E13" s="328">
        <v>1778427.0</v>
      </c>
      <c r="F13" s="328">
        <v>2217.0</v>
      </c>
      <c r="G13" s="328">
        <v>1033.0</v>
      </c>
      <c r="H13" s="329">
        <v>609.0</v>
      </c>
      <c r="I13" s="329">
        <v>646.91</v>
      </c>
      <c r="J13" s="329">
        <v>-37.91</v>
      </c>
      <c r="K13" s="248">
        <v>29.18</v>
      </c>
      <c r="L13" s="54"/>
      <c r="M13" s="54"/>
      <c r="P13" s="44"/>
    </row>
    <row r="14">
      <c r="A14" s="54"/>
      <c r="B14" s="326">
        <v>45349.0</v>
      </c>
      <c r="C14" s="327"/>
      <c r="D14" s="331"/>
      <c r="E14" s="328">
        <v>1780417.0</v>
      </c>
      <c r="F14" s="328">
        <v>1990.0</v>
      </c>
      <c r="G14" s="328">
        <v>1022.0</v>
      </c>
      <c r="H14" s="329">
        <v>551.0</v>
      </c>
      <c r="I14" s="329">
        <v>576.93</v>
      </c>
      <c r="J14" s="329">
        <v>-25.93</v>
      </c>
      <c r="K14" s="248">
        <v>28.99</v>
      </c>
      <c r="L14" s="54"/>
      <c r="M14" s="54"/>
      <c r="P14" s="44"/>
    </row>
    <row r="15">
      <c r="A15" s="54"/>
      <c r="B15" s="326">
        <v>45351.0</v>
      </c>
      <c r="C15" s="327"/>
      <c r="D15" s="331"/>
      <c r="E15" s="328">
        <v>1782094.0</v>
      </c>
      <c r="F15" s="328">
        <v>1677.0</v>
      </c>
      <c r="G15" s="328">
        <v>1027.0</v>
      </c>
      <c r="H15" s="329">
        <v>452.0</v>
      </c>
      <c r="I15" s="329">
        <v>470.86</v>
      </c>
      <c r="J15" s="329">
        <v>-18.86</v>
      </c>
      <c r="K15" s="248">
        <v>28.08</v>
      </c>
      <c r="L15" s="54"/>
      <c r="M15" s="54"/>
      <c r="P15" s="44"/>
    </row>
    <row r="16">
      <c r="A16" s="333"/>
      <c r="B16" s="67" t="s">
        <v>72</v>
      </c>
      <c r="J16" s="333"/>
      <c r="K16" s="333"/>
      <c r="L16" s="333"/>
      <c r="M16" s="333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</row>
    <row r="17">
      <c r="A17" s="54"/>
      <c r="B17" s="94">
        <v>45354.0</v>
      </c>
      <c r="C17" s="94"/>
      <c r="D17" s="95"/>
      <c r="E17" s="96">
        <v>1784824.0</v>
      </c>
      <c r="F17" s="96">
        <v>2730.0</v>
      </c>
      <c r="G17" s="96">
        <v>1034.0</v>
      </c>
      <c r="H17" s="97">
        <v>737.0</v>
      </c>
      <c r="I17" s="97">
        <v>794.79</v>
      </c>
      <c r="J17" s="148">
        <v>-57.79</v>
      </c>
      <c r="K17" s="97">
        <v>29.11</v>
      </c>
      <c r="L17" s="54"/>
      <c r="M17" s="54"/>
      <c r="P17" s="44"/>
    </row>
    <row r="18">
      <c r="A18" s="54"/>
      <c r="B18" s="94">
        <v>45361.0</v>
      </c>
      <c r="C18" s="94"/>
      <c r="D18" s="95"/>
      <c r="E18" s="96">
        <v>1785905.0</v>
      </c>
      <c r="F18" s="96">
        <v>1081.0</v>
      </c>
      <c r="G18" s="96">
        <v>1050.0</v>
      </c>
      <c r="H18" s="97">
        <v>350.0</v>
      </c>
      <c r="I18" s="97">
        <v>372.19</v>
      </c>
      <c r="J18" s="148">
        <v>-22.19</v>
      </c>
      <c r="K18" s="97">
        <v>34.43</v>
      </c>
      <c r="L18" s="54"/>
      <c r="M18" s="74" t="s">
        <v>73</v>
      </c>
      <c r="N18" s="75"/>
      <c r="O18" s="76"/>
      <c r="P18" s="44"/>
    </row>
    <row r="19">
      <c r="A19" s="54"/>
      <c r="B19" s="94">
        <v>45364.0</v>
      </c>
      <c r="C19" s="94"/>
      <c r="D19" s="95"/>
      <c r="E19" s="96">
        <v>1788158.0</v>
      </c>
      <c r="F19" s="96">
        <v>2253.0</v>
      </c>
      <c r="G19" s="96">
        <v>1051.0</v>
      </c>
      <c r="H19" s="97">
        <v>605.0</v>
      </c>
      <c r="I19" s="97">
        <v>635.24</v>
      </c>
      <c r="J19" s="148">
        <v>-30.24</v>
      </c>
      <c r="K19" s="97">
        <v>28.2</v>
      </c>
      <c r="L19" s="54"/>
      <c r="M19" s="77" t="s">
        <v>70</v>
      </c>
      <c r="N19" s="78" t="s">
        <v>71</v>
      </c>
      <c r="O19" s="78" t="s">
        <v>27</v>
      </c>
      <c r="P19" s="44"/>
    </row>
    <row r="20">
      <c r="A20" s="54"/>
      <c r="B20" s="94">
        <v>45369.0</v>
      </c>
      <c r="C20" s="94"/>
      <c r="D20" s="95"/>
      <c r="E20" s="96">
        <v>1789433.0</v>
      </c>
      <c r="F20" s="96">
        <v>1275.0</v>
      </c>
      <c r="G20" s="96">
        <v>1046.0</v>
      </c>
      <c r="H20" s="97">
        <v>362.0</v>
      </c>
      <c r="I20" s="97">
        <v>381.78</v>
      </c>
      <c r="J20" s="148">
        <v>-19.78</v>
      </c>
      <c r="K20" s="97">
        <v>29.94</v>
      </c>
      <c r="L20" s="54"/>
      <c r="M20" s="79">
        <f>SUM(F17:F22)</f>
        <v>12548</v>
      </c>
      <c r="N20" s="80">
        <f>SUM(I17:I22)</f>
        <v>3609.74</v>
      </c>
      <c r="O20" s="81">
        <f>N20/M20*100</f>
        <v>28.76745298</v>
      </c>
      <c r="P20" s="44"/>
    </row>
    <row r="21">
      <c r="A21" s="54"/>
      <c r="B21" s="94">
        <v>45372.0</v>
      </c>
      <c r="C21" s="94"/>
      <c r="D21" s="95"/>
      <c r="E21" s="96">
        <v>1791908.0</v>
      </c>
      <c r="F21" s="96">
        <v>2475.0</v>
      </c>
      <c r="G21" s="96">
        <v>1062.0</v>
      </c>
      <c r="H21" s="97">
        <v>649.0</v>
      </c>
      <c r="I21" s="97">
        <v>673.83</v>
      </c>
      <c r="J21" s="148">
        <v>-24.83</v>
      </c>
      <c r="K21" s="97">
        <v>27.23</v>
      </c>
      <c r="L21" s="54"/>
      <c r="M21" s="54"/>
      <c r="P21" s="44"/>
    </row>
    <row r="22">
      <c r="A22" s="54"/>
      <c r="B22" s="94">
        <v>45375.0</v>
      </c>
      <c r="C22" s="94"/>
      <c r="D22" s="95"/>
      <c r="E22" s="96">
        <v>1794642.0</v>
      </c>
      <c r="F22" s="96">
        <v>2734.0</v>
      </c>
      <c r="G22" s="96">
        <v>1056.0</v>
      </c>
      <c r="H22" s="97">
        <v>711.0</v>
      </c>
      <c r="I22" s="97">
        <v>751.91</v>
      </c>
      <c r="J22" s="148">
        <v>-40.91</v>
      </c>
      <c r="K22" s="97">
        <v>27.5</v>
      </c>
      <c r="L22" s="54"/>
      <c r="M22" s="54"/>
      <c r="P22" s="44"/>
    </row>
    <row r="23">
      <c r="A23" s="333"/>
      <c r="B23" s="67" t="s">
        <v>74</v>
      </c>
      <c r="J23" s="333"/>
      <c r="K23" s="333"/>
      <c r="L23" s="333"/>
      <c r="M23" s="333"/>
      <c r="N23" s="334"/>
      <c r="O23" s="334"/>
      <c r="P23" s="334"/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</row>
    <row r="24">
      <c r="A24" s="54"/>
      <c r="B24" s="94">
        <v>45383.0</v>
      </c>
      <c r="C24" s="94"/>
      <c r="D24" s="95"/>
      <c r="E24" s="96">
        <v>1797177.0</v>
      </c>
      <c r="F24" s="96">
        <v>2535.0</v>
      </c>
      <c r="G24" s="96">
        <v>1052.0</v>
      </c>
      <c r="H24" s="97">
        <v>683.0</v>
      </c>
      <c r="I24" s="97">
        <v>714.89</v>
      </c>
      <c r="J24" s="97">
        <v>-31.89</v>
      </c>
      <c r="K24" s="97">
        <v>28.2</v>
      </c>
      <c r="L24" s="54"/>
      <c r="M24" s="82" t="str">
        <f>"тотал"&amp;" "&amp;B23</f>
        <v>тотал АПРЕЛЬ</v>
      </c>
      <c r="N24" s="75"/>
      <c r="O24" s="76"/>
      <c r="P24" s="44"/>
    </row>
    <row r="25">
      <c r="A25" s="54"/>
      <c r="B25" s="94">
        <v>45386.0</v>
      </c>
      <c r="C25" s="94"/>
      <c r="D25" s="95"/>
      <c r="E25" s="96">
        <v>1799693.0</v>
      </c>
      <c r="F25" s="96">
        <v>2516.0</v>
      </c>
      <c r="G25" s="96">
        <v>1067.0</v>
      </c>
      <c r="H25" s="97">
        <v>662.0</v>
      </c>
      <c r="I25" s="97">
        <v>684.93</v>
      </c>
      <c r="J25" s="97">
        <v>-22.93</v>
      </c>
      <c r="K25" s="97">
        <v>27.22</v>
      </c>
      <c r="L25" s="54"/>
      <c r="M25" s="83" t="s">
        <v>70</v>
      </c>
      <c r="N25" s="83" t="s">
        <v>71</v>
      </c>
      <c r="O25" s="83" t="s">
        <v>27</v>
      </c>
      <c r="P25" s="44"/>
    </row>
    <row r="26">
      <c r="A26" s="54"/>
      <c r="B26" s="94">
        <v>45389.0</v>
      </c>
      <c r="C26" s="94"/>
      <c r="D26" s="95"/>
      <c r="E26" s="96">
        <v>1802428.0</v>
      </c>
      <c r="F26" s="96">
        <v>2735.0</v>
      </c>
      <c r="G26" s="96">
        <v>1068.0</v>
      </c>
      <c r="H26" s="97">
        <v>728.0</v>
      </c>
      <c r="I26" s="97">
        <v>768.67</v>
      </c>
      <c r="J26" s="97">
        <v>-40.67</v>
      </c>
      <c r="K26" s="97">
        <v>28.1</v>
      </c>
      <c r="L26" s="54"/>
      <c r="M26" s="84">
        <f>SUM(F24:F29)</f>
        <v>14069</v>
      </c>
      <c r="N26" s="84">
        <f>SUM(I24:I29)</f>
        <v>3866.94</v>
      </c>
      <c r="O26" s="85">
        <f>N26/M26*100</f>
        <v>27.48553557</v>
      </c>
      <c r="P26" s="44"/>
    </row>
    <row r="27">
      <c r="A27" s="54"/>
      <c r="B27" s="94">
        <v>45397.0</v>
      </c>
      <c r="C27" s="94"/>
      <c r="D27" s="95"/>
      <c r="E27" s="96">
        <v>1803427.0</v>
      </c>
      <c r="F27" s="96">
        <v>999.0</v>
      </c>
      <c r="G27" s="96">
        <v>1043.0</v>
      </c>
      <c r="H27" s="97">
        <v>265.0</v>
      </c>
      <c r="I27" s="97">
        <v>278.05</v>
      </c>
      <c r="J27" s="97">
        <v>-13.05</v>
      </c>
      <c r="K27" s="97">
        <v>27.83</v>
      </c>
      <c r="L27" s="54"/>
      <c r="M27" s="54"/>
      <c r="P27" s="44"/>
    </row>
    <row r="28">
      <c r="A28" s="54"/>
      <c r="B28" s="94">
        <v>45400.0</v>
      </c>
      <c r="C28" s="94"/>
      <c r="D28" s="95"/>
      <c r="E28" s="96">
        <v>1805934.0</v>
      </c>
      <c r="F28" s="96">
        <v>2507.0</v>
      </c>
      <c r="G28" s="96">
        <v>1053.0</v>
      </c>
      <c r="H28" s="97">
        <v>655.0</v>
      </c>
      <c r="I28" s="97">
        <v>682.55</v>
      </c>
      <c r="J28" s="97">
        <v>-27.55</v>
      </c>
      <c r="K28" s="97">
        <v>27.23</v>
      </c>
      <c r="L28" s="54"/>
      <c r="M28" s="54"/>
      <c r="P28" s="44"/>
    </row>
    <row r="29">
      <c r="A29" s="54"/>
      <c r="B29" s="94">
        <v>45407.0</v>
      </c>
      <c r="C29" s="94"/>
      <c r="D29" s="95"/>
      <c r="E29" s="96">
        <v>1808711.0</v>
      </c>
      <c r="F29" s="96">
        <v>2777.0</v>
      </c>
      <c r="G29" s="96">
        <v>1066.0</v>
      </c>
      <c r="H29" s="97">
        <v>708.0</v>
      </c>
      <c r="I29" s="97">
        <v>737.85</v>
      </c>
      <c r="J29" s="97">
        <v>-29.85</v>
      </c>
      <c r="K29" s="97">
        <v>26.57</v>
      </c>
      <c r="L29" s="54"/>
      <c r="M29" s="54"/>
      <c r="P29" s="44"/>
    </row>
    <row r="30">
      <c r="A30" s="333"/>
      <c r="B30" s="67" t="s">
        <v>75</v>
      </c>
      <c r="J30" s="333"/>
      <c r="K30" s="333"/>
      <c r="L30" s="333"/>
      <c r="M30" s="333"/>
      <c r="N30" s="334"/>
      <c r="O30" s="334"/>
      <c r="P30" s="334"/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</row>
    <row r="31">
      <c r="A31" s="54"/>
      <c r="B31" s="201">
        <v>45414.0</v>
      </c>
      <c r="C31" s="201"/>
      <c r="D31" s="95"/>
      <c r="E31" s="96">
        <v>1811287.0</v>
      </c>
      <c r="F31" s="96">
        <v>2576.0</v>
      </c>
      <c r="G31" s="96">
        <v>1061.0</v>
      </c>
      <c r="H31" s="97">
        <v>659.0</v>
      </c>
      <c r="I31" s="97">
        <v>686.23</v>
      </c>
      <c r="J31" s="97">
        <v>-27.23</v>
      </c>
      <c r="K31" s="97">
        <v>26.64</v>
      </c>
      <c r="L31" s="54"/>
      <c r="M31" s="132" t="str">
        <f>"тотал"&amp;" "&amp;B30</f>
        <v>тотал МАЙ</v>
      </c>
      <c r="N31" s="75"/>
      <c r="O31" s="76"/>
      <c r="P31" s="44"/>
    </row>
    <row r="32">
      <c r="A32" s="54"/>
      <c r="B32" s="201">
        <v>45418.0</v>
      </c>
      <c r="C32" s="201"/>
      <c r="D32" s="95"/>
      <c r="E32" s="96">
        <v>1814053.0</v>
      </c>
      <c r="F32" s="96">
        <v>2766.0</v>
      </c>
      <c r="G32" s="96">
        <v>1051.0</v>
      </c>
      <c r="H32" s="97">
        <v>682.0</v>
      </c>
      <c r="I32" s="97">
        <v>712.36</v>
      </c>
      <c r="J32" s="97">
        <v>-30.36</v>
      </c>
      <c r="K32" s="97">
        <v>25.75</v>
      </c>
      <c r="L32" s="54"/>
      <c r="M32" s="84" t="s">
        <v>70</v>
      </c>
      <c r="N32" s="84" t="s">
        <v>71</v>
      </c>
      <c r="O32" s="84" t="s">
        <v>27</v>
      </c>
      <c r="P32" s="44"/>
    </row>
    <row r="33">
      <c r="A33" s="54"/>
      <c r="B33" s="201">
        <v>45422.0</v>
      </c>
      <c r="C33" s="201"/>
      <c r="D33" s="95"/>
      <c r="E33" s="96">
        <v>1816078.0</v>
      </c>
      <c r="F33" s="96">
        <v>2025.0</v>
      </c>
      <c r="G33" s="96">
        <v>1058.0</v>
      </c>
      <c r="H33" s="97">
        <v>545.0</v>
      </c>
      <c r="I33" s="97">
        <v>567.9</v>
      </c>
      <c r="J33" s="97">
        <v>-22.9</v>
      </c>
      <c r="K33" s="97">
        <v>28.04</v>
      </c>
      <c r="L33" s="54"/>
      <c r="M33" s="84">
        <f>SUM(F31:F35)</f>
        <v>12845</v>
      </c>
      <c r="N33" s="84">
        <f>SUM(I31:I35)</f>
        <v>3432.69</v>
      </c>
      <c r="O33" s="85">
        <f>N33/M33*100</f>
        <v>26.72393928</v>
      </c>
      <c r="P33" s="44"/>
    </row>
    <row r="34">
      <c r="A34" s="54"/>
      <c r="B34" s="201">
        <v>45428.0</v>
      </c>
      <c r="C34" s="201"/>
      <c r="D34" s="95"/>
      <c r="E34" s="96">
        <v>1818645.0</v>
      </c>
      <c r="F34" s="96">
        <v>2567.0</v>
      </c>
      <c r="G34" s="96">
        <v>1064.0</v>
      </c>
      <c r="H34" s="97">
        <v>656.0</v>
      </c>
      <c r="I34" s="97">
        <v>686.29</v>
      </c>
      <c r="J34" s="97">
        <v>-30.29</v>
      </c>
      <c r="K34" s="97">
        <v>26.74</v>
      </c>
      <c r="L34" s="54"/>
      <c r="M34" s="54"/>
      <c r="P34" s="44"/>
    </row>
    <row r="35">
      <c r="A35" s="54"/>
      <c r="B35" s="94">
        <v>45439.0</v>
      </c>
      <c r="C35" s="94"/>
      <c r="D35" s="95"/>
      <c r="E35" s="96">
        <v>1821556.0</v>
      </c>
      <c r="F35" s="96">
        <v>2911.0</v>
      </c>
      <c r="G35" s="96">
        <v>1065.0</v>
      </c>
      <c r="H35" s="97">
        <v>740.0</v>
      </c>
      <c r="I35" s="97">
        <v>779.91</v>
      </c>
      <c r="J35" s="97">
        <v>-39.91</v>
      </c>
      <c r="K35" s="97">
        <v>26.79</v>
      </c>
      <c r="L35" s="54"/>
      <c r="M35" s="54"/>
      <c r="P35" s="44"/>
    </row>
    <row r="36">
      <c r="A36" s="333"/>
      <c r="B36" s="67" t="s">
        <v>90</v>
      </c>
      <c r="J36" s="333"/>
      <c r="K36" s="333"/>
      <c r="L36" s="333"/>
      <c r="M36" s="333"/>
      <c r="N36" s="334"/>
      <c r="O36" s="334"/>
      <c r="P36" s="334"/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</row>
    <row r="37">
      <c r="A37" s="54"/>
      <c r="B37" s="94">
        <v>45444.0</v>
      </c>
      <c r="C37" s="94"/>
      <c r="D37" s="95"/>
      <c r="E37" s="96">
        <v>1824877.0</v>
      </c>
      <c r="F37" s="96">
        <v>3321.0</v>
      </c>
      <c r="G37" s="96">
        <v>1067.0</v>
      </c>
      <c r="H37" s="97">
        <v>812.0</v>
      </c>
      <c r="I37" s="97">
        <v>853.86</v>
      </c>
      <c r="J37" s="97">
        <v>-41.86</v>
      </c>
      <c r="K37" s="97">
        <v>25.71</v>
      </c>
      <c r="L37" s="54"/>
      <c r="M37" s="132" t="str">
        <f>"тотал"&amp;" "&amp;B36</f>
        <v>тотал ИЮНЬ</v>
      </c>
      <c r="N37" s="75"/>
      <c r="O37" s="76"/>
      <c r="P37" s="44"/>
    </row>
    <row r="38">
      <c r="A38" s="54"/>
      <c r="B38" s="94">
        <v>45446.0</v>
      </c>
      <c r="C38" s="94"/>
      <c r="D38" s="95"/>
      <c r="E38" s="96">
        <v>1827131.0</v>
      </c>
      <c r="F38" s="96">
        <v>2254.0</v>
      </c>
      <c r="G38" s="96">
        <v>1065.0</v>
      </c>
      <c r="H38" s="97">
        <v>532.0</v>
      </c>
      <c r="I38" s="97">
        <v>554.3</v>
      </c>
      <c r="J38" s="97">
        <v>-22.3</v>
      </c>
      <c r="K38" s="97">
        <v>24.59</v>
      </c>
      <c r="L38" s="54"/>
      <c r="M38" s="84" t="s">
        <v>70</v>
      </c>
      <c r="N38" s="84" t="s">
        <v>71</v>
      </c>
      <c r="O38" s="84" t="s">
        <v>27</v>
      </c>
      <c r="P38" s="44"/>
    </row>
    <row r="39">
      <c r="A39" s="54"/>
      <c r="B39" s="94">
        <v>45450.0</v>
      </c>
      <c r="C39" s="94"/>
      <c r="D39" s="95"/>
      <c r="E39" s="96">
        <v>1829892.0</v>
      </c>
      <c r="F39" s="96">
        <v>2761.0</v>
      </c>
      <c r="G39" s="96">
        <v>1033.0</v>
      </c>
      <c r="H39" s="97">
        <v>617.0</v>
      </c>
      <c r="I39" s="97">
        <v>646.4</v>
      </c>
      <c r="J39" s="97">
        <v>-29.4</v>
      </c>
      <c r="K39" s="97">
        <v>23.41</v>
      </c>
      <c r="L39" s="54"/>
      <c r="M39" s="84">
        <f>SUM(F37:F42)</f>
        <v>15556</v>
      </c>
      <c r="N39" s="84">
        <f>SUM(I37:I42)</f>
        <v>3978.37</v>
      </c>
      <c r="O39" s="85">
        <f>N39/M39*100</f>
        <v>25.57450501</v>
      </c>
      <c r="P39" s="44"/>
    </row>
    <row r="40">
      <c r="A40" s="54"/>
      <c r="B40" s="94">
        <v>45453.0</v>
      </c>
      <c r="C40" s="94"/>
      <c r="D40" s="95"/>
      <c r="E40" s="96">
        <v>1831706.0</v>
      </c>
      <c r="F40" s="96">
        <v>1814.0</v>
      </c>
      <c r="G40" s="96">
        <v>1069.0</v>
      </c>
      <c r="H40" s="97">
        <v>461.0</v>
      </c>
      <c r="I40" s="97">
        <v>479.56</v>
      </c>
      <c r="J40" s="97">
        <v>-18.56</v>
      </c>
      <c r="K40" s="97">
        <v>26.44</v>
      </c>
      <c r="L40" s="54"/>
      <c r="M40" s="54"/>
      <c r="P40" s="44"/>
    </row>
    <row r="41">
      <c r="A41" s="54"/>
      <c r="B41" s="94">
        <v>45470.0</v>
      </c>
      <c r="C41" s="94"/>
      <c r="D41" s="95"/>
      <c r="E41" s="96">
        <v>1834511.0</v>
      </c>
      <c r="F41" s="96">
        <v>2805.0</v>
      </c>
      <c r="G41" s="96">
        <v>1049.0</v>
      </c>
      <c r="H41" s="97">
        <v>732.0</v>
      </c>
      <c r="I41" s="97">
        <v>772.09</v>
      </c>
      <c r="J41" s="97">
        <v>-40.09</v>
      </c>
      <c r="K41" s="97">
        <v>27.53</v>
      </c>
      <c r="L41" s="54"/>
      <c r="M41" s="54"/>
      <c r="P41" s="44"/>
    </row>
    <row r="42">
      <c r="A42" s="54"/>
      <c r="B42" s="94">
        <v>45473.0</v>
      </c>
      <c r="C42" s="94"/>
      <c r="D42" s="95"/>
      <c r="E42" s="96">
        <v>1837112.0</v>
      </c>
      <c r="F42" s="96">
        <v>2601.0</v>
      </c>
      <c r="G42" s="96">
        <v>1068.0</v>
      </c>
      <c r="H42" s="97">
        <v>656.0</v>
      </c>
      <c r="I42" s="97">
        <v>672.16</v>
      </c>
      <c r="J42" s="97">
        <v>-16.16</v>
      </c>
      <c r="K42" s="97">
        <v>25.84</v>
      </c>
      <c r="L42" s="54"/>
      <c r="M42" s="54"/>
      <c r="P42" s="44"/>
    </row>
    <row r="43">
      <c r="A43" s="333"/>
      <c r="B43" s="67" t="s">
        <v>92</v>
      </c>
      <c r="J43" s="333"/>
      <c r="K43" s="333"/>
      <c r="L43" s="333"/>
      <c r="M43" s="132" t="str">
        <f>"тотал"&amp;" "&amp;B43</f>
        <v>тотал ИЮЛЬ</v>
      </c>
      <c r="N43" s="75"/>
      <c r="O43" s="76"/>
      <c r="P43" s="334"/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</row>
    <row r="44">
      <c r="A44" s="54"/>
      <c r="B44" s="201">
        <v>45481.0</v>
      </c>
      <c r="C44" s="201"/>
      <c r="D44" s="96" t="s">
        <v>101</v>
      </c>
      <c r="E44" s="128">
        <v>1838826.0</v>
      </c>
      <c r="F44" s="96">
        <v>1614.0</v>
      </c>
      <c r="G44" s="96">
        <v>1074.0</v>
      </c>
      <c r="H44" s="97">
        <v>471.0</v>
      </c>
      <c r="I44" s="97">
        <v>490.02</v>
      </c>
      <c r="J44" s="97">
        <v>-19.02</v>
      </c>
      <c r="K44" s="97">
        <v>30.36</v>
      </c>
      <c r="L44" s="54"/>
      <c r="M44" s="84" t="s">
        <v>70</v>
      </c>
      <c r="N44" s="84" t="s">
        <v>71</v>
      </c>
      <c r="O44" s="84" t="s">
        <v>27</v>
      </c>
      <c r="P44" s="44"/>
    </row>
    <row r="45">
      <c r="A45" s="54"/>
      <c r="B45" s="98">
        <v>45496.0</v>
      </c>
      <c r="C45" s="98"/>
      <c r="D45" s="100" t="s">
        <v>101</v>
      </c>
      <c r="E45" s="100">
        <v>1841500.0</v>
      </c>
      <c r="F45" s="99">
        <f>E45-E44</f>
        <v>2674</v>
      </c>
      <c r="G45" s="100">
        <v>803.0</v>
      </c>
      <c r="H45" s="101">
        <v>472.0</v>
      </c>
      <c r="I45" s="101">
        <v>499.85</v>
      </c>
      <c r="J45" s="97">
        <f>H45-I45</f>
        <v>-27.85</v>
      </c>
      <c r="K45" s="103">
        <f>I45/F45*100</f>
        <v>18.69296933</v>
      </c>
      <c r="L45" s="54"/>
      <c r="M45" s="84">
        <f>SUM(F44:F45)</f>
        <v>4288</v>
      </c>
      <c r="N45" s="84">
        <f>SUM(I44:I45)</f>
        <v>989.87</v>
      </c>
      <c r="O45" s="85">
        <f>N45/M45*100</f>
        <v>23.08465485</v>
      </c>
      <c r="P45" s="44"/>
    </row>
    <row r="46">
      <c r="A46" s="333"/>
      <c r="B46" s="67" t="s">
        <v>95</v>
      </c>
      <c r="J46" s="333"/>
      <c r="K46" s="333"/>
      <c r="L46" s="333"/>
      <c r="M46" s="333"/>
      <c r="N46" s="334"/>
      <c r="O46" s="334"/>
      <c r="P46" s="334"/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</row>
    <row r="47">
      <c r="A47" s="54"/>
      <c r="B47" s="98">
        <v>45507.0</v>
      </c>
      <c r="C47" s="98"/>
      <c r="D47" s="100" t="s">
        <v>101</v>
      </c>
      <c r="E47" s="280">
        <v>1842862.0</v>
      </c>
      <c r="F47" s="99">
        <f>E47-E45</f>
        <v>1362</v>
      </c>
      <c r="G47" s="100">
        <v>755.0</v>
      </c>
      <c r="H47" s="101">
        <v>379.0</v>
      </c>
      <c r="I47" s="101">
        <v>395.05</v>
      </c>
      <c r="J47" s="102">
        <f t="shared" ref="J47:J49" si="2">H47-I47</f>
        <v>-16.05</v>
      </c>
      <c r="K47" s="103">
        <f t="shared" ref="K47:K49" si="3">I47/F47*100</f>
        <v>29.0051395</v>
      </c>
      <c r="L47" s="54"/>
      <c r="M47" s="132" t="str">
        <f>"тотал"&amp;" "&amp;B46</f>
        <v>тотал АВГУСТ</v>
      </c>
      <c r="N47" s="75"/>
      <c r="O47" s="76"/>
      <c r="P47" s="44"/>
    </row>
    <row r="48">
      <c r="A48" s="54"/>
      <c r="B48" s="98">
        <v>45517.0</v>
      </c>
      <c r="C48" s="98"/>
      <c r="D48" s="99"/>
      <c r="E48" s="100">
        <v>1844256.0</v>
      </c>
      <c r="F48" s="99">
        <f t="shared" ref="F48:F49" si="4">E48-E47</f>
        <v>1394</v>
      </c>
      <c r="G48" s="100">
        <v>741.0</v>
      </c>
      <c r="H48" s="101">
        <v>402.0</v>
      </c>
      <c r="I48" s="101">
        <v>425.85</v>
      </c>
      <c r="J48" s="102">
        <f t="shared" si="2"/>
        <v>-23.85</v>
      </c>
      <c r="K48" s="103">
        <f t="shared" si="3"/>
        <v>30.54878049</v>
      </c>
      <c r="L48" s="54"/>
      <c r="M48" s="84" t="s">
        <v>70</v>
      </c>
      <c r="N48" s="84" t="s">
        <v>71</v>
      </c>
      <c r="O48" s="84" t="s">
        <v>27</v>
      </c>
      <c r="P48" s="44"/>
    </row>
    <row r="49">
      <c r="A49" s="54"/>
      <c r="B49" s="98">
        <v>45526.0</v>
      </c>
      <c r="C49" s="98"/>
      <c r="D49" s="99"/>
      <c r="E49" s="104">
        <v>1845092.0</v>
      </c>
      <c r="F49" s="99">
        <f t="shared" si="4"/>
        <v>836</v>
      </c>
      <c r="G49" s="100">
        <v>1057.0</v>
      </c>
      <c r="H49" s="101">
        <v>592.0</v>
      </c>
      <c r="I49" s="101">
        <v>614.82</v>
      </c>
      <c r="J49" s="102">
        <f t="shared" si="2"/>
        <v>-22.82</v>
      </c>
      <c r="K49" s="103">
        <f t="shared" si="3"/>
        <v>73.5430622</v>
      </c>
      <c r="L49" s="54"/>
      <c r="M49" s="84">
        <f>SUM(F47:F49)</f>
        <v>3592</v>
      </c>
      <c r="N49" s="84">
        <f>SUM(I47:I49)</f>
        <v>1435.72</v>
      </c>
      <c r="O49" s="85">
        <f>N49/M49*100</f>
        <v>39.96993318</v>
      </c>
      <c r="P49" s="44"/>
    </row>
    <row r="50">
      <c r="A50" s="333"/>
      <c r="B50" s="67" t="s">
        <v>104</v>
      </c>
      <c r="J50" s="333"/>
      <c r="K50" s="333"/>
      <c r="L50" s="333"/>
      <c r="M50" s="333"/>
      <c r="N50" s="334"/>
      <c r="O50" s="334"/>
      <c r="P50" s="334"/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</row>
    <row r="51">
      <c r="A51" s="54"/>
      <c r="B51" s="98">
        <v>45539.0</v>
      </c>
      <c r="C51" s="98"/>
      <c r="D51" s="99"/>
      <c r="E51" s="104">
        <v>1847792.0</v>
      </c>
      <c r="F51" s="99">
        <f>E51-E49</f>
        <v>2700</v>
      </c>
      <c r="G51" s="100">
        <v>1083.0</v>
      </c>
      <c r="H51" s="101">
        <v>809.0</v>
      </c>
      <c r="I51" s="101">
        <v>847.42</v>
      </c>
      <c r="J51" s="102">
        <f>H51-I51</f>
        <v>-38.42</v>
      </c>
      <c r="K51" s="103">
        <f>I51/F51*100</f>
        <v>31.38592593</v>
      </c>
      <c r="L51" s="54"/>
      <c r="M51" s="54"/>
      <c r="P51" s="44"/>
    </row>
    <row r="52">
      <c r="A52" s="333"/>
      <c r="B52" s="67" t="s">
        <v>96</v>
      </c>
      <c r="J52" s="333"/>
      <c r="K52" s="333"/>
      <c r="L52" s="333"/>
      <c r="M52" s="333"/>
      <c r="N52" s="334"/>
      <c r="O52" s="334"/>
      <c r="P52" s="77" t="s">
        <v>28</v>
      </c>
      <c r="Q52" s="12" t="s">
        <v>78</v>
      </c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</row>
    <row r="53">
      <c r="A53" s="54"/>
      <c r="B53" s="110">
        <v>45577.0</v>
      </c>
      <c r="C53" s="110"/>
      <c r="D53" s="99"/>
      <c r="E53" s="100">
        <v>1850436.0</v>
      </c>
      <c r="F53" s="99">
        <f>E53-E51</f>
        <v>2644</v>
      </c>
      <c r="G53" s="100">
        <v>1073.0</v>
      </c>
      <c r="H53" s="101">
        <v>674.0</v>
      </c>
      <c r="I53" s="101">
        <v>700.2</v>
      </c>
      <c r="J53" s="102">
        <f>H53-I53</f>
        <v>-26.2</v>
      </c>
      <c r="K53" s="103">
        <f>I53/F53*100</f>
        <v>26.48260212</v>
      </c>
      <c r="L53" s="54"/>
      <c r="M53" s="54"/>
      <c r="P53" s="80">
        <f>(F53/100)*(K53-Q53)</f>
        <v>-40.12</v>
      </c>
      <c r="Q53" s="78">
        <v>28.0</v>
      </c>
    </row>
    <row r="54">
      <c r="A54" s="333"/>
      <c r="B54" s="67" t="s">
        <v>97</v>
      </c>
      <c r="J54" s="333"/>
      <c r="K54" s="333"/>
      <c r="L54" s="333"/>
      <c r="M54" s="333"/>
      <c r="N54" s="334"/>
      <c r="O54" s="334"/>
      <c r="P54" s="334"/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</row>
    <row r="55">
      <c r="A55" s="54"/>
      <c r="B55" s="98">
        <v>45599.0</v>
      </c>
      <c r="C55" s="98"/>
      <c r="D55" s="99"/>
      <c r="E55" s="100">
        <v>1852212.0</v>
      </c>
      <c r="F55" s="99">
        <f>E55-E53</f>
        <v>1776</v>
      </c>
      <c r="G55" s="100">
        <v>1074.0</v>
      </c>
      <c r="H55" s="101">
        <v>499.0</v>
      </c>
      <c r="I55" s="101">
        <v>531.0</v>
      </c>
      <c r="J55" s="102">
        <f t="shared" ref="J55:J61" si="5">H55-I55</f>
        <v>-32</v>
      </c>
      <c r="K55" s="103">
        <f t="shared" ref="K55:K61" si="6">I55/F55*100</f>
        <v>29.89864865</v>
      </c>
      <c r="L55" s="54"/>
      <c r="M55" s="82" t="str">
        <f>"тотал"&amp;" "&amp;B54&amp;" "&amp;RIGHT(YEAR(B55),2)</f>
        <v>тотал НОЯБРЬ 24</v>
      </c>
      <c r="N55" s="75"/>
      <c r="O55" s="75"/>
      <c r="P55" s="75"/>
      <c r="Q55" s="76"/>
    </row>
    <row r="56">
      <c r="A56" s="54"/>
      <c r="B56" s="98">
        <v>45609.0</v>
      </c>
      <c r="C56" s="98"/>
      <c r="D56" s="100" t="s">
        <v>288</v>
      </c>
      <c r="E56" s="100">
        <v>1853457.0</v>
      </c>
      <c r="F56" s="99">
        <f t="shared" ref="F56:F61" si="7">E56-E55</f>
        <v>1245</v>
      </c>
      <c r="G56" s="100">
        <v>929.0</v>
      </c>
      <c r="H56" s="101">
        <v>239.0</v>
      </c>
      <c r="I56" s="101">
        <v>250.84</v>
      </c>
      <c r="J56" s="102">
        <f t="shared" si="5"/>
        <v>-11.84</v>
      </c>
      <c r="K56" s="103">
        <f t="shared" si="6"/>
        <v>20.14779116</v>
      </c>
      <c r="L56" s="54"/>
      <c r="M56" s="84" t="s">
        <v>70</v>
      </c>
      <c r="N56" s="84" t="s">
        <v>71</v>
      </c>
      <c r="O56" s="84" t="s">
        <v>27</v>
      </c>
      <c r="P56" s="77" t="s">
        <v>28</v>
      </c>
      <c r="Q56" s="12" t="s">
        <v>78</v>
      </c>
    </row>
    <row r="57">
      <c r="A57" s="54"/>
      <c r="B57" s="98">
        <v>45619.0</v>
      </c>
      <c r="C57" s="98"/>
      <c r="D57" s="99"/>
      <c r="E57" s="100">
        <v>1854328.0</v>
      </c>
      <c r="F57" s="99">
        <f t="shared" si="7"/>
        <v>871</v>
      </c>
      <c r="G57" s="100">
        <v>1023.0</v>
      </c>
      <c r="H57" s="101">
        <v>376.0</v>
      </c>
      <c r="I57" s="101">
        <v>400.0</v>
      </c>
      <c r="J57" s="102">
        <f t="shared" si="5"/>
        <v>-24</v>
      </c>
      <c r="K57" s="103">
        <f t="shared" si="6"/>
        <v>45.92422503</v>
      </c>
      <c r="L57" s="54"/>
      <c r="M57" s="84">
        <f>SUM(F55:F61)</f>
        <v>8427</v>
      </c>
      <c r="N57" s="84">
        <f>SUM(I55:I61)</f>
        <v>2548.87</v>
      </c>
      <c r="O57" s="85">
        <f>N57/M57*100</f>
        <v>30.24646968</v>
      </c>
      <c r="P57" s="79">
        <f>(M57/100)*(O57-Q57)</f>
        <v>116.8378</v>
      </c>
      <c r="Q57" s="78">
        <v>28.86</v>
      </c>
    </row>
    <row r="58">
      <c r="A58" s="54"/>
      <c r="B58" s="98">
        <v>45622.0</v>
      </c>
      <c r="C58" s="98"/>
      <c r="D58" s="99"/>
      <c r="E58" s="100">
        <v>1855938.0</v>
      </c>
      <c r="F58" s="99">
        <f t="shared" si="7"/>
        <v>1610</v>
      </c>
      <c r="G58" s="100">
        <v>791.0</v>
      </c>
      <c r="H58" s="101">
        <v>199.0</v>
      </c>
      <c r="I58" s="101">
        <v>209.89</v>
      </c>
      <c r="J58" s="102">
        <f t="shared" si="5"/>
        <v>-10.89</v>
      </c>
      <c r="K58" s="103">
        <f t="shared" si="6"/>
        <v>13.03664596</v>
      </c>
      <c r="L58" s="60"/>
      <c r="M58" s="60"/>
      <c r="P58" s="44"/>
    </row>
    <row r="59">
      <c r="A59" s="54"/>
      <c r="B59" s="98">
        <v>45623.0</v>
      </c>
      <c r="C59" s="98"/>
      <c r="D59" s="99"/>
      <c r="E59" s="100">
        <v>1857290.0</v>
      </c>
      <c r="F59" s="99">
        <f t="shared" si="7"/>
        <v>1352</v>
      </c>
      <c r="G59" s="100">
        <v>680.0</v>
      </c>
      <c r="H59" s="178">
        <v>280.0</v>
      </c>
      <c r="I59" s="101">
        <v>297.43</v>
      </c>
      <c r="J59" s="102">
        <f t="shared" si="5"/>
        <v>-17.43</v>
      </c>
      <c r="K59" s="103">
        <f t="shared" si="6"/>
        <v>21.99926036</v>
      </c>
      <c r="L59" s="54"/>
    </row>
    <row r="60">
      <c r="A60" s="54"/>
      <c r="B60" s="98">
        <v>45624.0</v>
      </c>
      <c r="C60" s="98"/>
      <c r="D60" s="99"/>
      <c r="E60" s="100">
        <v>1857406.0</v>
      </c>
      <c r="F60" s="99">
        <f t="shared" si="7"/>
        <v>116</v>
      </c>
      <c r="G60" s="100">
        <v>1054.0</v>
      </c>
      <c r="H60" s="178">
        <v>412.0</v>
      </c>
      <c r="I60" s="101">
        <v>438.23</v>
      </c>
      <c r="J60" s="102">
        <f t="shared" si="5"/>
        <v>-26.23</v>
      </c>
      <c r="K60" s="103">
        <f t="shared" si="6"/>
        <v>377.7844828</v>
      </c>
      <c r="L60" s="54"/>
      <c r="M60" s="54"/>
      <c r="N60" s="54"/>
      <c r="P60" s="44"/>
      <c r="Q60" s="35"/>
    </row>
    <row r="61">
      <c r="A61" s="54"/>
      <c r="B61" s="98">
        <v>45626.0</v>
      </c>
      <c r="C61" s="98"/>
      <c r="D61" s="99"/>
      <c r="E61" s="100">
        <v>1858863.0</v>
      </c>
      <c r="F61" s="99">
        <f t="shared" si="7"/>
        <v>1457</v>
      </c>
      <c r="G61" s="100">
        <v>1043.0</v>
      </c>
      <c r="H61" s="178">
        <v>395.0</v>
      </c>
      <c r="I61" s="101">
        <v>421.48</v>
      </c>
      <c r="J61" s="102">
        <f t="shared" si="5"/>
        <v>-26.48</v>
      </c>
      <c r="K61" s="103">
        <f t="shared" si="6"/>
        <v>28.92793411</v>
      </c>
      <c r="L61" s="54"/>
      <c r="M61" s="60"/>
      <c r="P61" s="44"/>
    </row>
    <row r="62">
      <c r="A62" s="333"/>
      <c r="B62" s="67" t="s">
        <v>98</v>
      </c>
      <c r="J62" s="333"/>
      <c r="K62" s="333"/>
      <c r="L62" s="333"/>
      <c r="M62" s="333"/>
      <c r="N62" s="334"/>
      <c r="O62" s="334"/>
      <c r="P62" s="334"/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</row>
    <row r="63">
      <c r="A63" s="54"/>
      <c r="B63" s="98">
        <v>45629.0</v>
      </c>
      <c r="C63" s="98"/>
      <c r="D63" s="99"/>
      <c r="E63" s="100">
        <v>1860902.0</v>
      </c>
      <c r="F63" s="99">
        <f>E63-E61</f>
        <v>2039</v>
      </c>
      <c r="G63" s="100">
        <v>793.0</v>
      </c>
      <c r="H63" s="101">
        <v>314.0</v>
      </c>
      <c r="I63" s="101">
        <v>329.15</v>
      </c>
      <c r="J63" s="102">
        <f t="shared" ref="J63:J74" si="8">H63-I63</f>
        <v>-15.15</v>
      </c>
      <c r="K63" s="103">
        <f t="shared" ref="K63:K74" si="9">I63/F63*100</f>
        <v>16.14271702</v>
      </c>
      <c r="L63" s="54"/>
      <c r="M63" s="82" t="str">
        <f>"тотал"&amp;" "&amp;B62&amp;" "&amp;RIGHT(YEAR(B63),2)</f>
        <v>тотал ДЕКАБРЬ 24</v>
      </c>
      <c r="N63" s="75"/>
      <c r="O63" s="75"/>
      <c r="P63" s="75"/>
      <c r="Q63" s="76"/>
    </row>
    <row r="64">
      <c r="A64" s="54"/>
      <c r="B64" s="98">
        <v>45631.0</v>
      </c>
      <c r="C64" s="98"/>
      <c r="D64" s="99"/>
      <c r="E64" s="335">
        <v>1861964.0</v>
      </c>
      <c r="F64" s="99">
        <f t="shared" ref="F64:F74" si="10">E64-E63</f>
        <v>1062</v>
      </c>
      <c r="G64" s="100">
        <v>1042.0</v>
      </c>
      <c r="H64" s="101">
        <v>583.0</v>
      </c>
      <c r="I64" s="101">
        <v>620.23</v>
      </c>
      <c r="J64" s="102">
        <f t="shared" si="8"/>
        <v>-37.23</v>
      </c>
      <c r="K64" s="103">
        <f t="shared" si="9"/>
        <v>58.40207156</v>
      </c>
      <c r="L64" s="54"/>
      <c r="M64" s="84" t="s">
        <v>70</v>
      </c>
      <c r="N64" s="84" t="s">
        <v>71</v>
      </c>
      <c r="O64" s="84" t="s">
        <v>27</v>
      </c>
      <c r="P64" s="77" t="s">
        <v>28</v>
      </c>
      <c r="Q64" s="12" t="s">
        <v>78</v>
      </c>
    </row>
    <row r="65">
      <c r="A65" s="54"/>
      <c r="B65" s="98">
        <v>45633.0</v>
      </c>
      <c r="C65" s="98"/>
      <c r="D65" s="99"/>
      <c r="E65" s="100">
        <v>1863438.0</v>
      </c>
      <c r="F65" s="99">
        <f t="shared" si="10"/>
        <v>1474</v>
      </c>
      <c r="G65" s="100">
        <v>1025.0</v>
      </c>
      <c r="H65" s="101">
        <v>448.0</v>
      </c>
      <c r="I65" s="101">
        <v>480.56</v>
      </c>
      <c r="J65" s="102">
        <f t="shared" si="8"/>
        <v>-32.56</v>
      </c>
      <c r="K65" s="103">
        <f t="shared" si="9"/>
        <v>32.60244233</v>
      </c>
      <c r="L65" s="54"/>
      <c r="M65" s="84">
        <f>SUM(F63:F74)</f>
        <v>18370</v>
      </c>
      <c r="N65" s="84">
        <f>SUM(I63:I74)</f>
        <v>5844.95</v>
      </c>
      <c r="O65" s="85">
        <f>N65/M65*100</f>
        <v>31.81790964</v>
      </c>
      <c r="P65" s="79">
        <f>(M65/100)*(O65-Q65)</f>
        <v>701.35</v>
      </c>
      <c r="Q65" s="78">
        <v>28.0</v>
      </c>
    </row>
    <row r="66">
      <c r="A66" s="54"/>
      <c r="B66" s="98">
        <v>45636.0</v>
      </c>
      <c r="C66" s="98"/>
      <c r="D66" s="99"/>
      <c r="E66" s="100">
        <v>1864899.0</v>
      </c>
      <c r="F66" s="99">
        <f t="shared" si="10"/>
        <v>1461</v>
      </c>
      <c r="G66" s="100">
        <v>1017.0</v>
      </c>
      <c r="H66" s="101">
        <v>482.0</v>
      </c>
      <c r="I66" s="101">
        <v>519.28</v>
      </c>
      <c r="J66" s="102">
        <f t="shared" si="8"/>
        <v>-37.28</v>
      </c>
      <c r="K66" s="103">
        <f t="shared" si="9"/>
        <v>35.54277892</v>
      </c>
      <c r="L66" s="54"/>
      <c r="M66" s="54"/>
      <c r="P66" s="44"/>
    </row>
    <row r="67">
      <c r="A67" s="54"/>
      <c r="B67" s="98">
        <v>45638.0</v>
      </c>
      <c r="C67" s="98"/>
      <c r="D67" s="99"/>
      <c r="E67" s="100">
        <v>1866373.0</v>
      </c>
      <c r="F67" s="99">
        <f t="shared" si="10"/>
        <v>1474</v>
      </c>
      <c r="G67" s="100">
        <v>1019.0</v>
      </c>
      <c r="H67" s="101">
        <v>421.0</v>
      </c>
      <c r="I67" s="101">
        <v>452.6</v>
      </c>
      <c r="J67" s="102">
        <f t="shared" si="8"/>
        <v>-31.6</v>
      </c>
      <c r="K67" s="103">
        <f t="shared" si="9"/>
        <v>30.70556309</v>
      </c>
      <c r="L67" s="54"/>
      <c r="M67" s="54"/>
      <c r="P67" s="44"/>
    </row>
    <row r="68">
      <c r="A68" s="54"/>
      <c r="B68" s="98">
        <v>45640.0</v>
      </c>
      <c r="C68" s="98"/>
      <c r="D68" s="99"/>
      <c r="E68" s="100">
        <v>1867833.0</v>
      </c>
      <c r="F68" s="99">
        <f t="shared" si="10"/>
        <v>1460</v>
      </c>
      <c r="G68" s="100">
        <v>1030.0</v>
      </c>
      <c r="H68" s="101">
        <v>462.0</v>
      </c>
      <c r="I68" s="101">
        <v>500.0</v>
      </c>
      <c r="J68" s="102">
        <f t="shared" si="8"/>
        <v>-38</v>
      </c>
      <c r="K68" s="103">
        <f t="shared" si="9"/>
        <v>34.24657534</v>
      </c>
      <c r="L68" s="54"/>
      <c r="M68" s="54"/>
      <c r="P68" s="44"/>
    </row>
    <row r="69">
      <c r="A69" s="54"/>
      <c r="B69" s="98">
        <v>45643.0</v>
      </c>
      <c r="C69" s="98"/>
      <c r="D69" s="99"/>
      <c r="E69" s="100">
        <v>1869442.0</v>
      </c>
      <c r="F69" s="99">
        <f t="shared" si="10"/>
        <v>1609</v>
      </c>
      <c r="G69" s="100">
        <v>977.0</v>
      </c>
      <c r="H69" s="101">
        <v>468.0</v>
      </c>
      <c r="I69" s="101">
        <v>500.0</v>
      </c>
      <c r="J69" s="102">
        <f t="shared" si="8"/>
        <v>-32</v>
      </c>
      <c r="K69" s="103">
        <f t="shared" si="9"/>
        <v>31.07520199</v>
      </c>
      <c r="L69" s="54"/>
      <c r="M69" s="54"/>
      <c r="P69" s="44"/>
    </row>
    <row r="70">
      <c r="A70" s="54"/>
      <c r="B70" s="98">
        <v>45645.0</v>
      </c>
      <c r="C70" s="98"/>
      <c r="D70" s="99"/>
      <c r="E70" s="100">
        <v>1870902.0</v>
      </c>
      <c r="F70" s="99">
        <f t="shared" si="10"/>
        <v>1460</v>
      </c>
      <c r="G70" s="100">
        <v>1036.0</v>
      </c>
      <c r="H70" s="101">
        <v>468.0</v>
      </c>
      <c r="I70" s="101">
        <v>500.0</v>
      </c>
      <c r="J70" s="102">
        <f t="shared" si="8"/>
        <v>-32</v>
      </c>
      <c r="K70" s="103">
        <f t="shared" si="9"/>
        <v>34.24657534</v>
      </c>
      <c r="L70" s="54"/>
      <c r="M70" s="54"/>
      <c r="P70" s="44"/>
    </row>
    <row r="71">
      <c r="A71" s="54"/>
      <c r="B71" s="98">
        <v>45647.0</v>
      </c>
      <c r="C71" s="98"/>
      <c r="D71" s="99"/>
      <c r="E71" s="100">
        <v>1872511.0</v>
      </c>
      <c r="F71" s="99">
        <f t="shared" si="10"/>
        <v>1609</v>
      </c>
      <c r="G71" s="100">
        <v>1018.0</v>
      </c>
      <c r="H71" s="101">
        <v>466.0</v>
      </c>
      <c r="I71" s="101">
        <v>500.0</v>
      </c>
      <c r="J71" s="102">
        <f t="shared" si="8"/>
        <v>-34</v>
      </c>
      <c r="K71" s="103">
        <f t="shared" si="9"/>
        <v>31.07520199</v>
      </c>
      <c r="L71" s="54"/>
      <c r="M71" s="54"/>
      <c r="P71" s="44"/>
    </row>
    <row r="72">
      <c r="A72" s="54"/>
      <c r="B72" s="98">
        <v>45650.0</v>
      </c>
      <c r="C72" s="98"/>
      <c r="D72" s="99"/>
      <c r="E72" s="100">
        <v>1874119.0</v>
      </c>
      <c r="F72" s="99">
        <f t="shared" si="10"/>
        <v>1608</v>
      </c>
      <c r="G72" s="100">
        <v>1045.0</v>
      </c>
      <c r="H72" s="101">
        <v>558.0</v>
      </c>
      <c r="I72" s="101">
        <v>520.01</v>
      </c>
      <c r="J72" s="102">
        <f t="shared" si="8"/>
        <v>37.99</v>
      </c>
      <c r="K72" s="103">
        <f t="shared" si="9"/>
        <v>32.33893035</v>
      </c>
      <c r="L72" s="54"/>
      <c r="M72" s="54"/>
      <c r="P72" s="44"/>
    </row>
    <row r="73">
      <c r="A73" s="54"/>
      <c r="B73" s="98">
        <v>45652.0</v>
      </c>
      <c r="C73" s="98"/>
      <c r="D73" s="99"/>
      <c r="E73" s="100">
        <v>1875772.0</v>
      </c>
      <c r="F73" s="99">
        <f t="shared" si="10"/>
        <v>1653</v>
      </c>
      <c r="G73" s="100">
        <v>1042.0</v>
      </c>
      <c r="H73" s="101">
        <v>441.0</v>
      </c>
      <c r="I73" s="101">
        <v>474.12</v>
      </c>
      <c r="J73" s="102">
        <f t="shared" si="8"/>
        <v>-33.12</v>
      </c>
      <c r="K73" s="103">
        <f t="shared" si="9"/>
        <v>28.68239564</v>
      </c>
      <c r="L73" s="54"/>
      <c r="M73" s="54"/>
      <c r="P73" s="44"/>
    </row>
    <row r="74">
      <c r="A74" s="54"/>
      <c r="B74" s="98">
        <v>45654.0</v>
      </c>
      <c r="C74" s="98"/>
      <c r="D74" s="99"/>
      <c r="E74" s="100">
        <v>1877233.0</v>
      </c>
      <c r="F74" s="99">
        <f t="shared" si="10"/>
        <v>1461</v>
      </c>
      <c r="G74" s="100">
        <v>1042.0</v>
      </c>
      <c r="H74" s="101">
        <v>419.0</v>
      </c>
      <c r="I74" s="101">
        <v>449.0</v>
      </c>
      <c r="J74" s="102">
        <f t="shared" si="8"/>
        <v>-30</v>
      </c>
      <c r="K74" s="103">
        <f t="shared" si="9"/>
        <v>30.73237509</v>
      </c>
      <c r="L74" s="54"/>
      <c r="M74" s="54"/>
      <c r="P74" s="44"/>
    </row>
    <row r="75">
      <c r="A75" s="333"/>
      <c r="B75" s="191">
        <v>2025.0</v>
      </c>
      <c r="J75" s="333"/>
      <c r="K75" s="333"/>
      <c r="L75" s="333"/>
      <c r="M75" s="333"/>
      <c r="N75" s="334"/>
      <c r="O75" s="334"/>
      <c r="P75" s="334"/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</row>
    <row r="76">
      <c r="A76" s="333"/>
      <c r="B76" s="67" t="s">
        <v>66</v>
      </c>
      <c r="J76" s="333"/>
      <c r="K76" s="333"/>
      <c r="L76" s="333"/>
      <c r="M76" s="333"/>
      <c r="N76" s="334"/>
      <c r="O76" s="334"/>
      <c r="P76" s="334"/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</row>
    <row r="77">
      <c r="A77" s="54"/>
      <c r="B77" s="98">
        <v>45665.0</v>
      </c>
      <c r="C77" s="98"/>
      <c r="D77" s="99"/>
      <c r="E77" s="100">
        <v>1878886.0</v>
      </c>
      <c r="F77" s="99">
        <f>E77-E74</f>
        <v>1653</v>
      </c>
      <c r="G77" s="100">
        <v>1032.0</v>
      </c>
      <c r="H77" s="101">
        <v>426.0</v>
      </c>
      <c r="I77" s="101">
        <v>457.41</v>
      </c>
      <c r="J77" s="102">
        <f t="shared" ref="J77:J87" si="11">H77-I77</f>
        <v>-31.41</v>
      </c>
      <c r="K77" s="103">
        <f t="shared" ref="K77:K87" si="12">I77/F77*100</f>
        <v>27.67150635</v>
      </c>
      <c r="L77" s="54"/>
      <c r="M77" s="82" t="str">
        <f>"тотал"&amp;" "&amp;B76&amp;" "&amp;RIGHT(YEAR(B77),2)</f>
        <v>тотал ЯНВАРЬ 25</v>
      </c>
      <c r="N77" s="75"/>
      <c r="O77" s="75"/>
      <c r="P77" s="75"/>
      <c r="Q77" s="76"/>
    </row>
    <row r="78">
      <c r="A78" s="54"/>
      <c r="B78" s="98">
        <v>45668.0</v>
      </c>
      <c r="C78" s="98"/>
      <c r="D78" s="99"/>
      <c r="E78" s="100">
        <v>1880493.0</v>
      </c>
      <c r="F78" s="99">
        <f t="shared" ref="F78:F87" si="13">E78-E77</f>
        <v>1607</v>
      </c>
      <c r="G78" s="100">
        <v>1038.0</v>
      </c>
      <c r="H78" s="101">
        <v>466.0</v>
      </c>
      <c r="I78" s="101">
        <v>500.0</v>
      </c>
      <c r="J78" s="102">
        <f t="shared" si="11"/>
        <v>-34</v>
      </c>
      <c r="K78" s="103">
        <f t="shared" si="12"/>
        <v>31.11387679</v>
      </c>
      <c r="L78" s="54"/>
      <c r="M78" s="84" t="s">
        <v>70</v>
      </c>
      <c r="N78" s="84" t="s">
        <v>71</v>
      </c>
      <c r="O78" s="84" t="s">
        <v>27</v>
      </c>
      <c r="P78" s="77" t="s">
        <v>28</v>
      </c>
      <c r="Q78" s="12" t="s">
        <v>78</v>
      </c>
    </row>
    <row r="79">
      <c r="A79" s="54"/>
      <c r="B79" s="98">
        <v>45671.0</v>
      </c>
      <c r="C79" s="98"/>
      <c r="D79" s="99"/>
      <c r="E79" s="100">
        <v>1882075.0</v>
      </c>
      <c r="F79" s="99">
        <f t="shared" si="13"/>
        <v>1582</v>
      </c>
      <c r="G79" s="100">
        <v>1020.0</v>
      </c>
      <c r="H79" s="101">
        <v>466.0</v>
      </c>
      <c r="I79" s="101">
        <v>500.0</v>
      </c>
      <c r="J79" s="102">
        <f t="shared" si="11"/>
        <v>-34</v>
      </c>
      <c r="K79" s="103">
        <f t="shared" si="12"/>
        <v>31.60556258</v>
      </c>
      <c r="L79" s="54"/>
      <c r="M79" s="84">
        <f>SUM(F77:F88)</f>
        <v>15958</v>
      </c>
      <c r="N79" s="84">
        <f>SUM(I77:I88)</f>
        <v>4980.41</v>
      </c>
      <c r="O79" s="85">
        <f>N79/M79*100</f>
        <v>31.2094874</v>
      </c>
      <c r="P79" s="79">
        <f>(M79/100)*(O79-Q79)</f>
        <v>512.17</v>
      </c>
      <c r="Q79" s="78">
        <v>28.0</v>
      </c>
    </row>
    <row r="80">
      <c r="A80" s="54"/>
      <c r="B80" s="98">
        <v>45673.0</v>
      </c>
      <c r="C80" s="98"/>
      <c r="D80" s="99"/>
      <c r="E80" s="100">
        <v>1883909.0</v>
      </c>
      <c r="F80" s="99">
        <f t="shared" si="13"/>
        <v>1834</v>
      </c>
      <c r="G80" s="100">
        <v>945.0</v>
      </c>
      <c r="H80" s="101">
        <v>469.0</v>
      </c>
      <c r="I80" s="101">
        <v>500.0</v>
      </c>
      <c r="J80" s="102">
        <f t="shared" si="11"/>
        <v>-31</v>
      </c>
      <c r="K80" s="103">
        <f t="shared" si="12"/>
        <v>27.26281352</v>
      </c>
      <c r="L80" s="54"/>
      <c r="M80" s="54"/>
      <c r="P80" s="44"/>
    </row>
    <row r="81">
      <c r="A81" s="54"/>
      <c r="B81" s="98">
        <v>45675.0</v>
      </c>
      <c r="C81" s="98"/>
      <c r="D81" s="99"/>
      <c r="E81" s="100">
        <v>1884956.0</v>
      </c>
      <c r="F81" s="99">
        <f t="shared" si="13"/>
        <v>1047</v>
      </c>
      <c r="G81" s="100">
        <v>1037.0</v>
      </c>
      <c r="H81" s="101">
        <v>403.0</v>
      </c>
      <c r="I81" s="101">
        <v>430.26</v>
      </c>
      <c r="J81" s="102">
        <f t="shared" si="11"/>
        <v>-27.26</v>
      </c>
      <c r="K81" s="103">
        <f t="shared" si="12"/>
        <v>41.09455587</v>
      </c>
      <c r="L81" s="54"/>
      <c r="M81" s="54"/>
      <c r="P81" s="44"/>
    </row>
    <row r="82">
      <c r="A82" s="54"/>
      <c r="B82" s="98">
        <v>45678.0</v>
      </c>
      <c r="C82" s="98"/>
      <c r="D82" s="99"/>
      <c r="E82" s="100">
        <v>1886655.0</v>
      </c>
      <c r="F82" s="99">
        <f t="shared" si="13"/>
        <v>1699</v>
      </c>
      <c r="G82" s="100">
        <v>1034.0</v>
      </c>
      <c r="H82" s="101">
        <v>467.0</v>
      </c>
      <c r="I82" s="101">
        <v>500.0</v>
      </c>
      <c r="J82" s="102">
        <f t="shared" si="11"/>
        <v>-33</v>
      </c>
      <c r="K82" s="103">
        <f t="shared" si="12"/>
        <v>29.42907593</v>
      </c>
      <c r="L82" s="54"/>
      <c r="M82" s="54"/>
      <c r="P82" s="44"/>
    </row>
    <row r="83">
      <c r="A83" s="54"/>
      <c r="B83" s="98">
        <v>45680.0</v>
      </c>
      <c r="C83" s="98"/>
      <c r="D83" s="99"/>
      <c r="E83" s="100">
        <v>1888089.0</v>
      </c>
      <c r="F83" s="99">
        <f t="shared" si="13"/>
        <v>1434</v>
      </c>
      <c r="G83" s="100">
        <v>1036.0</v>
      </c>
      <c r="H83" s="101">
        <v>447.0</v>
      </c>
      <c r="I83" s="101">
        <v>480.01</v>
      </c>
      <c r="J83" s="102">
        <f t="shared" si="11"/>
        <v>-33.01</v>
      </c>
      <c r="K83" s="103">
        <f t="shared" si="12"/>
        <v>33.4735007</v>
      </c>
      <c r="L83" s="54"/>
      <c r="M83" s="54"/>
      <c r="P83" s="44"/>
    </row>
    <row r="84">
      <c r="A84" s="54"/>
      <c r="B84" s="98">
        <v>45682.0</v>
      </c>
      <c r="C84" s="98"/>
      <c r="D84" s="99"/>
      <c r="E84" s="100">
        <v>1889918.0</v>
      </c>
      <c r="F84" s="99">
        <f t="shared" si="13"/>
        <v>1829</v>
      </c>
      <c r="G84" s="100">
        <v>971.0</v>
      </c>
      <c r="H84" s="101">
        <v>468.0</v>
      </c>
      <c r="I84" s="101">
        <v>500.0</v>
      </c>
      <c r="J84" s="102">
        <f t="shared" si="11"/>
        <v>-32</v>
      </c>
      <c r="K84" s="103">
        <f t="shared" si="12"/>
        <v>27.33734281</v>
      </c>
      <c r="L84" s="54"/>
      <c r="M84" s="54"/>
      <c r="P84" s="44"/>
    </row>
    <row r="85">
      <c r="A85" s="54"/>
      <c r="B85" s="98">
        <v>45685.0</v>
      </c>
      <c r="C85" s="98"/>
      <c r="D85" s="99"/>
      <c r="E85" s="100">
        <v>1891106.0</v>
      </c>
      <c r="F85" s="99">
        <f t="shared" si="13"/>
        <v>1188</v>
      </c>
      <c r="G85" s="100">
        <v>1043.0</v>
      </c>
      <c r="H85" s="101">
        <v>430.0</v>
      </c>
      <c r="I85" s="101">
        <v>458.12</v>
      </c>
      <c r="J85" s="102">
        <f t="shared" si="11"/>
        <v>-28.12</v>
      </c>
      <c r="K85" s="103">
        <f t="shared" si="12"/>
        <v>38.56228956</v>
      </c>
      <c r="L85" s="54"/>
      <c r="M85" s="54"/>
      <c r="P85" s="44"/>
    </row>
    <row r="86">
      <c r="A86" s="54"/>
      <c r="B86" s="98">
        <v>45687.0</v>
      </c>
      <c r="C86" s="98"/>
      <c r="D86" s="99"/>
      <c r="E86" s="100">
        <v>1892546.0</v>
      </c>
      <c r="F86" s="99">
        <f t="shared" si="13"/>
        <v>1440</v>
      </c>
      <c r="G86" s="100">
        <v>1038.0</v>
      </c>
      <c r="H86" s="101">
        <v>415.0</v>
      </c>
      <c r="I86" s="101">
        <v>444.05</v>
      </c>
      <c r="J86" s="102">
        <f t="shared" si="11"/>
        <v>-29.05</v>
      </c>
      <c r="K86" s="103">
        <f t="shared" si="12"/>
        <v>30.83680556</v>
      </c>
      <c r="L86" s="54"/>
      <c r="M86" s="54"/>
      <c r="P86" s="44"/>
    </row>
    <row r="87">
      <c r="A87" s="54"/>
      <c r="B87" s="98">
        <v>45687.0</v>
      </c>
      <c r="C87" s="98"/>
      <c r="D87" s="99"/>
      <c r="E87" s="100">
        <v>1893191.0</v>
      </c>
      <c r="F87" s="99">
        <f t="shared" si="13"/>
        <v>645</v>
      </c>
      <c r="G87" s="100">
        <v>1048.0</v>
      </c>
      <c r="H87" s="101">
        <v>197.0</v>
      </c>
      <c r="I87" s="101">
        <v>210.56</v>
      </c>
      <c r="J87" s="102">
        <f t="shared" si="11"/>
        <v>-13.56</v>
      </c>
      <c r="K87" s="103">
        <f t="shared" si="12"/>
        <v>32.64496124</v>
      </c>
      <c r="L87" s="54"/>
      <c r="M87" s="54"/>
      <c r="P87" s="44"/>
    </row>
    <row r="88">
      <c r="A88" s="333"/>
      <c r="B88" s="67" t="s">
        <v>68</v>
      </c>
      <c r="J88" s="333"/>
      <c r="K88" s="333"/>
      <c r="L88" s="333"/>
      <c r="M88" s="82" t="str">
        <f>"тотал"&amp;" "&amp;B88&amp;" "&amp;RIGHT(YEAR(B89),2)</f>
        <v>тотал ФЕВРАЛЬ 25</v>
      </c>
      <c r="N88" s="75"/>
      <c r="O88" s="75"/>
      <c r="P88" s="75"/>
      <c r="Q88" s="76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</row>
    <row r="89">
      <c r="A89" s="54"/>
      <c r="B89" s="98">
        <v>45689.0</v>
      </c>
      <c r="C89" s="98"/>
      <c r="D89" s="99"/>
      <c r="E89" s="100">
        <v>1894637.0</v>
      </c>
      <c r="F89" s="99">
        <f>E89-E87</f>
        <v>1446</v>
      </c>
      <c r="G89" s="100">
        <v>1048.0</v>
      </c>
      <c r="H89" s="101">
        <v>418.0</v>
      </c>
      <c r="I89" s="101">
        <v>443.48</v>
      </c>
      <c r="J89" s="102">
        <f t="shared" ref="J89:J90" si="14">H89-I89</f>
        <v>-25.48</v>
      </c>
      <c r="K89" s="103">
        <f t="shared" ref="K89:K90" si="15">I89/F89*100</f>
        <v>30.66943292</v>
      </c>
      <c r="L89" s="54"/>
      <c r="M89" s="84" t="s">
        <v>70</v>
      </c>
      <c r="N89" s="84" t="s">
        <v>71</v>
      </c>
      <c r="O89" s="84" t="s">
        <v>27</v>
      </c>
      <c r="P89" s="77" t="s">
        <v>28</v>
      </c>
      <c r="Q89" s="12" t="s">
        <v>78</v>
      </c>
    </row>
    <row r="90">
      <c r="A90" s="54"/>
      <c r="B90" s="98">
        <v>45713.0</v>
      </c>
      <c r="C90" s="98"/>
      <c r="D90" s="99"/>
      <c r="E90" s="100">
        <v>1896219.0</v>
      </c>
      <c r="F90" s="99">
        <f>E90-E89</f>
        <v>1582</v>
      </c>
      <c r="G90" s="100">
        <v>1026.0</v>
      </c>
      <c r="H90" s="101">
        <v>472.0</v>
      </c>
      <c r="I90" s="101">
        <v>499.08</v>
      </c>
      <c r="J90" s="102">
        <f t="shared" si="14"/>
        <v>-27.08</v>
      </c>
      <c r="K90" s="103">
        <f t="shared" si="15"/>
        <v>31.54740834</v>
      </c>
      <c r="L90" s="54"/>
      <c r="M90" s="84">
        <f>SUM(F89:F90)</f>
        <v>3028</v>
      </c>
      <c r="N90" s="84">
        <f>SUM(I89:I90)</f>
        <v>942.56</v>
      </c>
      <c r="O90" s="85">
        <f>N90/M90*100</f>
        <v>31.12813738</v>
      </c>
      <c r="P90" s="79">
        <f>(M90/100)*(O90-Q90)</f>
        <v>94.72</v>
      </c>
      <c r="Q90" s="78">
        <v>28.0</v>
      </c>
    </row>
    <row r="91">
      <c r="A91" s="89"/>
      <c r="B91" s="203" t="str">
        <f>IF(L91=4,"АПРЕЛЬ",IF(L91=5,"МАЙ",IF(L91=1,"ЯНВАРЬ",IF(L91=2,"ФЕВРАЛЬ",IF(L91=3,"МАРТ",IF(L91=6,"ИЮНЬ",IF(L91=7,"ИЮЛЬ",IF(L91=8,"АВГУСТ",IF(L91=9,"СЕНТЯБРЬ",IF(L91=10,"ОКТЯБРЬ",IF(L91=11,"НОЯБРЬ",IF(L91=12,"ДЕКАБРЬ"))))))))))))</f>
        <v>МАРТ</v>
      </c>
      <c r="J91" s="89"/>
      <c r="K91" s="90"/>
      <c r="L91" s="91">
        <f>MONTH(B92)</f>
        <v>3</v>
      </c>
      <c r="M91" s="66"/>
      <c r="N91" s="66"/>
      <c r="O91" s="66"/>
      <c r="P91" s="113"/>
      <c r="Q91" s="66"/>
      <c r="T91" s="54"/>
      <c r="U91" s="54"/>
      <c r="V91" s="54"/>
      <c r="W91" s="54"/>
      <c r="X91" s="54"/>
      <c r="Y91" s="54"/>
      <c r="Z91" s="54"/>
      <c r="AA91" s="54"/>
      <c r="AB91" s="287"/>
      <c r="AC91" s="54"/>
      <c r="AD91" s="54"/>
    </row>
    <row r="92">
      <c r="A92" s="54"/>
      <c r="B92" s="98">
        <v>45717.0</v>
      </c>
      <c r="C92" s="98"/>
      <c r="D92" s="99"/>
      <c r="E92" s="100">
        <v>1898639.0</v>
      </c>
      <c r="F92" s="99">
        <f>E92-E90</f>
        <v>2420</v>
      </c>
      <c r="G92" s="100">
        <v>1004.0</v>
      </c>
      <c r="H92" s="101">
        <v>697.0</v>
      </c>
      <c r="I92" s="101">
        <v>750.0</v>
      </c>
      <c r="J92" s="102">
        <f t="shared" ref="J92:J98" si="16">H92-I92</f>
        <v>-53</v>
      </c>
      <c r="K92" s="103">
        <f t="shared" ref="K92:K98" si="17">I92/F92*100</f>
        <v>30.99173554</v>
      </c>
      <c r="L92" s="54"/>
      <c r="M92" s="82" t="str">
        <f>"тотал"&amp;" "&amp;B91&amp;" "&amp;RIGHT(YEAR(B92),2)</f>
        <v>тотал МАРТ 25</v>
      </c>
      <c r="N92" s="75"/>
      <c r="O92" s="75"/>
      <c r="P92" s="75"/>
      <c r="Q92" s="76"/>
    </row>
    <row r="93">
      <c r="A93" s="54"/>
      <c r="B93" s="98">
        <v>45734.0</v>
      </c>
      <c r="C93" s="98"/>
      <c r="D93" s="99"/>
      <c r="E93" s="100">
        <v>1900259.0</v>
      </c>
      <c r="F93" s="99">
        <f t="shared" ref="F93:F98" si="18">E93-E92</f>
        <v>1620</v>
      </c>
      <c r="G93" s="100">
        <v>1049.0</v>
      </c>
      <c r="H93" s="101">
        <v>532.0</v>
      </c>
      <c r="I93" s="101">
        <v>566.06</v>
      </c>
      <c r="J93" s="102">
        <f t="shared" si="16"/>
        <v>-34.06</v>
      </c>
      <c r="K93" s="103">
        <f t="shared" si="17"/>
        <v>34.94197531</v>
      </c>
      <c r="L93" s="54"/>
      <c r="M93" s="84" t="s">
        <v>70</v>
      </c>
      <c r="N93" s="84" t="s">
        <v>71</v>
      </c>
      <c r="O93" s="84" t="s">
        <v>27</v>
      </c>
      <c r="P93" s="77" t="s">
        <v>28</v>
      </c>
      <c r="Q93" s="12" t="s">
        <v>78</v>
      </c>
    </row>
    <row r="94">
      <c r="A94" s="54"/>
      <c r="B94" s="98">
        <v>45736.0</v>
      </c>
      <c r="C94" s="98"/>
      <c r="D94" s="99"/>
      <c r="E94" s="100">
        <v>1901713.0</v>
      </c>
      <c r="F94" s="99">
        <f t="shared" si="18"/>
        <v>1454</v>
      </c>
      <c r="G94" s="100">
        <v>1051.0</v>
      </c>
      <c r="H94" s="101">
        <v>443.0</v>
      </c>
      <c r="I94" s="101">
        <v>470.0</v>
      </c>
      <c r="J94" s="102">
        <f t="shared" si="16"/>
        <v>-27</v>
      </c>
      <c r="K94" s="103">
        <f t="shared" si="17"/>
        <v>32.32462173</v>
      </c>
      <c r="L94" s="54"/>
      <c r="M94" s="84">
        <f>SUM(F92:F98)</f>
        <v>11375</v>
      </c>
      <c r="N94" s="84">
        <f>SUM(I92:I98)</f>
        <v>3547.98</v>
      </c>
      <c r="O94" s="85">
        <f>N94/M94*100</f>
        <v>31.19103297</v>
      </c>
      <c r="P94" s="79">
        <f>(M94/100)*(O94-Q94)</f>
        <v>362.98</v>
      </c>
      <c r="Q94" s="78">
        <v>28.0</v>
      </c>
    </row>
    <row r="95">
      <c r="A95" s="54"/>
      <c r="B95" s="98">
        <v>45738.0</v>
      </c>
      <c r="C95" s="98"/>
      <c r="D95" s="99"/>
      <c r="E95" s="100">
        <v>1903146.0</v>
      </c>
      <c r="F95" s="99">
        <f t="shared" si="18"/>
        <v>1433</v>
      </c>
      <c r="G95" s="100">
        <v>1050.0</v>
      </c>
      <c r="H95" s="101">
        <v>424.0</v>
      </c>
      <c r="I95" s="101">
        <v>449.17</v>
      </c>
      <c r="J95" s="102">
        <f t="shared" si="16"/>
        <v>-25.17</v>
      </c>
      <c r="K95" s="103">
        <f t="shared" si="17"/>
        <v>31.34473133</v>
      </c>
      <c r="L95" s="54"/>
      <c r="M95" s="54"/>
      <c r="P95" s="44"/>
    </row>
    <row r="96">
      <c r="A96" s="54"/>
      <c r="B96" s="98">
        <v>45741.0</v>
      </c>
      <c r="C96" s="98"/>
      <c r="D96" s="99"/>
      <c r="E96" s="100">
        <v>1904727.0</v>
      </c>
      <c r="F96" s="99">
        <f t="shared" si="18"/>
        <v>1581</v>
      </c>
      <c r="G96" s="100">
        <v>1063.0</v>
      </c>
      <c r="H96" s="101">
        <v>476.0</v>
      </c>
      <c r="I96" s="101">
        <v>500.0</v>
      </c>
      <c r="J96" s="102">
        <f t="shared" si="16"/>
        <v>-24</v>
      </c>
      <c r="K96" s="103">
        <f t="shared" si="17"/>
        <v>31.62555345</v>
      </c>
      <c r="L96" s="54"/>
      <c r="M96" s="54"/>
      <c r="P96" s="44"/>
    </row>
    <row r="97">
      <c r="A97" s="54"/>
      <c r="B97" s="98">
        <v>45743.0</v>
      </c>
      <c r="C97" s="98"/>
      <c r="D97" s="99"/>
      <c r="E97" s="100">
        <v>1906160.0</v>
      </c>
      <c r="F97" s="99">
        <f t="shared" si="18"/>
        <v>1433</v>
      </c>
      <c r="G97" s="100">
        <v>1060.0</v>
      </c>
      <c r="H97" s="101">
        <v>382.0</v>
      </c>
      <c r="I97" s="101">
        <v>397.75</v>
      </c>
      <c r="J97" s="102">
        <f t="shared" si="16"/>
        <v>-15.75</v>
      </c>
      <c r="K97" s="103">
        <f t="shared" si="17"/>
        <v>27.75645499</v>
      </c>
      <c r="L97" s="54"/>
      <c r="M97" s="54"/>
      <c r="P97" s="44"/>
    </row>
    <row r="98">
      <c r="A98" s="54"/>
      <c r="B98" s="98">
        <v>45745.0</v>
      </c>
      <c r="C98" s="98"/>
      <c r="D98" s="99"/>
      <c r="E98" s="100">
        <v>1907594.0</v>
      </c>
      <c r="F98" s="99">
        <f t="shared" si="18"/>
        <v>1434</v>
      </c>
      <c r="G98" s="100">
        <v>1063.0</v>
      </c>
      <c r="H98" s="101">
        <v>398.0</v>
      </c>
      <c r="I98" s="101">
        <v>415.0</v>
      </c>
      <c r="J98" s="102">
        <f t="shared" si="16"/>
        <v>-17</v>
      </c>
      <c r="K98" s="103">
        <f t="shared" si="17"/>
        <v>28.94002789</v>
      </c>
      <c r="L98" s="54"/>
      <c r="M98" s="54"/>
      <c r="P98" s="44"/>
    </row>
    <row r="99">
      <c r="A99" s="89"/>
      <c r="B99" s="203" t="str">
        <f>IF(L99=4,"АПРЕЛЬ",IF(L99=5,"МАЙ",IF(L99=1,"ЯНВАРЬ",IF(L99=2,"ФЕВРАЛЬ",IF(L99=3,"МАРТ",IF(L99=6,"ИЮНЬ",IF(L99=7,"ИЮЛЬ",IF(L99=8,"АВГУСТ",IF(L99=9,"СЕНТЯБРЬ",IF(L99=10,"ОКТЯБРЬ",IF(L99=11,"НОЯБРЬ",IF(L99=12,"ДЕКАБРЬ"))))))))))))</f>
        <v>АПРЕЛЬ</v>
      </c>
      <c r="J99" s="89"/>
      <c r="K99" s="90"/>
      <c r="L99" s="91">
        <f>MONTH(B100)</f>
        <v>4</v>
      </c>
      <c r="M99" s="66"/>
      <c r="N99" s="66"/>
      <c r="O99" s="66"/>
      <c r="P99" s="113"/>
      <c r="Q99" s="66"/>
      <c r="T99" s="54"/>
      <c r="U99" s="54"/>
      <c r="V99" s="54"/>
      <c r="W99" s="54"/>
      <c r="X99" s="54"/>
      <c r="Y99" s="54"/>
      <c r="Z99" s="54"/>
      <c r="AA99" s="54"/>
      <c r="AB99" s="287"/>
      <c r="AC99" s="54"/>
      <c r="AD99" s="54"/>
    </row>
    <row r="100">
      <c r="A100" s="54"/>
      <c r="B100" s="98">
        <v>45750.0</v>
      </c>
      <c r="C100" s="98"/>
      <c r="D100" s="99"/>
      <c r="E100" s="100">
        <v>1909131.0</v>
      </c>
      <c r="F100" s="99">
        <f>E100-E98</f>
        <v>1537</v>
      </c>
      <c r="G100" s="100">
        <v>1047.0</v>
      </c>
      <c r="H100" s="101">
        <v>392.0</v>
      </c>
      <c r="I100" s="101">
        <v>410.23</v>
      </c>
      <c r="J100" s="102">
        <f t="shared" ref="J100:J107" si="19">H100-I100</f>
        <v>-18.23</v>
      </c>
      <c r="K100" s="103">
        <f t="shared" ref="K100:K107" si="20">I100/F100*100</f>
        <v>26.69030579</v>
      </c>
      <c r="L100" s="54"/>
      <c r="M100" s="82" t="str">
        <f>"тотал"&amp;" "&amp;B99&amp;" "&amp;RIGHT(YEAR(B100),2)</f>
        <v>тотал АПРЕЛЬ 25</v>
      </c>
      <c r="N100" s="75"/>
      <c r="O100" s="75"/>
      <c r="P100" s="75"/>
      <c r="Q100" s="76"/>
    </row>
    <row r="101">
      <c r="A101" s="54"/>
      <c r="B101" s="98">
        <v>45762.0</v>
      </c>
      <c r="C101" s="98"/>
      <c r="D101" s="99"/>
      <c r="E101" s="100">
        <v>1910902.0</v>
      </c>
      <c r="F101" s="99">
        <f t="shared" ref="F101:F107" si="21">E101-E100</f>
        <v>1771</v>
      </c>
      <c r="G101" s="100">
        <v>1073.0</v>
      </c>
      <c r="H101" s="101">
        <v>557.0</v>
      </c>
      <c r="I101" s="101">
        <v>575.07</v>
      </c>
      <c r="J101" s="102">
        <f t="shared" si="19"/>
        <v>-18.07</v>
      </c>
      <c r="K101" s="103">
        <f t="shared" si="20"/>
        <v>32.47148504</v>
      </c>
      <c r="L101" s="54"/>
      <c r="M101" s="84" t="s">
        <v>70</v>
      </c>
      <c r="N101" s="84" t="s">
        <v>71</v>
      </c>
      <c r="O101" s="84" t="s">
        <v>27</v>
      </c>
      <c r="P101" s="77" t="s">
        <v>28</v>
      </c>
      <c r="Q101" s="12" t="s">
        <v>78</v>
      </c>
    </row>
    <row r="102">
      <c r="A102" s="54"/>
      <c r="B102" s="98">
        <v>45764.0</v>
      </c>
      <c r="C102" s="98"/>
      <c r="D102" s="99"/>
      <c r="E102" s="100">
        <v>1912339.0</v>
      </c>
      <c r="F102" s="99">
        <f t="shared" si="21"/>
        <v>1437</v>
      </c>
      <c r="G102" s="100">
        <v>1072.0</v>
      </c>
      <c r="H102" s="101">
        <v>379.0</v>
      </c>
      <c r="I102" s="101">
        <v>392.44</v>
      </c>
      <c r="J102" s="102">
        <f t="shared" si="19"/>
        <v>-13.44</v>
      </c>
      <c r="K102" s="103">
        <f t="shared" si="20"/>
        <v>27.30967293</v>
      </c>
      <c r="L102" s="54"/>
      <c r="M102" s="84">
        <f>SUM(F100:F107)</f>
        <v>12255</v>
      </c>
      <c r="N102" s="84">
        <f>SUM(I100:I107)</f>
        <v>3445.55</v>
      </c>
      <c r="O102" s="85">
        <f>N102/M102*100</f>
        <v>28.11546308</v>
      </c>
      <c r="P102" s="79">
        <f>(M102/100)*(O102-Q102)</f>
        <v>14.15</v>
      </c>
      <c r="Q102" s="78">
        <v>28.0</v>
      </c>
    </row>
    <row r="103">
      <c r="A103" s="54"/>
      <c r="B103" s="98">
        <v>45766.0</v>
      </c>
      <c r="C103" s="98"/>
      <c r="D103" s="99"/>
      <c r="E103" s="100">
        <v>1913772.0</v>
      </c>
      <c r="F103" s="99">
        <f t="shared" si="21"/>
        <v>1433</v>
      </c>
      <c r="G103" s="100">
        <v>1073.0</v>
      </c>
      <c r="H103" s="101">
        <v>373.0</v>
      </c>
      <c r="I103" s="101">
        <v>386.0</v>
      </c>
      <c r="J103" s="102">
        <f t="shared" si="19"/>
        <v>-13</v>
      </c>
      <c r="K103" s="103">
        <f t="shared" si="20"/>
        <v>26.93649686</v>
      </c>
      <c r="L103" s="54"/>
      <c r="M103" s="54"/>
      <c r="P103" s="44"/>
    </row>
    <row r="104">
      <c r="A104" s="54"/>
      <c r="B104" s="98">
        <v>45769.0</v>
      </c>
      <c r="C104" s="98"/>
      <c r="D104" s="99"/>
      <c r="E104" s="100">
        <v>1915751.0</v>
      </c>
      <c r="F104" s="99">
        <f t="shared" si="21"/>
        <v>1979</v>
      </c>
      <c r="G104" s="100">
        <v>1052.0</v>
      </c>
      <c r="H104" s="101">
        <v>476.0</v>
      </c>
      <c r="I104" s="101">
        <v>495.8</v>
      </c>
      <c r="J104" s="102">
        <f t="shared" si="19"/>
        <v>-19.8</v>
      </c>
      <c r="K104" s="103">
        <f t="shared" si="20"/>
        <v>25.0530571</v>
      </c>
      <c r="L104" s="54"/>
      <c r="M104" s="54"/>
      <c r="P104" s="44"/>
    </row>
    <row r="105">
      <c r="A105" s="54"/>
      <c r="B105" s="98">
        <v>45771.0</v>
      </c>
      <c r="C105" s="98"/>
      <c r="D105" s="99"/>
      <c r="E105" s="100">
        <v>1916790.0</v>
      </c>
      <c r="F105" s="99">
        <f t="shared" si="21"/>
        <v>1039</v>
      </c>
      <c r="G105" s="100">
        <v>1077.0</v>
      </c>
      <c r="H105" s="101">
        <v>311.0</v>
      </c>
      <c r="I105" s="101">
        <v>321.0</v>
      </c>
      <c r="J105" s="102">
        <f t="shared" si="19"/>
        <v>-10</v>
      </c>
      <c r="K105" s="103">
        <f t="shared" si="20"/>
        <v>30.89509143</v>
      </c>
      <c r="L105" s="54"/>
      <c r="M105" s="54"/>
      <c r="P105" s="44"/>
    </row>
    <row r="106">
      <c r="A106" s="54"/>
      <c r="B106" s="98">
        <v>45773.0</v>
      </c>
      <c r="C106" s="98"/>
      <c r="D106" s="99"/>
      <c r="E106" s="100">
        <v>1918224.0</v>
      </c>
      <c r="F106" s="99">
        <f t="shared" si="21"/>
        <v>1434</v>
      </c>
      <c r="G106" s="100">
        <v>1070.0</v>
      </c>
      <c r="H106" s="101">
        <v>394.0</v>
      </c>
      <c r="I106" s="101">
        <v>407.25</v>
      </c>
      <c r="J106" s="102">
        <f t="shared" si="19"/>
        <v>-13.25</v>
      </c>
      <c r="K106" s="103">
        <f t="shared" si="20"/>
        <v>28.39958159</v>
      </c>
      <c r="L106" s="54"/>
      <c r="M106" s="54"/>
      <c r="P106" s="44"/>
    </row>
    <row r="107">
      <c r="A107" s="54"/>
      <c r="B107" s="98">
        <v>45776.0</v>
      </c>
      <c r="C107" s="98"/>
      <c r="D107" s="99"/>
      <c r="E107" s="100">
        <v>1919849.0</v>
      </c>
      <c r="F107" s="99">
        <f t="shared" si="21"/>
        <v>1625</v>
      </c>
      <c r="G107" s="100">
        <v>1080.0</v>
      </c>
      <c r="H107" s="101">
        <v>444.0</v>
      </c>
      <c r="I107" s="101">
        <v>457.76</v>
      </c>
      <c r="J107" s="102">
        <f t="shared" si="19"/>
        <v>-13.76</v>
      </c>
      <c r="K107" s="103">
        <f t="shared" si="20"/>
        <v>28.16984615</v>
      </c>
      <c r="L107" s="54"/>
      <c r="M107" s="54"/>
      <c r="P107" s="44"/>
    </row>
    <row r="108">
      <c r="A108" s="89"/>
      <c r="B108" s="203" t="str">
        <f>IF(L108=4,"АПРЕЛЬ",IF(L108=5,"МАЙ",IF(L108=1,"ЯНВАРЬ",IF(L108=2,"ФЕВРАЛЬ",IF(L108=3,"МАРТ",IF(L108=6,"ИЮНЬ",IF(L108=7,"ИЮЛЬ",IF(L108=8,"АВГУСТ",IF(L108=9,"СЕНТЯБРЬ",IF(L108=10,"ОКТЯБРЬ",IF(L108=11,"НОЯБРЬ",IF(L108=12,"ДЕКАБРЬ"))))))))))))</f>
        <v>МАЙ</v>
      </c>
      <c r="J108" s="89"/>
      <c r="K108" s="90"/>
      <c r="L108" s="91">
        <f>MONTH(B109)</f>
        <v>5</v>
      </c>
      <c r="M108" s="66"/>
      <c r="N108" s="66"/>
      <c r="O108" s="66"/>
      <c r="P108" s="113"/>
      <c r="Q108" s="66"/>
      <c r="T108" s="54"/>
      <c r="U108" s="54"/>
      <c r="V108" s="54"/>
      <c r="W108" s="54"/>
      <c r="X108" s="54"/>
      <c r="Y108" s="54"/>
      <c r="Z108" s="54"/>
      <c r="AA108" s="54"/>
      <c r="AB108" s="287"/>
      <c r="AC108" s="54"/>
      <c r="AD108" s="54"/>
    </row>
    <row r="109">
      <c r="A109" s="54"/>
      <c r="B109" s="98">
        <v>45792.0</v>
      </c>
      <c r="C109" s="100" t="s">
        <v>123</v>
      </c>
      <c r="D109" s="100" t="s">
        <v>289</v>
      </c>
      <c r="E109" s="100">
        <v>1921430.0</v>
      </c>
      <c r="F109" s="99">
        <f>E109-E107</f>
        <v>1581</v>
      </c>
      <c r="G109" s="100">
        <v>1078.0</v>
      </c>
      <c r="H109" s="101">
        <v>428.0</v>
      </c>
      <c r="I109" s="101">
        <v>440.0</v>
      </c>
      <c r="J109" s="102">
        <f t="shared" ref="J109:J115" si="22">H109-I109</f>
        <v>-12</v>
      </c>
      <c r="K109" s="103">
        <f t="shared" ref="K109:K115" si="23">I109/F109*100</f>
        <v>27.83048703</v>
      </c>
      <c r="L109" s="54"/>
      <c r="M109" s="82" t="str">
        <f>"тотал"&amp;" "&amp;B108&amp;" "&amp;RIGHT(YEAR(B109),2)</f>
        <v>тотал МАЙ 25</v>
      </c>
      <c r="N109" s="75"/>
      <c r="O109" s="75"/>
      <c r="P109" s="75"/>
      <c r="Q109" s="76"/>
    </row>
    <row r="110">
      <c r="A110" s="54"/>
      <c r="B110" s="98">
        <v>45794.0</v>
      </c>
      <c r="C110" s="100" t="s">
        <v>123</v>
      </c>
      <c r="D110" s="100" t="s">
        <v>289</v>
      </c>
      <c r="E110" s="100">
        <v>1922867.0</v>
      </c>
      <c r="F110" s="99">
        <f t="shared" ref="F110:F115" si="24">E110-E109</f>
        <v>1437</v>
      </c>
      <c r="G110" s="100">
        <v>1074.0</v>
      </c>
      <c r="H110" s="101">
        <v>384.0</v>
      </c>
      <c r="I110" s="101">
        <v>395.89</v>
      </c>
      <c r="J110" s="102">
        <f t="shared" si="22"/>
        <v>-11.89</v>
      </c>
      <c r="K110" s="103">
        <f t="shared" si="23"/>
        <v>27.54975644</v>
      </c>
      <c r="L110" s="54"/>
      <c r="M110" s="84" t="s">
        <v>70</v>
      </c>
      <c r="N110" s="84" t="s">
        <v>71</v>
      </c>
      <c r="O110" s="84" t="s">
        <v>27</v>
      </c>
      <c r="P110" s="77" t="s">
        <v>28</v>
      </c>
      <c r="Q110" s="12" t="s">
        <v>78</v>
      </c>
    </row>
    <row r="111">
      <c r="A111" s="54"/>
      <c r="B111" s="98">
        <v>45797.0</v>
      </c>
      <c r="C111" s="100" t="s">
        <v>123</v>
      </c>
      <c r="D111" s="100" t="s">
        <v>289</v>
      </c>
      <c r="E111" s="100">
        <v>1924453.0</v>
      </c>
      <c r="F111" s="99">
        <f t="shared" si="24"/>
        <v>1586</v>
      </c>
      <c r="G111" s="100">
        <v>1078.0</v>
      </c>
      <c r="H111" s="101">
        <v>413.0</v>
      </c>
      <c r="I111" s="101">
        <v>425.47</v>
      </c>
      <c r="J111" s="102">
        <f t="shared" si="22"/>
        <v>-12.47</v>
      </c>
      <c r="K111" s="103">
        <f t="shared" si="23"/>
        <v>26.82660782</v>
      </c>
      <c r="L111" s="54"/>
      <c r="M111" s="84">
        <f>SUM(F109:F115)</f>
        <v>10640</v>
      </c>
      <c r="N111" s="84">
        <f>SUM(I109:I115)</f>
        <v>2834.56</v>
      </c>
      <c r="O111" s="85">
        <f>N111/M111*100</f>
        <v>26.6406015</v>
      </c>
      <c r="P111" s="79">
        <f>(M111/100)*(O111-Q111)</f>
        <v>-144.64</v>
      </c>
      <c r="Q111" s="78">
        <v>28.0</v>
      </c>
    </row>
    <row r="112">
      <c r="A112" s="54"/>
      <c r="B112" s="98">
        <v>45799.0</v>
      </c>
      <c r="C112" s="100" t="s">
        <v>123</v>
      </c>
      <c r="D112" s="100" t="s">
        <v>289</v>
      </c>
      <c r="E112" s="100">
        <v>1925901.0</v>
      </c>
      <c r="F112" s="99">
        <f t="shared" si="24"/>
        <v>1448</v>
      </c>
      <c r="G112" s="100">
        <v>1076.0</v>
      </c>
      <c r="H112" s="101">
        <v>365.0</v>
      </c>
      <c r="I112" s="102">
        <f>214.65+161.02</f>
        <v>375.67</v>
      </c>
      <c r="J112" s="102">
        <f t="shared" si="22"/>
        <v>-10.67</v>
      </c>
      <c r="K112" s="103">
        <f t="shared" si="23"/>
        <v>25.94406077</v>
      </c>
      <c r="L112" s="54"/>
      <c r="M112" s="54"/>
      <c r="P112" s="44"/>
    </row>
    <row r="113">
      <c r="A113" s="54"/>
      <c r="B113" s="98">
        <v>45801.0</v>
      </c>
      <c r="C113" s="100" t="s">
        <v>123</v>
      </c>
      <c r="D113" s="100" t="s">
        <v>289</v>
      </c>
      <c r="E113" s="100">
        <v>1927350.0</v>
      </c>
      <c r="F113" s="99">
        <f t="shared" si="24"/>
        <v>1449</v>
      </c>
      <c r="G113" s="100">
        <v>1075.0</v>
      </c>
      <c r="H113" s="101">
        <v>358.0</v>
      </c>
      <c r="I113" s="101">
        <v>370.01</v>
      </c>
      <c r="J113" s="102">
        <f t="shared" si="22"/>
        <v>-12.01</v>
      </c>
      <c r="K113" s="103">
        <f t="shared" si="23"/>
        <v>25.53554175</v>
      </c>
      <c r="L113" s="54"/>
      <c r="M113" s="54"/>
      <c r="P113" s="44"/>
    </row>
    <row r="114">
      <c r="A114" s="54"/>
      <c r="B114" s="98">
        <v>45803.0</v>
      </c>
      <c r="C114" s="100" t="s">
        <v>123</v>
      </c>
      <c r="D114" s="100" t="s">
        <v>289</v>
      </c>
      <c r="E114" s="100">
        <v>1928814.0</v>
      </c>
      <c r="F114" s="99">
        <f t="shared" si="24"/>
        <v>1464</v>
      </c>
      <c r="G114" s="100">
        <v>1074.0</v>
      </c>
      <c r="H114" s="101">
        <v>368.0</v>
      </c>
      <c r="I114" s="101">
        <v>380.0</v>
      </c>
      <c r="J114" s="102">
        <f t="shared" si="22"/>
        <v>-12</v>
      </c>
      <c r="K114" s="103">
        <f t="shared" si="23"/>
        <v>25.95628415</v>
      </c>
      <c r="L114" s="54"/>
      <c r="M114" s="54"/>
      <c r="P114" s="44"/>
    </row>
    <row r="115">
      <c r="A115" s="54"/>
      <c r="B115" s="98">
        <v>45808.0</v>
      </c>
      <c r="C115" s="100" t="s">
        <v>123</v>
      </c>
      <c r="D115" s="100" t="s">
        <v>290</v>
      </c>
      <c r="E115" s="100">
        <v>1930489.0</v>
      </c>
      <c r="F115" s="99">
        <f t="shared" si="24"/>
        <v>1675</v>
      </c>
      <c r="G115" s="100">
        <v>1055.0</v>
      </c>
      <c r="H115" s="101">
        <v>431.0</v>
      </c>
      <c r="I115" s="101">
        <f>207.18+240.34</f>
        <v>447.52</v>
      </c>
      <c r="J115" s="102">
        <f t="shared" si="22"/>
        <v>-16.52</v>
      </c>
      <c r="K115" s="103">
        <f t="shared" si="23"/>
        <v>26.71761194</v>
      </c>
      <c r="L115" s="54"/>
      <c r="M115" s="54"/>
      <c r="P115" s="44"/>
    </row>
    <row r="116">
      <c r="A116" s="89"/>
      <c r="B116" s="203" t="str">
        <f>IF(L116=4,"АПРЕЛЬ",IF(L116=5,"МАЙ",IF(L116=1,"ЯНВАРЬ",IF(L116=2,"ФЕВРАЛЬ",IF(L116=3,"МАРТ",IF(L116=6,"ИЮНЬ",IF(L116=7,"ИЮЛЬ",IF(L116=8,"АВГУСТ",IF(L116=9,"СЕНТЯБРЬ",IF(L116=10,"ОКТЯБРЬ",IF(L116=11,"НОЯБРЬ",IF(L116=12,"ДЕКАБРЬ"))))))))))))</f>
        <v>ИЮНЬ</v>
      </c>
      <c r="J116" s="89"/>
      <c r="K116" s="90"/>
      <c r="L116" s="91">
        <f>MONTH(B117)</f>
        <v>6</v>
      </c>
      <c r="M116" s="66"/>
      <c r="N116" s="66"/>
      <c r="O116" s="66"/>
      <c r="P116" s="113"/>
      <c r="Q116" s="66"/>
      <c r="T116" s="54"/>
      <c r="U116" s="54"/>
      <c r="V116" s="54"/>
      <c r="W116" s="54"/>
      <c r="X116" s="54"/>
      <c r="Y116" s="54"/>
      <c r="Z116" s="54"/>
      <c r="AA116" s="54"/>
      <c r="AB116" s="287"/>
      <c r="AC116" s="54"/>
      <c r="AD116" s="54"/>
    </row>
    <row r="117">
      <c r="A117" s="54"/>
      <c r="B117" s="98">
        <v>45810.0</v>
      </c>
      <c r="C117" s="100" t="s">
        <v>123</v>
      </c>
      <c r="D117" s="100" t="s">
        <v>290</v>
      </c>
      <c r="E117" s="100">
        <v>1931969.0</v>
      </c>
      <c r="F117" s="99">
        <f>E117-E115</f>
        <v>1480</v>
      </c>
      <c r="G117" s="100">
        <v>1055.0</v>
      </c>
      <c r="H117" s="101">
        <v>377.0</v>
      </c>
      <c r="I117" s="101">
        <v>391.39</v>
      </c>
      <c r="J117" s="102">
        <f t="shared" ref="J117:J124" si="25">H117-I117</f>
        <v>-14.39</v>
      </c>
      <c r="K117" s="103">
        <f t="shared" ref="K117:K124" si="26">I117/F117*100</f>
        <v>26.44527027</v>
      </c>
      <c r="L117" s="54"/>
      <c r="M117" s="82" t="str">
        <f>"тотал"&amp;" "&amp;B116&amp;" "&amp;RIGHT(YEAR(B117),2)</f>
        <v>тотал ИЮНЬ 25</v>
      </c>
      <c r="N117" s="75"/>
      <c r="O117" s="75"/>
      <c r="P117" s="75"/>
      <c r="Q117" s="76"/>
    </row>
    <row r="118">
      <c r="A118" s="54"/>
      <c r="B118" s="98">
        <v>45818.0</v>
      </c>
      <c r="C118" s="100" t="s">
        <v>123</v>
      </c>
      <c r="D118" s="100" t="s">
        <v>290</v>
      </c>
      <c r="E118" s="100">
        <v>1933586.0</v>
      </c>
      <c r="F118" s="99">
        <f t="shared" ref="F118:F124" si="27">E118-E117</f>
        <v>1617</v>
      </c>
      <c r="G118" s="100">
        <v>1068.0</v>
      </c>
      <c r="H118" s="101">
        <v>430.0</v>
      </c>
      <c r="I118" s="101">
        <v>445.26</v>
      </c>
      <c r="J118" s="102">
        <f t="shared" si="25"/>
        <v>-15.26</v>
      </c>
      <c r="K118" s="103">
        <f t="shared" si="26"/>
        <v>27.53617811</v>
      </c>
      <c r="L118" s="54"/>
      <c r="M118" s="84" t="s">
        <v>70</v>
      </c>
      <c r="N118" s="84" t="s">
        <v>71</v>
      </c>
      <c r="O118" s="84" t="s">
        <v>27</v>
      </c>
      <c r="P118" s="77" t="s">
        <v>28</v>
      </c>
      <c r="Q118" s="12" t="s">
        <v>78</v>
      </c>
    </row>
    <row r="119">
      <c r="A119" s="54"/>
      <c r="B119" s="98">
        <v>45820.0</v>
      </c>
      <c r="C119" s="100" t="s">
        <v>123</v>
      </c>
      <c r="D119" s="100" t="s">
        <v>289</v>
      </c>
      <c r="E119" s="100">
        <v>1935036.0</v>
      </c>
      <c r="F119" s="99">
        <f t="shared" si="27"/>
        <v>1450</v>
      </c>
      <c r="G119" s="100">
        <v>1076.0</v>
      </c>
      <c r="H119" s="101">
        <v>385.0</v>
      </c>
      <c r="I119" s="101">
        <v>396.51</v>
      </c>
      <c r="J119" s="102">
        <f t="shared" si="25"/>
        <v>-11.51</v>
      </c>
      <c r="K119" s="103">
        <f t="shared" si="26"/>
        <v>27.34551724</v>
      </c>
      <c r="L119" s="54"/>
      <c r="M119" s="84">
        <f>SUM(F117:F124)</f>
        <v>12014</v>
      </c>
      <c r="N119" s="84">
        <f>SUM(I117:I124)</f>
        <v>3211.69</v>
      </c>
      <c r="O119" s="85">
        <f>N119/M119*100</f>
        <v>26.73289496</v>
      </c>
      <c r="P119" s="79">
        <f>(M119/100)*(O119-Q119)</f>
        <v>-152.23</v>
      </c>
      <c r="Q119" s="78">
        <v>28.0</v>
      </c>
    </row>
    <row r="120">
      <c r="A120" s="54"/>
      <c r="B120" s="98">
        <v>45821.0</v>
      </c>
      <c r="C120" s="100" t="s">
        <v>123</v>
      </c>
      <c r="D120" s="100" t="s">
        <v>289</v>
      </c>
      <c r="E120" s="100">
        <v>1936540.0</v>
      </c>
      <c r="F120" s="99">
        <f t="shared" si="27"/>
        <v>1504</v>
      </c>
      <c r="G120" s="100">
        <v>1078.0</v>
      </c>
      <c r="H120" s="101">
        <v>377.0</v>
      </c>
      <c r="I120" s="101">
        <v>390.0</v>
      </c>
      <c r="J120" s="102">
        <f t="shared" si="25"/>
        <v>-13</v>
      </c>
      <c r="K120" s="103">
        <f t="shared" si="26"/>
        <v>25.93085106</v>
      </c>
      <c r="L120" s="54"/>
      <c r="M120" s="54"/>
      <c r="P120" s="44"/>
    </row>
    <row r="121">
      <c r="A121" s="54"/>
      <c r="B121" s="98">
        <v>45825.0</v>
      </c>
      <c r="C121" s="100" t="s">
        <v>123</v>
      </c>
      <c r="D121" s="100" t="s">
        <v>289</v>
      </c>
      <c r="E121" s="100">
        <v>1938139.0</v>
      </c>
      <c r="F121" s="99">
        <f t="shared" si="27"/>
        <v>1599</v>
      </c>
      <c r="G121" s="100">
        <v>1079.0</v>
      </c>
      <c r="H121" s="101">
        <v>419.0</v>
      </c>
      <c r="I121" s="101">
        <v>432.74</v>
      </c>
      <c r="J121" s="102">
        <f t="shared" si="25"/>
        <v>-13.74</v>
      </c>
      <c r="K121" s="103">
        <f t="shared" si="26"/>
        <v>27.06316448</v>
      </c>
      <c r="L121" s="54"/>
      <c r="M121" s="77" t="s">
        <v>70</v>
      </c>
      <c r="N121" s="78" t="s">
        <v>119</v>
      </c>
      <c r="O121" s="78" t="s">
        <v>27</v>
      </c>
      <c r="P121" s="78" t="s">
        <v>46</v>
      </c>
      <c r="Q121" s="78" t="s">
        <v>78</v>
      </c>
    </row>
    <row r="122">
      <c r="A122" s="54"/>
      <c r="B122" s="98">
        <v>45827.0</v>
      </c>
      <c r="C122" s="100" t="s">
        <v>123</v>
      </c>
      <c r="D122" s="100" t="s">
        <v>289</v>
      </c>
      <c r="E122" s="100">
        <v>1939590.0</v>
      </c>
      <c r="F122" s="99">
        <f t="shared" si="27"/>
        <v>1451</v>
      </c>
      <c r="G122" s="100">
        <v>1081.0</v>
      </c>
      <c r="H122" s="101">
        <v>373.0</v>
      </c>
      <c r="I122" s="101">
        <v>385.02</v>
      </c>
      <c r="J122" s="102">
        <f t="shared" si="25"/>
        <v>-12.02</v>
      </c>
      <c r="K122" s="103">
        <f t="shared" si="26"/>
        <v>26.53480358</v>
      </c>
      <c r="L122" s="60" t="s">
        <v>291</v>
      </c>
      <c r="M122" s="79">
        <f>SUM(F124)</f>
        <v>1475</v>
      </c>
      <c r="N122" s="80">
        <f>SUM(I124)</f>
        <v>375.52</v>
      </c>
      <c r="O122" s="81">
        <f t="shared" ref="O122:O124" si="28">N122/M122*100</f>
        <v>25.45898305</v>
      </c>
      <c r="P122" s="80">
        <f t="shared" ref="P122:P124" si="29">(M122/100)*(O122-Q122)</f>
        <v>-37.48</v>
      </c>
      <c r="Q122" s="78">
        <v>28.0</v>
      </c>
    </row>
    <row r="123">
      <c r="A123" s="54"/>
      <c r="B123" s="98">
        <v>45829.0</v>
      </c>
      <c r="C123" s="100" t="s">
        <v>123</v>
      </c>
      <c r="D123" s="100" t="s">
        <v>289</v>
      </c>
      <c r="E123" s="100">
        <v>1941028.0</v>
      </c>
      <c r="F123" s="99">
        <f t="shared" si="27"/>
        <v>1438</v>
      </c>
      <c r="G123" s="100">
        <v>1081.0</v>
      </c>
      <c r="H123" s="101">
        <v>383.0</v>
      </c>
      <c r="I123" s="101">
        <v>395.25</v>
      </c>
      <c r="J123" s="102">
        <f t="shared" si="25"/>
        <v>-12.25</v>
      </c>
      <c r="K123" s="103">
        <f t="shared" si="26"/>
        <v>27.48609179</v>
      </c>
      <c r="L123" s="60" t="s">
        <v>289</v>
      </c>
      <c r="M123" s="79">
        <f>SUM(F119:F123)</f>
        <v>7442</v>
      </c>
      <c r="N123" s="80">
        <f>SUM(I119:I123)</f>
        <v>1999.52</v>
      </c>
      <c r="O123" s="81">
        <f t="shared" si="28"/>
        <v>26.86804622</v>
      </c>
      <c r="P123" s="80">
        <f t="shared" si="29"/>
        <v>-84.24</v>
      </c>
      <c r="Q123" s="78">
        <v>28.0</v>
      </c>
    </row>
    <row r="124">
      <c r="A124" s="336">
        <v>8378.0</v>
      </c>
      <c r="B124" s="337">
        <v>45838.0</v>
      </c>
      <c r="C124" s="100" t="s">
        <v>123</v>
      </c>
      <c r="D124" s="100" t="s">
        <v>291</v>
      </c>
      <c r="E124" s="209">
        <v>1942503.0</v>
      </c>
      <c r="F124" s="99">
        <f t="shared" si="27"/>
        <v>1475</v>
      </c>
      <c r="G124" s="209">
        <v>1048.0</v>
      </c>
      <c r="H124" s="338">
        <v>357.0</v>
      </c>
      <c r="I124" s="211">
        <f>205+195-24.48</f>
        <v>375.52</v>
      </c>
      <c r="J124" s="339">
        <f t="shared" si="25"/>
        <v>-18.52</v>
      </c>
      <c r="K124" s="340">
        <f t="shared" si="26"/>
        <v>25.45898305</v>
      </c>
      <c r="L124" s="60" t="s">
        <v>290</v>
      </c>
      <c r="M124" s="79">
        <f>SUM(F117:F118)</f>
        <v>3097</v>
      </c>
      <c r="N124" s="80">
        <f>SUM(I117:I118)</f>
        <v>836.65</v>
      </c>
      <c r="O124" s="81">
        <f t="shared" si="28"/>
        <v>27.01485308</v>
      </c>
      <c r="P124" s="80">
        <f t="shared" si="29"/>
        <v>-30.51</v>
      </c>
      <c r="Q124" s="78">
        <v>28.0</v>
      </c>
    </row>
    <row r="125">
      <c r="A125" s="89"/>
      <c r="B125" s="203" t="str">
        <f>IF(L125=4,"АПРЕЛЬ",IF(L125=5,"МАЙ",IF(L125=1,"ЯНВАРЬ",IF(L125=2,"ФЕВРАЛЬ",IF(L125=3,"МАРТ",IF(L125=6,"ИЮНЬ",IF(L125=7,"ИЮЛЬ",IF(L125=8,"АВГУСТ",IF(L125=9,"СЕНТЯБРЬ",IF(L125=10,"ОКТЯБРЬ",IF(L125=11,"НОЯБРЬ",IF(L125=12,"ДЕКАБРЬ"))))))))))))</f>
        <v>ИЮЛЬ</v>
      </c>
      <c r="J125" s="89"/>
      <c r="K125" s="90"/>
      <c r="L125" s="91">
        <f>MONTH(B126)</f>
        <v>7</v>
      </c>
      <c r="M125" s="66"/>
      <c r="N125" s="66"/>
      <c r="O125" s="66"/>
      <c r="P125" s="113"/>
      <c r="Q125" s="66"/>
      <c r="T125" s="54"/>
      <c r="U125" s="54"/>
      <c r="V125" s="54"/>
      <c r="W125" s="54"/>
      <c r="X125" s="54"/>
      <c r="Y125" s="54"/>
      <c r="Z125" s="54"/>
      <c r="AA125" s="54"/>
      <c r="AB125" s="287"/>
      <c r="AC125" s="54"/>
      <c r="AD125" s="54"/>
    </row>
    <row r="126">
      <c r="A126" s="336">
        <v>8378.0</v>
      </c>
      <c r="B126" s="341">
        <v>45840.0</v>
      </c>
      <c r="C126" s="100" t="s">
        <v>123</v>
      </c>
      <c r="D126" s="100" t="s">
        <v>291</v>
      </c>
      <c r="E126" s="100">
        <v>1943969.0</v>
      </c>
      <c r="F126" s="99">
        <f>E126-E124</f>
        <v>1466</v>
      </c>
      <c r="G126" s="100">
        <v>1089.0</v>
      </c>
      <c r="H126" s="101">
        <v>429.0</v>
      </c>
      <c r="I126" s="102">
        <f>250+250-55</f>
        <v>445</v>
      </c>
      <c r="J126" s="102">
        <f t="shared" ref="J126:J138" si="30">H126-I126</f>
        <v>-16</v>
      </c>
      <c r="K126" s="103">
        <f t="shared" ref="K126:K138" si="31">I126/F126*100</f>
        <v>30.35470668</v>
      </c>
      <c r="L126" s="54"/>
      <c r="M126" s="82" t="str">
        <f>"тотал"&amp;" "&amp;B125&amp;" "&amp;RIGHT(YEAR(B126),2)</f>
        <v>тотал ИЮЛЬ 25</v>
      </c>
      <c r="N126" s="75"/>
      <c r="O126" s="75"/>
      <c r="P126" s="75"/>
      <c r="Q126" s="76"/>
    </row>
    <row r="127">
      <c r="A127" s="54"/>
      <c r="B127" s="341">
        <v>45842.0</v>
      </c>
      <c r="C127" s="100" t="s">
        <v>123</v>
      </c>
      <c r="D127" s="100" t="s">
        <v>291</v>
      </c>
      <c r="E127" s="100">
        <v>1945326.0</v>
      </c>
      <c r="F127" s="99">
        <f t="shared" ref="F127:F138" si="32">E127-E126</f>
        <v>1357</v>
      </c>
      <c r="G127" s="100">
        <v>1061.0</v>
      </c>
      <c r="H127" s="101">
        <v>329.0</v>
      </c>
      <c r="I127" s="102">
        <f>197.8+141.71</f>
        <v>339.51</v>
      </c>
      <c r="J127" s="102">
        <f t="shared" si="30"/>
        <v>-10.51</v>
      </c>
      <c r="K127" s="103">
        <f t="shared" si="31"/>
        <v>25.01915991</v>
      </c>
      <c r="L127" s="54"/>
      <c r="M127" s="84" t="s">
        <v>70</v>
      </c>
      <c r="N127" s="84" t="s">
        <v>71</v>
      </c>
      <c r="O127" s="84" t="s">
        <v>27</v>
      </c>
      <c r="P127" s="77" t="s">
        <v>28</v>
      </c>
      <c r="Q127" s="12" t="s">
        <v>78</v>
      </c>
    </row>
    <row r="128">
      <c r="A128" s="54"/>
      <c r="B128" s="341">
        <v>45844.0</v>
      </c>
      <c r="C128" s="100" t="s">
        <v>123</v>
      </c>
      <c r="D128" s="100" t="s">
        <v>291</v>
      </c>
      <c r="E128" s="100">
        <v>1946950.0</v>
      </c>
      <c r="F128" s="99">
        <f t="shared" si="32"/>
        <v>1624</v>
      </c>
      <c r="G128" s="100">
        <v>1080.0</v>
      </c>
      <c r="H128" s="101">
        <v>434.0</v>
      </c>
      <c r="I128" s="102">
        <f>255+193.87</f>
        <v>448.87</v>
      </c>
      <c r="J128" s="102">
        <f t="shared" si="30"/>
        <v>-14.87</v>
      </c>
      <c r="K128" s="103">
        <f t="shared" si="31"/>
        <v>27.63977833</v>
      </c>
      <c r="L128" s="54"/>
      <c r="M128" s="84">
        <f>SUM(F126:F138)</f>
        <v>19611</v>
      </c>
      <c r="N128" s="84">
        <f>SUM(I126:I138)</f>
        <v>5274.42</v>
      </c>
      <c r="O128" s="85">
        <f>N128/M128*100</f>
        <v>26.89521187</v>
      </c>
      <c r="P128" s="79">
        <f>(M128/100)*(O128-Q128)</f>
        <v>-216.66</v>
      </c>
      <c r="Q128" s="78">
        <v>28.0</v>
      </c>
    </row>
    <row r="129">
      <c r="A129" s="54"/>
      <c r="B129" s="341">
        <v>45847.0</v>
      </c>
      <c r="C129" s="100" t="s">
        <v>123</v>
      </c>
      <c r="D129" s="100" t="s">
        <v>291</v>
      </c>
      <c r="E129" s="100">
        <v>1948534.0</v>
      </c>
      <c r="F129" s="99">
        <f t="shared" si="32"/>
        <v>1584</v>
      </c>
      <c r="G129" s="100">
        <v>1083.0</v>
      </c>
      <c r="H129" s="101">
        <v>409.0</v>
      </c>
      <c r="I129" s="102">
        <f>265+160</f>
        <v>425</v>
      </c>
      <c r="J129" s="102">
        <f t="shared" si="30"/>
        <v>-16</v>
      </c>
      <c r="K129" s="103">
        <f t="shared" si="31"/>
        <v>26.83080808</v>
      </c>
      <c r="L129" s="54"/>
      <c r="M129" s="54"/>
      <c r="P129" s="44"/>
    </row>
    <row r="130">
      <c r="A130" s="54"/>
      <c r="B130" s="341">
        <v>45849.0</v>
      </c>
      <c r="C130" s="100" t="s">
        <v>123</v>
      </c>
      <c r="D130" s="100" t="s">
        <v>291</v>
      </c>
      <c r="E130" s="100">
        <v>1950002.0</v>
      </c>
      <c r="F130" s="99">
        <f t="shared" si="32"/>
        <v>1468</v>
      </c>
      <c r="G130" s="100">
        <v>1082.0</v>
      </c>
      <c r="H130" s="101">
        <v>383.0</v>
      </c>
      <c r="I130" s="102">
        <f>235+160</f>
        <v>395</v>
      </c>
      <c r="J130" s="102">
        <f t="shared" si="30"/>
        <v>-12</v>
      </c>
      <c r="K130" s="103">
        <f t="shared" si="31"/>
        <v>26.90735695</v>
      </c>
      <c r="L130" s="54"/>
      <c r="M130" s="54"/>
      <c r="P130" s="44"/>
    </row>
    <row r="131">
      <c r="A131" s="54"/>
      <c r="B131" s="341">
        <v>45853.0</v>
      </c>
      <c r="C131" s="100" t="s">
        <v>123</v>
      </c>
      <c r="D131" s="100" t="s">
        <v>289</v>
      </c>
      <c r="E131" s="100">
        <v>1952385.0</v>
      </c>
      <c r="F131" s="99">
        <f t="shared" si="32"/>
        <v>2383</v>
      </c>
      <c r="G131" s="100">
        <v>833.0</v>
      </c>
      <c r="H131" s="101">
        <v>359.0</v>
      </c>
      <c r="I131" s="101">
        <v>378.47</v>
      </c>
      <c r="J131" s="102">
        <f t="shared" si="30"/>
        <v>-19.47</v>
      </c>
      <c r="K131" s="103">
        <f t="shared" si="31"/>
        <v>15.88208141</v>
      </c>
      <c r="L131" s="54"/>
      <c r="M131" s="77" t="s">
        <v>70</v>
      </c>
      <c r="N131" s="78" t="s">
        <v>119</v>
      </c>
      <c r="O131" s="78" t="s">
        <v>27</v>
      </c>
      <c r="P131" s="78" t="s">
        <v>46</v>
      </c>
      <c r="Q131" s="78" t="s">
        <v>78</v>
      </c>
    </row>
    <row r="132">
      <c r="A132" s="54"/>
      <c r="B132" s="341">
        <v>45855.0</v>
      </c>
      <c r="C132" s="100" t="s">
        <v>123</v>
      </c>
      <c r="D132" s="100" t="s">
        <v>289</v>
      </c>
      <c r="E132" s="100">
        <v>1953770.0</v>
      </c>
      <c r="F132" s="99">
        <f t="shared" si="32"/>
        <v>1385</v>
      </c>
      <c r="G132" s="100">
        <v>816.0</v>
      </c>
      <c r="H132" s="101">
        <v>331.0</v>
      </c>
      <c r="I132" s="101">
        <v>347.81</v>
      </c>
      <c r="J132" s="102">
        <f t="shared" si="30"/>
        <v>-16.81</v>
      </c>
      <c r="K132" s="103">
        <f t="shared" si="31"/>
        <v>25.11263538</v>
      </c>
      <c r="L132" s="60" t="s">
        <v>291</v>
      </c>
      <c r="M132" s="79">
        <f>SUM(F126:F130)+SUM(F137:F138)</f>
        <v>10443</v>
      </c>
      <c r="N132" s="80">
        <f>SUM(I126:I130)+SUM(I137:I138)</f>
        <v>2852.33</v>
      </c>
      <c r="O132" s="81">
        <f t="shared" ref="O132:O133" si="33">N132/M132*100</f>
        <v>27.31331993</v>
      </c>
      <c r="P132" s="80">
        <f t="shared" ref="P132:P133" si="34">(M132/100)*(O132-Q132)</f>
        <v>-71.71</v>
      </c>
      <c r="Q132" s="78">
        <v>28.0</v>
      </c>
    </row>
    <row r="133">
      <c r="A133" s="54"/>
      <c r="B133" s="341">
        <v>45857.0</v>
      </c>
      <c r="C133" s="100" t="s">
        <v>123</v>
      </c>
      <c r="D133" s="100" t="s">
        <v>289</v>
      </c>
      <c r="E133" s="100">
        <v>1955034.0</v>
      </c>
      <c r="F133" s="99">
        <f t="shared" si="32"/>
        <v>1264</v>
      </c>
      <c r="G133" s="100">
        <v>973.0</v>
      </c>
      <c r="H133" s="101">
        <v>477.0</v>
      </c>
      <c r="I133" s="102">
        <f>300--50--150</f>
        <v>500</v>
      </c>
      <c r="J133" s="102">
        <f t="shared" si="30"/>
        <v>-23</v>
      </c>
      <c r="K133" s="103">
        <f t="shared" si="31"/>
        <v>39.55696203</v>
      </c>
      <c r="L133" s="60" t="s">
        <v>289</v>
      </c>
      <c r="M133" s="79">
        <f>SUM(F131:F136)</f>
        <v>9168</v>
      </c>
      <c r="N133" s="80">
        <f>SUM(I131:I136)</f>
        <v>2422.09</v>
      </c>
      <c r="O133" s="81">
        <f t="shared" si="33"/>
        <v>26.41895724</v>
      </c>
      <c r="P133" s="80">
        <f t="shared" si="34"/>
        <v>-144.95</v>
      </c>
      <c r="Q133" s="78">
        <v>28.0</v>
      </c>
    </row>
    <row r="134">
      <c r="A134" s="54"/>
      <c r="B134" s="341">
        <v>45860.0</v>
      </c>
      <c r="C134" s="100" t="s">
        <v>123</v>
      </c>
      <c r="D134" s="100" t="s">
        <v>289</v>
      </c>
      <c r="E134" s="100">
        <v>1956635.0</v>
      </c>
      <c r="F134" s="99">
        <f t="shared" si="32"/>
        <v>1601</v>
      </c>
      <c r="G134" s="100">
        <v>1044.0</v>
      </c>
      <c r="H134" s="101">
        <v>475.0</v>
      </c>
      <c r="I134" s="102">
        <f>300--150--50</f>
        <v>500</v>
      </c>
      <c r="J134" s="102">
        <f t="shared" si="30"/>
        <v>-25</v>
      </c>
      <c r="K134" s="103">
        <f t="shared" si="31"/>
        <v>31.23048095</v>
      </c>
      <c r="L134" s="54"/>
      <c r="M134" s="54"/>
      <c r="P134" s="44"/>
    </row>
    <row r="135">
      <c r="A135" s="54"/>
      <c r="B135" s="341">
        <v>45862.0</v>
      </c>
      <c r="C135" s="100" t="s">
        <v>123</v>
      </c>
      <c r="D135" s="100" t="s">
        <v>289</v>
      </c>
      <c r="E135" s="100">
        <v>1958087.0</v>
      </c>
      <c r="F135" s="99">
        <f t="shared" si="32"/>
        <v>1452</v>
      </c>
      <c r="G135" s="100">
        <v>1040.0</v>
      </c>
      <c r="H135" s="101">
        <v>365.0</v>
      </c>
      <c r="I135" s="102">
        <f>232.21--100--50</f>
        <v>382.21</v>
      </c>
      <c r="J135" s="102">
        <f t="shared" si="30"/>
        <v>-17.21</v>
      </c>
      <c r="K135" s="103">
        <f t="shared" si="31"/>
        <v>26.32300275</v>
      </c>
      <c r="L135" s="54"/>
      <c r="M135" s="54"/>
      <c r="P135" s="44"/>
    </row>
    <row r="136">
      <c r="A136" s="54"/>
      <c r="B136" s="341">
        <v>45864.0</v>
      </c>
      <c r="C136" s="100" t="s">
        <v>123</v>
      </c>
      <c r="D136" s="100" t="s">
        <v>289</v>
      </c>
      <c r="E136" s="100">
        <v>1959170.0</v>
      </c>
      <c r="F136" s="99">
        <f t="shared" si="32"/>
        <v>1083</v>
      </c>
      <c r="G136" s="100">
        <v>1062.0</v>
      </c>
      <c r="H136" s="101">
        <v>301.0</v>
      </c>
      <c r="I136" s="101">
        <v>313.6</v>
      </c>
      <c r="J136" s="102">
        <f t="shared" si="30"/>
        <v>-12.6</v>
      </c>
      <c r="K136" s="103">
        <f t="shared" si="31"/>
        <v>28.95660203</v>
      </c>
      <c r="L136" s="54"/>
      <c r="M136" s="54"/>
      <c r="P136" s="44"/>
    </row>
    <row r="137">
      <c r="A137" s="54"/>
      <c r="B137" s="341">
        <v>45866.0</v>
      </c>
      <c r="C137" s="100" t="s">
        <v>123</v>
      </c>
      <c r="D137" s="100" t="s">
        <v>291</v>
      </c>
      <c r="E137" s="100">
        <v>1960640.0</v>
      </c>
      <c r="F137" s="99">
        <f t="shared" si="32"/>
        <v>1470</v>
      </c>
      <c r="G137" s="100">
        <v>1081.0</v>
      </c>
      <c r="H137" s="101">
        <v>372.0</v>
      </c>
      <c r="I137" s="102">
        <f>166.6--242</f>
        <v>408.6</v>
      </c>
      <c r="J137" s="102">
        <f t="shared" si="30"/>
        <v>-36.6</v>
      </c>
      <c r="K137" s="103">
        <f t="shared" si="31"/>
        <v>27.79591837</v>
      </c>
      <c r="L137" s="54"/>
      <c r="M137" s="54"/>
      <c r="P137" s="44"/>
    </row>
    <row r="138">
      <c r="A138" s="54"/>
      <c r="B138" s="341">
        <v>45868.0</v>
      </c>
      <c r="C138" s="100" t="s">
        <v>123</v>
      </c>
      <c r="D138" s="100" t="s">
        <v>291</v>
      </c>
      <c r="E138" s="100">
        <v>1962114.0</v>
      </c>
      <c r="F138" s="99">
        <f t="shared" si="32"/>
        <v>1474</v>
      </c>
      <c r="G138" s="100">
        <v>1088.0</v>
      </c>
      <c r="H138" s="101">
        <v>380.0</v>
      </c>
      <c r="I138" s="102">
        <f>235.01--155.34</f>
        <v>390.35</v>
      </c>
      <c r="J138" s="102">
        <f t="shared" si="30"/>
        <v>-10.35</v>
      </c>
      <c r="K138" s="103">
        <f t="shared" si="31"/>
        <v>26.48236092</v>
      </c>
      <c r="L138" s="54"/>
      <c r="M138" s="54"/>
      <c r="P138" s="44"/>
    </row>
    <row r="139">
      <c r="A139" s="89"/>
      <c r="B139" s="203" t="str">
        <f>IF(L139=4,"АПРЕЛЬ",IF(L139=5,"МАЙ",IF(L139=1,"ЯНВАРЬ",IF(L139=2,"ФЕВРАЛЬ",IF(L139=3,"МАРТ",IF(L139=6,"ИЮНЬ",IF(L139=7,"ИЮЛЬ",IF(L139=8,"АВГУСТ",IF(L139=9,"СЕНТЯБРЬ",IF(L139=10,"ОКТЯБРЬ",IF(L139=11,"НОЯБРЬ",IF(L139=12,"ДЕКАБРЬ"))))))))))))</f>
        <v>АВГУСТ</v>
      </c>
      <c r="J139" s="89"/>
      <c r="K139" s="90"/>
      <c r="L139" s="91">
        <f>MONTH(B140)</f>
        <v>8</v>
      </c>
      <c r="M139" s="66"/>
      <c r="N139" s="66"/>
      <c r="O139" s="66"/>
      <c r="P139" s="113"/>
      <c r="Q139" s="66"/>
      <c r="T139" s="54"/>
      <c r="U139" s="54"/>
      <c r="V139" s="54"/>
      <c r="W139" s="54"/>
      <c r="X139" s="54"/>
      <c r="Y139" s="54"/>
      <c r="Z139" s="54"/>
      <c r="AA139" s="54"/>
      <c r="AB139" s="287"/>
      <c r="AC139" s="54"/>
      <c r="AD139" s="54"/>
    </row>
    <row r="140">
      <c r="A140" s="54"/>
      <c r="B140" s="341">
        <v>45870.0</v>
      </c>
      <c r="C140" s="100" t="s">
        <v>123</v>
      </c>
      <c r="D140" s="100" t="s">
        <v>291</v>
      </c>
      <c r="E140" s="100">
        <v>1963469.0</v>
      </c>
      <c r="F140" s="99">
        <f>E140-E138</f>
        <v>1355</v>
      </c>
      <c r="G140" s="100">
        <v>1082.0</v>
      </c>
      <c r="H140" s="101">
        <v>352.0</v>
      </c>
      <c r="I140" s="101">
        <v>358.37</v>
      </c>
      <c r="J140" s="102">
        <f t="shared" ref="J140:J153" si="35">H140-I140</f>
        <v>-6.37</v>
      </c>
      <c r="K140" s="103">
        <f t="shared" ref="K140:K153" si="36">I140/F140*100</f>
        <v>26.44797048</v>
      </c>
      <c r="L140" s="54"/>
      <c r="M140" s="82" t="str">
        <f>"тотал"&amp;" "&amp;B139&amp;" "&amp;RIGHT(YEAR(B140),2)</f>
        <v>тотал АВГУСТ 25</v>
      </c>
      <c r="N140" s="75"/>
      <c r="O140" s="75"/>
      <c r="P140" s="75"/>
      <c r="Q140" s="76"/>
    </row>
    <row r="141">
      <c r="A141" s="54"/>
      <c r="B141" s="341">
        <v>45873.0</v>
      </c>
      <c r="C141" s="100" t="s">
        <v>123</v>
      </c>
      <c r="D141" s="100" t="s">
        <v>291</v>
      </c>
      <c r="E141" s="100">
        <v>1965024.0</v>
      </c>
      <c r="F141" s="99">
        <f t="shared" ref="F141:F153" si="37">E141-E140</f>
        <v>1555</v>
      </c>
      <c r="G141" s="100">
        <v>1082.0</v>
      </c>
      <c r="H141" s="101">
        <v>412.0</v>
      </c>
      <c r="I141" s="102">
        <f>7.24--185--238.31</f>
        <v>430.55</v>
      </c>
      <c r="J141" s="102">
        <f t="shared" si="35"/>
        <v>-18.55</v>
      </c>
      <c r="K141" s="103">
        <f t="shared" si="36"/>
        <v>27.68810289</v>
      </c>
      <c r="L141" s="54"/>
      <c r="M141" s="84" t="s">
        <v>70</v>
      </c>
      <c r="N141" s="84" t="s">
        <v>71</v>
      </c>
      <c r="O141" s="84" t="s">
        <v>27</v>
      </c>
      <c r="P141" s="77" t="s">
        <v>28</v>
      </c>
      <c r="Q141" s="12" t="s">
        <v>78</v>
      </c>
    </row>
    <row r="142">
      <c r="A142" s="54"/>
      <c r="B142" s="341">
        <v>45875.0</v>
      </c>
      <c r="C142" s="100" t="s">
        <v>123</v>
      </c>
      <c r="D142" s="100" t="s">
        <v>291</v>
      </c>
      <c r="E142" s="100">
        <v>1966384.0</v>
      </c>
      <c r="F142" s="99">
        <f t="shared" si="37"/>
        <v>1360</v>
      </c>
      <c r="G142" s="100">
        <v>1082.0</v>
      </c>
      <c r="H142" s="101">
        <v>363.0</v>
      </c>
      <c r="I142" s="101">
        <v>372.36</v>
      </c>
      <c r="J142" s="102">
        <f t="shared" si="35"/>
        <v>-9.36</v>
      </c>
      <c r="K142" s="103">
        <f t="shared" si="36"/>
        <v>27.37941176</v>
      </c>
      <c r="L142" s="54"/>
      <c r="M142" s="84">
        <f>SUM(F140:F153)</f>
        <v>20600</v>
      </c>
      <c r="N142" s="84">
        <f>SUM(I140:I153)</f>
        <v>5589.36</v>
      </c>
      <c r="O142" s="85">
        <f>N142/M142*100</f>
        <v>27.13281553</v>
      </c>
      <c r="P142" s="79">
        <f>(M142/100)*(O142-Q142)</f>
        <v>-178.64</v>
      </c>
      <c r="Q142" s="78">
        <v>28.0</v>
      </c>
    </row>
    <row r="143">
      <c r="A143" s="54"/>
      <c r="B143" s="341">
        <v>45877.0</v>
      </c>
      <c r="C143" s="100" t="s">
        <v>123</v>
      </c>
      <c r="D143" s="100" t="s">
        <v>291</v>
      </c>
      <c r="E143" s="100">
        <v>1967831.0</v>
      </c>
      <c r="F143" s="99">
        <f t="shared" si="37"/>
        <v>1447</v>
      </c>
      <c r="G143" s="100">
        <v>1087.0</v>
      </c>
      <c r="H143" s="101">
        <v>384.0</v>
      </c>
      <c r="I143" s="101">
        <v>394.63</v>
      </c>
      <c r="J143" s="102">
        <f t="shared" si="35"/>
        <v>-10.63</v>
      </c>
      <c r="K143" s="103">
        <f t="shared" si="36"/>
        <v>27.27228749</v>
      </c>
      <c r="L143" s="54"/>
      <c r="M143" s="54"/>
      <c r="P143" s="44"/>
    </row>
    <row r="144">
      <c r="A144" s="54"/>
      <c r="B144" s="341">
        <v>45879.0</v>
      </c>
      <c r="C144" s="100" t="s">
        <v>123</v>
      </c>
      <c r="D144" s="100" t="s">
        <v>291</v>
      </c>
      <c r="E144" s="100">
        <v>1970071.0</v>
      </c>
      <c r="F144" s="99">
        <f t="shared" si="37"/>
        <v>2240</v>
      </c>
      <c r="G144" s="100">
        <v>982.0</v>
      </c>
      <c r="H144" s="101">
        <v>477.0</v>
      </c>
      <c r="I144" s="102">
        <f>260--240</f>
        <v>500</v>
      </c>
      <c r="J144" s="102">
        <f t="shared" si="35"/>
        <v>-23</v>
      </c>
      <c r="K144" s="103">
        <f t="shared" si="36"/>
        <v>22.32142857</v>
      </c>
      <c r="L144" s="54"/>
      <c r="M144" s="77" t="s">
        <v>70</v>
      </c>
      <c r="N144" s="78" t="s">
        <v>119</v>
      </c>
      <c r="O144" s="78" t="s">
        <v>27</v>
      </c>
      <c r="P144" s="78" t="s">
        <v>46</v>
      </c>
      <c r="Q144" s="78" t="s">
        <v>78</v>
      </c>
    </row>
    <row r="145">
      <c r="A145" s="54"/>
      <c r="B145" s="341">
        <v>45882.0</v>
      </c>
      <c r="C145" s="100" t="s">
        <v>123</v>
      </c>
      <c r="D145" s="100" t="s">
        <v>289</v>
      </c>
      <c r="E145" s="100">
        <v>1971073.0</v>
      </c>
      <c r="F145" s="99">
        <f t="shared" si="37"/>
        <v>1002</v>
      </c>
      <c r="G145" s="100">
        <v>1081.0</v>
      </c>
      <c r="H145" s="101">
        <v>356.0</v>
      </c>
      <c r="I145" s="101">
        <v>369.99</v>
      </c>
      <c r="J145" s="102">
        <f t="shared" si="35"/>
        <v>-13.99</v>
      </c>
      <c r="K145" s="103">
        <f t="shared" si="36"/>
        <v>36.9251497</v>
      </c>
      <c r="L145" s="60" t="s">
        <v>291</v>
      </c>
      <c r="M145" s="79">
        <f>SUM(F140:F144)+SUM(F151:F153)</f>
        <v>12293</v>
      </c>
      <c r="N145" s="80">
        <f>SUM(I140:I144)+SUM(I151:I153)</f>
        <v>3230.83</v>
      </c>
      <c r="O145" s="81">
        <f t="shared" ref="O145:O146" si="38">N145/M145*100</f>
        <v>26.28186773</v>
      </c>
      <c r="P145" s="80">
        <f t="shared" ref="P145:P146" si="39">(M145/100)*(O145-Q145)</f>
        <v>-211.21</v>
      </c>
      <c r="Q145" s="78">
        <v>28.0</v>
      </c>
    </row>
    <row r="146">
      <c r="A146" s="54"/>
      <c r="B146" s="341">
        <v>45884.0</v>
      </c>
      <c r="C146" s="100" t="s">
        <v>123</v>
      </c>
      <c r="D146" s="100" t="s">
        <v>289</v>
      </c>
      <c r="E146" s="100">
        <v>1972525.0</v>
      </c>
      <c r="F146" s="99">
        <f t="shared" si="37"/>
        <v>1452</v>
      </c>
      <c r="G146" s="100">
        <v>1078.0</v>
      </c>
      <c r="H146" s="101">
        <v>375.0</v>
      </c>
      <c r="I146" s="101">
        <v>389.55</v>
      </c>
      <c r="J146" s="102">
        <f t="shared" si="35"/>
        <v>-14.55</v>
      </c>
      <c r="K146" s="103">
        <f t="shared" si="36"/>
        <v>26.8285124</v>
      </c>
      <c r="L146" s="60" t="s">
        <v>289</v>
      </c>
      <c r="M146" s="79">
        <f>SUM(F145:F150)</f>
        <v>8307</v>
      </c>
      <c r="N146" s="80">
        <f>SUM(I145:I150)</f>
        <v>2358.53</v>
      </c>
      <c r="O146" s="81">
        <f t="shared" si="38"/>
        <v>28.39207897</v>
      </c>
      <c r="P146" s="80">
        <f t="shared" si="39"/>
        <v>32.57</v>
      </c>
      <c r="Q146" s="78">
        <v>28.0</v>
      </c>
    </row>
    <row r="147">
      <c r="A147" s="54"/>
      <c r="B147" s="341">
        <v>45886.0</v>
      </c>
      <c r="C147" s="100" t="s">
        <v>123</v>
      </c>
      <c r="D147" s="100" t="s">
        <v>289</v>
      </c>
      <c r="E147" s="100">
        <v>1974605.0</v>
      </c>
      <c r="F147" s="99">
        <f t="shared" si="37"/>
        <v>2080</v>
      </c>
      <c r="G147" s="100">
        <v>917.0</v>
      </c>
      <c r="H147" s="101">
        <v>385.0</v>
      </c>
      <c r="I147" s="102">
        <f>258.99--140</f>
        <v>398.99</v>
      </c>
      <c r="J147" s="102">
        <f t="shared" si="35"/>
        <v>-13.99</v>
      </c>
      <c r="K147" s="103">
        <f t="shared" si="36"/>
        <v>19.18221154</v>
      </c>
      <c r="L147" s="54"/>
      <c r="M147" s="54"/>
      <c r="P147" s="44"/>
    </row>
    <row r="148">
      <c r="A148" s="54"/>
      <c r="B148" s="341">
        <v>45888.0</v>
      </c>
      <c r="C148" s="100" t="s">
        <v>123</v>
      </c>
      <c r="D148" s="100" t="s">
        <v>289</v>
      </c>
      <c r="E148" s="100">
        <v>1975471.0</v>
      </c>
      <c r="F148" s="99">
        <f t="shared" si="37"/>
        <v>866</v>
      </c>
      <c r="G148" s="100">
        <v>1079.0</v>
      </c>
      <c r="H148" s="101">
        <v>383.0</v>
      </c>
      <c r="I148" s="101">
        <v>400.0</v>
      </c>
      <c r="J148" s="102">
        <f t="shared" si="35"/>
        <v>-17</v>
      </c>
      <c r="K148" s="103">
        <f t="shared" si="36"/>
        <v>46.18937644</v>
      </c>
      <c r="L148" s="54"/>
      <c r="M148" s="54"/>
      <c r="P148" s="44"/>
    </row>
    <row r="149">
      <c r="A149" s="54"/>
      <c r="B149" s="341">
        <v>45890.0</v>
      </c>
      <c r="C149" s="100" t="s">
        <v>123</v>
      </c>
      <c r="D149" s="100" t="s">
        <v>289</v>
      </c>
      <c r="E149" s="100">
        <v>1976924.0</v>
      </c>
      <c r="F149" s="99">
        <f t="shared" si="37"/>
        <v>1453</v>
      </c>
      <c r="G149" s="100">
        <v>1070.0</v>
      </c>
      <c r="H149" s="101">
        <v>385.0</v>
      </c>
      <c r="I149" s="101">
        <v>400.0</v>
      </c>
      <c r="J149" s="102">
        <f t="shared" si="35"/>
        <v>-15</v>
      </c>
      <c r="K149" s="103">
        <f t="shared" si="36"/>
        <v>27.52924983</v>
      </c>
      <c r="L149" s="54"/>
      <c r="M149" s="54"/>
      <c r="P149" s="44"/>
    </row>
    <row r="150">
      <c r="A150" s="54"/>
      <c r="B150" s="341">
        <v>45892.0</v>
      </c>
      <c r="C150" s="100" t="s">
        <v>123</v>
      </c>
      <c r="D150" s="100" t="s">
        <v>289</v>
      </c>
      <c r="E150" s="100">
        <v>1978378.0</v>
      </c>
      <c r="F150" s="99">
        <f t="shared" si="37"/>
        <v>1454</v>
      </c>
      <c r="G150" s="100">
        <v>1070.0</v>
      </c>
      <c r="H150" s="101">
        <v>385.0</v>
      </c>
      <c r="I150" s="101">
        <v>400.0</v>
      </c>
      <c r="J150" s="102">
        <f t="shared" si="35"/>
        <v>-15</v>
      </c>
      <c r="K150" s="103">
        <f t="shared" si="36"/>
        <v>27.51031637</v>
      </c>
      <c r="L150" s="54"/>
      <c r="M150" s="54"/>
      <c r="P150" s="44"/>
    </row>
    <row r="151">
      <c r="A151" s="54"/>
      <c r="B151" s="341">
        <v>45894.0</v>
      </c>
      <c r="C151" s="100" t="s">
        <v>123</v>
      </c>
      <c r="D151" s="100" t="s">
        <v>291</v>
      </c>
      <c r="E151" s="100">
        <v>1979851.0</v>
      </c>
      <c r="F151" s="99">
        <f t="shared" si="37"/>
        <v>1473</v>
      </c>
      <c r="G151" s="100">
        <v>1087.0</v>
      </c>
      <c r="H151" s="101">
        <v>387.0</v>
      </c>
      <c r="I151" s="102">
        <f>227.95--171.67</f>
        <v>399.62</v>
      </c>
      <c r="J151" s="102">
        <f t="shared" si="35"/>
        <v>-12.62</v>
      </c>
      <c r="K151" s="103">
        <f t="shared" si="36"/>
        <v>27.12966735</v>
      </c>
      <c r="L151" s="54"/>
      <c r="M151" s="54"/>
      <c r="P151" s="44"/>
    </row>
    <row r="152">
      <c r="A152" s="54"/>
      <c r="B152" s="341">
        <v>45896.0</v>
      </c>
      <c r="C152" s="100" t="s">
        <v>123</v>
      </c>
      <c r="D152" s="100" t="s">
        <v>291</v>
      </c>
      <c r="E152" s="100">
        <v>1981331.0</v>
      </c>
      <c r="F152" s="99">
        <f t="shared" si="37"/>
        <v>1480</v>
      </c>
      <c r="G152" s="100">
        <v>1086.0</v>
      </c>
      <c r="H152" s="101">
        <v>384.0</v>
      </c>
      <c r="I152" s="102">
        <f>233.35--161.98</f>
        <v>395.33</v>
      </c>
      <c r="J152" s="102">
        <f t="shared" si="35"/>
        <v>-11.33</v>
      </c>
      <c r="K152" s="103">
        <f t="shared" si="36"/>
        <v>26.71148649</v>
      </c>
      <c r="L152" s="54"/>
      <c r="M152" s="54"/>
      <c r="P152" s="44"/>
    </row>
    <row r="153">
      <c r="A153" s="54"/>
      <c r="B153" s="341">
        <v>45898.0</v>
      </c>
      <c r="C153" s="100" t="s">
        <v>123</v>
      </c>
      <c r="D153" s="100" t="s">
        <v>291</v>
      </c>
      <c r="E153" s="100">
        <v>1982714.0</v>
      </c>
      <c r="F153" s="99">
        <f t="shared" si="37"/>
        <v>1383</v>
      </c>
      <c r="G153" s="100">
        <v>1083.0</v>
      </c>
      <c r="H153" s="101">
        <v>372.0</v>
      </c>
      <c r="I153" s="101">
        <v>379.97</v>
      </c>
      <c r="J153" s="102">
        <f t="shared" si="35"/>
        <v>-7.97</v>
      </c>
      <c r="K153" s="103">
        <f t="shared" si="36"/>
        <v>27.47433116</v>
      </c>
      <c r="L153" s="54"/>
      <c r="M153" s="54"/>
      <c r="P153" s="44"/>
    </row>
    <row r="154">
      <c r="A154" s="89"/>
      <c r="B154" s="203" t="str">
        <f>IF(L154=4,"АПРЕЛЬ",IF(L154=5,"МАЙ",IF(L154=1,"ЯНВАРЬ",IF(L154=2,"ФЕВРАЛЬ",IF(L154=3,"МАРТ",IF(L154=6,"ИЮНЬ",IF(L154=7,"ИЮЛЬ",IF(L154=8,"АВГУСТ",IF(L154=9,"СЕНТЯБРЬ",IF(L154=10,"ОКТЯБРЬ",IF(L154=11,"НОЯБРЬ",IF(L154=12,"ДЕКАБРЬ"))))))))))))</f>
        <v>СЕНТЯБРЬ</v>
      </c>
      <c r="J154" s="89"/>
      <c r="K154" s="90"/>
      <c r="L154" s="91">
        <f>MONTH(B155)</f>
        <v>9</v>
      </c>
      <c r="M154" s="66"/>
      <c r="N154" s="66"/>
      <c r="O154" s="66"/>
      <c r="P154" s="113"/>
      <c r="Q154" s="66"/>
      <c r="T154" s="54"/>
      <c r="U154" s="54"/>
      <c r="V154" s="54"/>
      <c r="W154" s="54"/>
      <c r="X154" s="54"/>
      <c r="Y154" s="54"/>
      <c r="Z154" s="54"/>
      <c r="AA154" s="54"/>
      <c r="AB154" s="287"/>
      <c r="AC154" s="54"/>
      <c r="AD154" s="54"/>
    </row>
    <row r="155">
      <c r="A155" s="54"/>
      <c r="B155" s="341">
        <v>45905.0</v>
      </c>
      <c r="C155" s="100" t="s">
        <v>123</v>
      </c>
      <c r="D155" s="100" t="s">
        <v>274</v>
      </c>
      <c r="E155" s="100">
        <v>1984938.0</v>
      </c>
      <c r="F155" s="99">
        <f>E155-E153</f>
        <v>2224</v>
      </c>
      <c r="G155" s="100">
        <v>765.0</v>
      </c>
      <c r="H155" s="101">
        <v>260.0</v>
      </c>
      <c r="I155" s="101">
        <v>270.04</v>
      </c>
      <c r="J155" s="102">
        <f t="shared" ref="J155:J166" si="40">H155-I155</f>
        <v>-10.04</v>
      </c>
      <c r="K155" s="103">
        <f t="shared" ref="K155:K166" si="41">I155/F155*100</f>
        <v>12.14208633</v>
      </c>
      <c r="L155" s="54"/>
      <c r="M155" s="82" t="str">
        <f>"тотал"&amp;" "&amp;B154&amp;" "&amp;RIGHT(YEAR(B155),2)</f>
        <v>тотал СЕНТЯБРЬ 25</v>
      </c>
      <c r="N155" s="75"/>
      <c r="O155" s="75"/>
      <c r="P155" s="75"/>
      <c r="Q155" s="76"/>
    </row>
    <row r="156">
      <c r="A156" s="54"/>
      <c r="B156" s="341">
        <v>45906.0</v>
      </c>
      <c r="C156" s="100" t="s">
        <v>123</v>
      </c>
      <c r="D156" s="100" t="s">
        <v>274</v>
      </c>
      <c r="E156" s="100">
        <v>1985378.0</v>
      </c>
      <c r="F156" s="99">
        <f t="shared" ref="F156:F166" si="42">E156-E155</f>
        <v>440</v>
      </c>
      <c r="G156" s="100">
        <v>839.0</v>
      </c>
      <c r="H156" s="101">
        <v>193.0</v>
      </c>
      <c r="I156" s="101">
        <v>200.2</v>
      </c>
      <c r="J156" s="102">
        <f t="shared" si="40"/>
        <v>-7.2</v>
      </c>
      <c r="K156" s="103">
        <f t="shared" si="41"/>
        <v>45.5</v>
      </c>
      <c r="L156" s="54"/>
      <c r="M156" s="84" t="s">
        <v>70</v>
      </c>
      <c r="N156" s="84" t="s">
        <v>71</v>
      </c>
      <c r="O156" s="84" t="s">
        <v>27</v>
      </c>
      <c r="P156" s="77" t="s">
        <v>28</v>
      </c>
      <c r="Q156" s="12" t="s">
        <v>78</v>
      </c>
    </row>
    <row r="157">
      <c r="A157" s="54"/>
      <c r="B157" s="341">
        <v>45908.0</v>
      </c>
      <c r="C157" s="100" t="s">
        <v>123</v>
      </c>
      <c r="D157" s="100" t="s">
        <v>289</v>
      </c>
      <c r="E157" s="100">
        <v>1986870.0</v>
      </c>
      <c r="F157" s="99">
        <f t="shared" si="42"/>
        <v>1492</v>
      </c>
      <c r="G157" s="100">
        <v>914.0</v>
      </c>
      <c r="H157" s="101">
        <v>473.0</v>
      </c>
      <c r="I157" s="101">
        <f>296--200</f>
        <v>496</v>
      </c>
      <c r="J157" s="102">
        <f t="shared" si="40"/>
        <v>-23</v>
      </c>
      <c r="K157" s="103">
        <f t="shared" si="41"/>
        <v>33.24396783</v>
      </c>
      <c r="L157" s="54"/>
      <c r="M157" s="84">
        <f>SUM(F155:F166)</f>
        <v>18292</v>
      </c>
      <c r="N157" s="84">
        <f>SUM(I155:I166)</f>
        <v>4959.1</v>
      </c>
      <c r="O157" s="85">
        <f>N157/M157*100</f>
        <v>27.1107588</v>
      </c>
      <c r="P157" s="79">
        <f>(M157/100)*(O157-Q157)</f>
        <v>-162.66</v>
      </c>
      <c r="Q157" s="78">
        <v>28.0</v>
      </c>
    </row>
    <row r="158">
      <c r="A158" s="54"/>
      <c r="B158" s="341">
        <v>45909.0</v>
      </c>
      <c r="C158" s="100" t="s">
        <v>123</v>
      </c>
      <c r="D158" s="100" t="s">
        <v>289</v>
      </c>
      <c r="E158" s="100">
        <v>1988036.0</v>
      </c>
      <c r="F158" s="99">
        <f t="shared" si="42"/>
        <v>1166</v>
      </c>
      <c r="G158" s="100">
        <v>1070.0</v>
      </c>
      <c r="H158" s="101">
        <v>449.0</v>
      </c>
      <c r="I158" s="102">
        <f>268.18--200</f>
        <v>468.18</v>
      </c>
      <c r="J158" s="102">
        <f t="shared" si="40"/>
        <v>-19.18</v>
      </c>
      <c r="K158" s="103">
        <f t="shared" si="41"/>
        <v>40.15265866</v>
      </c>
      <c r="L158" s="54"/>
      <c r="M158" s="54"/>
      <c r="P158" s="44"/>
    </row>
    <row r="159">
      <c r="A159" s="54"/>
      <c r="B159" s="341">
        <v>45913.0</v>
      </c>
      <c r="C159" s="100" t="s">
        <v>123</v>
      </c>
      <c r="D159" s="100" t="s">
        <v>289</v>
      </c>
      <c r="E159" s="100">
        <v>1990543.0</v>
      </c>
      <c r="F159" s="99">
        <f t="shared" si="42"/>
        <v>2507</v>
      </c>
      <c r="G159" s="100">
        <v>668.0</v>
      </c>
      <c r="H159" s="101">
        <v>264.0</v>
      </c>
      <c r="I159" s="102">
        <f>138.75--135</f>
        <v>273.75</v>
      </c>
      <c r="J159" s="102">
        <f t="shared" si="40"/>
        <v>-9.75</v>
      </c>
      <c r="K159" s="103">
        <f t="shared" si="41"/>
        <v>10.91942561</v>
      </c>
      <c r="L159" s="54"/>
      <c r="M159" s="54"/>
      <c r="P159" s="44"/>
    </row>
    <row r="160">
      <c r="A160" s="54"/>
      <c r="B160" s="341">
        <v>45913.0</v>
      </c>
      <c r="C160" s="100" t="s">
        <v>123</v>
      </c>
      <c r="D160" s="100" t="s">
        <v>289</v>
      </c>
      <c r="E160" s="100">
        <v>1991130.0</v>
      </c>
      <c r="F160" s="99">
        <f t="shared" si="42"/>
        <v>587</v>
      </c>
      <c r="G160" s="100">
        <v>740.0</v>
      </c>
      <c r="H160" s="101">
        <v>216.0</v>
      </c>
      <c r="I160" s="101">
        <v>226.0</v>
      </c>
      <c r="J160" s="102">
        <f t="shared" si="40"/>
        <v>-10</v>
      </c>
      <c r="K160" s="103">
        <f t="shared" si="41"/>
        <v>38.50085179</v>
      </c>
      <c r="L160" s="54"/>
      <c r="M160" s="54"/>
      <c r="P160" s="44"/>
    </row>
    <row r="161">
      <c r="A161" s="54"/>
      <c r="B161" s="341">
        <v>45914.0</v>
      </c>
      <c r="C161" s="100" t="s">
        <v>123</v>
      </c>
      <c r="D161" s="100" t="s">
        <v>289</v>
      </c>
      <c r="E161" s="100">
        <v>1991794.0</v>
      </c>
      <c r="F161" s="99">
        <f t="shared" si="42"/>
        <v>664</v>
      </c>
      <c r="G161" s="100">
        <v>1011.0</v>
      </c>
      <c r="H161" s="101">
        <v>446.0</v>
      </c>
      <c r="I161" s="101">
        <v>461.32</v>
      </c>
      <c r="J161" s="102">
        <f t="shared" si="40"/>
        <v>-15.32</v>
      </c>
      <c r="K161" s="103">
        <f t="shared" si="41"/>
        <v>69.47590361</v>
      </c>
      <c r="L161" s="54"/>
      <c r="M161" s="54"/>
      <c r="P161" s="44"/>
    </row>
    <row r="162">
      <c r="A162" s="54"/>
      <c r="B162" s="341">
        <v>45917.0</v>
      </c>
      <c r="C162" s="100" t="s">
        <v>123</v>
      </c>
      <c r="D162" s="100" t="s">
        <v>289</v>
      </c>
      <c r="E162" s="100">
        <v>1992987.0</v>
      </c>
      <c r="F162" s="99">
        <f t="shared" si="42"/>
        <v>1193</v>
      </c>
      <c r="G162" s="100">
        <v>1059.0</v>
      </c>
      <c r="H162" s="101">
        <v>356.0</v>
      </c>
      <c r="I162" s="102">
        <f>221.15--150</f>
        <v>371.15</v>
      </c>
      <c r="J162" s="102">
        <f t="shared" si="40"/>
        <v>-15.15</v>
      </c>
      <c r="K162" s="103">
        <f t="shared" si="41"/>
        <v>31.11064543</v>
      </c>
      <c r="L162" s="54"/>
      <c r="M162" s="54"/>
      <c r="P162" s="44"/>
    </row>
    <row r="163">
      <c r="A163" s="54"/>
      <c r="B163" s="341">
        <v>45919.0</v>
      </c>
      <c r="C163" s="100" t="s">
        <v>123</v>
      </c>
      <c r="D163" s="100" t="s">
        <v>289</v>
      </c>
      <c r="E163" s="100">
        <v>1994852.0</v>
      </c>
      <c r="F163" s="99">
        <f t="shared" si="42"/>
        <v>1865</v>
      </c>
      <c r="G163" s="100">
        <v>1051.0</v>
      </c>
      <c r="H163" s="101">
        <v>481.0</v>
      </c>
      <c r="I163" s="101">
        <v>499.85</v>
      </c>
      <c r="J163" s="102">
        <f t="shared" si="40"/>
        <v>-18.85</v>
      </c>
      <c r="K163" s="103">
        <f t="shared" si="41"/>
        <v>26.80160858</v>
      </c>
      <c r="L163" s="54"/>
      <c r="M163" s="54"/>
      <c r="P163" s="44"/>
    </row>
    <row r="164">
      <c r="A164" s="54"/>
      <c r="B164" s="341">
        <v>45921.0</v>
      </c>
      <c r="C164" s="100" t="s">
        <v>123</v>
      </c>
      <c r="D164" s="100" t="s">
        <v>274</v>
      </c>
      <c r="E164" s="100">
        <v>1996481.0</v>
      </c>
      <c r="F164" s="99">
        <f t="shared" si="42"/>
        <v>1629</v>
      </c>
      <c r="G164" s="100">
        <v>1080.0</v>
      </c>
      <c r="H164" s="101">
        <v>453.0</v>
      </c>
      <c r="I164" s="102">
        <f>196.96--12.75--256.82</f>
        <v>466.53</v>
      </c>
      <c r="J164" s="102">
        <f t="shared" si="40"/>
        <v>-13.53</v>
      </c>
      <c r="K164" s="103">
        <f t="shared" si="41"/>
        <v>28.63904236</v>
      </c>
      <c r="L164" s="54"/>
      <c r="M164" s="54"/>
      <c r="P164" s="44"/>
    </row>
    <row r="165">
      <c r="A165" s="54"/>
      <c r="B165" s="341">
        <v>45924.0</v>
      </c>
      <c r="C165" s="100" t="s">
        <v>123</v>
      </c>
      <c r="D165" s="100" t="s">
        <v>274</v>
      </c>
      <c r="E165" s="100">
        <v>1998550.0</v>
      </c>
      <c r="F165" s="99">
        <f t="shared" si="42"/>
        <v>2069</v>
      </c>
      <c r="G165" s="100">
        <v>1009.0</v>
      </c>
      <c r="H165" s="101">
        <v>479.0</v>
      </c>
      <c r="I165" s="102">
        <f>315.87--184</f>
        <v>499.87</v>
      </c>
      <c r="J165" s="102">
        <f t="shared" si="40"/>
        <v>-20.87</v>
      </c>
      <c r="K165" s="103">
        <f t="shared" si="41"/>
        <v>24.15998067</v>
      </c>
      <c r="L165" s="54"/>
      <c r="M165" s="54"/>
      <c r="P165" s="44"/>
    </row>
    <row r="166">
      <c r="A166" s="54"/>
      <c r="B166" s="341">
        <v>45927.0</v>
      </c>
      <c r="C166" s="100" t="s">
        <v>123</v>
      </c>
      <c r="D166" s="100" t="s">
        <v>274</v>
      </c>
      <c r="E166" s="100">
        <v>2001006.0</v>
      </c>
      <c r="F166" s="99">
        <f t="shared" si="42"/>
        <v>2456</v>
      </c>
      <c r="G166" s="100">
        <v>1051.0</v>
      </c>
      <c r="H166" s="101">
        <v>690.0</v>
      </c>
      <c r="I166" s="102">
        <f>422.44--303.77</f>
        <v>726.21</v>
      </c>
      <c r="J166" s="102">
        <f t="shared" si="40"/>
        <v>-36.21</v>
      </c>
      <c r="K166" s="103">
        <f t="shared" si="41"/>
        <v>29.56881107</v>
      </c>
      <c r="L166" s="54"/>
      <c r="M166" s="54"/>
      <c r="P166" s="44"/>
    </row>
    <row r="167">
      <c r="A167" s="89"/>
      <c r="B167" s="203" t="str">
        <f>IF(L167=4,"АПРЕЛЬ",IF(L167=5,"МАЙ",IF(L167=1,"ЯНВАРЬ",IF(L167=2,"ФЕВРАЛЬ",IF(L167=3,"МАРТ",IF(L167=6,"ИЮНЬ",IF(L167=7,"ИЮЛЬ",IF(L167=8,"АВГУСТ",IF(L167=9,"СЕНТЯБРЬ",IF(L167=10,"ОКТЯБРЬ",IF(L167=11,"НОЯБРЬ",IF(L167=12,"ДЕКАБРЬ"))))))))))))</f>
        <v>ОКТЯБРЬ</v>
      </c>
      <c r="J167" s="89"/>
      <c r="K167" s="90"/>
      <c r="L167" s="91">
        <f>MONTH(B168)</f>
        <v>10</v>
      </c>
      <c r="M167" s="66"/>
      <c r="N167" s="66"/>
      <c r="O167" s="66"/>
      <c r="P167" s="113"/>
      <c r="Q167" s="66"/>
      <c r="T167" s="54"/>
      <c r="U167" s="54"/>
      <c r="V167" s="54"/>
      <c r="W167" s="54"/>
      <c r="X167" s="54"/>
      <c r="Y167" s="54"/>
      <c r="Z167" s="54"/>
      <c r="AA167" s="54"/>
      <c r="AB167" s="287"/>
      <c r="AC167" s="54"/>
      <c r="AD167" s="54"/>
    </row>
    <row r="168">
      <c r="A168" s="54"/>
      <c r="B168" s="341">
        <v>45935.0</v>
      </c>
      <c r="C168" s="100" t="s">
        <v>123</v>
      </c>
      <c r="D168" s="100" t="s">
        <v>292</v>
      </c>
      <c r="E168" s="100">
        <v>2002034.0</v>
      </c>
      <c r="F168" s="99">
        <f>E168-E166</f>
        <v>1028</v>
      </c>
      <c r="G168" s="100">
        <v>1036.0</v>
      </c>
      <c r="H168" s="101">
        <v>247.0</v>
      </c>
      <c r="I168" s="101">
        <v>262.12</v>
      </c>
      <c r="J168" s="102">
        <f t="shared" ref="J168:J169" si="43">H168-I168</f>
        <v>-15.12</v>
      </c>
      <c r="K168" s="103">
        <f t="shared" ref="K168:K169" si="44">I168/F168*100</f>
        <v>25.49805447</v>
      </c>
      <c r="L168" s="54"/>
      <c r="M168" s="82" t="str">
        <f>"тотал"&amp;" "&amp;B167&amp;" "&amp;RIGHT(YEAR(B168),2)</f>
        <v>тотал ОКТЯБРЬ 25</v>
      </c>
      <c r="N168" s="75"/>
      <c r="O168" s="75"/>
      <c r="P168" s="75"/>
      <c r="Q168" s="76"/>
    </row>
    <row r="169">
      <c r="A169" s="54"/>
      <c r="B169" s="341">
        <v>45938.0</v>
      </c>
      <c r="C169" s="100" t="s">
        <v>123</v>
      </c>
      <c r="D169" s="100" t="s">
        <v>292</v>
      </c>
      <c r="E169" s="100">
        <v>2004112.0</v>
      </c>
      <c r="F169" s="99">
        <f>E169-E168</f>
        <v>2078</v>
      </c>
      <c r="G169" s="100">
        <v>996.0</v>
      </c>
      <c r="H169" s="101">
        <v>482.0</v>
      </c>
      <c r="I169" s="101">
        <v>500.0</v>
      </c>
      <c r="J169" s="102">
        <f t="shared" si="43"/>
        <v>-18</v>
      </c>
      <c r="K169" s="103">
        <f t="shared" si="44"/>
        <v>24.06159769</v>
      </c>
      <c r="L169" s="54"/>
      <c r="M169" s="84" t="s">
        <v>70</v>
      </c>
      <c r="N169" s="84" t="s">
        <v>71</v>
      </c>
      <c r="O169" s="84" t="s">
        <v>27</v>
      </c>
      <c r="P169" s="77" t="s">
        <v>28</v>
      </c>
      <c r="Q169" s="12" t="s">
        <v>78</v>
      </c>
    </row>
    <row r="170">
      <c r="A170" s="54"/>
      <c r="B170" s="99"/>
      <c r="C170" s="99"/>
      <c r="D170" s="99"/>
      <c r="E170" s="99"/>
      <c r="F170" s="99"/>
      <c r="G170" s="99"/>
      <c r="H170" s="102"/>
      <c r="I170" s="102"/>
      <c r="J170" s="102"/>
      <c r="K170" s="102"/>
      <c r="L170" s="54"/>
      <c r="M170" s="84">
        <f>SUM(F168:F181)</f>
        <v>3106</v>
      </c>
      <c r="N170" s="84">
        <f>SUM(I168:I181)</f>
        <v>762.12</v>
      </c>
      <c r="O170" s="85">
        <f>N170/M170*100</f>
        <v>24.53702511</v>
      </c>
      <c r="P170" s="79">
        <f>(M170/100)*(O170-Q170)</f>
        <v>-107.56</v>
      </c>
      <c r="Q170" s="78">
        <v>28.0</v>
      </c>
    </row>
    <row r="171">
      <c r="A171" s="54"/>
      <c r="B171" s="99"/>
      <c r="C171" s="99"/>
      <c r="D171" s="99"/>
      <c r="E171" s="99"/>
      <c r="F171" s="99"/>
      <c r="G171" s="99"/>
      <c r="H171" s="102"/>
      <c r="I171" s="102"/>
      <c r="J171" s="102"/>
      <c r="K171" s="102"/>
      <c r="L171" s="54"/>
      <c r="M171" s="54"/>
      <c r="P171" s="44"/>
    </row>
    <row r="172">
      <c r="A172" s="54"/>
      <c r="B172" s="114"/>
      <c r="C172" s="114"/>
      <c r="D172" s="114"/>
      <c r="E172" s="114"/>
      <c r="F172" s="114"/>
      <c r="G172" s="114"/>
      <c r="H172" s="54"/>
      <c r="I172" s="54"/>
      <c r="J172" s="54"/>
      <c r="K172" s="54"/>
      <c r="L172" s="54"/>
      <c r="M172" s="54"/>
      <c r="P172" s="44"/>
    </row>
    <row r="173">
      <c r="A173" s="54"/>
      <c r="B173" s="114"/>
      <c r="C173" s="114"/>
      <c r="D173" s="114"/>
      <c r="E173" s="114"/>
      <c r="F173" s="114"/>
      <c r="G173" s="114"/>
      <c r="H173" s="54"/>
      <c r="I173" s="54"/>
      <c r="J173" s="54"/>
      <c r="K173" s="54"/>
      <c r="L173" s="54"/>
      <c r="M173" s="54"/>
      <c r="P173" s="44"/>
    </row>
    <row r="174">
      <c r="A174" s="54"/>
      <c r="B174" s="114"/>
      <c r="C174" s="114"/>
      <c r="D174" s="114"/>
      <c r="E174" s="114"/>
      <c r="F174" s="114"/>
      <c r="G174" s="114"/>
      <c r="H174" s="54"/>
      <c r="I174" s="54"/>
      <c r="J174" s="54"/>
      <c r="K174" s="54"/>
      <c r="L174" s="54"/>
      <c r="M174" s="54"/>
      <c r="P174" s="44"/>
    </row>
    <row r="175">
      <c r="A175" s="54"/>
      <c r="B175" s="114"/>
      <c r="C175" s="114"/>
      <c r="D175" s="114"/>
      <c r="E175" s="114"/>
      <c r="F175" s="114"/>
      <c r="G175" s="114"/>
      <c r="H175" s="54"/>
      <c r="I175" s="54"/>
      <c r="J175" s="54"/>
      <c r="K175" s="54"/>
      <c r="L175" s="54"/>
      <c r="M175" s="54"/>
      <c r="P175" s="44"/>
    </row>
    <row r="176">
      <c r="A176" s="54"/>
      <c r="B176" s="114"/>
      <c r="C176" s="114"/>
      <c r="D176" s="114"/>
      <c r="E176" s="114"/>
      <c r="F176" s="114"/>
      <c r="G176" s="114"/>
      <c r="H176" s="54"/>
      <c r="I176" s="54"/>
      <c r="J176" s="54"/>
      <c r="K176" s="54"/>
      <c r="L176" s="54"/>
      <c r="M176" s="54"/>
      <c r="P176" s="44"/>
    </row>
    <row r="177">
      <c r="A177" s="54"/>
      <c r="B177" s="114"/>
      <c r="C177" s="114"/>
      <c r="D177" s="114"/>
      <c r="E177" s="114"/>
      <c r="F177" s="114"/>
      <c r="G177" s="114"/>
      <c r="H177" s="54"/>
      <c r="I177" s="54"/>
      <c r="J177" s="54"/>
      <c r="K177" s="54"/>
      <c r="L177" s="54"/>
      <c r="M177" s="54"/>
      <c r="P177" s="44"/>
    </row>
    <row r="178">
      <c r="A178" s="54"/>
      <c r="B178" s="114"/>
      <c r="C178" s="114"/>
      <c r="D178" s="114"/>
      <c r="E178" s="114"/>
      <c r="F178" s="114"/>
      <c r="G178" s="114"/>
      <c r="H178" s="54"/>
      <c r="I178" s="54"/>
      <c r="J178" s="54"/>
      <c r="K178" s="54"/>
      <c r="L178" s="54"/>
      <c r="M178" s="54"/>
      <c r="P178" s="44"/>
    </row>
    <row r="179">
      <c r="A179" s="54"/>
      <c r="B179" s="114"/>
      <c r="C179" s="114"/>
      <c r="D179" s="114"/>
      <c r="E179" s="114"/>
      <c r="F179" s="114"/>
      <c r="G179" s="114"/>
      <c r="H179" s="54"/>
      <c r="I179" s="54"/>
      <c r="J179" s="54"/>
      <c r="K179" s="54"/>
      <c r="L179" s="54"/>
      <c r="M179" s="54"/>
      <c r="P179" s="44"/>
    </row>
    <row r="180">
      <c r="A180" s="54"/>
      <c r="B180" s="114"/>
      <c r="C180" s="114"/>
      <c r="D180" s="114"/>
      <c r="E180" s="114"/>
      <c r="F180" s="114"/>
      <c r="G180" s="114"/>
      <c r="H180" s="54"/>
      <c r="I180" s="54"/>
      <c r="J180" s="54"/>
      <c r="K180" s="54"/>
      <c r="L180" s="54"/>
      <c r="M180" s="54"/>
      <c r="P180" s="44"/>
    </row>
    <row r="181">
      <c r="A181" s="54"/>
      <c r="B181" s="114"/>
      <c r="C181" s="114"/>
      <c r="D181" s="114"/>
      <c r="E181" s="114"/>
      <c r="F181" s="114"/>
      <c r="G181" s="114"/>
      <c r="H181" s="54"/>
      <c r="I181" s="54"/>
      <c r="J181" s="54"/>
      <c r="K181" s="54"/>
      <c r="L181" s="54"/>
      <c r="M181" s="54"/>
      <c r="P181" s="44"/>
    </row>
    <row r="182">
      <c r="A182" s="54"/>
      <c r="B182" s="114"/>
      <c r="C182" s="114"/>
      <c r="D182" s="114"/>
      <c r="E182" s="114"/>
      <c r="F182" s="114"/>
      <c r="G182" s="114"/>
      <c r="H182" s="54"/>
      <c r="I182" s="54"/>
      <c r="J182" s="54"/>
      <c r="K182" s="54"/>
      <c r="L182" s="54"/>
      <c r="M182" s="54"/>
      <c r="P182" s="44"/>
    </row>
    <row r="183">
      <c r="A183" s="54"/>
      <c r="B183" s="114"/>
      <c r="C183" s="114"/>
      <c r="D183" s="114"/>
      <c r="E183" s="114"/>
      <c r="F183" s="114"/>
      <c r="G183" s="114"/>
      <c r="H183" s="54"/>
      <c r="I183" s="54"/>
      <c r="J183" s="54"/>
      <c r="K183" s="54"/>
      <c r="L183" s="54"/>
      <c r="M183" s="54"/>
      <c r="P183" s="44"/>
    </row>
    <row r="184">
      <c r="A184" s="54"/>
      <c r="B184" s="114"/>
      <c r="C184" s="114"/>
      <c r="D184" s="114"/>
      <c r="E184" s="114"/>
      <c r="F184" s="114"/>
      <c r="G184" s="114"/>
      <c r="H184" s="54"/>
      <c r="I184" s="54"/>
      <c r="J184" s="54"/>
      <c r="K184" s="54"/>
      <c r="L184" s="54"/>
      <c r="M184" s="54"/>
      <c r="P184" s="44"/>
    </row>
    <row r="185">
      <c r="A185" s="54"/>
      <c r="B185" s="114"/>
      <c r="C185" s="114"/>
      <c r="D185" s="114"/>
      <c r="E185" s="114"/>
      <c r="F185" s="114"/>
      <c r="G185" s="114"/>
      <c r="H185" s="54"/>
      <c r="I185" s="54"/>
      <c r="J185" s="54"/>
      <c r="K185" s="54"/>
      <c r="L185" s="54"/>
      <c r="M185" s="54"/>
      <c r="P185" s="44"/>
    </row>
    <row r="186">
      <c r="A186" s="54"/>
      <c r="B186" s="114"/>
      <c r="C186" s="114"/>
      <c r="D186" s="114"/>
      <c r="E186" s="114"/>
      <c r="F186" s="114"/>
      <c r="G186" s="114"/>
      <c r="H186" s="54"/>
      <c r="I186" s="54"/>
      <c r="J186" s="54"/>
      <c r="K186" s="54"/>
      <c r="L186" s="54"/>
      <c r="M186" s="54"/>
      <c r="P186" s="44"/>
    </row>
    <row r="187">
      <c r="A187" s="54"/>
      <c r="B187" s="114"/>
      <c r="C187" s="114"/>
      <c r="D187" s="114"/>
      <c r="E187" s="114"/>
      <c r="F187" s="114"/>
      <c r="G187" s="114"/>
      <c r="H187" s="54"/>
      <c r="I187" s="54"/>
      <c r="J187" s="54"/>
      <c r="K187" s="54"/>
      <c r="L187" s="54"/>
      <c r="M187" s="54"/>
      <c r="P187" s="44"/>
    </row>
    <row r="188">
      <c r="A188" s="54"/>
      <c r="B188" s="114"/>
      <c r="C188" s="114"/>
      <c r="D188" s="114"/>
      <c r="E188" s="114"/>
      <c r="F188" s="114"/>
      <c r="G188" s="114"/>
      <c r="H188" s="54"/>
      <c r="I188" s="54"/>
      <c r="J188" s="54"/>
      <c r="K188" s="54"/>
      <c r="L188" s="54"/>
      <c r="M188" s="54"/>
      <c r="P188" s="44"/>
    </row>
    <row r="189">
      <c r="A189" s="54"/>
      <c r="B189" s="114"/>
      <c r="C189" s="114"/>
      <c r="D189" s="114"/>
      <c r="E189" s="114"/>
      <c r="F189" s="114"/>
      <c r="G189" s="114"/>
      <c r="H189" s="54"/>
      <c r="I189" s="54"/>
      <c r="J189" s="54"/>
      <c r="K189" s="54"/>
      <c r="L189" s="54"/>
      <c r="M189" s="54"/>
      <c r="P189" s="44"/>
    </row>
    <row r="190">
      <c r="A190" s="54"/>
      <c r="B190" s="114"/>
      <c r="C190" s="114"/>
      <c r="D190" s="114"/>
      <c r="E190" s="114"/>
      <c r="F190" s="114"/>
      <c r="G190" s="114"/>
      <c r="H190" s="54"/>
      <c r="I190" s="54"/>
      <c r="J190" s="54"/>
      <c r="K190" s="54"/>
      <c r="L190" s="54"/>
      <c r="M190" s="54"/>
      <c r="P190" s="44"/>
    </row>
    <row r="191">
      <c r="A191" s="54"/>
      <c r="B191" s="114"/>
      <c r="C191" s="114"/>
      <c r="D191" s="114"/>
      <c r="E191" s="114"/>
      <c r="F191" s="114"/>
      <c r="G191" s="114"/>
      <c r="H191" s="54"/>
      <c r="I191" s="54"/>
      <c r="J191" s="54"/>
      <c r="K191" s="54"/>
      <c r="L191" s="54"/>
      <c r="M191" s="54"/>
      <c r="P191" s="44"/>
    </row>
    <row r="192">
      <c r="A192" s="54"/>
      <c r="B192" s="114"/>
      <c r="C192" s="114"/>
      <c r="D192" s="114"/>
      <c r="E192" s="114"/>
      <c r="F192" s="114"/>
      <c r="G192" s="114"/>
      <c r="H192" s="54"/>
      <c r="I192" s="54"/>
      <c r="J192" s="54"/>
      <c r="K192" s="54"/>
      <c r="L192" s="54"/>
      <c r="M192" s="54"/>
      <c r="P192" s="44"/>
    </row>
    <row r="193">
      <c r="A193" s="54"/>
      <c r="B193" s="114"/>
      <c r="C193" s="114"/>
      <c r="D193" s="114"/>
      <c r="E193" s="114"/>
      <c r="F193" s="114"/>
      <c r="G193" s="114"/>
      <c r="H193" s="54"/>
      <c r="I193" s="54"/>
      <c r="J193" s="54"/>
      <c r="K193" s="54"/>
      <c r="L193" s="54"/>
      <c r="M193" s="54"/>
      <c r="P193" s="44"/>
    </row>
    <row r="194">
      <c r="A194" s="54"/>
      <c r="B194" s="114"/>
      <c r="C194" s="114"/>
      <c r="D194" s="114"/>
      <c r="E194" s="114"/>
      <c r="F194" s="114"/>
      <c r="G194" s="114"/>
      <c r="H194" s="54"/>
      <c r="I194" s="54"/>
      <c r="J194" s="54"/>
      <c r="K194" s="54"/>
      <c r="L194" s="54"/>
      <c r="M194" s="54"/>
      <c r="P194" s="44"/>
    </row>
    <row r="19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P195" s="44"/>
    </row>
    <row r="196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P196" s="44"/>
    </row>
    <row r="197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P197" s="44"/>
    </row>
    <row r="198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P198" s="44"/>
    </row>
    <row r="199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P199" s="44"/>
    </row>
    <row r="20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P200" s="44"/>
    </row>
    <row r="20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P201" s="44"/>
    </row>
    <row r="20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P202" s="44"/>
    </row>
    <row r="20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P203" s="44"/>
    </row>
    <row r="204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P204" s="44"/>
    </row>
    <row r="20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P205" s="44"/>
    </row>
    <row r="206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P206" s="44"/>
    </row>
    <row r="207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P207" s="44"/>
    </row>
    <row r="208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P208" s="44"/>
    </row>
    <row r="209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P209" s="44"/>
    </row>
    <row r="21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P210" s="44"/>
    </row>
    <row r="21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P211" s="44"/>
    </row>
    <row r="21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P212" s="44"/>
    </row>
    <row r="21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P213" s="44"/>
    </row>
    <row r="214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P214" s="44"/>
    </row>
    <row r="2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P215" s="44"/>
    </row>
    <row r="216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P216" s="44"/>
    </row>
    <row r="217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P217" s="44"/>
    </row>
    <row r="218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P218" s="44"/>
    </row>
    <row r="219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P219" s="44"/>
    </row>
    <row r="22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P220" s="44"/>
    </row>
    <row r="22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P221" s="44"/>
    </row>
    <row r="22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P222" s="44"/>
    </row>
    <row r="22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P223" s="44"/>
    </row>
    <row r="224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P224" s="44"/>
    </row>
    <row r="2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P225" s="44"/>
    </row>
    <row r="226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P226" s="44"/>
    </row>
    <row r="227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P227" s="44"/>
    </row>
    <row r="228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P228" s="44"/>
    </row>
    <row r="229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P229" s="44"/>
    </row>
    <row r="23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P230" s="44"/>
    </row>
    <row r="23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P231" s="44"/>
    </row>
    <row r="23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P232" s="44"/>
    </row>
    <row r="23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P233" s="44"/>
    </row>
    <row r="234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P234" s="44"/>
    </row>
    <row r="2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P235" s="44"/>
    </row>
    <row r="236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P236" s="44"/>
    </row>
    <row r="237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P237" s="44"/>
    </row>
    <row r="238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P238" s="44"/>
    </row>
    <row r="239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P239" s="44"/>
    </row>
    <row r="24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P240" s="44"/>
    </row>
    <row r="24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P241" s="44"/>
    </row>
    <row r="24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P242" s="44"/>
    </row>
    <row r="24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P243" s="44"/>
    </row>
    <row r="244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P244" s="44"/>
    </row>
    <row r="24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P245" s="44"/>
    </row>
    <row r="246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P246" s="44"/>
    </row>
    <row r="247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P247" s="44"/>
    </row>
    <row r="248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P248" s="44"/>
    </row>
    <row r="249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P249" s="44"/>
    </row>
    <row r="25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P250" s="44"/>
    </row>
    <row r="25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P251" s="44"/>
    </row>
    <row r="25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P252" s="44"/>
    </row>
    <row r="25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P253" s="44"/>
    </row>
    <row r="254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P254" s="44"/>
    </row>
    <row r="25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P255" s="44"/>
    </row>
    <row r="256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P256" s="44"/>
    </row>
    <row r="257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P257" s="44"/>
    </row>
    <row r="258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P258" s="44"/>
    </row>
    <row r="259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P259" s="44"/>
    </row>
    <row r="2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P260" s="44"/>
    </row>
    <row r="26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P261" s="44"/>
    </row>
    <row r="26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P262" s="44"/>
    </row>
    <row r="26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P263" s="44"/>
    </row>
    <row r="264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P264" s="44"/>
    </row>
    <row r="26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P265" s="44"/>
    </row>
    <row r="266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P266" s="44"/>
    </row>
    <row r="267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P267" s="44"/>
    </row>
    <row r="268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P268" s="44"/>
    </row>
    <row r="269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P269" s="44"/>
    </row>
    <row r="27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P270" s="44"/>
    </row>
    <row r="27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P271" s="44"/>
    </row>
    <row r="27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P272" s="44"/>
    </row>
    <row r="27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P273" s="44"/>
    </row>
    <row r="274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P274" s="44"/>
    </row>
    <row r="27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P275" s="44"/>
    </row>
    <row r="276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P276" s="44"/>
    </row>
    <row r="277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P277" s="44"/>
    </row>
    <row r="278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P278" s="44"/>
    </row>
    <row r="279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P279" s="44"/>
    </row>
    <row r="28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P280" s="44"/>
    </row>
    <row r="28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P281" s="44"/>
    </row>
    <row r="28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P282" s="44"/>
    </row>
    <row r="28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P283" s="44"/>
    </row>
    <row r="284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P284" s="44"/>
    </row>
    <row r="28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P285" s="44"/>
    </row>
    <row r="286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P286" s="44"/>
    </row>
    <row r="287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P287" s="44"/>
    </row>
    <row r="288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P288" s="44"/>
    </row>
    <row r="289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P289" s="44"/>
    </row>
    <row r="290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P290" s="44"/>
    </row>
    <row r="29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P291" s="44"/>
    </row>
    <row r="29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P292" s="44"/>
    </row>
    <row r="29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P293" s="44"/>
    </row>
    <row r="294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P294" s="44"/>
    </row>
    <row r="29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P295" s="44"/>
    </row>
    <row r="296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P296" s="44"/>
    </row>
    <row r="297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P297" s="44"/>
    </row>
    <row r="298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P298" s="44"/>
    </row>
    <row r="299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P299" s="44"/>
    </row>
    <row r="300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P300" s="44"/>
    </row>
    <row r="30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P301" s="44"/>
    </row>
    <row r="3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P302" s="44"/>
    </row>
    <row r="30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P303" s="44"/>
    </row>
    <row r="304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P304" s="44"/>
    </row>
    <row r="30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P305" s="44"/>
    </row>
    <row r="306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P306" s="44"/>
    </row>
    <row r="307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P307" s="44"/>
    </row>
    <row r="308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P308" s="44"/>
    </row>
    <row r="309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P309" s="44"/>
    </row>
    <row r="310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P310" s="44"/>
    </row>
    <row r="31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P311" s="44"/>
    </row>
    <row r="31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P312" s="44"/>
    </row>
    <row r="31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P313" s="44"/>
    </row>
    <row r="314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P314" s="44"/>
    </row>
    <row r="3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P315" s="44"/>
    </row>
    <row r="316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P316" s="44"/>
    </row>
    <row r="317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P317" s="44"/>
    </row>
    <row r="318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P318" s="44"/>
    </row>
    <row r="319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P319" s="44"/>
    </row>
    <row r="320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P320" s="44"/>
    </row>
    <row r="32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P321" s="4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P322" s="4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P323" s="4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P324" s="4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P325" s="4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P326" s="4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P327" s="4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P328" s="4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P329" s="4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P330" s="4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P331" s="4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P332" s="4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P333" s="4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P334" s="4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P335" s="4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P336" s="4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P337" s="4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P338" s="4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P339" s="4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P340" s="4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P341" s="4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P342" s="4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P343" s="4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P344" s="4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P345" s="4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P346" s="4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P347" s="4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P348" s="4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P349" s="4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P350" s="4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P351" s="4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P352" s="4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P353" s="4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P354" s="4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P355" s="4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P356" s="4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P357" s="4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P358" s="4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P359" s="4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P360" s="4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P361" s="4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P362" s="4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P363" s="4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P364" s="4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P365" s="4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P366" s="4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P367" s="4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P368" s="4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P369" s="4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P370" s="4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P371" s="4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P372" s="4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P373" s="4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P374" s="4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P375" s="4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P376" s="4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P377" s="4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P378" s="4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P379" s="4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P380" s="4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P381" s="4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P382" s="4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P383" s="4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P384" s="4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P385" s="4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P386" s="4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P387" s="4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P388" s="4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P389" s="4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P390" s="4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P391" s="4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P392" s="4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P393" s="4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P394" s="4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P395" s="4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P396" s="4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P397" s="4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P398" s="4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P399" s="4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P400" s="4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P401" s="4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P402" s="4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P403" s="4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P404" s="4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P405" s="4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P406" s="4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P407" s="4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P408" s="4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P409" s="4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P410" s="4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P411" s="4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P412" s="4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P413" s="4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P414" s="4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P415" s="4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P416" s="4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P417" s="4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P418" s="4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P419" s="4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P420" s="4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P421" s="4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P422" s="4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P423" s="4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P424" s="4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P425" s="4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P426" s="4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P427" s="4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P428" s="4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P429" s="4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P430" s="4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P431" s="4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P432" s="4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P433" s="4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P434" s="4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P435" s="4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P436" s="4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P437" s="4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P438" s="4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P439" s="4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P440" s="4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P441" s="4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P442" s="4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P443" s="4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P444" s="4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P445" s="4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P446" s="4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P447" s="4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P448" s="4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P449" s="4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P450" s="4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P451" s="4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P452" s="4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P453" s="4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P454" s="4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P455" s="4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P456" s="4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P457" s="4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P458" s="4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P459" s="4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P460" s="4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P461" s="4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P462" s="4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P463" s="4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P464" s="4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P465" s="4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P466" s="4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P467" s="4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P468" s="4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P469" s="4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P470" s="4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P471" s="4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P472" s="4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P473" s="4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P474" s="4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P475" s="4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P476" s="4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P477" s="4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P478" s="4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P479" s="4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P480" s="4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P481" s="4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P482" s="4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P483" s="4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P484" s="4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P485" s="4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P486" s="4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P487" s="4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P488" s="4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P489" s="4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P490" s="4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P491" s="4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P492" s="4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P493" s="4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P494" s="4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P495" s="4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P496" s="4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P497" s="4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P498" s="4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P499" s="4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P500" s="4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P501" s="4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P502" s="4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P503" s="4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P504" s="4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P505" s="4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P506" s="4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P507" s="4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P508" s="4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P509" s="4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P510" s="4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P511" s="4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P512" s="4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P513" s="4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P514" s="4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P515" s="4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P516" s="4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P517" s="4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P518" s="4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P519" s="4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P520" s="4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P521" s="4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P522" s="4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P523" s="4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P524" s="4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P525" s="4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P526" s="4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P527" s="4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P528" s="4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P529" s="4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P530" s="4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P531" s="4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P532" s="4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P533" s="4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P534" s="4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P535" s="4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P536" s="4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P537" s="4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P538" s="4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P539" s="4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P540" s="4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P541" s="4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P542" s="4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P543" s="4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P544" s="4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P545" s="4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P546" s="4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P547" s="4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P548" s="4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P549" s="4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P550" s="4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P551" s="4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P552" s="4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P553" s="4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P554" s="4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P555" s="4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P556" s="4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P557" s="4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P558" s="4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P559" s="4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P560" s="4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P561" s="4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P562" s="4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P563" s="4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P564" s="4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P565" s="4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P566" s="4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P567" s="4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P568" s="4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P569" s="4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P570" s="4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P571" s="4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P572" s="4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P573" s="4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P574" s="4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P575" s="4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P576" s="4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P577" s="4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P578" s="4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P579" s="4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P580" s="4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P581" s="4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P582" s="4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P583" s="4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P584" s="4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P585" s="4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P586" s="4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P587" s="4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P588" s="4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P589" s="4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P590" s="4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P591" s="4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P592" s="4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P593" s="4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P594" s="4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P595" s="4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P596" s="4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P597" s="4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P598" s="4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P599" s="4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P600" s="4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P601" s="4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P602" s="4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P603" s="4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P604" s="4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P605" s="4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P606" s="4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P607" s="4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P608" s="4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P609" s="4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P610" s="4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P611" s="4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P612" s="4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P613" s="4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P614" s="4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P615" s="4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P616" s="4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P617" s="4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P618" s="4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P619" s="4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P620" s="4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P621" s="4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P622" s="4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P623" s="4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P624" s="4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P625" s="4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P626" s="4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P627" s="4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P628" s="4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P629" s="4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P630" s="4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P631" s="4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P632" s="4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P633" s="4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P634" s="4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P635" s="4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P636" s="4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P637" s="4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P638" s="4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P639" s="4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P640" s="4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P641" s="4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P642" s="4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P643" s="4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P644" s="4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P645" s="4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P646" s="4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P647" s="4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P648" s="4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P649" s="4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P650" s="4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P651" s="4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P652" s="4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P653" s="4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P654" s="4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P655" s="4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P656" s="4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P657" s="4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P658" s="4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P659" s="4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P660" s="4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P661" s="4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P662" s="4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P663" s="4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P664" s="4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P665" s="4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P666" s="4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P667" s="4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P668" s="4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P669" s="4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P670" s="4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P671" s="4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P672" s="4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P673" s="4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P674" s="4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P675" s="4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P676" s="4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P677" s="4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P678" s="4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P679" s="4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P680" s="4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P681" s="4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P682" s="4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P683" s="4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P684" s="4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P685" s="4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P686" s="4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P687" s="4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P688" s="4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P689" s="4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P690" s="4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P691" s="4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P692" s="4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P693" s="4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P694" s="4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P695" s="4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P696" s="4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P697" s="4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P698" s="4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P699" s="4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P700" s="4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P701" s="4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P702" s="4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P703" s="4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P704" s="4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P705" s="4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P706" s="4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P707" s="4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P708" s="4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P709" s="4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P710" s="4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P711" s="4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P712" s="4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P713" s="4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P714" s="4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P715" s="4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P716" s="4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P717" s="4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P718" s="4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P719" s="4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P720" s="4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P721" s="4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P722" s="4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P723" s="4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P724" s="4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P725" s="4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P726" s="4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P727" s="4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P728" s="4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P729" s="4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P730" s="4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P731" s="4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P732" s="4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P733" s="4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P734" s="4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P735" s="4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P736" s="4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P737" s="4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P738" s="4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P739" s="4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P740" s="4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P741" s="4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P742" s="4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P743" s="4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P744" s="4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P745" s="4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P746" s="4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P747" s="4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P748" s="4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P749" s="4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P750" s="4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P751" s="4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P752" s="4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P753" s="4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P754" s="4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P755" s="4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P756" s="4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P757" s="4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P758" s="4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P759" s="4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P760" s="4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P761" s="4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P762" s="4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P763" s="4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P764" s="4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P765" s="4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P766" s="4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P767" s="4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P768" s="4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P769" s="4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P770" s="4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P771" s="4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P772" s="4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P773" s="4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P774" s="4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P775" s="4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P776" s="4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P777" s="4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P778" s="4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P779" s="4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P780" s="4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P781" s="4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P782" s="4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P783" s="4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P784" s="4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P785" s="4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P786" s="4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P787" s="4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P788" s="4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P789" s="4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P790" s="4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P791" s="4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P792" s="4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P793" s="4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P794" s="4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P795" s="4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P796" s="4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P797" s="4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P798" s="4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P799" s="4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P800" s="4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P801" s="4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P802" s="4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P803" s="4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P804" s="4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P805" s="4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P806" s="4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P807" s="4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P808" s="4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P809" s="4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P810" s="4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P811" s="4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P812" s="4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P813" s="4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P814" s="4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P815" s="4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P816" s="4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P817" s="4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P818" s="4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P819" s="4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P820" s="4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P821" s="4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P822" s="4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P823" s="4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P824" s="4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P825" s="4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P826" s="4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P827" s="4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P828" s="4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P829" s="4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P830" s="4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P831" s="4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P832" s="4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P833" s="4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P834" s="4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P835" s="4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P836" s="4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P837" s="4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P838" s="4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P839" s="4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P840" s="4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P841" s="4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P842" s="4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P843" s="4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P844" s="4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P845" s="4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P846" s="4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P847" s="4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P848" s="4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P849" s="4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P850" s="4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P851" s="4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P852" s="4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P853" s="4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P854" s="4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P855" s="4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P856" s="4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P857" s="4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P858" s="4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P859" s="4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P860" s="4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P861" s="4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P862" s="4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P863" s="4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P864" s="4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P865" s="4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P866" s="4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P867" s="4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P868" s="4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P869" s="4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P870" s="4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P871" s="4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P872" s="4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P873" s="4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P874" s="4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P875" s="4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P876" s="4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P877" s="4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P878" s="4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P879" s="4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P880" s="4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P881" s="4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P882" s="4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P883" s="4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P884" s="4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P885" s="4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P886" s="4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P887" s="4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P888" s="4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P889" s="4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P890" s="4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P891" s="4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P892" s="4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P893" s="4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P894" s="4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P895" s="4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P896" s="4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P897" s="4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P898" s="4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P899" s="4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P900" s="4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P901" s="4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P902" s="4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P903" s="4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P904" s="4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P905" s="4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P906" s="4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P907" s="4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P908" s="4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P909" s="4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P910" s="4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P911" s="4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P912" s="4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P913" s="4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P914" s="4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P915" s="4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P916" s="4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P917" s="4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P918" s="4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P919" s="4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P920" s="4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P921" s="4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P922" s="4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P923" s="4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P924" s="4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P925" s="4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P926" s="4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P927" s="4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P928" s="4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P929" s="4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P930" s="4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P931" s="4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P932" s="4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P933" s="4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P934" s="4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P935" s="4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P936" s="4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P937" s="4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P938" s="4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P939" s="4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P940" s="4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P941" s="4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P942" s="4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P943" s="4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P944" s="4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P945" s="4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P946" s="4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P947" s="4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P948" s="4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P949" s="4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P950" s="4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P951" s="4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P952" s="4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P953" s="4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P954" s="4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P955" s="4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P956" s="4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P957" s="4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P958" s="4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P959" s="4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P960" s="4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P961" s="4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P962" s="4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P963" s="4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P964" s="4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P965" s="4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P966" s="4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P967" s="4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P968" s="4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P969" s="4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P970" s="4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P971" s="4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P972" s="4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P973" s="4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P974" s="4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P975" s="4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P976" s="4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P977" s="4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P978" s="4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P979" s="4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P980" s="4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P981" s="4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P982" s="4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P983" s="4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P984" s="4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P985" s="4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P986" s="4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P987" s="4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P988" s="4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P989" s="4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P990" s="4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P991" s="4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P992" s="4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P993" s="4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P994" s="4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P995" s="4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P996" s="4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P997" s="4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P998" s="4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P999" s="4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P1000" s="44"/>
    </row>
  </sheetData>
  <mergeCells count="42">
    <mergeCell ref="B3:I3"/>
    <mergeCell ref="B8:I8"/>
    <mergeCell ref="M10:O10"/>
    <mergeCell ref="B16:I16"/>
    <mergeCell ref="M18:O18"/>
    <mergeCell ref="B23:I23"/>
    <mergeCell ref="M24:O24"/>
    <mergeCell ref="B30:I30"/>
    <mergeCell ref="M31:O31"/>
    <mergeCell ref="B36:I36"/>
    <mergeCell ref="M37:O37"/>
    <mergeCell ref="B43:I43"/>
    <mergeCell ref="M43:O43"/>
    <mergeCell ref="M47:O47"/>
    <mergeCell ref="B46:I46"/>
    <mergeCell ref="B50:I50"/>
    <mergeCell ref="B52:I52"/>
    <mergeCell ref="B54:I54"/>
    <mergeCell ref="M55:Q55"/>
    <mergeCell ref="B62:I62"/>
    <mergeCell ref="M63:Q63"/>
    <mergeCell ref="B75:I75"/>
    <mergeCell ref="B76:I76"/>
    <mergeCell ref="M77:Q77"/>
    <mergeCell ref="B88:I88"/>
    <mergeCell ref="M88:Q88"/>
    <mergeCell ref="B91:I91"/>
    <mergeCell ref="M92:Q92"/>
    <mergeCell ref="B125:I125"/>
    <mergeCell ref="B139:I139"/>
    <mergeCell ref="M140:Q140"/>
    <mergeCell ref="B154:I154"/>
    <mergeCell ref="M155:Q155"/>
    <mergeCell ref="B167:I167"/>
    <mergeCell ref="M168:Q168"/>
    <mergeCell ref="B99:I99"/>
    <mergeCell ref="M100:Q100"/>
    <mergeCell ref="B108:I108"/>
    <mergeCell ref="M109:Q109"/>
    <mergeCell ref="B116:I116"/>
    <mergeCell ref="M117:Q117"/>
    <mergeCell ref="M126:Q126"/>
  </mergeCells>
  <conditionalFormatting sqref="J91 J99 J108 J116 J125 J139 J154 J167">
    <cfRule type="expression" dxfId="0" priority="1">
      <formula>ABS(J91:J1088)&gt;5</formula>
    </cfRule>
  </conditionalFormatting>
  <conditionalFormatting sqref="AB91 AB99 AB108 AB116 AB125 AB139 AB154 AB167">
    <cfRule type="cellIs" dxfId="1" priority="2" operator="greaterThanOrEqual">
      <formula>30</formula>
    </cfRule>
  </conditionalFormatting>
  <conditionalFormatting sqref="AB91 AB99 AB108 AB116 AB125 AB139 AB154 AB167">
    <cfRule type="cellIs" dxfId="2" priority="3" operator="greaterThanOrEqual">
      <formula>28</formula>
    </cfRule>
  </conditionalFormatting>
  <conditionalFormatting sqref="K91 K99 K108 K116 K125 K139 K154 K167">
    <cfRule type="cellIs" dxfId="5" priority="4" operator="greaterThan">
      <formula>33</formula>
    </cfRule>
  </conditionalFormatting>
  <conditionalFormatting sqref="K91 K99 K108 K116 K125 K139 K154 K167">
    <cfRule type="cellIs" dxfId="6" priority="5" operator="greaterThan">
      <formula>31</formula>
    </cfRule>
  </conditionalFormatting>
  <conditionalFormatting sqref="J2">
    <cfRule type="expression" dxfId="0" priority="6">
      <formula>ABS(J2:J1001)&gt;5</formula>
    </cfRule>
  </conditionalFormatting>
  <conditionalFormatting sqref="K2">
    <cfRule type="cellIs" dxfId="1" priority="7" operator="greaterThanOrEqual">
      <formula>35</formula>
    </cfRule>
  </conditionalFormatting>
  <conditionalFormatting sqref="K2">
    <cfRule type="cellIs" dxfId="2" priority="8" operator="greaterThanOrEqual">
      <formula>33</formula>
    </cfRule>
  </conditionalFormatting>
  <conditionalFormatting sqref="K2">
    <cfRule type="cellIs" dxfId="3" priority="9" operator="greaterThanOrEqual">
      <formula>33</formula>
    </cfRule>
  </conditionalFormatting>
  <conditionalFormatting sqref="K2">
    <cfRule type="cellIs" dxfId="4" priority="10" operator="greaterThanOrEqual">
      <formula>29</formula>
    </cfRule>
  </conditionalFormatting>
  <conditionalFormatting sqref="J2">
    <cfRule type="expression" dxfId="0" priority="11">
      <formula>ABS(J:J)&gt;10.3</formula>
    </cfRule>
  </conditionalFormatting>
  <conditionalFormatting sqref="K1:K1000">
    <cfRule type="cellIs" dxfId="3" priority="12" operator="greaterThanOrEqual">
      <formula>30</formula>
    </cfRule>
  </conditionalFormatting>
  <conditionalFormatting sqref="K1:K1000">
    <cfRule type="cellIs" dxfId="4" priority="13" operator="greaterThanOrEqual">
      <formula>28</formula>
    </cfRule>
  </conditionalFormatting>
  <conditionalFormatting sqref="J1:J1000">
    <cfRule type="expression" dxfId="0" priority="14">
      <formula>ABS(J:J)&gt;5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42</v>
      </c>
      <c r="M1" s="195">
        <v>28.0</v>
      </c>
      <c r="N1" s="9" t="s">
        <v>129</v>
      </c>
      <c r="O1" s="9">
        <v>70.0</v>
      </c>
      <c r="P1" s="342"/>
      <c r="Q1" s="342"/>
      <c r="R1" s="226" t="s">
        <v>156</v>
      </c>
      <c r="S1" s="227" t="s">
        <v>54</v>
      </c>
      <c r="T1" s="228" t="s">
        <v>55</v>
      </c>
      <c r="U1" s="229" t="s">
        <v>57</v>
      </c>
      <c r="V1" s="229" t="s">
        <v>58</v>
      </c>
      <c r="W1" s="229" t="s">
        <v>59</v>
      </c>
      <c r="X1" s="229" t="s">
        <v>60</v>
      </c>
      <c r="Y1" s="229" t="s">
        <v>61</v>
      </c>
      <c r="Z1" s="229" t="s">
        <v>62</v>
      </c>
      <c r="AA1" s="229" t="s">
        <v>63</v>
      </c>
      <c r="AB1" s="230" t="s">
        <v>64</v>
      </c>
      <c r="AC1" s="231" t="s">
        <v>157</v>
      </c>
      <c r="AD1" s="232"/>
      <c r="AE1" s="232"/>
    </row>
    <row r="2">
      <c r="A2" s="58" t="s">
        <v>293</v>
      </c>
      <c r="B2" s="54"/>
      <c r="C2" s="54"/>
      <c r="D2" s="60" t="s">
        <v>161</v>
      </c>
      <c r="E2" s="54"/>
      <c r="F2" s="54">
        <f>SUM(F6:F1001)</f>
        <v>386814</v>
      </c>
      <c r="G2" s="54">
        <f>MAX(G4:G1001)</f>
        <v>610</v>
      </c>
      <c r="H2" s="54">
        <f>SUM(H5:H1001)</f>
        <v>110621</v>
      </c>
      <c r="I2" s="54">
        <f>SUM(I6:I1001)</f>
        <v>108892.28</v>
      </c>
      <c r="J2" s="54">
        <f>H2-I2</f>
        <v>1728.72</v>
      </c>
      <c r="K2" s="63">
        <f>I2/F2*100</f>
        <v>28.15107002</v>
      </c>
      <c r="L2" s="64" t="s">
        <v>65</v>
      </c>
      <c r="M2" s="65"/>
      <c r="N2" s="54"/>
      <c r="O2" s="54"/>
      <c r="P2" s="342"/>
      <c r="Q2" s="342"/>
      <c r="S2" s="229" t="s">
        <v>294</v>
      </c>
      <c r="T2" s="232"/>
      <c r="U2" s="232"/>
      <c r="V2" s="232"/>
      <c r="W2" s="232">
        <f>SUM(W3:W179)</f>
        <v>227122</v>
      </c>
      <c r="X2" s="232">
        <f>MAX(X5:X1001)</f>
        <v>610</v>
      </c>
      <c r="Y2" s="232">
        <f t="shared" ref="Y2:Z2" si="1">SUM(Y3:Y179)</f>
        <v>63400.91</v>
      </c>
      <c r="Z2" s="232">
        <f t="shared" si="1"/>
        <v>65613.25</v>
      </c>
      <c r="AA2" s="232">
        <f>Y2-Z2</f>
        <v>-2212.34</v>
      </c>
      <c r="AB2" s="234">
        <f>Z2/W2*100</f>
        <v>28.88898918</v>
      </c>
      <c r="AC2" s="235" t="s">
        <v>295</v>
      </c>
      <c r="AD2" s="236"/>
      <c r="AE2" s="236"/>
    </row>
    <row r="3">
      <c r="A3" s="66"/>
      <c r="B3" s="67">
        <v>2024.0</v>
      </c>
      <c r="J3" s="66"/>
      <c r="K3" s="66"/>
      <c r="L3" s="66"/>
      <c r="M3" s="66"/>
      <c r="N3" s="66"/>
      <c r="O3" s="66"/>
      <c r="P3" s="56"/>
      <c r="Q3" s="56"/>
      <c r="R3" s="241"/>
      <c r="S3" s="66"/>
      <c r="T3" s="191">
        <v>2023.0</v>
      </c>
      <c r="AA3" s="66"/>
      <c r="AB3" s="242"/>
      <c r="AC3" s="66"/>
      <c r="AD3" s="66"/>
      <c r="AE3" s="66"/>
    </row>
    <row r="4">
      <c r="A4" s="66"/>
      <c r="B4" s="67" t="s">
        <v>66</v>
      </c>
      <c r="J4" s="66"/>
      <c r="K4" s="66"/>
      <c r="L4" s="66"/>
      <c r="M4" s="66"/>
      <c r="N4" s="66"/>
      <c r="O4" s="66"/>
      <c r="P4" s="56"/>
      <c r="Q4" s="56"/>
      <c r="R4" s="241"/>
      <c r="S4" s="66"/>
      <c r="T4" s="67" t="s">
        <v>66</v>
      </c>
      <c r="AA4" s="66"/>
      <c r="AB4" s="242"/>
      <c r="AC4" s="66"/>
      <c r="AD4" s="66"/>
      <c r="AE4" s="66"/>
    </row>
    <row r="5">
      <c r="A5" s="54"/>
      <c r="B5" s="94">
        <v>45302.0</v>
      </c>
      <c r="C5" s="343"/>
      <c r="D5" s="245" t="s">
        <v>296</v>
      </c>
      <c r="E5" s="245">
        <v>1206188.0</v>
      </c>
      <c r="F5" s="245">
        <v>1210.0</v>
      </c>
      <c r="G5" s="245">
        <v>610.0</v>
      </c>
      <c r="H5" s="246">
        <v>437.0</v>
      </c>
      <c r="I5" s="246">
        <v>426.12</v>
      </c>
      <c r="J5" s="246">
        <v>10.88</v>
      </c>
      <c r="K5" s="97">
        <v>35.22</v>
      </c>
      <c r="L5" s="54"/>
      <c r="M5" s="74" t="s">
        <v>297</v>
      </c>
      <c r="N5" s="75"/>
      <c r="O5" s="76"/>
      <c r="R5" s="249"/>
      <c r="S5" s="54"/>
      <c r="T5" s="70">
        <v>45294.0</v>
      </c>
      <c r="U5" s="71" t="s">
        <v>280</v>
      </c>
      <c r="V5" s="71">
        <v>976085.0</v>
      </c>
      <c r="W5" s="71">
        <v>1193.0</v>
      </c>
      <c r="X5" s="71" t="s">
        <v>298</v>
      </c>
      <c r="Y5" s="72">
        <v>497.45</v>
      </c>
      <c r="Z5" s="72">
        <v>485.63</v>
      </c>
      <c r="AA5" s="72">
        <v>11.82</v>
      </c>
      <c r="AB5" s="254">
        <f t="shared" ref="AB5:AB13" si="2">Z5/W5*100</f>
        <v>40.70662196</v>
      </c>
      <c r="AC5" s="54"/>
      <c r="AD5" s="54"/>
      <c r="AE5" s="54"/>
    </row>
    <row r="6">
      <c r="A6" s="54"/>
      <c r="B6" s="344">
        <v>45304.0</v>
      </c>
      <c r="C6" s="345"/>
      <c r="D6" s="252" t="s">
        <v>296</v>
      </c>
      <c r="E6" s="252">
        <v>1207701.0</v>
      </c>
      <c r="F6" s="252">
        <v>1513.0</v>
      </c>
      <c r="G6" s="252">
        <v>610.0</v>
      </c>
      <c r="H6" s="253">
        <v>509.0</v>
      </c>
      <c r="I6" s="253">
        <v>498.66</v>
      </c>
      <c r="J6" s="253">
        <v>10.34</v>
      </c>
      <c r="K6" s="97">
        <v>32.96</v>
      </c>
      <c r="L6" s="54"/>
      <c r="M6" s="77" t="s">
        <v>70</v>
      </c>
      <c r="N6" s="77" t="s">
        <v>71</v>
      </c>
      <c r="O6" s="77" t="s">
        <v>27</v>
      </c>
      <c r="R6" s="249"/>
      <c r="S6" s="54"/>
      <c r="T6" s="70">
        <v>45296.0</v>
      </c>
      <c r="U6" s="71" t="s">
        <v>280</v>
      </c>
      <c r="V6" s="71">
        <v>978249.0</v>
      </c>
      <c r="W6" s="71">
        <v>2164.0</v>
      </c>
      <c r="X6" s="71" t="s">
        <v>299</v>
      </c>
      <c r="Y6" s="72">
        <v>449.57</v>
      </c>
      <c r="Z6" s="72">
        <v>435.98</v>
      </c>
      <c r="AA6" s="72">
        <v>13.59</v>
      </c>
      <c r="AB6" s="254">
        <f t="shared" si="2"/>
        <v>20.14695009</v>
      </c>
      <c r="AC6" s="54"/>
    </row>
    <row r="7">
      <c r="A7" s="54"/>
      <c r="B7" s="344">
        <v>45307.0</v>
      </c>
      <c r="C7" s="345"/>
      <c r="D7" s="252" t="s">
        <v>296</v>
      </c>
      <c r="E7" s="252">
        <v>1209207.0</v>
      </c>
      <c r="F7" s="252">
        <v>1506.0</v>
      </c>
      <c r="G7" s="252">
        <v>610.0</v>
      </c>
      <c r="H7" s="253">
        <v>505.0</v>
      </c>
      <c r="I7" s="253">
        <v>492.03</v>
      </c>
      <c r="J7" s="253">
        <v>12.97</v>
      </c>
      <c r="K7" s="97">
        <v>32.67</v>
      </c>
      <c r="L7" s="54"/>
      <c r="M7" s="79">
        <f>SUM(F5:F14)</f>
        <v>13269</v>
      </c>
      <c r="N7" s="79">
        <f>SUM(I5:I14)</f>
        <v>4229.55</v>
      </c>
      <c r="O7" s="214">
        <f>N7/M7*100</f>
        <v>31.87542392</v>
      </c>
      <c r="R7" s="249"/>
      <c r="S7" s="54"/>
      <c r="T7" s="70">
        <v>45298.0</v>
      </c>
      <c r="U7" s="71" t="s">
        <v>280</v>
      </c>
      <c r="V7" s="71">
        <v>979192.0</v>
      </c>
      <c r="W7" s="71">
        <v>943.0</v>
      </c>
      <c r="X7" s="71" t="s">
        <v>300</v>
      </c>
      <c r="Y7" s="72">
        <v>300.67</v>
      </c>
      <c r="Z7" s="72">
        <v>286.14</v>
      </c>
      <c r="AA7" s="72">
        <v>14.53</v>
      </c>
      <c r="AB7" s="254">
        <f t="shared" si="2"/>
        <v>30.34358431</v>
      </c>
      <c r="AC7" s="54"/>
      <c r="AD7" s="60"/>
      <c r="AE7" s="60"/>
    </row>
    <row r="8">
      <c r="A8" s="54"/>
      <c r="B8" s="344">
        <v>45309.0</v>
      </c>
      <c r="C8" s="345"/>
      <c r="D8" s="252" t="s">
        <v>296</v>
      </c>
      <c r="E8" s="252">
        <v>1210714.0</v>
      </c>
      <c r="F8" s="252">
        <v>1507.0</v>
      </c>
      <c r="G8" s="252">
        <v>610.0</v>
      </c>
      <c r="H8" s="253">
        <v>492.0</v>
      </c>
      <c r="I8" s="253">
        <v>479.08</v>
      </c>
      <c r="J8" s="253">
        <v>12.92</v>
      </c>
      <c r="K8" s="97">
        <v>31.79</v>
      </c>
      <c r="L8" s="54"/>
      <c r="M8" s="54"/>
      <c r="N8" s="54"/>
      <c r="O8" s="54"/>
      <c r="R8" s="249"/>
      <c r="S8" s="54"/>
      <c r="T8" s="70">
        <v>45300.0</v>
      </c>
      <c r="U8" s="71" t="s">
        <v>280</v>
      </c>
      <c r="V8" s="71">
        <v>980456.0</v>
      </c>
      <c r="W8" s="71">
        <v>1264.0</v>
      </c>
      <c r="X8" s="71" t="s">
        <v>298</v>
      </c>
      <c r="Y8" s="72">
        <v>439.13</v>
      </c>
      <c r="Z8" s="72">
        <v>433.8</v>
      </c>
      <c r="AA8" s="72">
        <v>5.33</v>
      </c>
      <c r="AB8" s="254">
        <f t="shared" si="2"/>
        <v>34.31962025</v>
      </c>
      <c r="AC8" s="54"/>
      <c r="AD8" s="54"/>
      <c r="AE8" s="54"/>
    </row>
    <row r="9">
      <c r="A9" s="54"/>
      <c r="B9" s="344">
        <v>45311.0</v>
      </c>
      <c r="C9" s="345"/>
      <c r="D9" s="252" t="s">
        <v>296</v>
      </c>
      <c r="E9" s="252">
        <v>1212229.0</v>
      </c>
      <c r="F9" s="252">
        <v>1515.0</v>
      </c>
      <c r="G9" s="252">
        <v>610.0</v>
      </c>
      <c r="H9" s="253">
        <v>499.0</v>
      </c>
      <c r="I9" s="253">
        <v>486.89</v>
      </c>
      <c r="J9" s="253">
        <v>12.11</v>
      </c>
      <c r="K9" s="97">
        <v>32.14</v>
      </c>
      <c r="L9" s="54"/>
      <c r="M9" s="54"/>
      <c r="N9" s="54"/>
      <c r="O9" s="54"/>
      <c r="R9" s="249"/>
      <c r="S9" s="54"/>
      <c r="T9" s="70">
        <v>45303.0</v>
      </c>
      <c r="U9" s="71" t="s">
        <v>280</v>
      </c>
      <c r="V9" s="71">
        <v>981899.0</v>
      </c>
      <c r="W9" s="71">
        <v>1443.0</v>
      </c>
      <c r="X9" s="71" t="s">
        <v>298</v>
      </c>
      <c r="Y9" s="72">
        <v>459.19</v>
      </c>
      <c r="Z9" s="72">
        <v>442.18</v>
      </c>
      <c r="AA9" s="72">
        <v>17.01</v>
      </c>
      <c r="AB9" s="254">
        <f t="shared" si="2"/>
        <v>30.64310464</v>
      </c>
      <c r="AC9" s="54"/>
      <c r="AD9" s="54"/>
      <c r="AE9" s="54"/>
    </row>
    <row r="10">
      <c r="A10" s="54"/>
      <c r="B10" s="344">
        <v>45314.0</v>
      </c>
      <c r="C10" s="345"/>
      <c r="D10" s="252" t="s">
        <v>296</v>
      </c>
      <c r="E10" s="252">
        <v>1213735.0</v>
      </c>
      <c r="F10" s="252">
        <v>1506.0</v>
      </c>
      <c r="G10" s="252">
        <v>610.0</v>
      </c>
      <c r="H10" s="253">
        <v>464.0</v>
      </c>
      <c r="I10" s="253">
        <v>452.73</v>
      </c>
      <c r="J10" s="253">
        <v>11.27</v>
      </c>
      <c r="K10" s="97">
        <v>30.06</v>
      </c>
      <c r="L10" s="54"/>
      <c r="M10" s="54"/>
      <c r="N10" s="54"/>
      <c r="O10" s="54"/>
      <c r="R10" s="249"/>
      <c r="S10" s="54"/>
      <c r="T10" s="70">
        <v>45308.0</v>
      </c>
      <c r="U10" s="71" t="s">
        <v>280</v>
      </c>
      <c r="V10" s="71">
        <v>983487.0</v>
      </c>
      <c r="W10" s="71">
        <v>1588.0</v>
      </c>
      <c r="X10" s="71" t="s">
        <v>298</v>
      </c>
      <c r="Y10" s="72">
        <v>468.76</v>
      </c>
      <c r="Z10" s="72">
        <v>448.58</v>
      </c>
      <c r="AA10" s="72">
        <v>20.18</v>
      </c>
      <c r="AB10" s="254">
        <f t="shared" si="2"/>
        <v>28.24811083</v>
      </c>
      <c r="AC10" s="54"/>
      <c r="AD10" s="54"/>
      <c r="AE10" s="54"/>
    </row>
    <row r="11">
      <c r="A11" s="54"/>
      <c r="B11" s="344">
        <v>45316.0</v>
      </c>
      <c r="C11" s="345"/>
      <c r="D11" s="252" t="s">
        <v>296</v>
      </c>
      <c r="E11" s="252">
        <v>1215241.0</v>
      </c>
      <c r="F11" s="252">
        <v>1506.0</v>
      </c>
      <c r="G11" s="252">
        <v>610.0</v>
      </c>
      <c r="H11" s="253">
        <v>482.0</v>
      </c>
      <c r="I11" s="253">
        <v>477.88</v>
      </c>
      <c r="J11" s="253">
        <v>4.12</v>
      </c>
      <c r="K11" s="97">
        <v>31.73</v>
      </c>
      <c r="L11" s="54"/>
      <c r="M11" s="54"/>
      <c r="N11" s="54"/>
      <c r="O11" s="54"/>
      <c r="R11" s="249"/>
      <c r="S11" s="54"/>
      <c r="T11" s="70">
        <v>45314.0</v>
      </c>
      <c r="U11" s="71" t="s">
        <v>280</v>
      </c>
      <c r="V11" s="71">
        <v>984880.0</v>
      </c>
      <c r="W11" s="71">
        <v>1393.0</v>
      </c>
      <c r="X11" s="71" t="s">
        <v>298</v>
      </c>
      <c r="Y11" s="72">
        <v>458.41</v>
      </c>
      <c r="Z11" s="72">
        <v>441.23</v>
      </c>
      <c r="AA11" s="72">
        <v>17.18</v>
      </c>
      <c r="AB11" s="254">
        <f t="shared" si="2"/>
        <v>31.67480258</v>
      </c>
      <c r="AC11" s="54"/>
      <c r="AD11" s="54"/>
      <c r="AE11" s="54"/>
    </row>
    <row r="12">
      <c r="A12" s="54"/>
      <c r="B12" s="344">
        <v>45318.0</v>
      </c>
      <c r="C12" s="345"/>
      <c r="D12" s="252" t="s">
        <v>296</v>
      </c>
      <c r="E12" s="252">
        <v>1216745.0</v>
      </c>
      <c r="F12" s="252">
        <v>1504.0</v>
      </c>
      <c r="G12" s="252">
        <v>432.0</v>
      </c>
      <c r="H12" s="253">
        <v>292.0</v>
      </c>
      <c r="I12" s="253">
        <v>301.18</v>
      </c>
      <c r="J12" s="253">
        <v>-9.18</v>
      </c>
      <c r="K12" s="97">
        <v>20.03</v>
      </c>
      <c r="L12" s="54"/>
      <c r="M12" s="54"/>
      <c r="N12" s="54"/>
      <c r="O12" s="54"/>
      <c r="R12" s="249"/>
      <c r="S12" s="54"/>
      <c r="T12" s="70">
        <v>45316.0</v>
      </c>
      <c r="U12" s="71" t="s">
        <v>301</v>
      </c>
      <c r="V12" s="71">
        <v>986586.0</v>
      </c>
      <c r="W12" s="71">
        <v>1706.0</v>
      </c>
      <c r="X12" s="71" t="s">
        <v>298</v>
      </c>
      <c r="Y12" s="72">
        <v>501.82</v>
      </c>
      <c r="Z12" s="72">
        <v>500.1</v>
      </c>
      <c r="AA12" s="72">
        <v>1.72</v>
      </c>
      <c r="AB12" s="254">
        <f t="shared" si="2"/>
        <v>29.31418523</v>
      </c>
      <c r="AC12" s="54"/>
      <c r="AD12" s="54"/>
      <c r="AE12" s="54"/>
    </row>
    <row r="13">
      <c r="A13" s="54"/>
      <c r="B13" s="344">
        <v>45319.0</v>
      </c>
      <c r="C13" s="345"/>
      <c r="D13" s="252" t="s">
        <v>296</v>
      </c>
      <c r="E13" s="252">
        <v>1217426.0</v>
      </c>
      <c r="F13" s="252">
        <v>681.0</v>
      </c>
      <c r="G13" s="252">
        <v>539.0</v>
      </c>
      <c r="H13" s="253">
        <v>299.0</v>
      </c>
      <c r="I13" s="253">
        <v>300.0</v>
      </c>
      <c r="J13" s="253">
        <v>-1.0</v>
      </c>
      <c r="K13" s="97">
        <v>44.05</v>
      </c>
      <c r="L13" s="54"/>
      <c r="M13" s="54"/>
      <c r="N13" s="54"/>
      <c r="O13" s="54"/>
      <c r="R13" s="249"/>
      <c r="S13" s="54"/>
      <c r="T13" s="70">
        <v>45318.0</v>
      </c>
      <c r="U13" s="71" t="s">
        <v>301</v>
      </c>
      <c r="V13" s="71">
        <v>988156.0</v>
      </c>
      <c r="W13" s="71">
        <v>1570.0</v>
      </c>
      <c r="X13" s="71" t="s">
        <v>298</v>
      </c>
      <c r="Y13" s="72">
        <v>464.28</v>
      </c>
      <c r="Z13" s="72">
        <v>470.9</v>
      </c>
      <c r="AA13" s="72">
        <v>-6.62</v>
      </c>
      <c r="AB13" s="254">
        <f t="shared" si="2"/>
        <v>29.99363057</v>
      </c>
      <c r="AC13" s="54"/>
      <c r="AD13" s="54"/>
      <c r="AE13" s="54"/>
    </row>
    <row r="14">
      <c r="A14" s="54"/>
      <c r="B14" s="344">
        <v>45321.0</v>
      </c>
      <c r="C14" s="345"/>
      <c r="D14" s="252" t="s">
        <v>296</v>
      </c>
      <c r="E14" s="252">
        <v>1218247.0</v>
      </c>
      <c r="F14" s="252">
        <v>821.0</v>
      </c>
      <c r="G14" s="252">
        <v>610.0</v>
      </c>
      <c r="H14" s="253">
        <v>323.0</v>
      </c>
      <c r="I14" s="253">
        <v>314.98</v>
      </c>
      <c r="J14" s="253">
        <v>8.02</v>
      </c>
      <c r="K14" s="97">
        <v>38.37</v>
      </c>
      <c r="L14" s="54"/>
      <c r="M14" s="54"/>
      <c r="N14" s="54"/>
      <c r="O14" s="54"/>
      <c r="R14" s="249"/>
      <c r="S14" s="66"/>
      <c r="T14" s="67" t="s">
        <v>68</v>
      </c>
      <c r="AA14" s="66"/>
      <c r="AB14" s="242"/>
      <c r="AC14" s="66"/>
      <c r="AD14" s="66"/>
      <c r="AE14" s="66"/>
    </row>
    <row r="15">
      <c r="A15" s="66"/>
      <c r="B15" s="67" t="s">
        <v>68</v>
      </c>
      <c r="J15" s="66"/>
      <c r="K15" s="66"/>
      <c r="L15" s="66"/>
      <c r="M15" s="66"/>
      <c r="N15" s="66"/>
      <c r="O15" s="66"/>
      <c r="R15" s="249"/>
      <c r="T15" s="70">
        <v>45324.0</v>
      </c>
      <c r="U15" s="71" t="s">
        <v>296</v>
      </c>
      <c r="V15" s="71">
        <v>991164.0</v>
      </c>
      <c r="W15" s="71">
        <v>1394.0</v>
      </c>
      <c r="X15" s="71" t="s">
        <v>298</v>
      </c>
      <c r="Y15" s="72">
        <v>398.08</v>
      </c>
      <c r="Z15" s="72">
        <v>390.75</v>
      </c>
      <c r="AA15" s="72">
        <v>7.33</v>
      </c>
      <c r="AB15" s="254">
        <f t="shared" ref="AB15:AB22" si="3">Z15/W15*100</f>
        <v>28.03084648</v>
      </c>
    </row>
    <row r="16">
      <c r="A16" s="54"/>
      <c r="B16" s="94">
        <v>45323.0</v>
      </c>
      <c r="C16" s="343"/>
      <c r="D16" s="258"/>
      <c r="E16" s="245">
        <v>1219753.0</v>
      </c>
      <c r="F16" s="245">
        <v>1506.0</v>
      </c>
      <c r="G16" s="245">
        <v>610.0</v>
      </c>
      <c r="H16" s="246">
        <v>473.0</v>
      </c>
      <c r="I16" s="246">
        <v>469.9</v>
      </c>
      <c r="J16" s="246">
        <v>3.1</v>
      </c>
      <c r="K16" s="97">
        <v>31.2</v>
      </c>
      <c r="L16" s="54"/>
      <c r="M16" s="74" t="s">
        <v>69</v>
      </c>
      <c r="N16" s="75"/>
      <c r="O16" s="76"/>
      <c r="R16" s="249"/>
      <c r="S16" s="54"/>
      <c r="T16" s="70">
        <v>45326.0</v>
      </c>
      <c r="U16" s="71" t="s">
        <v>296</v>
      </c>
      <c r="V16" s="71">
        <v>992664.0</v>
      </c>
      <c r="W16" s="71">
        <v>1500.0</v>
      </c>
      <c r="X16" s="71" t="s">
        <v>298</v>
      </c>
      <c r="Y16" s="72">
        <v>474.2</v>
      </c>
      <c r="Z16" s="72">
        <v>470.02</v>
      </c>
      <c r="AA16" s="72">
        <v>4.18</v>
      </c>
      <c r="AB16" s="254">
        <f t="shared" si="3"/>
        <v>31.33466667</v>
      </c>
      <c r="AC16" s="54"/>
      <c r="AD16" s="54"/>
      <c r="AE16" s="54"/>
    </row>
    <row r="17">
      <c r="A17" s="54"/>
      <c r="B17" s="344">
        <v>45325.0</v>
      </c>
      <c r="C17" s="345"/>
      <c r="D17" s="259"/>
      <c r="E17" s="252">
        <v>1221255.0</v>
      </c>
      <c r="F17" s="252">
        <v>1502.0</v>
      </c>
      <c r="G17" s="252">
        <v>610.0</v>
      </c>
      <c r="H17" s="253">
        <v>469.0</v>
      </c>
      <c r="I17" s="253">
        <v>460.65</v>
      </c>
      <c r="J17" s="253">
        <v>8.35</v>
      </c>
      <c r="K17" s="97">
        <v>30.67</v>
      </c>
      <c r="L17" s="54"/>
      <c r="M17" s="77" t="s">
        <v>70</v>
      </c>
      <c r="N17" s="77" t="s">
        <v>71</v>
      </c>
      <c r="O17" s="77" t="s">
        <v>27</v>
      </c>
      <c r="R17" s="249"/>
      <c r="S17" s="54"/>
      <c r="T17" s="70">
        <v>45329.0</v>
      </c>
      <c r="U17" s="71" t="s">
        <v>296</v>
      </c>
      <c r="V17" s="71">
        <v>994324.0</v>
      </c>
      <c r="W17" s="71">
        <v>1660.0</v>
      </c>
      <c r="X17" s="71" t="s">
        <v>298</v>
      </c>
      <c r="Y17" s="72">
        <v>472.1</v>
      </c>
      <c r="Z17" s="72">
        <v>472.47</v>
      </c>
      <c r="AA17" s="72">
        <v>-0.37</v>
      </c>
      <c r="AB17" s="254">
        <f t="shared" si="3"/>
        <v>28.46204819</v>
      </c>
      <c r="AC17" s="54"/>
      <c r="AD17" s="54"/>
      <c r="AE17" s="54"/>
    </row>
    <row r="18">
      <c r="A18" s="54"/>
      <c r="B18" s="344">
        <v>45328.0</v>
      </c>
      <c r="C18" s="345"/>
      <c r="D18" s="259"/>
      <c r="E18" s="252">
        <v>1222759.0</v>
      </c>
      <c r="F18" s="252">
        <v>1504.0</v>
      </c>
      <c r="G18" s="252">
        <v>610.0</v>
      </c>
      <c r="H18" s="253">
        <v>471.0</v>
      </c>
      <c r="I18" s="253">
        <v>462.22</v>
      </c>
      <c r="J18" s="253">
        <v>8.78</v>
      </c>
      <c r="K18" s="97">
        <v>30.73</v>
      </c>
      <c r="L18" s="54"/>
      <c r="M18" s="79">
        <f>SUM(F16:F28)</f>
        <v>20153</v>
      </c>
      <c r="N18" s="79">
        <f>SUM(I16:I28)</f>
        <v>6398.43</v>
      </c>
      <c r="O18" s="214">
        <f>N18/M18*100</f>
        <v>31.7492681</v>
      </c>
      <c r="R18" s="249"/>
      <c r="S18" s="54"/>
      <c r="T18" s="70">
        <v>45331.0</v>
      </c>
      <c r="U18" s="71" t="s">
        <v>296</v>
      </c>
      <c r="V18" s="71">
        <v>995810.0</v>
      </c>
      <c r="W18" s="71">
        <v>1486.0</v>
      </c>
      <c r="X18" s="71" t="s">
        <v>298</v>
      </c>
      <c r="Y18" s="72">
        <v>453.16</v>
      </c>
      <c r="Z18" s="72">
        <v>453.18</v>
      </c>
      <c r="AA18" s="72">
        <v>-0.02</v>
      </c>
      <c r="AB18" s="254">
        <f t="shared" si="3"/>
        <v>30.49663526</v>
      </c>
      <c r="AC18" s="54"/>
      <c r="AD18" s="54"/>
      <c r="AE18" s="54"/>
    </row>
    <row r="19">
      <c r="A19" s="54"/>
      <c r="B19" s="344">
        <v>45330.0</v>
      </c>
      <c r="C19" s="345"/>
      <c r="D19" s="259"/>
      <c r="E19" s="252">
        <v>1224263.0</v>
      </c>
      <c r="F19" s="252">
        <v>1504.0</v>
      </c>
      <c r="G19" s="252">
        <v>610.0</v>
      </c>
      <c r="H19" s="253">
        <v>488.0</v>
      </c>
      <c r="I19" s="253">
        <v>475.52</v>
      </c>
      <c r="J19" s="253">
        <v>12.48</v>
      </c>
      <c r="K19" s="97">
        <v>31.62</v>
      </c>
      <c r="L19" s="54"/>
      <c r="M19" s="54"/>
      <c r="N19" s="54"/>
      <c r="O19" s="54"/>
      <c r="R19" s="249"/>
      <c r="S19" s="54"/>
      <c r="T19" s="70">
        <v>45333.0</v>
      </c>
      <c r="U19" s="71" t="s">
        <v>296</v>
      </c>
      <c r="V19" s="71">
        <v>997297.0</v>
      </c>
      <c r="W19" s="71">
        <v>1487.0</v>
      </c>
      <c r="X19" s="71" t="s">
        <v>298</v>
      </c>
      <c r="Y19" s="72">
        <v>451.93</v>
      </c>
      <c r="Z19" s="72">
        <v>450.81</v>
      </c>
      <c r="AA19" s="72">
        <v>1.12</v>
      </c>
      <c r="AB19" s="254">
        <f t="shared" si="3"/>
        <v>30.31674512</v>
      </c>
      <c r="AC19" s="54"/>
      <c r="AD19" s="54"/>
      <c r="AE19" s="54"/>
    </row>
    <row r="20">
      <c r="A20" s="54"/>
      <c r="B20" s="344">
        <v>45332.0</v>
      </c>
      <c r="C20" s="345"/>
      <c r="D20" s="259"/>
      <c r="E20" s="252">
        <v>1225766.0</v>
      </c>
      <c r="F20" s="252">
        <v>1503.0</v>
      </c>
      <c r="G20" s="252">
        <v>610.0</v>
      </c>
      <c r="H20" s="253">
        <v>504.0</v>
      </c>
      <c r="I20" s="253">
        <v>488.6</v>
      </c>
      <c r="J20" s="253">
        <v>15.4</v>
      </c>
      <c r="K20" s="97">
        <v>32.51</v>
      </c>
      <c r="L20" s="54"/>
      <c r="M20" s="54"/>
      <c r="N20" s="54"/>
      <c r="O20" s="54"/>
      <c r="R20" s="249"/>
      <c r="S20" s="54"/>
      <c r="T20" s="70">
        <v>45336.0</v>
      </c>
      <c r="U20" s="71" t="s">
        <v>296</v>
      </c>
      <c r="V20" s="71">
        <v>998962.0</v>
      </c>
      <c r="W20" s="71">
        <v>1665.0</v>
      </c>
      <c r="X20" s="71" t="s">
        <v>298</v>
      </c>
      <c r="Y20" s="72">
        <v>499.45</v>
      </c>
      <c r="Z20" s="72">
        <v>498.76</v>
      </c>
      <c r="AA20" s="72">
        <v>0.69</v>
      </c>
      <c r="AB20" s="254">
        <f t="shared" si="3"/>
        <v>29.95555556</v>
      </c>
      <c r="AC20" s="54"/>
      <c r="AD20" s="54"/>
      <c r="AE20" s="54"/>
    </row>
    <row r="21">
      <c r="A21" s="54"/>
      <c r="B21" s="344">
        <v>45335.0</v>
      </c>
      <c r="C21" s="345"/>
      <c r="D21" s="259"/>
      <c r="E21" s="252">
        <v>1227493.0</v>
      </c>
      <c r="F21" s="252">
        <v>1727.0</v>
      </c>
      <c r="G21" s="252">
        <v>591.0</v>
      </c>
      <c r="H21" s="253">
        <v>555.0</v>
      </c>
      <c r="I21" s="253">
        <v>550.0</v>
      </c>
      <c r="J21" s="253">
        <v>5.0</v>
      </c>
      <c r="K21" s="97">
        <v>31.85</v>
      </c>
      <c r="L21" s="54"/>
      <c r="M21" s="54"/>
      <c r="N21" s="54"/>
      <c r="O21" s="54"/>
      <c r="R21" s="249"/>
      <c r="S21" s="54"/>
      <c r="T21" s="70">
        <v>45338.0</v>
      </c>
      <c r="U21" s="71" t="s">
        <v>296</v>
      </c>
      <c r="V21" s="71">
        <v>1000460.0</v>
      </c>
      <c r="W21" s="71">
        <v>1498.0</v>
      </c>
      <c r="X21" s="71" t="s">
        <v>298</v>
      </c>
      <c r="Y21" s="72">
        <v>427.89</v>
      </c>
      <c r="Z21" s="72">
        <v>431.73</v>
      </c>
      <c r="AA21" s="72">
        <v>-3.84</v>
      </c>
      <c r="AB21" s="254">
        <f t="shared" si="3"/>
        <v>28.82042724</v>
      </c>
      <c r="AC21" s="54"/>
      <c r="AD21" s="54"/>
      <c r="AE21" s="54"/>
    </row>
    <row r="22">
      <c r="A22" s="54"/>
      <c r="B22" s="344">
        <v>45337.0</v>
      </c>
      <c r="C22" s="345"/>
      <c r="D22" s="259"/>
      <c r="E22" s="252">
        <v>1229127.0</v>
      </c>
      <c r="F22" s="252">
        <v>1634.0</v>
      </c>
      <c r="G22" s="252">
        <v>610.0</v>
      </c>
      <c r="H22" s="253">
        <v>548.0</v>
      </c>
      <c r="I22" s="253">
        <v>541.29</v>
      </c>
      <c r="J22" s="253">
        <v>6.71</v>
      </c>
      <c r="K22" s="97">
        <v>33.13</v>
      </c>
      <c r="L22" s="54"/>
      <c r="M22" s="54"/>
      <c r="N22" s="54"/>
      <c r="O22" s="54"/>
      <c r="R22" s="249"/>
      <c r="S22" s="54"/>
      <c r="T22" s="70">
        <v>45340.0</v>
      </c>
      <c r="U22" s="71" t="s">
        <v>296</v>
      </c>
      <c r="V22" s="71">
        <v>1001959.0</v>
      </c>
      <c r="W22" s="71">
        <v>1499.0</v>
      </c>
      <c r="X22" s="71" t="s">
        <v>298</v>
      </c>
      <c r="Y22" s="72">
        <v>431.83</v>
      </c>
      <c r="Z22" s="72">
        <v>434.38</v>
      </c>
      <c r="AA22" s="72">
        <v>-2.55</v>
      </c>
      <c r="AB22" s="254">
        <f t="shared" si="3"/>
        <v>28.97798532</v>
      </c>
      <c r="AC22" s="54"/>
      <c r="AD22" s="54"/>
      <c r="AE22" s="54"/>
    </row>
    <row r="23">
      <c r="A23" s="54"/>
      <c r="B23" s="344">
        <v>45339.0</v>
      </c>
      <c r="C23" s="345"/>
      <c r="D23" s="259"/>
      <c r="E23" s="252">
        <v>1230632.0</v>
      </c>
      <c r="F23" s="252">
        <v>1505.0</v>
      </c>
      <c r="G23" s="252">
        <v>610.0</v>
      </c>
      <c r="H23" s="253">
        <v>486.0</v>
      </c>
      <c r="I23" s="253">
        <v>478.68</v>
      </c>
      <c r="J23" s="253">
        <v>7.32</v>
      </c>
      <c r="K23" s="97">
        <v>31.81</v>
      </c>
      <c r="L23" s="54"/>
      <c r="M23" s="54"/>
      <c r="N23" s="54"/>
      <c r="O23" s="54"/>
      <c r="R23" s="249"/>
      <c r="S23" s="54"/>
      <c r="T23" s="70">
        <v>45343.0</v>
      </c>
      <c r="U23" s="71" t="s">
        <v>296</v>
      </c>
      <c r="V23" s="73"/>
      <c r="W23" s="71">
        <v>0.0</v>
      </c>
      <c r="X23" s="73"/>
      <c r="Y23" s="256"/>
      <c r="Z23" s="72"/>
      <c r="AA23" s="72">
        <v>-538.23</v>
      </c>
      <c r="AB23" s="254"/>
      <c r="AC23" s="54"/>
      <c r="AD23" s="54"/>
      <c r="AE23" s="54"/>
    </row>
    <row r="24">
      <c r="A24" s="54"/>
      <c r="B24" s="344">
        <v>45342.0</v>
      </c>
      <c r="C24" s="345"/>
      <c r="D24" s="259"/>
      <c r="E24" s="252">
        <v>1232382.0</v>
      </c>
      <c r="F24" s="252">
        <v>1750.0</v>
      </c>
      <c r="G24" s="252">
        <v>610.0</v>
      </c>
      <c r="H24" s="253">
        <v>561.0</v>
      </c>
      <c r="I24" s="253">
        <v>550.0</v>
      </c>
      <c r="J24" s="253">
        <v>11.0</v>
      </c>
      <c r="K24" s="97">
        <v>31.43</v>
      </c>
      <c r="L24" s="54"/>
      <c r="M24" s="54"/>
      <c r="N24" s="54"/>
      <c r="O24" s="54"/>
      <c r="R24" s="249"/>
      <c r="S24" s="54"/>
      <c r="T24" s="70">
        <v>45345.0</v>
      </c>
      <c r="U24" s="71" t="s">
        <v>296</v>
      </c>
      <c r="V24" s="73"/>
      <c r="W24" s="71">
        <v>0.0</v>
      </c>
      <c r="X24" s="73"/>
      <c r="Y24" s="256"/>
      <c r="Z24" s="72"/>
      <c r="AA24" s="72">
        <v>-461.71</v>
      </c>
      <c r="AB24" s="254"/>
      <c r="AC24" s="54"/>
      <c r="AD24" s="54"/>
      <c r="AE24" s="54"/>
    </row>
    <row r="25">
      <c r="A25" s="54"/>
      <c r="B25" s="344">
        <v>45344.0</v>
      </c>
      <c r="C25" s="345"/>
      <c r="D25" s="259"/>
      <c r="E25" s="252">
        <v>1233885.0</v>
      </c>
      <c r="F25" s="252">
        <v>1503.0</v>
      </c>
      <c r="G25" s="252">
        <v>610.0</v>
      </c>
      <c r="H25" s="253">
        <v>464.0</v>
      </c>
      <c r="I25" s="253">
        <v>453.15</v>
      </c>
      <c r="J25" s="253">
        <v>10.85</v>
      </c>
      <c r="K25" s="97">
        <v>30.15</v>
      </c>
      <c r="L25" s="54"/>
      <c r="M25" s="54"/>
      <c r="N25" s="54"/>
      <c r="O25" s="54"/>
      <c r="R25" s="249"/>
      <c r="S25" s="54"/>
      <c r="T25" s="70">
        <v>45347.0</v>
      </c>
      <c r="U25" s="71" t="s">
        <v>296</v>
      </c>
      <c r="V25" s="73"/>
      <c r="W25" s="71">
        <v>0.0</v>
      </c>
      <c r="X25" s="73"/>
      <c r="Y25" s="256"/>
      <c r="Z25" s="72"/>
      <c r="AA25" s="72">
        <v>-460.23</v>
      </c>
      <c r="AB25" s="254"/>
      <c r="AC25" s="54"/>
      <c r="AD25" s="54"/>
      <c r="AE25" s="54"/>
    </row>
    <row r="26">
      <c r="A26" s="54"/>
      <c r="B26" s="344">
        <v>45346.0</v>
      </c>
      <c r="C26" s="345"/>
      <c r="D26" s="259"/>
      <c r="E26" s="252">
        <v>1235391.0</v>
      </c>
      <c r="F26" s="252">
        <v>1506.0</v>
      </c>
      <c r="G26" s="252">
        <v>507.0</v>
      </c>
      <c r="H26" s="253">
        <v>397.0</v>
      </c>
      <c r="I26" s="253">
        <v>400.0</v>
      </c>
      <c r="J26" s="253">
        <v>-3.0</v>
      </c>
      <c r="K26" s="97">
        <v>26.56</v>
      </c>
      <c r="L26" s="54"/>
      <c r="M26" s="54"/>
      <c r="N26" s="54"/>
      <c r="O26" s="54"/>
      <c r="R26" s="249"/>
      <c r="S26" s="54"/>
      <c r="T26" s="70">
        <v>45349.0</v>
      </c>
      <c r="U26" s="71" t="s">
        <v>296</v>
      </c>
      <c r="V26" s="73"/>
      <c r="W26" s="71">
        <v>0.0</v>
      </c>
      <c r="X26" s="73"/>
      <c r="Y26" s="256"/>
      <c r="Z26" s="72"/>
      <c r="AA26" s="72">
        <v>-150.0</v>
      </c>
      <c r="AB26" s="254"/>
      <c r="AC26" s="54"/>
      <c r="AD26" s="54"/>
      <c r="AE26" s="54"/>
    </row>
    <row r="27">
      <c r="A27" s="54"/>
      <c r="B27" s="344">
        <v>45349.0</v>
      </c>
      <c r="C27" s="345"/>
      <c r="D27" s="259"/>
      <c r="E27" s="252">
        <v>1236897.0</v>
      </c>
      <c r="F27" s="252">
        <v>1506.0</v>
      </c>
      <c r="G27" s="252">
        <v>610.0</v>
      </c>
      <c r="H27" s="253">
        <v>590.0</v>
      </c>
      <c r="I27" s="253">
        <v>586.83</v>
      </c>
      <c r="J27" s="253">
        <v>3.17</v>
      </c>
      <c r="K27" s="97">
        <v>38.97</v>
      </c>
      <c r="L27" s="54"/>
      <c r="M27" s="54"/>
      <c r="N27" s="54"/>
      <c r="O27" s="54"/>
      <c r="R27" s="249"/>
      <c r="S27" s="54"/>
      <c r="T27" s="70">
        <v>45350.0</v>
      </c>
      <c r="U27" s="71" t="s">
        <v>296</v>
      </c>
      <c r="V27" s="71">
        <v>1008306.0</v>
      </c>
      <c r="W27" s="71">
        <v>6347.0</v>
      </c>
      <c r="X27" s="73"/>
      <c r="Y27" s="256"/>
      <c r="Z27" s="72">
        <v>1980.48</v>
      </c>
      <c r="AA27" s="72">
        <v>-370.31</v>
      </c>
      <c r="AB27" s="254">
        <f>Z27/W27*100</f>
        <v>31.20340318</v>
      </c>
      <c r="AC27" s="54"/>
      <c r="AD27" s="54"/>
      <c r="AE27" s="54"/>
    </row>
    <row r="28">
      <c r="A28" s="54"/>
      <c r="B28" s="344">
        <v>45351.0</v>
      </c>
      <c r="C28" s="345"/>
      <c r="D28" s="259"/>
      <c r="E28" s="252">
        <v>1238400.0</v>
      </c>
      <c r="F28" s="252">
        <v>1503.0</v>
      </c>
      <c r="G28" s="252">
        <v>610.0</v>
      </c>
      <c r="H28" s="253">
        <v>490.0</v>
      </c>
      <c r="I28" s="253">
        <v>481.59</v>
      </c>
      <c r="J28" s="253">
        <v>8.41</v>
      </c>
      <c r="K28" s="97">
        <v>32.04</v>
      </c>
      <c r="L28" s="54"/>
      <c r="M28" s="54"/>
      <c r="N28" s="54"/>
      <c r="O28" s="54"/>
      <c r="R28" s="249"/>
      <c r="S28" s="66"/>
      <c r="T28" s="67" t="s">
        <v>72</v>
      </c>
      <c r="AA28" s="66"/>
      <c r="AB28" s="242"/>
      <c r="AC28" s="66"/>
      <c r="AD28" s="66"/>
      <c r="AE28" s="66"/>
    </row>
    <row r="29">
      <c r="A29" s="66"/>
      <c r="B29" s="67" t="s">
        <v>72</v>
      </c>
      <c r="J29" s="66"/>
      <c r="K29" s="66"/>
      <c r="L29" s="66"/>
      <c r="M29" s="66"/>
      <c r="N29" s="66"/>
      <c r="O29" s="66"/>
      <c r="R29" s="249"/>
      <c r="S29" s="54"/>
      <c r="T29" s="70">
        <v>45353.0</v>
      </c>
      <c r="U29" s="71" t="s">
        <v>296</v>
      </c>
      <c r="V29" s="71">
        <v>1009836.0</v>
      </c>
      <c r="W29" s="71">
        <v>1530.0</v>
      </c>
      <c r="X29" s="71" t="s">
        <v>298</v>
      </c>
      <c r="Y29" s="72">
        <v>443.52</v>
      </c>
      <c r="Z29" s="72">
        <v>445.48</v>
      </c>
      <c r="AA29" s="72">
        <v>-1.96</v>
      </c>
      <c r="AB29" s="254">
        <f t="shared" ref="AB29:AB43" si="4">Z29/W29*100</f>
        <v>29.11633987</v>
      </c>
      <c r="AC29" s="54"/>
      <c r="AD29" s="54"/>
      <c r="AE29" s="54"/>
    </row>
    <row r="30">
      <c r="A30" s="54"/>
      <c r="B30" s="94">
        <v>45353.0</v>
      </c>
      <c r="C30" s="343"/>
      <c r="D30" s="258"/>
      <c r="E30" s="245">
        <v>1239904.0</v>
      </c>
      <c r="F30" s="245">
        <v>1504.0</v>
      </c>
      <c r="G30" s="245">
        <v>610.0</v>
      </c>
      <c r="H30" s="246">
        <v>468.0</v>
      </c>
      <c r="I30" s="246">
        <v>458.86</v>
      </c>
      <c r="J30" s="246">
        <v>9.14</v>
      </c>
      <c r="K30" s="97">
        <v>30.51</v>
      </c>
      <c r="L30" s="54"/>
      <c r="M30" s="54"/>
      <c r="N30" s="54"/>
      <c r="O30" s="54"/>
      <c r="R30" s="249"/>
      <c r="S30" s="54"/>
      <c r="T30" s="70">
        <v>45355.0</v>
      </c>
      <c r="U30" s="71" t="s">
        <v>296</v>
      </c>
      <c r="V30" s="71">
        <v>1011337.0</v>
      </c>
      <c r="W30" s="71">
        <v>1501.0</v>
      </c>
      <c r="X30" s="71" t="s">
        <v>298</v>
      </c>
      <c r="Y30" s="72">
        <v>435.85</v>
      </c>
      <c r="Z30" s="72">
        <v>440.02</v>
      </c>
      <c r="AA30" s="72">
        <v>-4.17</v>
      </c>
      <c r="AB30" s="254">
        <f t="shared" si="4"/>
        <v>29.31512325</v>
      </c>
      <c r="AC30" s="54"/>
      <c r="AD30" s="54"/>
      <c r="AE30" s="54"/>
    </row>
    <row r="31">
      <c r="A31" s="54"/>
      <c r="B31" s="344">
        <v>45355.0</v>
      </c>
      <c r="C31" s="345"/>
      <c r="D31" s="259"/>
      <c r="E31" s="252">
        <v>1241186.0</v>
      </c>
      <c r="F31" s="252">
        <v>1282.0</v>
      </c>
      <c r="G31" s="252">
        <v>402.0</v>
      </c>
      <c r="H31" s="253">
        <v>197.0</v>
      </c>
      <c r="I31" s="253">
        <v>200.0</v>
      </c>
      <c r="J31" s="253">
        <v>-3.0</v>
      </c>
      <c r="K31" s="97">
        <v>15.6</v>
      </c>
      <c r="L31" s="54"/>
      <c r="M31" s="54"/>
      <c r="N31" s="54"/>
      <c r="O31" s="54"/>
      <c r="R31" s="249"/>
      <c r="S31" s="54"/>
      <c r="T31" s="70">
        <v>45357.0</v>
      </c>
      <c r="U31" s="71" t="s">
        <v>296</v>
      </c>
      <c r="V31" s="71">
        <v>1012260.0</v>
      </c>
      <c r="W31" s="71">
        <v>923.0</v>
      </c>
      <c r="X31" s="71" t="s">
        <v>302</v>
      </c>
      <c r="Y31" s="72">
        <v>145.07</v>
      </c>
      <c r="Z31" s="72">
        <v>150.0</v>
      </c>
      <c r="AA31" s="72">
        <v>-4.93</v>
      </c>
      <c r="AB31" s="254">
        <f t="shared" si="4"/>
        <v>16.25135428</v>
      </c>
      <c r="AC31" s="54"/>
      <c r="AD31" s="54"/>
      <c r="AE31" s="54"/>
    </row>
    <row r="32">
      <c r="A32" s="54"/>
      <c r="B32" s="344">
        <v>45356.0</v>
      </c>
      <c r="C32" s="345"/>
      <c r="D32" s="259"/>
      <c r="E32" s="252">
        <v>1241657.0</v>
      </c>
      <c r="F32" s="252">
        <v>471.0</v>
      </c>
      <c r="G32" s="252">
        <v>610.0</v>
      </c>
      <c r="H32" s="253">
        <v>338.0</v>
      </c>
      <c r="I32" s="253">
        <v>324.61</v>
      </c>
      <c r="J32" s="253">
        <v>13.39</v>
      </c>
      <c r="K32" s="97">
        <v>68.92</v>
      </c>
      <c r="L32" s="54"/>
      <c r="M32" s="74" t="s">
        <v>73</v>
      </c>
      <c r="N32" s="75"/>
      <c r="O32" s="76"/>
      <c r="R32" s="249"/>
      <c r="S32" s="54"/>
      <c r="T32" s="70">
        <v>45358.0</v>
      </c>
      <c r="U32" s="71" t="s">
        <v>296</v>
      </c>
      <c r="V32" s="71">
        <v>1013053.0</v>
      </c>
      <c r="W32" s="71">
        <v>793.0</v>
      </c>
      <c r="X32" s="71" t="s">
        <v>298</v>
      </c>
      <c r="Y32" s="72">
        <v>351.65</v>
      </c>
      <c r="Z32" s="72">
        <v>350.0</v>
      </c>
      <c r="AA32" s="72">
        <v>1.65</v>
      </c>
      <c r="AB32" s="254">
        <f t="shared" si="4"/>
        <v>44.13619168</v>
      </c>
      <c r="AC32" s="54"/>
      <c r="AD32" s="54"/>
      <c r="AE32" s="54"/>
    </row>
    <row r="33">
      <c r="A33" s="54"/>
      <c r="B33" s="344">
        <v>45358.0</v>
      </c>
      <c r="C33" s="345"/>
      <c r="D33" s="259"/>
      <c r="E33" s="252">
        <v>1243227.0</v>
      </c>
      <c r="F33" s="252">
        <v>1570.0</v>
      </c>
      <c r="G33" s="252">
        <v>610.0</v>
      </c>
      <c r="H33" s="253">
        <v>478.0</v>
      </c>
      <c r="I33" s="253">
        <v>471.04</v>
      </c>
      <c r="J33" s="253">
        <v>6.96</v>
      </c>
      <c r="K33" s="97">
        <v>30.0</v>
      </c>
      <c r="L33" s="54"/>
      <c r="M33" s="77" t="s">
        <v>70</v>
      </c>
      <c r="N33" s="77" t="s">
        <v>71</v>
      </c>
      <c r="O33" s="77" t="s">
        <v>27</v>
      </c>
      <c r="R33" s="249"/>
      <c r="S33" s="54"/>
      <c r="T33" s="70">
        <v>45360.0</v>
      </c>
      <c r="U33" s="71" t="s">
        <v>296</v>
      </c>
      <c r="V33" s="71">
        <v>1014542.0</v>
      </c>
      <c r="W33" s="71">
        <v>1489.0</v>
      </c>
      <c r="X33" s="71" t="s">
        <v>298</v>
      </c>
      <c r="Y33" s="72">
        <v>453.93</v>
      </c>
      <c r="Z33" s="72">
        <v>453.81</v>
      </c>
      <c r="AA33" s="72">
        <v>0.12</v>
      </c>
      <c r="AB33" s="254">
        <f t="shared" si="4"/>
        <v>30.47750168</v>
      </c>
      <c r="AC33" s="54"/>
      <c r="AD33" s="54"/>
      <c r="AE33" s="54"/>
    </row>
    <row r="34">
      <c r="A34" s="54"/>
      <c r="B34" s="344">
        <v>45360.0</v>
      </c>
      <c r="C34" s="345"/>
      <c r="D34" s="259"/>
      <c r="E34" s="252">
        <v>1244668.0</v>
      </c>
      <c r="F34" s="252">
        <v>1441.0</v>
      </c>
      <c r="G34" s="252">
        <v>610.0</v>
      </c>
      <c r="H34" s="253">
        <v>425.0</v>
      </c>
      <c r="I34" s="253">
        <v>413.27</v>
      </c>
      <c r="J34" s="253">
        <v>11.73</v>
      </c>
      <c r="K34" s="97">
        <v>28.68</v>
      </c>
      <c r="L34" s="54"/>
      <c r="M34" s="79">
        <f>SUM(F30:F43)</f>
        <v>18966</v>
      </c>
      <c r="N34" s="79">
        <f>SUM(I30:I43)</f>
        <v>5569.72</v>
      </c>
      <c r="O34" s="214">
        <f>N34/M34*100</f>
        <v>29.36686703</v>
      </c>
      <c r="R34" s="249"/>
      <c r="S34" s="54"/>
      <c r="T34" s="70">
        <v>45362.0</v>
      </c>
      <c r="U34" s="71" t="s">
        <v>296</v>
      </c>
      <c r="V34" s="71">
        <v>1016034.0</v>
      </c>
      <c r="W34" s="71">
        <v>1492.0</v>
      </c>
      <c r="X34" s="71" t="s">
        <v>298</v>
      </c>
      <c r="Y34" s="72">
        <v>461.97</v>
      </c>
      <c r="Z34" s="72">
        <v>461.3</v>
      </c>
      <c r="AA34" s="72">
        <v>0.67</v>
      </c>
      <c r="AB34" s="254">
        <f t="shared" si="4"/>
        <v>30.91823056</v>
      </c>
      <c r="AC34" s="54"/>
      <c r="AD34" s="54"/>
      <c r="AE34" s="54"/>
    </row>
    <row r="35">
      <c r="A35" s="54"/>
      <c r="B35" s="344">
        <v>45363.0</v>
      </c>
      <c r="C35" s="345"/>
      <c r="D35" s="259"/>
      <c r="E35" s="252">
        <v>1246391.0</v>
      </c>
      <c r="F35" s="252">
        <v>1723.0</v>
      </c>
      <c r="G35" s="252">
        <v>610.0</v>
      </c>
      <c r="H35" s="253">
        <v>511.0</v>
      </c>
      <c r="I35" s="253">
        <v>500.0</v>
      </c>
      <c r="J35" s="253">
        <v>11.0</v>
      </c>
      <c r="K35" s="97">
        <v>29.02</v>
      </c>
      <c r="L35" s="54"/>
      <c r="M35" s="54"/>
      <c r="N35" s="54"/>
      <c r="O35" s="54"/>
      <c r="R35" s="249"/>
      <c r="S35" s="54"/>
      <c r="T35" s="70">
        <v>45367.0</v>
      </c>
      <c r="U35" s="71" t="s">
        <v>296</v>
      </c>
      <c r="V35" s="71">
        <v>1017710.0</v>
      </c>
      <c r="W35" s="71">
        <v>1676.0</v>
      </c>
      <c r="X35" s="71" t="s">
        <v>298</v>
      </c>
      <c r="Y35" s="72">
        <v>540.9</v>
      </c>
      <c r="Z35" s="72">
        <v>545.74</v>
      </c>
      <c r="AA35" s="72">
        <v>-4.84</v>
      </c>
      <c r="AB35" s="254">
        <f t="shared" si="4"/>
        <v>32.56205251</v>
      </c>
      <c r="AC35" s="54"/>
      <c r="AD35" s="54"/>
      <c r="AE35" s="54"/>
    </row>
    <row r="36">
      <c r="A36" s="54"/>
      <c r="B36" s="344">
        <v>45365.0</v>
      </c>
      <c r="C36" s="345"/>
      <c r="D36" s="259"/>
      <c r="E36" s="252">
        <v>1247894.0</v>
      </c>
      <c r="F36" s="252">
        <v>1503.0</v>
      </c>
      <c r="G36" s="252">
        <v>610.0</v>
      </c>
      <c r="H36" s="253">
        <v>449.0</v>
      </c>
      <c r="I36" s="253">
        <v>442.0</v>
      </c>
      <c r="J36" s="253">
        <v>7.0</v>
      </c>
      <c r="K36" s="97">
        <v>29.41</v>
      </c>
      <c r="L36" s="54"/>
      <c r="M36" s="54"/>
      <c r="N36" s="54"/>
      <c r="O36" s="54"/>
      <c r="R36" s="249"/>
      <c r="S36" s="54"/>
      <c r="T36" s="70">
        <v>45369.0</v>
      </c>
      <c r="U36" s="71" t="s">
        <v>296</v>
      </c>
      <c r="V36" s="71">
        <v>1019252.0</v>
      </c>
      <c r="W36" s="71">
        <v>1542.0</v>
      </c>
      <c r="X36" s="71" t="s">
        <v>298</v>
      </c>
      <c r="Y36" s="72">
        <v>457.95</v>
      </c>
      <c r="Z36" s="72">
        <v>460.42</v>
      </c>
      <c r="AA36" s="72">
        <v>-2.47</v>
      </c>
      <c r="AB36" s="254">
        <f t="shared" si="4"/>
        <v>29.85862516</v>
      </c>
      <c r="AC36" s="54"/>
      <c r="AD36" s="54"/>
      <c r="AE36" s="54"/>
    </row>
    <row r="37">
      <c r="A37" s="54"/>
      <c r="B37" s="344">
        <v>45367.0</v>
      </c>
      <c r="C37" s="345"/>
      <c r="D37" s="259"/>
      <c r="E37" s="252">
        <v>1249401.0</v>
      </c>
      <c r="F37" s="252">
        <v>1507.0</v>
      </c>
      <c r="G37" s="252">
        <v>610.0</v>
      </c>
      <c r="H37" s="253">
        <v>464.0</v>
      </c>
      <c r="I37" s="253">
        <v>454.25</v>
      </c>
      <c r="J37" s="253">
        <v>9.75</v>
      </c>
      <c r="K37" s="97">
        <v>30.14</v>
      </c>
      <c r="L37" s="54"/>
      <c r="M37" s="54"/>
      <c r="N37" s="54"/>
      <c r="O37" s="54"/>
      <c r="R37" s="249"/>
      <c r="S37" s="54"/>
      <c r="T37" s="70">
        <v>45371.0</v>
      </c>
      <c r="U37" s="71" t="s">
        <v>296</v>
      </c>
      <c r="V37" s="71">
        <v>1020132.0</v>
      </c>
      <c r="W37" s="71">
        <v>880.0</v>
      </c>
      <c r="X37" s="71" t="s">
        <v>303</v>
      </c>
      <c r="Y37" s="72">
        <v>145.06</v>
      </c>
      <c r="Z37" s="72">
        <v>150.0</v>
      </c>
      <c r="AA37" s="72">
        <v>-4.94</v>
      </c>
      <c r="AB37" s="254">
        <f t="shared" si="4"/>
        <v>17.04545455</v>
      </c>
      <c r="AC37" s="54"/>
      <c r="AD37" s="54"/>
      <c r="AE37" s="54"/>
    </row>
    <row r="38">
      <c r="A38" s="54"/>
      <c r="B38" s="344">
        <v>45372.0</v>
      </c>
      <c r="C38" s="345"/>
      <c r="D38" s="259"/>
      <c r="E38" s="252">
        <v>1251139.0</v>
      </c>
      <c r="F38" s="252">
        <v>1738.0</v>
      </c>
      <c r="G38" s="252">
        <v>598.0</v>
      </c>
      <c r="H38" s="253">
        <v>510.0</v>
      </c>
      <c r="I38" s="253">
        <v>497.38</v>
      </c>
      <c r="J38" s="253">
        <v>12.62</v>
      </c>
      <c r="K38" s="97">
        <v>28.62</v>
      </c>
      <c r="L38" s="54"/>
      <c r="M38" s="54"/>
      <c r="N38" s="54"/>
      <c r="O38" s="54"/>
      <c r="R38" s="249"/>
      <c r="S38" s="54"/>
      <c r="T38" s="70">
        <v>45372.0</v>
      </c>
      <c r="U38" s="71" t="s">
        <v>296</v>
      </c>
      <c r="V38" s="71">
        <v>1020928.0</v>
      </c>
      <c r="W38" s="71">
        <v>796.0</v>
      </c>
      <c r="X38" s="71" t="s">
        <v>298</v>
      </c>
      <c r="Y38" s="72">
        <v>339.24</v>
      </c>
      <c r="Z38" s="72">
        <v>338.59</v>
      </c>
      <c r="AA38" s="72">
        <v>0.65</v>
      </c>
      <c r="AB38" s="254">
        <f t="shared" si="4"/>
        <v>42.53643216</v>
      </c>
      <c r="AC38" s="54"/>
      <c r="AD38" s="54"/>
      <c r="AE38" s="54"/>
    </row>
    <row r="39">
      <c r="A39" s="54"/>
      <c r="B39" s="344">
        <v>45374.0</v>
      </c>
      <c r="C39" s="345"/>
      <c r="D39" s="259"/>
      <c r="E39" s="252">
        <v>1252606.0</v>
      </c>
      <c r="F39" s="252">
        <v>1467.0</v>
      </c>
      <c r="G39" s="252">
        <v>610.0</v>
      </c>
      <c r="H39" s="253">
        <v>451.0</v>
      </c>
      <c r="I39" s="253">
        <v>445.81</v>
      </c>
      <c r="J39" s="253">
        <v>5.19</v>
      </c>
      <c r="K39" s="97">
        <v>30.39</v>
      </c>
      <c r="L39" s="54"/>
      <c r="M39" s="54"/>
      <c r="N39" s="54"/>
      <c r="O39" s="54"/>
      <c r="R39" s="249"/>
      <c r="S39" s="54"/>
      <c r="T39" s="70">
        <v>45374.0</v>
      </c>
      <c r="U39" s="71" t="s">
        <v>296</v>
      </c>
      <c r="V39" s="71">
        <v>1022414.0</v>
      </c>
      <c r="W39" s="71">
        <v>1486.0</v>
      </c>
      <c r="X39" s="71" t="s">
        <v>298</v>
      </c>
      <c r="Y39" s="72">
        <v>427.2</v>
      </c>
      <c r="Z39" s="72">
        <v>436.59</v>
      </c>
      <c r="AA39" s="72">
        <v>-9.39</v>
      </c>
      <c r="AB39" s="254">
        <f t="shared" si="4"/>
        <v>29.38021534</v>
      </c>
      <c r="AC39" s="54"/>
      <c r="AD39" s="54"/>
      <c r="AE39" s="54"/>
    </row>
    <row r="40">
      <c r="A40" s="54"/>
      <c r="B40" s="344">
        <v>45376.0</v>
      </c>
      <c r="C40" s="345"/>
      <c r="D40" s="259"/>
      <c r="E40" s="252">
        <v>1253637.0</v>
      </c>
      <c r="F40" s="252">
        <v>1031.0</v>
      </c>
      <c r="G40" s="252">
        <v>569.0</v>
      </c>
      <c r="H40" s="253">
        <v>259.0</v>
      </c>
      <c r="I40" s="253">
        <v>250.0</v>
      </c>
      <c r="J40" s="253">
        <v>9.0</v>
      </c>
      <c r="K40" s="97">
        <v>24.25</v>
      </c>
      <c r="L40" s="54"/>
      <c r="M40" s="54"/>
      <c r="N40" s="54"/>
      <c r="O40" s="54"/>
      <c r="R40" s="249"/>
      <c r="S40" s="54"/>
      <c r="T40" s="70">
        <v>45376.0</v>
      </c>
      <c r="U40" s="71" t="s">
        <v>296</v>
      </c>
      <c r="V40" s="71">
        <v>1023904.0</v>
      </c>
      <c r="W40" s="71">
        <v>1490.0</v>
      </c>
      <c r="X40" s="71" t="s">
        <v>298</v>
      </c>
      <c r="Y40" s="72">
        <v>447.17</v>
      </c>
      <c r="Z40" s="72">
        <v>452.55</v>
      </c>
      <c r="AA40" s="72">
        <v>-5.38</v>
      </c>
      <c r="AB40" s="254">
        <f t="shared" si="4"/>
        <v>30.37248322</v>
      </c>
      <c r="AC40" s="54"/>
      <c r="AD40" s="54"/>
      <c r="AE40" s="54"/>
    </row>
    <row r="41">
      <c r="A41" s="54"/>
      <c r="B41" s="344">
        <v>45377.0</v>
      </c>
      <c r="C41" s="345"/>
      <c r="D41" s="259"/>
      <c r="E41" s="252">
        <v>1254360.0</v>
      </c>
      <c r="F41" s="252">
        <v>723.0</v>
      </c>
      <c r="G41" s="252">
        <v>610.0</v>
      </c>
      <c r="H41" s="253">
        <v>250.0</v>
      </c>
      <c r="I41" s="253">
        <v>239.39</v>
      </c>
      <c r="J41" s="253">
        <v>10.61</v>
      </c>
      <c r="K41" s="97">
        <v>33.11</v>
      </c>
      <c r="L41" s="54"/>
      <c r="M41" s="54"/>
      <c r="N41" s="54"/>
      <c r="O41" s="54"/>
      <c r="R41" s="249"/>
      <c r="S41" s="54"/>
      <c r="T41" s="70">
        <v>45378.0</v>
      </c>
      <c r="U41" s="71" t="s">
        <v>296</v>
      </c>
      <c r="V41" s="71">
        <v>1024779.0</v>
      </c>
      <c r="W41" s="71">
        <v>875.0</v>
      </c>
      <c r="X41" s="71" t="s">
        <v>304</v>
      </c>
      <c r="Y41" s="72">
        <v>148.78</v>
      </c>
      <c r="Z41" s="72">
        <v>150.0</v>
      </c>
      <c r="AA41" s="72">
        <v>-1.22</v>
      </c>
      <c r="AB41" s="254">
        <f t="shared" si="4"/>
        <v>17.14285714</v>
      </c>
      <c r="AC41" s="54"/>
      <c r="AD41" s="54"/>
      <c r="AE41" s="54"/>
    </row>
    <row r="42">
      <c r="A42" s="54"/>
      <c r="B42" s="344">
        <v>45379.0</v>
      </c>
      <c r="C42" s="345"/>
      <c r="D42" s="259"/>
      <c r="E42" s="252">
        <v>1255863.0</v>
      </c>
      <c r="F42" s="252">
        <v>1503.0</v>
      </c>
      <c r="G42" s="252">
        <v>610.0</v>
      </c>
      <c r="H42" s="253">
        <v>429.0</v>
      </c>
      <c r="I42" s="253">
        <v>425.92</v>
      </c>
      <c r="J42" s="253">
        <v>3.08</v>
      </c>
      <c r="K42" s="97">
        <v>28.34</v>
      </c>
      <c r="L42" s="54"/>
      <c r="M42" s="54"/>
      <c r="N42" s="54"/>
      <c r="O42" s="54"/>
      <c r="R42" s="249"/>
      <c r="S42" s="54"/>
      <c r="T42" s="70">
        <v>45379.0</v>
      </c>
      <c r="U42" s="71" t="s">
        <v>296</v>
      </c>
      <c r="V42" s="71">
        <v>1025576.0</v>
      </c>
      <c r="W42" s="71">
        <v>797.0</v>
      </c>
      <c r="X42" s="71" t="s">
        <v>298</v>
      </c>
      <c r="Y42" s="72">
        <v>325.76</v>
      </c>
      <c r="Z42" s="72">
        <v>326.5</v>
      </c>
      <c r="AA42" s="72">
        <v>-0.74</v>
      </c>
      <c r="AB42" s="254">
        <f t="shared" si="4"/>
        <v>40.96612296</v>
      </c>
      <c r="AC42" s="54"/>
      <c r="AD42" s="54"/>
      <c r="AE42" s="54"/>
    </row>
    <row r="43">
      <c r="A43" s="54"/>
      <c r="B43" s="344">
        <v>45381.0</v>
      </c>
      <c r="C43" s="345"/>
      <c r="D43" s="259"/>
      <c r="E43" s="252">
        <v>1257366.0</v>
      </c>
      <c r="F43" s="252">
        <v>1503.0</v>
      </c>
      <c r="G43" s="252">
        <v>610.0</v>
      </c>
      <c r="H43" s="253">
        <v>449.0</v>
      </c>
      <c r="I43" s="253">
        <v>447.19</v>
      </c>
      <c r="J43" s="253">
        <v>1.81</v>
      </c>
      <c r="K43" s="97">
        <v>29.75</v>
      </c>
      <c r="L43" s="54"/>
      <c r="M43" s="54"/>
      <c r="N43" s="54"/>
      <c r="O43" s="54"/>
      <c r="R43" s="249"/>
      <c r="S43" s="54"/>
      <c r="T43" s="70">
        <v>45381.0</v>
      </c>
      <c r="U43" s="71" t="s">
        <v>296</v>
      </c>
      <c r="V43" s="71">
        <v>1027059.0</v>
      </c>
      <c r="W43" s="71">
        <v>1483.0</v>
      </c>
      <c r="X43" s="71" t="s">
        <v>298</v>
      </c>
      <c r="Y43" s="72">
        <v>454.55</v>
      </c>
      <c r="Z43" s="72">
        <v>458.89</v>
      </c>
      <c r="AA43" s="72">
        <v>-4.34</v>
      </c>
      <c r="AB43" s="254">
        <f t="shared" si="4"/>
        <v>30.94335806</v>
      </c>
      <c r="AC43" s="54"/>
      <c r="AD43" s="54"/>
      <c r="AE43" s="54"/>
    </row>
    <row r="44">
      <c r="A44" s="66"/>
      <c r="B44" s="67" t="s">
        <v>74</v>
      </c>
      <c r="J44" s="66"/>
      <c r="K44" s="66"/>
      <c r="L44" s="66"/>
      <c r="M44" s="66"/>
      <c r="N44" s="66"/>
      <c r="O44" s="66"/>
      <c r="R44" s="249"/>
      <c r="S44" s="66"/>
      <c r="T44" s="67" t="s">
        <v>74</v>
      </c>
      <c r="AA44" s="66"/>
      <c r="AB44" s="242"/>
      <c r="AC44" s="66"/>
      <c r="AD44" s="66"/>
      <c r="AE44" s="66"/>
    </row>
    <row r="45">
      <c r="A45" s="54"/>
      <c r="B45" s="94">
        <v>45384.0</v>
      </c>
      <c r="C45" s="343"/>
      <c r="D45" s="258"/>
      <c r="E45" s="245">
        <v>1258868.0</v>
      </c>
      <c r="F45" s="245">
        <v>1502.0</v>
      </c>
      <c r="G45" s="245">
        <v>610.0</v>
      </c>
      <c r="H45" s="246">
        <v>405.0</v>
      </c>
      <c r="I45" s="246">
        <v>400.41</v>
      </c>
      <c r="J45" s="246">
        <v>4.59</v>
      </c>
      <c r="K45" s="97">
        <v>26.66</v>
      </c>
      <c r="L45" s="54"/>
      <c r="M45" s="82" t="str">
        <f>"тотал"&amp;" "&amp;B44</f>
        <v>тотал АПРЕЛЬ</v>
      </c>
      <c r="N45" s="75"/>
      <c r="O45" s="76"/>
      <c r="R45" s="249"/>
      <c r="S45" s="54"/>
      <c r="T45" s="70">
        <v>45383.0</v>
      </c>
      <c r="U45" s="71" t="s">
        <v>296</v>
      </c>
      <c r="V45" s="71">
        <v>1028505.0</v>
      </c>
      <c r="W45" s="71">
        <v>1446.0</v>
      </c>
      <c r="X45" s="71" t="s">
        <v>298</v>
      </c>
      <c r="Y45" s="72">
        <v>420.2</v>
      </c>
      <c r="Z45" s="72">
        <v>400.0</v>
      </c>
      <c r="AA45" s="72">
        <v>20.2</v>
      </c>
      <c r="AB45" s="254">
        <f t="shared" ref="AB45:AB61" si="5">Z45/W45*100</f>
        <v>27.66251729</v>
      </c>
      <c r="AC45" s="54"/>
      <c r="AD45" s="54"/>
      <c r="AE45" s="54"/>
    </row>
    <row r="46">
      <c r="A46" s="54"/>
      <c r="B46" s="344">
        <v>45385.0</v>
      </c>
      <c r="C46" s="345"/>
      <c r="D46" s="259"/>
      <c r="E46" s="252">
        <v>1260053.0</v>
      </c>
      <c r="F46" s="252">
        <v>1185.0</v>
      </c>
      <c r="G46" s="252">
        <v>610.0</v>
      </c>
      <c r="H46" s="253">
        <v>320.0</v>
      </c>
      <c r="I46" s="253">
        <v>300.0</v>
      </c>
      <c r="J46" s="253">
        <v>20.0</v>
      </c>
      <c r="K46" s="97">
        <v>25.32</v>
      </c>
      <c r="L46" s="54"/>
      <c r="M46" s="83" t="s">
        <v>70</v>
      </c>
      <c r="N46" s="83" t="s">
        <v>71</v>
      </c>
      <c r="O46" s="83" t="s">
        <v>27</v>
      </c>
      <c r="R46" s="249"/>
      <c r="S46" s="54"/>
      <c r="T46" s="70">
        <v>45385.0</v>
      </c>
      <c r="U46" s="71" t="s">
        <v>296</v>
      </c>
      <c r="V46" s="71">
        <v>1029440.0</v>
      </c>
      <c r="W46" s="71">
        <v>935.0</v>
      </c>
      <c r="X46" s="71" t="s">
        <v>305</v>
      </c>
      <c r="Y46" s="72">
        <v>205.53</v>
      </c>
      <c r="Z46" s="72">
        <v>200.0</v>
      </c>
      <c r="AA46" s="72">
        <v>5.53</v>
      </c>
      <c r="AB46" s="254">
        <f t="shared" si="5"/>
        <v>21.39037433</v>
      </c>
      <c r="AC46" s="54"/>
      <c r="AD46" s="54"/>
      <c r="AE46" s="54"/>
    </row>
    <row r="47">
      <c r="A47" s="54"/>
      <c r="B47" s="344">
        <v>45386.0</v>
      </c>
      <c r="C47" s="345"/>
      <c r="D47" s="259"/>
      <c r="E47" s="252">
        <v>1260775.0</v>
      </c>
      <c r="F47" s="252">
        <v>722.0</v>
      </c>
      <c r="G47" s="252">
        <v>610.0</v>
      </c>
      <c r="H47" s="253">
        <v>243.0</v>
      </c>
      <c r="I47" s="253">
        <v>231.02</v>
      </c>
      <c r="J47" s="253">
        <v>11.98</v>
      </c>
      <c r="K47" s="97">
        <v>32.0</v>
      </c>
      <c r="L47" s="54"/>
      <c r="M47" s="84">
        <f>SUM(F45:F57)</f>
        <v>19009</v>
      </c>
      <c r="N47" s="84">
        <f>SUM(I45:I57)</f>
        <v>5356.99</v>
      </c>
      <c r="O47" s="85">
        <f>N47/M47*100</f>
        <v>28.18133516</v>
      </c>
      <c r="R47" s="249"/>
      <c r="S47" s="54"/>
      <c r="T47" s="70">
        <v>45386.0</v>
      </c>
      <c r="U47" s="71" t="s">
        <v>296</v>
      </c>
      <c r="V47" s="71">
        <v>1030303.0</v>
      </c>
      <c r="W47" s="71">
        <v>863.0</v>
      </c>
      <c r="X47" s="71" t="s">
        <v>298</v>
      </c>
      <c r="Y47" s="72">
        <v>354.56</v>
      </c>
      <c r="Z47" s="72">
        <v>350.0</v>
      </c>
      <c r="AA47" s="72">
        <v>4.56</v>
      </c>
      <c r="AB47" s="254">
        <f t="shared" si="5"/>
        <v>40.5561993</v>
      </c>
      <c r="AC47" s="54"/>
      <c r="AD47" s="54"/>
      <c r="AE47" s="54"/>
    </row>
    <row r="48">
      <c r="A48" s="54"/>
      <c r="B48" s="344">
        <v>45388.0</v>
      </c>
      <c r="C48" s="345"/>
      <c r="D48" s="259"/>
      <c r="E48" s="252">
        <v>1262279.0</v>
      </c>
      <c r="F48" s="252">
        <v>1504.0</v>
      </c>
      <c r="G48" s="252">
        <v>610.0</v>
      </c>
      <c r="H48" s="253">
        <v>437.0</v>
      </c>
      <c r="I48" s="253">
        <v>434.44</v>
      </c>
      <c r="J48" s="253">
        <v>2.56</v>
      </c>
      <c r="K48" s="97">
        <v>28.89</v>
      </c>
      <c r="L48" s="54"/>
      <c r="M48" s="54"/>
      <c r="N48" s="54"/>
      <c r="O48" s="54"/>
      <c r="R48" s="249"/>
      <c r="S48" s="54"/>
      <c r="T48" s="70">
        <v>45388.0</v>
      </c>
      <c r="U48" s="71" t="s">
        <v>296</v>
      </c>
      <c r="V48" s="71">
        <v>1031707.0</v>
      </c>
      <c r="W48" s="71">
        <v>1404.0</v>
      </c>
      <c r="X48" s="71" t="s">
        <v>298</v>
      </c>
      <c r="Y48" s="72">
        <v>406.12</v>
      </c>
      <c r="Z48" s="72">
        <v>413.65</v>
      </c>
      <c r="AA48" s="72">
        <v>-7.53</v>
      </c>
      <c r="AB48" s="254">
        <f t="shared" si="5"/>
        <v>29.46225071</v>
      </c>
      <c r="AC48" s="54"/>
      <c r="AD48" s="54"/>
      <c r="AE48" s="54"/>
    </row>
    <row r="49">
      <c r="A49" s="54"/>
      <c r="B49" s="344">
        <v>45391.0</v>
      </c>
      <c r="C49" s="345"/>
      <c r="D49" s="259"/>
      <c r="E49" s="252">
        <v>1263783.0</v>
      </c>
      <c r="F49" s="252">
        <v>1504.0</v>
      </c>
      <c r="G49" s="252">
        <v>610.0</v>
      </c>
      <c r="H49" s="253">
        <v>419.0</v>
      </c>
      <c r="I49" s="253">
        <v>413.51</v>
      </c>
      <c r="J49" s="253">
        <v>5.49</v>
      </c>
      <c r="K49" s="97">
        <v>27.49</v>
      </c>
      <c r="L49" s="54"/>
      <c r="M49" s="54"/>
      <c r="N49" s="54"/>
      <c r="O49" s="54"/>
      <c r="R49" s="249"/>
      <c r="S49" s="54"/>
      <c r="T49" s="70">
        <v>45390.0</v>
      </c>
      <c r="U49" s="71" t="s">
        <v>296</v>
      </c>
      <c r="V49" s="71">
        <v>1033195.0</v>
      </c>
      <c r="W49" s="71">
        <v>1488.0</v>
      </c>
      <c r="X49" s="71" t="s">
        <v>298</v>
      </c>
      <c r="Y49" s="72">
        <v>419.28</v>
      </c>
      <c r="Z49" s="72">
        <v>430.54</v>
      </c>
      <c r="AA49" s="72">
        <v>-11.26</v>
      </c>
      <c r="AB49" s="254">
        <f t="shared" si="5"/>
        <v>28.93413978</v>
      </c>
      <c r="AC49" s="54"/>
      <c r="AD49" s="54"/>
      <c r="AE49" s="54"/>
    </row>
    <row r="50">
      <c r="A50" s="54"/>
      <c r="B50" s="344">
        <v>45393.0</v>
      </c>
      <c r="C50" s="345"/>
      <c r="D50" s="259"/>
      <c r="E50" s="252">
        <v>1265286.0</v>
      </c>
      <c r="F50" s="252">
        <v>1503.0</v>
      </c>
      <c r="G50" s="252">
        <v>610.0</v>
      </c>
      <c r="H50" s="253">
        <v>412.0</v>
      </c>
      <c r="I50" s="253">
        <v>409.65</v>
      </c>
      <c r="J50" s="253">
        <v>2.35</v>
      </c>
      <c r="K50" s="97">
        <v>27.26</v>
      </c>
      <c r="L50" s="54"/>
      <c r="M50" s="54"/>
      <c r="N50" s="54"/>
      <c r="O50" s="54"/>
      <c r="R50" s="249"/>
      <c r="S50" s="54"/>
      <c r="T50" s="70">
        <v>45392.0</v>
      </c>
      <c r="U50" s="71" t="s">
        <v>296</v>
      </c>
      <c r="V50" s="71">
        <v>1034035.0</v>
      </c>
      <c r="W50" s="71">
        <v>840.0</v>
      </c>
      <c r="X50" s="71" t="s">
        <v>298</v>
      </c>
      <c r="Y50" s="72">
        <v>226.71</v>
      </c>
      <c r="Z50" s="72">
        <v>200.0</v>
      </c>
      <c r="AA50" s="72">
        <v>26.71</v>
      </c>
      <c r="AB50" s="254">
        <f t="shared" si="5"/>
        <v>23.80952381</v>
      </c>
      <c r="AC50" s="54"/>
      <c r="AD50" s="54"/>
      <c r="AE50" s="54"/>
    </row>
    <row r="51">
      <c r="A51" s="54"/>
      <c r="B51" s="344">
        <v>45395.0</v>
      </c>
      <c r="C51" s="345"/>
      <c r="D51" s="259"/>
      <c r="E51" s="252">
        <v>1266789.0</v>
      </c>
      <c r="F51" s="252">
        <v>1503.0</v>
      </c>
      <c r="G51" s="252">
        <v>610.0</v>
      </c>
      <c r="H51" s="253">
        <v>427.0</v>
      </c>
      <c r="I51" s="253">
        <v>423.19</v>
      </c>
      <c r="J51" s="253">
        <v>3.81</v>
      </c>
      <c r="K51" s="97">
        <v>28.16</v>
      </c>
      <c r="L51" s="54"/>
      <c r="M51" s="54"/>
      <c r="N51" s="54"/>
      <c r="O51" s="54"/>
      <c r="R51" s="249"/>
      <c r="S51" s="54"/>
      <c r="T51" s="70">
        <v>45394.0</v>
      </c>
      <c r="U51" s="71" t="s">
        <v>296</v>
      </c>
      <c r="V51" s="71">
        <v>1035346.0</v>
      </c>
      <c r="W51" s="71">
        <v>1311.0</v>
      </c>
      <c r="X51" s="71" t="s">
        <v>298</v>
      </c>
      <c r="Y51" s="72">
        <v>392.57</v>
      </c>
      <c r="Z51" s="72">
        <v>399.82</v>
      </c>
      <c r="AA51" s="72">
        <v>-7.25</v>
      </c>
      <c r="AB51" s="254">
        <f t="shared" si="5"/>
        <v>30.49733028</v>
      </c>
      <c r="AC51" s="54"/>
      <c r="AD51" s="54"/>
      <c r="AE51" s="54"/>
    </row>
    <row r="52">
      <c r="A52" s="54"/>
      <c r="B52" s="344">
        <v>45398.0</v>
      </c>
      <c r="C52" s="345"/>
      <c r="D52" s="259"/>
      <c r="E52" s="252">
        <v>1268465.0</v>
      </c>
      <c r="F52" s="252">
        <v>1676.0</v>
      </c>
      <c r="G52" s="252">
        <v>610.0</v>
      </c>
      <c r="H52" s="253">
        <v>464.0</v>
      </c>
      <c r="I52" s="253">
        <v>461.27</v>
      </c>
      <c r="J52" s="253">
        <v>2.73</v>
      </c>
      <c r="K52" s="97">
        <v>27.52</v>
      </c>
      <c r="L52" s="54"/>
      <c r="M52" s="54"/>
      <c r="N52" s="54"/>
      <c r="O52" s="54"/>
      <c r="R52" s="249"/>
      <c r="S52" s="54"/>
      <c r="T52" s="70">
        <v>45395.0</v>
      </c>
      <c r="U52" s="71" t="s">
        <v>296</v>
      </c>
      <c r="V52" s="71">
        <v>1036303.0</v>
      </c>
      <c r="W52" s="71">
        <v>957.0</v>
      </c>
      <c r="X52" s="71" t="s">
        <v>298</v>
      </c>
      <c r="Y52" s="72">
        <v>262.62</v>
      </c>
      <c r="Z52" s="72">
        <v>272.34</v>
      </c>
      <c r="AA52" s="72">
        <v>-9.72</v>
      </c>
      <c r="AB52" s="254">
        <f t="shared" si="5"/>
        <v>28.45768025</v>
      </c>
      <c r="AC52" s="54"/>
      <c r="AD52" s="54"/>
      <c r="AE52" s="54"/>
    </row>
    <row r="53">
      <c r="A53" s="54"/>
      <c r="B53" s="344">
        <v>45400.0</v>
      </c>
      <c r="C53" s="345"/>
      <c r="D53" s="259"/>
      <c r="E53" s="252">
        <v>1269970.0</v>
      </c>
      <c r="F53" s="252">
        <v>1505.0</v>
      </c>
      <c r="G53" s="252">
        <v>610.0</v>
      </c>
      <c r="H53" s="253">
        <v>425.0</v>
      </c>
      <c r="I53" s="253">
        <v>422.16</v>
      </c>
      <c r="J53" s="253">
        <v>2.84</v>
      </c>
      <c r="K53" s="97">
        <v>28.05</v>
      </c>
      <c r="L53" s="54"/>
      <c r="M53" s="54"/>
      <c r="N53" s="54"/>
      <c r="O53" s="54"/>
      <c r="R53" s="249"/>
      <c r="S53" s="54"/>
      <c r="T53" s="70">
        <v>45397.0</v>
      </c>
      <c r="U53" s="71" t="s">
        <v>296</v>
      </c>
      <c r="V53" s="71">
        <v>1037787.0</v>
      </c>
      <c r="W53" s="71">
        <v>1484.0</v>
      </c>
      <c r="X53" s="71" t="s">
        <v>298</v>
      </c>
      <c r="Y53" s="72">
        <v>431.83</v>
      </c>
      <c r="Z53" s="72">
        <v>443.49</v>
      </c>
      <c r="AA53" s="72">
        <v>-11.66</v>
      </c>
      <c r="AB53" s="254">
        <f t="shared" si="5"/>
        <v>29.88477089</v>
      </c>
      <c r="AC53" s="54"/>
      <c r="AD53" s="54"/>
      <c r="AE53" s="54"/>
    </row>
    <row r="54">
      <c r="A54" s="54"/>
      <c r="B54" s="344">
        <v>45402.0</v>
      </c>
      <c r="C54" s="345"/>
      <c r="D54" s="259"/>
      <c r="E54" s="252">
        <v>1271610.0</v>
      </c>
      <c r="F54" s="252">
        <v>1640.0</v>
      </c>
      <c r="G54" s="252">
        <v>551.0</v>
      </c>
      <c r="H54" s="253">
        <v>454.0</v>
      </c>
      <c r="I54" s="253">
        <v>450.0</v>
      </c>
      <c r="J54" s="253">
        <v>4.0</v>
      </c>
      <c r="K54" s="97">
        <v>27.44</v>
      </c>
      <c r="L54" s="54"/>
      <c r="M54" s="54"/>
      <c r="N54" s="54"/>
      <c r="O54" s="54"/>
      <c r="R54" s="249"/>
      <c r="S54" s="54"/>
      <c r="T54" s="70">
        <v>45399.0</v>
      </c>
      <c r="U54" s="71" t="s">
        <v>296</v>
      </c>
      <c r="V54" s="71">
        <v>1038666.0</v>
      </c>
      <c r="W54" s="71">
        <v>879.0</v>
      </c>
      <c r="X54" s="71" t="s">
        <v>306</v>
      </c>
      <c r="Y54" s="72">
        <v>226.62</v>
      </c>
      <c r="Z54" s="72">
        <v>200.0</v>
      </c>
      <c r="AA54" s="72">
        <v>26.62</v>
      </c>
      <c r="AB54" s="254">
        <f t="shared" si="5"/>
        <v>22.75312856</v>
      </c>
      <c r="AC54" s="54"/>
      <c r="AD54" s="54"/>
      <c r="AE54" s="54"/>
    </row>
    <row r="55">
      <c r="A55" s="54"/>
      <c r="B55" s="344">
        <v>45405.0</v>
      </c>
      <c r="C55" s="345"/>
      <c r="D55" s="259"/>
      <c r="E55" s="252">
        <v>1273117.0</v>
      </c>
      <c r="F55" s="252">
        <v>1507.0</v>
      </c>
      <c r="G55" s="252">
        <v>610.0</v>
      </c>
      <c r="H55" s="253">
        <v>497.0</v>
      </c>
      <c r="I55" s="253">
        <v>491.7</v>
      </c>
      <c r="J55" s="253">
        <v>5.3</v>
      </c>
      <c r="K55" s="97">
        <v>32.63</v>
      </c>
      <c r="L55" s="54"/>
      <c r="M55" s="54"/>
      <c r="N55" s="54"/>
      <c r="O55" s="54"/>
      <c r="R55" s="249"/>
      <c r="S55" s="54"/>
      <c r="T55" s="70">
        <v>45401.0</v>
      </c>
      <c r="U55" s="71" t="s">
        <v>296</v>
      </c>
      <c r="V55" s="71">
        <v>1039952.0</v>
      </c>
      <c r="W55" s="71">
        <v>1286.0</v>
      </c>
      <c r="X55" s="71" t="s">
        <v>298</v>
      </c>
      <c r="Y55" s="72">
        <v>384.01</v>
      </c>
      <c r="Z55" s="72">
        <v>391.97</v>
      </c>
      <c r="AA55" s="72">
        <v>-7.96</v>
      </c>
      <c r="AB55" s="254">
        <f t="shared" si="5"/>
        <v>30.47978227</v>
      </c>
      <c r="AC55" s="54"/>
      <c r="AD55" s="54"/>
      <c r="AE55" s="54"/>
    </row>
    <row r="56">
      <c r="A56" s="54"/>
      <c r="B56" s="344">
        <v>45407.0</v>
      </c>
      <c r="C56" s="345"/>
      <c r="D56" s="259"/>
      <c r="E56" s="252">
        <v>1274867.0</v>
      </c>
      <c r="F56" s="252">
        <v>1750.0</v>
      </c>
      <c r="G56" s="252">
        <v>610.0</v>
      </c>
      <c r="H56" s="253">
        <v>493.0</v>
      </c>
      <c r="I56" s="253">
        <v>488.23</v>
      </c>
      <c r="J56" s="253">
        <v>4.77</v>
      </c>
      <c r="K56" s="97">
        <v>27.9</v>
      </c>
      <c r="L56" s="54"/>
      <c r="M56" s="54"/>
      <c r="N56" s="54"/>
      <c r="O56" s="54"/>
      <c r="R56" s="249"/>
      <c r="S56" s="54"/>
      <c r="T56" s="70">
        <v>45403.0</v>
      </c>
      <c r="U56" s="71" t="s">
        <v>296</v>
      </c>
      <c r="V56" s="71">
        <v>1041438.0</v>
      </c>
      <c r="W56" s="71">
        <v>1486.0</v>
      </c>
      <c r="X56" s="71" t="s">
        <v>298</v>
      </c>
      <c r="Y56" s="72">
        <v>403.88</v>
      </c>
      <c r="Z56" s="72">
        <v>413.61</v>
      </c>
      <c r="AA56" s="72">
        <v>-9.73</v>
      </c>
      <c r="AB56" s="254">
        <f t="shared" si="5"/>
        <v>27.83378197</v>
      </c>
      <c r="AC56" s="54"/>
      <c r="AD56" s="54"/>
      <c r="AE56" s="54"/>
    </row>
    <row r="57">
      <c r="A57" s="54"/>
      <c r="B57" s="344">
        <v>45409.0</v>
      </c>
      <c r="C57" s="345"/>
      <c r="D57" s="259"/>
      <c r="E57" s="252">
        <v>1276375.0</v>
      </c>
      <c r="F57" s="252">
        <v>1508.0</v>
      </c>
      <c r="G57" s="252">
        <v>610.0</v>
      </c>
      <c r="H57" s="253">
        <v>433.0</v>
      </c>
      <c r="I57" s="253">
        <v>431.41</v>
      </c>
      <c r="J57" s="253">
        <v>1.59</v>
      </c>
      <c r="K57" s="97">
        <v>28.61</v>
      </c>
      <c r="L57" s="54"/>
      <c r="M57" s="54"/>
      <c r="N57" s="54"/>
      <c r="O57" s="54"/>
      <c r="R57" s="249"/>
      <c r="S57" s="54"/>
      <c r="T57" s="70">
        <v>45405.0</v>
      </c>
      <c r="U57" s="71" t="s">
        <v>296</v>
      </c>
      <c r="V57" s="71">
        <v>1042931.0</v>
      </c>
      <c r="W57" s="71">
        <v>1493.0</v>
      </c>
      <c r="X57" s="73"/>
      <c r="Y57" s="72">
        <v>397.93</v>
      </c>
      <c r="Z57" s="72">
        <v>400.0</v>
      </c>
      <c r="AA57" s="72">
        <v>-2.07</v>
      </c>
      <c r="AB57" s="254">
        <f t="shared" si="5"/>
        <v>26.79169457</v>
      </c>
      <c r="AC57" s="54"/>
      <c r="AD57" s="54"/>
      <c r="AE57" s="54"/>
    </row>
    <row r="58">
      <c r="A58" s="66"/>
      <c r="B58" s="67" t="s">
        <v>75</v>
      </c>
      <c r="J58" s="66"/>
      <c r="K58" s="66"/>
      <c r="L58" s="66"/>
      <c r="M58" s="66"/>
      <c r="N58" s="66"/>
      <c r="O58" s="66"/>
      <c r="R58" s="249"/>
      <c r="S58" s="54"/>
      <c r="T58" s="70">
        <v>45406.0</v>
      </c>
      <c r="U58" s="71" t="s">
        <v>296</v>
      </c>
      <c r="V58" s="71">
        <v>1043378.0</v>
      </c>
      <c r="W58" s="71">
        <v>447.0</v>
      </c>
      <c r="X58" s="73"/>
      <c r="Y58" s="72">
        <v>109.55</v>
      </c>
      <c r="Z58" s="72">
        <v>123.33</v>
      </c>
      <c r="AA58" s="72">
        <v>-13.78</v>
      </c>
      <c r="AB58" s="254">
        <f t="shared" si="5"/>
        <v>27.59060403</v>
      </c>
      <c r="AC58" s="54"/>
      <c r="AD58" s="54"/>
      <c r="AE58" s="54"/>
    </row>
    <row r="59">
      <c r="A59" s="54"/>
      <c r="B59" s="125">
        <v>45414.0</v>
      </c>
      <c r="C59" s="346"/>
      <c r="D59" s="245" t="s">
        <v>296</v>
      </c>
      <c r="E59" s="245">
        <v>1278158.0</v>
      </c>
      <c r="F59" s="245">
        <v>1783.0</v>
      </c>
      <c r="G59" s="245">
        <v>610.0</v>
      </c>
      <c r="H59" s="246">
        <v>489.0</v>
      </c>
      <c r="I59" s="246">
        <v>483.0</v>
      </c>
      <c r="J59" s="246">
        <v>6.0</v>
      </c>
      <c r="K59" s="97">
        <v>27.09</v>
      </c>
      <c r="L59" s="54"/>
      <c r="M59" s="82" t="str">
        <f>"тотал"&amp;" "&amp;B58</f>
        <v>тотал МАЙ</v>
      </c>
      <c r="N59" s="75"/>
      <c r="O59" s="76"/>
      <c r="R59" s="249"/>
      <c r="S59" s="54"/>
      <c r="T59" s="70">
        <v>45408.0</v>
      </c>
      <c r="U59" s="71" t="s">
        <v>296</v>
      </c>
      <c r="V59" s="71">
        <v>1044643.0</v>
      </c>
      <c r="W59" s="71">
        <v>1265.0</v>
      </c>
      <c r="X59" s="73"/>
      <c r="Y59" s="72">
        <v>334.15</v>
      </c>
      <c r="Z59" s="72">
        <v>343.01</v>
      </c>
      <c r="AA59" s="72">
        <v>-8.86</v>
      </c>
      <c r="AB59" s="254">
        <f t="shared" si="5"/>
        <v>27.11541502</v>
      </c>
      <c r="AC59" s="54"/>
      <c r="AD59" s="54"/>
      <c r="AE59" s="54"/>
    </row>
    <row r="60">
      <c r="A60" s="54"/>
      <c r="B60" s="347">
        <v>45416.0</v>
      </c>
      <c r="C60" s="348"/>
      <c r="D60" s="252" t="s">
        <v>296</v>
      </c>
      <c r="E60" s="252">
        <v>1279669.0</v>
      </c>
      <c r="F60" s="252">
        <v>1511.0</v>
      </c>
      <c r="G60" s="252">
        <v>610.0</v>
      </c>
      <c r="H60" s="253">
        <v>427.0</v>
      </c>
      <c r="I60" s="253">
        <v>425.75</v>
      </c>
      <c r="J60" s="253">
        <v>1.25</v>
      </c>
      <c r="K60" s="97">
        <v>28.18</v>
      </c>
      <c r="L60" s="54"/>
      <c r="M60" s="83" t="s">
        <v>70</v>
      </c>
      <c r="N60" s="83" t="s">
        <v>71</v>
      </c>
      <c r="O60" s="83" t="s">
        <v>27</v>
      </c>
      <c r="R60" s="249"/>
      <c r="S60" s="54"/>
      <c r="T60" s="70">
        <v>45410.0</v>
      </c>
      <c r="U60" s="71" t="s">
        <v>296</v>
      </c>
      <c r="V60" s="71">
        <v>1046130.0</v>
      </c>
      <c r="W60" s="71">
        <v>1487.0</v>
      </c>
      <c r="X60" s="73"/>
      <c r="Y60" s="72">
        <v>417.56</v>
      </c>
      <c r="Z60" s="72">
        <v>432.12</v>
      </c>
      <c r="AA60" s="72">
        <v>-14.56</v>
      </c>
      <c r="AB60" s="254">
        <f t="shared" si="5"/>
        <v>29.05985205</v>
      </c>
      <c r="AC60" s="54"/>
      <c r="AD60" s="54"/>
      <c r="AE60" s="54"/>
    </row>
    <row r="61">
      <c r="A61" s="54"/>
      <c r="B61" s="347">
        <v>45418.0</v>
      </c>
      <c r="C61" s="348"/>
      <c r="D61" s="252" t="s">
        <v>296</v>
      </c>
      <c r="E61" s="252">
        <v>1280744.0</v>
      </c>
      <c r="F61" s="252">
        <v>1075.0</v>
      </c>
      <c r="G61" s="252">
        <v>610.0</v>
      </c>
      <c r="H61" s="253">
        <v>293.0</v>
      </c>
      <c r="I61" s="253">
        <v>298.29</v>
      </c>
      <c r="J61" s="253">
        <v>-5.29</v>
      </c>
      <c r="K61" s="97">
        <v>27.75</v>
      </c>
      <c r="L61" s="54"/>
      <c r="M61" s="84">
        <f>SUM(F59:F73)</f>
        <v>22413</v>
      </c>
      <c r="N61" s="84">
        <f>SUM(I59:I73)</f>
        <v>6140.02</v>
      </c>
      <c r="O61" s="85">
        <f>N61/M61*100</f>
        <v>27.39490474</v>
      </c>
      <c r="R61" s="249"/>
      <c r="S61" s="54"/>
      <c r="T61" s="70">
        <v>45412.0</v>
      </c>
      <c r="U61" s="71" t="s">
        <v>296</v>
      </c>
      <c r="V61" s="71">
        <v>1047618.0</v>
      </c>
      <c r="W61" s="71">
        <v>1488.0</v>
      </c>
      <c r="X61" s="73"/>
      <c r="Y61" s="72">
        <v>418.25</v>
      </c>
      <c r="Z61" s="72">
        <v>430.96</v>
      </c>
      <c r="AA61" s="72">
        <v>-12.71</v>
      </c>
      <c r="AB61" s="254">
        <f t="shared" si="5"/>
        <v>28.96236559</v>
      </c>
      <c r="AC61" s="54"/>
      <c r="AD61" s="54"/>
      <c r="AE61" s="54"/>
    </row>
    <row r="62">
      <c r="A62" s="54"/>
      <c r="B62" s="347">
        <v>45419.0</v>
      </c>
      <c r="C62" s="348"/>
      <c r="D62" s="252" t="s">
        <v>296</v>
      </c>
      <c r="E62" s="252">
        <v>1281467.0</v>
      </c>
      <c r="F62" s="252">
        <v>723.0</v>
      </c>
      <c r="G62" s="252">
        <v>610.0</v>
      </c>
      <c r="H62" s="253">
        <v>205.0</v>
      </c>
      <c r="I62" s="253">
        <v>188.26</v>
      </c>
      <c r="J62" s="253">
        <v>16.74</v>
      </c>
      <c r="K62" s="97">
        <v>26.04</v>
      </c>
      <c r="L62" s="54"/>
      <c r="M62" s="54"/>
      <c r="N62" s="54"/>
      <c r="O62" s="54"/>
      <c r="R62" s="249"/>
      <c r="S62" s="66"/>
      <c r="T62" s="67" t="s">
        <v>75</v>
      </c>
      <c r="AA62" s="66"/>
      <c r="AB62" s="242"/>
      <c r="AC62" s="66"/>
      <c r="AD62" s="66"/>
      <c r="AE62" s="66"/>
    </row>
    <row r="63">
      <c r="A63" s="54"/>
      <c r="B63" s="347">
        <v>45421.0</v>
      </c>
      <c r="C63" s="348"/>
      <c r="D63" s="252" t="s">
        <v>296</v>
      </c>
      <c r="E63" s="252">
        <v>1282973.0</v>
      </c>
      <c r="F63" s="252">
        <v>1506.0</v>
      </c>
      <c r="G63" s="252">
        <v>610.0</v>
      </c>
      <c r="H63" s="253">
        <v>467.0</v>
      </c>
      <c r="I63" s="253">
        <v>463.14</v>
      </c>
      <c r="J63" s="253">
        <v>3.86</v>
      </c>
      <c r="K63" s="97">
        <v>30.75</v>
      </c>
      <c r="L63" s="54"/>
      <c r="M63" s="54"/>
      <c r="N63" s="54"/>
      <c r="O63" s="54"/>
      <c r="R63" s="249"/>
      <c r="S63" s="54"/>
      <c r="T63" s="70">
        <v>45413.0</v>
      </c>
      <c r="U63" s="71" t="s">
        <v>296</v>
      </c>
      <c r="V63" s="71">
        <v>1047970.0</v>
      </c>
      <c r="W63" s="71">
        <v>352.0</v>
      </c>
      <c r="X63" s="71" t="s">
        <v>298</v>
      </c>
      <c r="Y63" s="72">
        <v>93.77</v>
      </c>
      <c r="Z63" s="72">
        <v>103.17</v>
      </c>
      <c r="AA63" s="72">
        <v>-9.4</v>
      </c>
      <c r="AB63" s="254">
        <f t="shared" ref="AB63:AB80" si="6">Z63/W63*100</f>
        <v>29.30965909</v>
      </c>
      <c r="AC63" s="54"/>
      <c r="AD63" s="54"/>
      <c r="AE63" s="54"/>
    </row>
    <row r="64">
      <c r="A64" s="54"/>
      <c r="B64" s="347">
        <v>45423.0</v>
      </c>
      <c r="C64" s="348"/>
      <c r="D64" s="252" t="s">
        <v>296</v>
      </c>
      <c r="E64" s="252">
        <v>1284482.0</v>
      </c>
      <c r="F64" s="252">
        <v>1509.0</v>
      </c>
      <c r="G64" s="252">
        <v>610.0</v>
      </c>
      <c r="H64" s="253">
        <v>435.0</v>
      </c>
      <c r="I64" s="253">
        <v>433.09</v>
      </c>
      <c r="J64" s="253">
        <v>1.91</v>
      </c>
      <c r="K64" s="97">
        <v>28.7</v>
      </c>
      <c r="L64" s="54"/>
      <c r="M64" s="54"/>
      <c r="N64" s="54"/>
      <c r="O64" s="54"/>
      <c r="R64" s="249"/>
      <c r="S64" s="54"/>
      <c r="T64" s="70">
        <v>45415.0</v>
      </c>
      <c r="U64" s="71" t="s">
        <v>296</v>
      </c>
      <c r="V64" s="71">
        <v>1049342.0</v>
      </c>
      <c r="W64" s="71">
        <v>1372.0</v>
      </c>
      <c r="X64" s="71" t="s">
        <v>298</v>
      </c>
      <c r="Y64" s="72">
        <v>375.39</v>
      </c>
      <c r="Z64" s="72">
        <v>389.27</v>
      </c>
      <c r="AA64" s="72">
        <v>-13.88</v>
      </c>
      <c r="AB64" s="254">
        <f t="shared" si="6"/>
        <v>28.37244898</v>
      </c>
      <c r="AC64" s="54"/>
      <c r="AD64" s="54"/>
      <c r="AE64" s="54"/>
    </row>
    <row r="65">
      <c r="A65" s="54"/>
      <c r="B65" s="347">
        <v>45426.0</v>
      </c>
      <c r="C65" s="348"/>
      <c r="D65" s="252" t="s">
        <v>296</v>
      </c>
      <c r="E65" s="252">
        <v>1286036.0</v>
      </c>
      <c r="F65" s="252">
        <v>1554.0</v>
      </c>
      <c r="G65" s="252">
        <v>610.0</v>
      </c>
      <c r="H65" s="253">
        <v>408.0</v>
      </c>
      <c r="I65" s="253">
        <v>407.35</v>
      </c>
      <c r="J65" s="253">
        <v>0.65</v>
      </c>
      <c r="K65" s="97">
        <v>26.21</v>
      </c>
      <c r="L65" s="54"/>
      <c r="M65" s="54"/>
      <c r="N65" s="54"/>
      <c r="O65" s="54"/>
      <c r="R65" s="249"/>
      <c r="S65" s="54"/>
      <c r="T65" s="70">
        <v>45417.0</v>
      </c>
      <c r="U65" s="71" t="s">
        <v>296</v>
      </c>
      <c r="V65" s="71">
        <v>1050763.0</v>
      </c>
      <c r="W65" s="71">
        <v>1421.0</v>
      </c>
      <c r="X65" s="71" t="s">
        <v>298</v>
      </c>
      <c r="Y65" s="72">
        <v>391.02</v>
      </c>
      <c r="Z65" s="72">
        <v>400.0</v>
      </c>
      <c r="AA65" s="72">
        <v>-8.98</v>
      </c>
      <c r="AB65" s="254">
        <f t="shared" si="6"/>
        <v>28.14919071</v>
      </c>
      <c r="AC65" s="54"/>
      <c r="AD65" s="54"/>
      <c r="AE65" s="54"/>
    </row>
    <row r="66">
      <c r="A66" s="54"/>
      <c r="B66" s="347">
        <v>45428.0</v>
      </c>
      <c r="C66" s="348"/>
      <c r="D66" s="252" t="s">
        <v>296</v>
      </c>
      <c r="E66" s="252">
        <v>1287542.0</v>
      </c>
      <c r="F66" s="252">
        <v>1506.0</v>
      </c>
      <c r="G66" s="252">
        <v>610.0</v>
      </c>
      <c r="H66" s="253">
        <v>407.0</v>
      </c>
      <c r="I66" s="253">
        <v>403.35</v>
      </c>
      <c r="J66" s="253">
        <v>3.65</v>
      </c>
      <c r="K66" s="97">
        <v>26.78</v>
      </c>
      <c r="L66" s="54"/>
      <c r="M66" s="54"/>
      <c r="N66" s="54"/>
      <c r="O66" s="54"/>
      <c r="R66" s="249"/>
      <c r="S66" s="54"/>
      <c r="T66" s="70">
        <v>45419.0</v>
      </c>
      <c r="U66" s="71" t="s">
        <v>296</v>
      </c>
      <c r="V66" s="71">
        <v>1052209.0</v>
      </c>
      <c r="W66" s="71">
        <v>1446.0</v>
      </c>
      <c r="X66" s="71" t="s">
        <v>298</v>
      </c>
      <c r="Y66" s="72">
        <v>396.3</v>
      </c>
      <c r="Z66" s="72">
        <v>405.87</v>
      </c>
      <c r="AA66" s="72">
        <v>-9.57</v>
      </c>
      <c r="AB66" s="254">
        <f t="shared" si="6"/>
        <v>28.06846473</v>
      </c>
      <c r="AC66" s="54"/>
      <c r="AD66" s="54"/>
      <c r="AE66" s="54"/>
    </row>
    <row r="67">
      <c r="A67" s="54"/>
      <c r="B67" s="347">
        <v>45430.0</v>
      </c>
      <c r="C67" s="348"/>
      <c r="D67" s="252" t="s">
        <v>296</v>
      </c>
      <c r="E67" s="252">
        <v>1289049.0</v>
      </c>
      <c r="F67" s="252">
        <v>1507.0</v>
      </c>
      <c r="G67" s="252">
        <v>610.0</v>
      </c>
      <c r="H67" s="253">
        <v>417.0</v>
      </c>
      <c r="I67" s="253">
        <v>414.15</v>
      </c>
      <c r="J67" s="253">
        <v>2.85</v>
      </c>
      <c r="K67" s="97">
        <v>27.48</v>
      </c>
      <c r="L67" s="54"/>
      <c r="M67" s="54"/>
      <c r="N67" s="54"/>
      <c r="O67" s="54"/>
      <c r="R67" s="249"/>
      <c r="S67" s="54"/>
      <c r="T67" s="70">
        <v>45421.0</v>
      </c>
      <c r="U67" s="71" t="s">
        <v>296</v>
      </c>
      <c r="V67" s="71">
        <v>1053731.0</v>
      </c>
      <c r="W67" s="71">
        <v>1522.0</v>
      </c>
      <c r="X67" s="71" t="s">
        <v>298</v>
      </c>
      <c r="Y67" s="72">
        <v>411.62</v>
      </c>
      <c r="Z67" s="72">
        <v>421.08</v>
      </c>
      <c r="AA67" s="72">
        <v>-9.46</v>
      </c>
      <c r="AB67" s="254">
        <f t="shared" si="6"/>
        <v>27.66622865</v>
      </c>
      <c r="AC67" s="54"/>
      <c r="AD67" s="54"/>
      <c r="AE67" s="54"/>
    </row>
    <row r="68">
      <c r="A68" s="54"/>
      <c r="B68" s="347">
        <v>45432.0</v>
      </c>
      <c r="C68" s="348"/>
      <c r="D68" s="252" t="s">
        <v>296</v>
      </c>
      <c r="E68" s="252">
        <v>1290642.0</v>
      </c>
      <c r="F68" s="252">
        <v>1593.0</v>
      </c>
      <c r="G68" s="252">
        <v>610.0</v>
      </c>
      <c r="H68" s="253">
        <v>423.0</v>
      </c>
      <c r="I68" s="253">
        <v>421.11</v>
      </c>
      <c r="J68" s="253">
        <v>1.89</v>
      </c>
      <c r="K68" s="97">
        <v>26.44</v>
      </c>
      <c r="L68" s="54"/>
      <c r="M68" s="54"/>
      <c r="N68" s="54"/>
      <c r="O68" s="54"/>
      <c r="R68" s="249"/>
      <c r="S68" s="54"/>
      <c r="T68" s="70">
        <v>45423.0</v>
      </c>
      <c r="U68" s="71" t="s">
        <v>296</v>
      </c>
      <c r="V68" s="71">
        <v>1054276.0</v>
      </c>
      <c r="W68" s="71">
        <v>545.0</v>
      </c>
      <c r="X68" s="71" t="s">
        <v>298</v>
      </c>
      <c r="Y68" s="72">
        <v>129.68</v>
      </c>
      <c r="Z68" s="72">
        <v>139.69</v>
      </c>
      <c r="AA68" s="72">
        <v>-10.01</v>
      </c>
      <c r="AB68" s="254">
        <f t="shared" si="6"/>
        <v>25.63119266</v>
      </c>
      <c r="AC68" s="54"/>
      <c r="AD68" s="54"/>
      <c r="AE68" s="54"/>
    </row>
    <row r="69">
      <c r="A69" s="54"/>
      <c r="B69" s="347">
        <v>45434.0</v>
      </c>
      <c r="C69" s="348"/>
      <c r="D69" s="252" t="s">
        <v>296</v>
      </c>
      <c r="E69" s="252">
        <v>1292322.0</v>
      </c>
      <c r="F69" s="252">
        <v>1680.0</v>
      </c>
      <c r="G69" s="252">
        <v>610.0</v>
      </c>
      <c r="H69" s="253">
        <v>445.0</v>
      </c>
      <c r="I69" s="253">
        <v>444.63</v>
      </c>
      <c r="J69" s="253">
        <v>0.37</v>
      </c>
      <c r="K69" s="97">
        <v>26.47</v>
      </c>
      <c r="L69" s="54"/>
      <c r="M69" s="54"/>
      <c r="N69" s="54"/>
      <c r="O69" s="54"/>
      <c r="R69" s="249"/>
      <c r="S69" s="54"/>
      <c r="T69" s="70">
        <v>45424.0</v>
      </c>
      <c r="U69" s="71" t="s">
        <v>296</v>
      </c>
      <c r="V69" s="71">
        <v>1055330.0</v>
      </c>
      <c r="W69" s="71">
        <v>1054.0</v>
      </c>
      <c r="X69" s="71" t="s">
        <v>298</v>
      </c>
      <c r="Y69" s="72">
        <v>282.83</v>
      </c>
      <c r="Z69" s="72">
        <v>290.0</v>
      </c>
      <c r="AA69" s="72">
        <v>-7.17</v>
      </c>
      <c r="AB69" s="254">
        <f t="shared" si="6"/>
        <v>27.5142315</v>
      </c>
      <c r="AC69" s="54"/>
      <c r="AD69" s="54"/>
      <c r="AE69" s="54"/>
    </row>
    <row r="70">
      <c r="A70" s="54"/>
      <c r="B70" s="344">
        <v>45436.0</v>
      </c>
      <c r="C70" s="345"/>
      <c r="D70" s="252" t="s">
        <v>296</v>
      </c>
      <c r="E70" s="252">
        <v>1294069.0</v>
      </c>
      <c r="F70" s="252">
        <v>1747.0</v>
      </c>
      <c r="G70" s="252">
        <v>610.0</v>
      </c>
      <c r="H70" s="253">
        <v>481.0</v>
      </c>
      <c r="I70" s="253">
        <v>480.31</v>
      </c>
      <c r="J70" s="253">
        <v>0.69</v>
      </c>
      <c r="K70" s="97">
        <v>27.49</v>
      </c>
      <c r="L70" s="54"/>
      <c r="M70" s="54"/>
      <c r="N70" s="54"/>
      <c r="O70" s="54"/>
      <c r="R70" s="249"/>
      <c r="S70" s="54"/>
      <c r="T70" s="70">
        <v>45426.0</v>
      </c>
      <c r="U70" s="71" t="s">
        <v>296</v>
      </c>
      <c r="V70" s="71">
        <v>1056814.0</v>
      </c>
      <c r="W70" s="71">
        <v>1484.0</v>
      </c>
      <c r="X70" s="71" t="s">
        <v>298</v>
      </c>
      <c r="Y70" s="72">
        <v>415.61</v>
      </c>
      <c r="Z70" s="72">
        <v>428.28</v>
      </c>
      <c r="AA70" s="72">
        <v>-12.67</v>
      </c>
      <c r="AB70" s="254">
        <f t="shared" si="6"/>
        <v>28.85983827</v>
      </c>
      <c r="AC70" s="54"/>
      <c r="AD70" s="54"/>
      <c r="AE70" s="54"/>
    </row>
    <row r="71">
      <c r="A71" s="54"/>
      <c r="B71" s="344">
        <v>45438.0</v>
      </c>
      <c r="C71" s="345"/>
      <c r="D71" s="252" t="s">
        <v>296</v>
      </c>
      <c r="E71" s="252">
        <v>1295613.0</v>
      </c>
      <c r="F71" s="252">
        <v>1544.0</v>
      </c>
      <c r="G71" s="252">
        <v>610.0</v>
      </c>
      <c r="H71" s="253">
        <v>422.0</v>
      </c>
      <c r="I71" s="253">
        <v>415.2</v>
      </c>
      <c r="J71" s="253">
        <v>6.8</v>
      </c>
      <c r="K71" s="97">
        <v>26.89</v>
      </c>
      <c r="L71" s="54"/>
      <c r="M71" s="54"/>
      <c r="N71" s="54"/>
      <c r="O71" s="54"/>
      <c r="R71" s="249"/>
      <c r="S71" s="54"/>
      <c r="T71" s="70">
        <v>45428.0</v>
      </c>
      <c r="U71" s="71" t="s">
        <v>296</v>
      </c>
      <c r="V71" s="71">
        <v>1057467.0</v>
      </c>
      <c r="W71" s="71">
        <v>653.0</v>
      </c>
      <c r="X71" s="71" t="s">
        <v>298</v>
      </c>
      <c r="Y71" s="72">
        <v>167.29</v>
      </c>
      <c r="Z71" s="72">
        <v>150.0</v>
      </c>
      <c r="AA71" s="72">
        <v>17.29</v>
      </c>
      <c r="AB71" s="254">
        <f t="shared" si="6"/>
        <v>22.97090352</v>
      </c>
      <c r="AC71" s="54"/>
      <c r="AD71" s="54"/>
      <c r="AE71" s="54"/>
    </row>
    <row r="72">
      <c r="A72" s="54"/>
      <c r="B72" s="344">
        <v>45440.0</v>
      </c>
      <c r="C72" s="345"/>
      <c r="D72" s="252" t="s">
        <v>296</v>
      </c>
      <c r="E72" s="252">
        <v>1297282.0</v>
      </c>
      <c r="F72" s="252">
        <v>1669.0</v>
      </c>
      <c r="G72" s="252">
        <v>610.0</v>
      </c>
      <c r="H72" s="253">
        <v>450.0</v>
      </c>
      <c r="I72" s="253">
        <v>451.76</v>
      </c>
      <c r="J72" s="253">
        <v>-1.76</v>
      </c>
      <c r="K72" s="97">
        <v>27.07</v>
      </c>
      <c r="L72" s="54"/>
      <c r="M72" s="54"/>
      <c r="N72" s="54"/>
      <c r="O72" s="54"/>
      <c r="R72" s="249"/>
      <c r="S72" s="54"/>
      <c r="T72" s="70">
        <v>45429.0</v>
      </c>
      <c r="U72" s="71" t="s">
        <v>296</v>
      </c>
      <c r="V72" s="71">
        <v>1058545.0</v>
      </c>
      <c r="W72" s="71">
        <v>1078.0</v>
      </c>
      <c r="X72" s="71" t="s">
        <v>298</v>
      </c>
      <c r="Y72" s="72">
        <v>309.44</v>
      </c>
      <c r="Z72" s="72">
        <v>320.35</v>
      </c>
      <c r="AA72" s="72">
        <v>-10.91</v>
      </c>
      <c r="AB72" s="254">
        <f t="shared" si="6"/>
        <v>29.71706865</v>
      </c>
      <c r="AC72" s="54"/>
      <c r="AD72" s="54"/>
      <c r="AE72" s="54"/>
    </row>
    <row r="73">
      <c r="A73" s="54"/>
      <c r="B73" s="344">
        <v>45442.0</v>
      </c>
      <c r="C73" s="345"/>
      <c r="D73" s="252" t="s">
        <v>296</v>
      </c>
      <c r="E73" s="252">
        <v>1298788.0</v>
      </c>
      <c r="F73" s="252">
        <v>1506.0</v>
      </c>
      <c r="G73" s="252">
        <v>610.0</v>
      </c>
      <c r="H73" s="253">
        <v>410.0</v>
      </c>
      <c r="I73" s="253">
        <v>410.63</v>
      </c>
      <c r="J73" s="253">
        <v>-0.63</v>
      </c>
      <c r="K73" s="97">
        <v>27.27</v>
      </c>
      <c r="L73" s="54"/>
      <c r="M73" s="54"/>
      <c r="N73" s="54"/>
      <c r="O73" s="54"/>
      <c r="R73" s="249"/>
      <c r="S73" s="54"/>
      <c r="T73" s="70">
        <v>45431.0</v>
      </c>
      <c r="U73" s="71" t="s">
        <v>296</v>
      </c>
      <c r="V73" s="71">
        <v>1060006.0</v>
      </c>
      <c r="W73" s="71">
        <v>1461.0</v>
      </c>
      <c r="X73" s="71" t="s">
        <v>298</v>
      </c>
      <c r="Y73" s="72">
        <v>397.04</v>
      </c>
      <c r="Z73" s="72">
        <v>400.0</v>
      </c>
      <c r="AA73" s="72">
        <v>-2.96</v>
      </c>
      <c r="AB73" s="254">
        <f t="shared" si="6"/>
        <v>27.37850787</v>
      </c>
      <c r="AC73" s="54"/>
      <c r="AD73" s="54"/>
      <c r="AE73" s="54"/>
    </row>
    <row r="74">
      <c r="A74" s="66"/>
      <c r="B74" s="67" t="s">
        <v>90</v>
      </c>
      <c r="J74" s="66"/>
      <c r="K74" s="66"/>
      <c r="L74" s="66"/>
      <c r="M74" s="66"/>
      <c r="N74" s="66"/>
      <c r="O74" s="66"/>
      <c r="R74" s="249"/>
      <c r="S74" s="54"/>
      <c r="T74" s="70">
        <v>45433.0</v>
      </c>
      <c r="U74" s="71" t="s">
        <v>296</v>
      </c>
      <c r="V74" s="71">
        <v>1061513.0</v>
      </c>
      <c r="W74" s="71">
        <v>1507.0</v>
      </c>
      <c r="X74" s="71" t="s">
        <v>298</v>
      </c>
      <c r="Y74" s="72">
        <v>426.16</v>
      </c>
      <c r="Z74" s="72">
        <v>439.96</v>
      </c>
      <c r="AA74" s="72">
        <v>-13.8</v>
      </c>
      <c r="AB74" s="254">
        <f t="shared" si="6"/>
        <v>29.19442601</v>
      </c>
      <c r="AC74" s="54"/>
      <c r="AD74" s="54"/>
      <c r="AE74" s="54"/>
    </row>
    <row r="75">
      <c r="A75" s="54"/>
      <c r="B75" s="94">
        <v>45444.0</v>
      </c>
      <c r="C75" s="343"/>
      <c r="D75" s="258"/>
      <c r="E75" s="245">
        <v>1300294.0</v>
      </c>
      <c r="F75" s="245">
        <v>1506.0</v>
      </c>
      <c r="G75" s="245">
        <v>610.0</v>
      </c>
      <c r="H75" s="246">
        <v>410.0</v>
      </c>
      <c r="I75" s="246">
        <v>406.25</v>
      </c>
      <c r="J75" s="246">
        <v>3.75</v>
      </c>
      <c r="K75" s="97">
        <v>26.98</v>
      </c>
      <c r="L75" s="54"/>
      <c r="M75" s="82" t="str">
        <f>"тотал"&amp;" "&amp;B74</f>
        <v>тотал ИЮНЬ</v>
      </c>
      <c r="N75" s="75"/>
      <c r="O75" s="76"/>
      <c r="R75" s="249"/>
      <c r="S75" s="54"/>
      <c r="T75" s="70">
        <v>45435.0</v>
      </c>
      <c r="U75" s="71" t="s">
        <v>296</v>
      </c>
      <c r="V75" s="71">
        <v>1062036.0</v>
      </c>
      <c r="W75" s="71">
        <v>523.0</v>
      </c>
      <c r="X75" s="71" t="s">
        <v>298</v>
      </c>
      <c r="Y75" s="72">
        <v>134.24</v>
      </c>
      <c r="Z75" s="72">
        <v>150.41</v>
      </c>
      <c r="AA75" s="72">
        <v>-16.17</v>
      </c>
      <c r="AB75" s="254">
        <f t="shared" si="6"/>
        <v>28.75908222</v>
      </c>
      <c r="AC75" s="54"/>
      <c r="AD75" s="54"/>
      <c r="AE75" s="54"/>
    </row>
    <row r="76">
      <c r="A76" s="54"/>
      <c r="B76" s="344">
        <v>45447.0</v>
      </c>
      <c r="C76" s="345"/>
      <c r="D76" s="259"/>
      <c r="E76" s="252">
        <v>1301799.0</v>
      </c>
      <c r="F76" s="252">
        <v>1505.0</v>
      </c>
      <c r="G76" s="252">
        <v>610.0</v>
      </c>
      <c r="H76" s="253">
        <v>404.0</v>
      </c>
      <c r="I76" s="253">
        <v>403.2</v>
      </c>
      <c r="J76" s="253">
        <v>0.8</v>
      </c>
      <c r="K76" s="97">
        <v>26.79</v>
      </c>
      <c r="L76" s="54"/>
      <c r="M76" s="83" t="s">
        <v>70</v>
      </c>
      <c r="N76" s="83" t="s">
        <v>71</v>
      </c>
      <c r="O76" s="83" t="s">
        <v>27</v>
      </c>
      <c r="R76" s="249"/>
      <c r="S76" s="54"/>
      <c r="T76" s="70">
        <v>45436.0</v>
      </c>
      <c r="U76" s="71" t="s">
        <v>296</v>
      </c>
      <c r="V76" s="71">
        <v>1063151.0</v>
      </c>
      <c r="W76" s="71">
        <v>1115.0</v>
      </c>
      <c r="X76" s="71" t="s">
        <v>298</v>
      </c>
      <c r="Y76" s="72">
        <v>288.2</v>
      </c>
      <c r="Z76" s="72">
        <v>294.64</v>
      </c>
      <c r="AA76" s="72">
        <v>-6.44</v>
      </c>
      <c r="AB76" s="254">
        <f t="shared" si="6"/>
        <v>26.42511211</v>
      </c>
      <c r="AC76" s="54"/>
      <c r="AD76" s="54"/>
      <c r="AE76" s="54"/>
    </row>
    <row r="77">
      <c r="A77" s="54"/>
      <c r="B77" s="344">
        <v>45449.0</v>
      </c>
      <c r="C77" s="345"/>
      <c r="D77" s="259"/>
      <c r="E77" s="252">
        <v>1303354.0</v>
      </c>
      <c r="F77" s="252">
        <v>1555.0</v>
      </c>
      <c r="G77" s="252">
        <v>610.0</v>
      </c>
      <c r="H77" s="253">
        <v>419.0</v>
      </c>
      <c r="I77" s="253">
        <v>412.44</v>
      </c>
      <c r="J77" s="253">
        <v>6.56</v>
      </c>
      <c r="K77" s="97">
        <v>26.52</v>
      </c>
      <c r="L77" s="54"/>
      <c r="M77" s="84">
        <f>SUM(F75:F86)</f>
        <v>17982</v>
      </c>
      <c r="N77" s="84">
        <f>SUM(I75:I86)</f>
        <v>4799.55</v>
      </c>
      <c r="O77" s="85">
        <f>N77/M77*100</f>
        <v>26.69085752</v>
      </c>
      <c r="R77" s="249"/>
      <c r="S77" s="54"/>
      <c r="T77" s="70">
        <v>45438.0</v>
      </c>
      <c r="U77" s="71" t="s">
        <v>296</v>
      </c>
      <c r="V77" s="71">
        <v>1064572.0</v>
      </c>
      <c r="W77" s="71">
        <v>1421.0</v>
      </c>
      <c r="X77" s="71" t="s">
        <v>298</v>
      </c>
      <c r="Y77" s="72">
        <v>390.7</v>
      </c>
      <c r="Z77" s="72">
        <v>399.18</v>
      </c>
      <c r="AA77" s="72">
        <v>-8.48</v>
      </c>
      <c r="AB77" s="254">
        <f t="shared" si="6"/>
        <v>28.09148487</v>
      </c>
      <c r="AC77" s="54"/>
      <c r="AD77" s="54"/>
      <c r="AE77" s="54"/>
    </row>
    <row r="78">
      <c r="A78" s="54"/>
      <c r="B78" s="344">
        <v>45451.0</v>
      </c>
      <c r="C78" s="345"/>
      <c r="D78" s="259"/>
      <c r="E78" s="252">
        <v>1304824.0</v>
      </c>
      <c r="F78" s="252">
        <v>1470.0</v>
      </c>
      <c r="G78" s="252">
        <v>610.0</v>
      </c>
      <c r="H78" s="253">
        <v>404.0</v>
      </c>
      <c r="I78" s="253">
        <v>400.98</v>
      </c>
      <c r="J78" s="253">
        <v>3.02</v>
      </c>
      <c r="K78" s="97">
        <v>27.28</v>
      </c>
      <c r="L78" s="54"/>
      <c r="M78" s="54"/>
      <c r="N78" s="54"/>
      <c r="O78" s="54"/>
      <c r="R78" s="249"/>
      <c r="S78" s="54"/>
      <c r="T78" s="70">
        <v>45439.0</v>
      </c>
      <c r="U78" s="71" t="s">
        <v>296</v>
      </c>
      <c r="V78" s="71">
        <v>1066058.0</v>
      </c>
      <c r="W78" s="71">
        <v>1486.0</v>
      </c>
      <c r="X78" s="71" t="s">
        <v>298</v>
      </c>
      <c r="Y78" s="72">
        <v>413.85</v>
      </c>
      <c r="Z78" s="72">
        <v>400.0</v>
      </c>
      <c r="AA78" s="72">
        <v>13.85</v>
      </c>
      <c r="AB78" s="254">
        <f t="shared" si="6"/>
        <v>26.9179004</v>
      </c>
      <c r="AC78" s="54"/>
      <c r="AD78" s="54"/>
      <c r="AE78" s="54"/>
    </row>
    <row r="79">
      <c r="A79" s="54"/>
      <c r="B79" s="344">
        <v>45454.0</v>
      </c>
      <c r="C79" s="345"/>
      <c r="D79" s="259"/>
      <c r="E79" s="252">
        <v>1306373.0</v>
      </c>
      <c r="F79" s="252">
        <v>1549.0</v>
      </c>
      <c r="G79" s="252">
        <v>610.0</v>
      </c>
      <c r="H79" s="253">
        <v>404.0</v>
      </c>
      <c r="I79" s="253">
        <v>400.9</v>
      </c>
      <c r="J79" s="253">
        <v>3.1</v>
      </c>
      <c r="K79" s="97">
        <v>25.88</v>
      </c>
      <c r="L79" s="54"/>
      <c r="M79" s="54"/>
      <c r="N79" s="54"/>
      <c r="O79" s="54"/>
      <c r="R79" s="249"/>
      <c r="S79" s="54"/>
      <c r="T79" s="70">
        <v>45442.0</v>
      </c>
      <c r="U79" s="71" t="s">
        <v>296</v>
      </c>
      <c r="V79" s="71">
        <v>1066602.0</v>
      </c>
      <c r="W79" s="71">
        <v>544.0</v>
      </c>
      <c r="X79" s="71" t="s">
        <v>298</v>
      </c>
      <c r="Y79" s="72">
        <v>163.18</v>
      </c>
      <c r="Z79" s="72">
        <v>170.97</v>
      </c>
      <c r="AA79" s="72">
        <v>-7.79</v>
      </c>
      <c r="AB79" s="254">
        <f t="shared" si="6"/>
        <v>31.42830882</v>
      </c>
      <c r="AC79" s="54"/>
      <c r="AD79" s="54"/>
      <c r="AE79" s="54"/>
    </row>
    <row r="80">
      <c r="A80" s="54"/>
      <c r="B80" s="344">
        <v>45456.0</v>
      </c>
      <c r="C80" s="345"/>
      <c r="D80" s="259"/>
      <c r="E80" s="252">
        <v>1307846.0</v>
      </c>
      <c r="F80" s="252">
        <v>1473.0</v>
      </c>
      <c r="G80" s="252">
        <v>610.0</v>
      </c>
      <c r="H80" s="253">
        <v>397.0</v>
      </c>
      <c r="I80" s="253">
        <v>392.14</v>
      </c>
      <c r="J80" s="253">
        <v>4.86</v>
      </c>
      <c r="K80" s="97">
        <v>26.62</v>
      </c>
      <c r="L80" s="54"/>
      <c r="M80" s="54"/>
      <c r="N80" s="54"/>
      <c r="O80" s="54"/>
      <c r="R80" s="249"/>
      <c r="S80" s="54"/>
      <c r="T80" s="70">
        <v>45443.0</v>
      </c>
      <c r="U80" s="71" t="s">
        <v>296</v>
      </c>
      <c r="V80" s="71">
        <v>1067657.0</v>
      </c>
      <c r="W80" s="71">
        <v>1055.0</v>
      </c>
      <c r="X80" s="71" t="s">
        <v>298</v>
      </c>
      <c r="Y80" s="72">
        <v>275.51</v>
      </c>
      <c r="Z80" s="72">
        <v>284.66</v>
      </c>
      <c r="AA80" s="72">
        <v>-9.15</v>
      </c>
      <c r="AB80" s="254">
        <f t="shared" si="6"/>
        <v>26.98199052</v>
      </c>
      <c r="AC80" s="54"/>
      <c r="AD80" s="54"/>
      <c r="AE80" s="54"/>
    </row>
    <row r="81">
      <c r="A81" s="54"/>
      <c r="B81" s="344">
        <v>45458.0</v>
      </c>
      <c r="C81" s="345"/>
      <c r="D81" s="259"/>
      <c r="E81" s="252">
        <v>1309317.0</v>
      </c>
      <c r="F81" s="252">
        <v>1471.0</v>
      </c>
      <c r="G81" s="252">
        <v>610.0</v>
      </c>
      <c r="H81" s="253">
        <v>397.0</v>
      </c>
      <c r="I81" s="253">
        <v>393.05</v>
      </c>
      <c r="J81" s="253">
        <v>3.95</v>
      </c>
      <c r="K81" s="97">
        <v>26.72</v>
      </c>
      <c r="L81" s="54"/>
      <c r="M81" s="54"/>
      <c r="N81" s="54"/>
      <c r="O81" s="54"/>
      <c r="R81" s="249"/>
      <c r="S81" s="66"/>
      <c r="T81" s="67" t="s">
        <v>90</v>
      </c>
      <c r="AA81" s="66"/>
      <c r="AB81" s="242"/>
      <c r="AC81" s="66"/>
      <c r="AD81" s="66"/>
      <c r="AE81" s="66"/>
    </row>
    <row r="82">
      <c r="A82" s="54"/>
      <c r="B82" s="344">
        <v>45461.0</v>
      </c>
      <c r="C82" s="345"/>
      <c r="D82" s="259"/>
      <c r="E82" s="252">
        <v>1310881.0</v>
      </c>
      <c r="F82" s="252">
        <v>1564.0</v>
      </c>
      <c r="G82" s="252">
        <v>610.0</v>
      </c>
      <c r="H82" s="253">
        <v>411.0</v>
      </c>
      <c r="I82" s="253">
        <v>405.66</v>
      </c>
      <c r="J82" s="253">
        <v>5.34</v>
      </c>
      <c r="K82" s="97">
        <v>25.94</v>
      </c>
      <c r="L82" s="54"/>
      <c r="M82" s="54"/>
      <c r="N82" s="54"/>
      <c r="O82" s="54"/>
      <c r="R82" s="249"/>
      <c r="S82" s="54"/>
      <c r="T82" s="70">
        <v>45445.0</v>
      </c>
      <c r="U82" s="71" t="s">
        <v>296</v>
      </c>
      <c r="V82" s="71">
        <v>1069164.0</v>
      </c>
      <c r="W82" s="71">
        <v>1507.0</v>
      </c>
      <c r="X82" s="71" t="s">
        <v>298</v>
      </c>
      <c r="Y82" s="72">
        <v>411.17</v>
      </c>
      <c r="Z82" s="72">
        <v>421.29</v>
      </c>
      <c r="AA82" s="72">
        <v>-10.12</v>
      </c>
      <c r="AB82" s="254">
        <f t="shared" ref="AB82:AB95" si="7">Z82/W82*100</f>
        <v>27.95554081</v>
      </c>
      <c r="AC82" s="54"/>
      <c r="AD82" s="54"/>
      <c r="AE82" s="54"/>
    </row>
    <row r="83">
      <c r="A83" s="54"/>
      <c r="B83" s="344">
        <v>45463.0</v>
      </c>
      <c r="C83" s="345"/>
      <c r="D83" s="259"/>
      <c r="E83" s="252">
        <v>1312353.0</v>
      </c>
      <c r="F83" s="252">
        <v>1472.0</v>
      </c>
      <c r="G83" s="252">
        <v>610.0</v>
      </c>
      <c r="H83" s="253">
        <v>403.0</v>
      </c>
      <c r="I83" s="253">
        <v>396.37</v>
      </c>
      <c r="J83" s="253">
        <v>6.63</v>
      </c>
      <c r="K83" s="97">
        <v>26.93</v>
      </c>
      <c r="L83" s="54"/>
      <c r="M83" s="54"/>
      <c r="N83" s="54"/>
      <c r="O83" s="54"/>
      <c r="R83" s="249"/>
      <c r="S83" s="54"/>
      <c r="T83" s="70">
        <v>45447.0</v>
      </c>
      <c r="U83" s="71" t="s">
        <v>296</v>
      </c>
      <c r="V83" s="71">
        <v>1070622.0</v>
      </c>
      <c r="W83" s="71">
        <v>1458.0</v>
      </c>
      <c r="X83" s="71" t="s">
        <v>298</v>
      </c>
      <c r="Y83" s="72">
        <v>406.86</v>
      </c>
      <c r="Z83" s="72">
        <v>413.85</v>
      </c>
      <c r="AA83" s="72">
        <v>-6.99</v>
      </c>
      <c r="AB83" s="254">
        <f t="shared" si="7"/>
        <v>28.38477366</v>
      </c>
      <c r="AC83" s="54"/>
      <c r="AD83" s="54"/>
      <c r="AE83" s="54"/>
    </row>
    <row r="84">
      <c r="A84" s="54"/>
      <c r="B84" s="344">
        <v>45465.0</v>
      </c>
      <c r="C84" s="345"/>
      <c r="D84" s="259"/>
      <c r="E84" s="252">
        <v>1313826.0</v>
      </c>
      <c r="F84" s="252">
        <v>1473.0</v>
      </c>
      <c r="G84" s="252">
        <v>610.0</v>
      </c>
      <c r="H84" s="253">
        <v>411.0</v>
      </c>
      <c r="I84" s="253">
        <v>410.11</v>
      </c>
      <c r="J84" s="253">
        <v>0.89</v>
      </c>
      <c r="K84" s="97">
        <v>27.84</v>
      </c>
      <c r="L84" s="54"/>
      <c r="M84" s="54"/>
      <c r="N84" s="54"/>
      <c r="O84" s="54"/>
      <c r="R84" s="249"/>
      <c r="S84" s="54"/>
      <c r="T84" s="70">
        <v>45450.0</v>
      </c>
      <c r="U84" s="71" t="s">
        <v>296</v>
      </c>
      <c r="V84" s="71">
        <v>1072366.0</v>
      </c>
      <c r="W84" s="71">
        <v>1744.0</v>
      </c>
      <c r="X84" s="71" t="s">
        <v>298</v>
      </c>
      <c r="Y84" s="72">
        <v>470.38</v>
      </c>
      <c r="Z84" s="72">
        <v>478.8</v>
      </c>
      <c r="AA84" s="72">
        <v>-8.42</v>
      </c>
      <c r="AB84" s="254">
        <f t="shared" si="7"/>
        <v>27.45412844</v>
      </c>
      <c r="AC84" s="54"/>
      <c r="AD84" s="54"/>
      <c r="AE84" s="54"/>
    </row>
    <row r="85">
      <c r="A85" s="54"/>
      <c r="B85" s="344">
        <v>45468.0</v>
      </c>
      <c r="C85" s="345"/>
      <c r="D85" s="259"/>
      <c r="E85" s="252">
        <v>1315298.0</v>
      </c>
      <c r="F85" s="252">
        <v>1472.0</v>
      </c>
      <c r="G85" s="252">
        <v>610.0</v>
      </c>
      <c r="H85" s="253">
        <v>390.0</v>
      </c>
      <c r="I85" s="253">
        <v>384.43</v>
      </c>
      <c r="J85" s="253">
        <v>5.57</v>
      </c>
      <c r="K85" s="97">
        <v>26.12</v>
      </c>
      <c r="L85" s="54"/>
      <c r="M85" s="54"/>
      <c r="N85" s="54"/>
      <c r="O85" s="54"/>
      <c r="R85" s="249"/>
      <c r="S85" s="54"/>
      <c r="T85" s="70">
        <v>45452.0</v>
      </c>
      <c r="U85" s="71" t="s">
        <v>296</v>
      </c>
      <c r="V85" s="71">
        <v>1073848.0</v>
      </c>
      <c r="W85" s="71">
        <v>1482.0</v>
      </c>
      <c r="X85" s="71" t="s">
        <v>298</v>
      </c>
      <c r="Y85" s="72">
        <v>400.76</v>
      </c>
      <c r="Z85" s="72">
        <v>409.42</v>
      </c>
      <c r="AA85" s="72">
        <v>-8.66</v>
      </c>
      <c r="AB85" s="254">
        <f t="shared" si="7"/>
        <v>27.62618084</v>
      </c>
      <c r="AC85" s="54"/>
      <c r="AD85" s="54"/>
      <c r="AE85" s="54"/>
    </row>
    <row r="86">
      <c r="A86" s="54"/>
      <c r="B86" s="344">
        <v>45470.0</v>
      </c>
      <c r="C86" s="345"/>
      <c r="D86" s="259"/>
      <c r="E86" s="252">
        <v>1316770.0</v>
      </c>
      <c r="F86" s="252">
        <v>1472.0</v>
      </c>
      <c r="G86" s="252">
        <v>610.0</v>
      </c>
      <c r="H86" s="253">
        <v>395.0</v>
      </c>
      <c r="I86" s="253">
        <v>394.02</v>
      </c>
      <c r="J86" s="253">
        <v>0.98</v>
      </c>
      <c r="K86" s="97">
        <v>26.77</v>
      </c>
      <c r="L86" s="54"/>
      <c r="M86" s="54"/>
      <c r="N86" s="54"/>
      <c r="O86" s="54"/>
      <c r="R86" s="249"/>
      <c r="S86" s="54"/>
      <c r="T86" s="70">
        <v>45454.0</v>
      </c>
      <c r="U86" s="71" t="s">
        <v>296</v>
      </c>
      <c r="V86" s="71">
        <v>1075647.0</v>
      </c>
      <c r="W86" s="71">
        <v>1799.0</v>
      </c>
      <c r="X86" s="71" t="s">
        <v>307</v>
      </c>
      <c r="Y86" s="72">
        <v>471.07</v>
      </c>
      <c r="Z86" s="72">
        <v>450.0</v>
      </c>
      <c r="AA86" s="72">
        <v>21.07</v>
      </c>
      <c r="AB86" s="254">
        <f t="shared" si="7"/>
        <v>25.01389661</v>
      </c>
      <c r="AC86" s="54"/>
      <c r="AD86" s="54"/>
      <c r="AE86" s="54"/>
    </row>
    <row r="87">
      <c r="A87" s="66"/>
      <c r="B87" s="67" t="s">
        <v>92</v>
      </c>
      <c r="J87" s="66"/>
      <c r="K87" s="66"/>
      <c r="L87" s="66"/>
      <c r="M87" s="66"/>
      <c r="N87" s="66"/>
      <c r="O87" s="66"/>
      <c r="R87" s="249"/>
      <c r="S87" s="54"/>
      <c r="T87" s="70">
        <v>45456.0</v>
      </c>
      <c r="U87" s="71" t="s">
        <v>296</v>
      </c>
      <c r="V87" s="71">
        <v>1076534.0</v>
      </c>
      <c r="W87" s="71">
        <v>887.0</v>
      </c>
      <c r="X87" s="71" t="s">
        <v>308</v>
      </c>
      <c r="Y87" s="72">
        <v>202.44</v>
      </c>
      <c r="Z87" s="72">
        <v>200.0</v>
      </c>
      <c r="AA87" s="72">
        <v>2.44</v>
      </c>
      <c r="AB87" s="254">
        <f t="shared" si="7"/>
        <v>22.54791432</v>
      </c>
      <c r="AC87" s="54"/>
      <c r="AD87" s="54"/>
      <c r="AE87" s="54"/>
    </row>
    <row r="88">
      <c r="A88" s="54"/>
      <c r="B88" s="96" t="s">
        <v>309</v>
      </c>
      <c r="C88" s="245"/>
      <c r="D88" s="258"/>
      <c r="E88" s="128">
        <v>1318421.0</v>
      </c>
      <c r="F88" s="96">
        <v>1651.0</v>
      </c>
      <c r="G88" s="96">
        <v>610.0</v>
      </c>
      <c r="H88" s="97">
        <v>433.0</v>
      </c>
      <c r="I88" s="148">
        <v>434.72</v>
      </c>
      <c r="J88" s="97">
        <v>-1.72</v>
      </c>
      <c r="K88" s="97">
        <v>26.33</v>
      </c>
      <c r="L88" s="54"/>
      <c r="M88" s="82" t="str">
        <f>"тотал"&amp;" "&amp;B87</f>
        <v>тотал ИЮЛЬ</v>
      </c>
      <c r="N88" s="75"/>
      <c r="O88" s="76"/>
      <c r="R88" s="249"/>
      <c r="S88" s="54"/>
      <c r="T88" s="70">
        <v>45457.0</v>
      </c>
      <c r="U88" s="71" t="s">
        <v>296</v>
      </c>
      <c r="V88" s="71">
        <v>1077112.0</v>
      </c>
      <c r="W88" s="71">
        <v>578.0</v>
      </c>
      <c r="X88" s="71" t="s">
        <v>298</v>
      </c>
      <c r="Y88" s="72">
        <v>249.25</v>
      </c>
      <c r="Z88" s="72">
        <v>263.12</v>
      </c>
      <c r="AA88" s="72">
        <v>-13.87</v>
      </c>
      <c r="AB88" s="254">
        <f t="shared" si="7"/>
        <v>45.52249135</v>
      </c>
      <c r="AC88" s="54"/>
      <c r="AD88" s="54"/>
      <c r="AE88" s="54"/>
    </row>
    <row r="89">
      <c r="A89" s="54"/>
      <c r="B89" s="347">
        <v>45477.0</v>
      </c>
      <c r="C89" s="348"/>
      <c r="D89" s="259"/>
      <c r="E89" s="128">
        <v>1319894.0</v>
      </c>
      <c r="F89" s="96">
        <v>1473.0</v>
      </c>
      <c r="G89" s="96">
        <v>610.0</v>
      </c>
      <c r="H89" s="97">
        <v>402.0</v>
      </c>
      <c r="I89" s="148">
        <v>400.02</v>
      </c>
      <c r="J89" s="97">
        <v>1.98</v>
      </c>
      <c r="K89" s="97">
        <v>27.16</v>
      </c>
      <c r="L89" s="54"/>
      <c r="M89" s="83" t="s">
        <v>70</v>
      </c>
      <c r="N89" s="83" t="s">
        <v>71</v>
      </c>
      <c r="O89" s="83" t="s">
        <v>27</v>
      </c>
      <c r="R89" s="249"/>
      <c r="S89" s="54"/>
      <c r="T89" s="70">
        <v>45459.0</v>
      </c>
      <c r="U89" s="71" t="s">
        <v>296</v>
      </c>
      <c r="V89" s="71">
        <v>1078569.0</v>
      </c>
      <c r="W89" s="71">
        <v>1457.0</v>
      </c>
      <c r="X89" s="71" t="s">
        <v>298</v>
      </c>
      <c r="Y89" s="72">
        <v>391.64</v>
      </c>
      <c r="Z89" s="72">
        <v>399.01</v>
      </c>
      <c r="AA89" s="72">
        <v>-7.37</v>
      </c>
      <c r="AB89" s="254">
        <f t="shared" si="7"/>
        <v>27.38572409</v>
      </c>
      <c r="AC89" s="54"/>
      <c r="AD89" s="54"/>
      <c r="AE89" s="54"/>
    </row>
    <row r="90">
      <c r="A90" s="54"/>
      <c r="B90" s="347">
        <v>45479.0</v>
      </c>
      <c r="C90" s="348"/>
      <c r="D90" s="259"/>
      <c r="E90" s="128">
        <v>1321451.0</v>
      </c>
      <c r="F90" s="96">
        <v>1557.0</v>
      </c>
      <c r="G90" s="96">
        <v>610.0</v>
      </c>
      <c r="H90" s="97">
        <v>434.0</v>
      </c>
      <c r="I90" s="148">
        <v>433.73</v>
      </c>
      <c r="J90" s="97">
        <v>0.27</v>
      </c>
      <c r="K90" s="97">
        <v>27.86</v>
      </c>
      <c r="L90" s="54"/>
      <c r="M90" s="84">
        <f>SUM(F88:F96)</f>
        <v>13964</v>
      </c>
      <c r="N90" s="84">
        <f>SUM(I88:I96)</f>
        <v>3786.64</v>
      </c>
      <c r="O90" s="85">
        <f>N90/M90*100</f>
        <v>27.11715841</v>
      </c>
      <c r="R90" s="249"/>
      <c r="S90" s="54"/>
      <c r="T90" s="70">
        <v>45461.0</v>
      </c>
      <c r="U90" s="71" t="s">
        <v>296</v>
      </c>
      <c r="V90" s="71">
        <v>1080058.0</v>
      </c>
      <c r="W90" s="71">
        <v>1489.0</v>
      </c>
      <c r="X90" s="71" t="s">
        <v>298</v>
      </c>
      <c r="Y90" s="72">
        <v>408.94</v>
      </c>
      <c r="Z90" s="72">
        <v>419.18</v>
      </c>
      <c r="AA90" s="72">
        <v>-10.24</v>
      </c>
      <c r="AB90" s="254">
        <f t="shared" si="7"/>
        <v>28.15177972</v>
      </c>
      <c r="AC90" s="54"/>
      <c r="AD90" s="54"/>
      <c r="AE90" s="54"/>
    </row>
    <row r="91">
      <c r="A91" s="54"/>
      <c r="B91" s="110">
        <v>45491.0</v>
      </c>
      <c r="C91" s="110"/>
      <c r="D91" s="99"/>
      <c r="E91" s="104">
        <v>1323189.0</v>
      </c>
      <c r="F91" s="99">
        <f t="shared" ref="F91:F96" si="8">E91-E90</f>
        <v>1738</v>
      </c>
      <c r="G91" s="100">
        <v>610.0</v>
      </c>
      <c r="H91" s="101">
        <v>469.0</v>
      </c>
      <c r="I91" s="101">
        <v>470.03</v>
      </c>
      <c r="J91" s="102">
        <f t="shared" ref="J91:J96" si="9">H91-I91</f>
        <v>-1.03</v>
      </c>
      <c r="K91" s="103">
        <f t="shared" ref="K91:K96" si="10">I91/F91*100</f>
        <v>27.0443038</v>
      </c>
      <c r="L91" s="54"/>
      <c r="M91" s="54"/>
      <c r="N91" s="54"/>
      <c r="O91" s="54"/>
      <c r="R91" s="249"/>
      <c r="S91" s="54"/>
      <c r="T91" s="70">
        <v>45464.0</v>
      </c>
      <c r="U91" s="71" t="s">
        <v>296</v>
      </c>
      <c r="V91" s="71">
        <v>1081663.0</v>
      </c>
      <c r="W91" s="71">
        <v>1605.0</v>
      </c>
      <c r="X91" s="71" t="s">
        <v>298</v>
      </c>
      <c r="Y91" s="72">
        <v>423.18</v>
      </c>
      <c r="Z91" s="72">
        <v>435.74</v>
      </c>
      <c r="AA91" s="72">
        <v>-12.56</v>
      </c>
      <c r="AB91" s="254">
        <f t="shared" si="7"/>
        <v>27.14890966</v>
      </c>
      <c r="AC91" s="54"/>
      <c r="AD91" s="54"/>
      <c r="AE91" s="54"/>
    </row>
    <row r="92">
      <c r="A92" s="54"/>
      <c r="B92" s="98">
        <v>45493.0</v>
      </c>
      <c r="C92" s="98"/>
      <c r="D92" s="99"/>
      <c r="E92" s="104">
        <v>1324662.0</v>
      </c>
      <c r="F92" s="99">
        <f t="shared" si="8"/>
        <v>1473</v>
      </c>
      <c r="G92" s="100">
        <v>610.0</v>
      </c>
      <c r="H92" s="101">
        <v>402.0</v>
      </c>
      <c r="I92" s="101">
        <v>400.02</v>
      </c>
      <c r="J92" s="102">
        <f t="shared" si="9"/>
        <v>1.98</v>
      </c>
      <c r="K92" s="103">
        <f t="shared" si="10"/>
        <v>27.15682281</v>
      </c>
      <c r="L92" s="54"/>
      <c r="M92" s="54"/>
      <c r="N92" s="54"/>
      <c r="O92" s="54"/>
      <c r="R92" s="249"/>
      <c r="S92" s="54"/>
      <c r="T92" s="70">
        <v>45466.0</v>
      </c>
      <c r="U92" s="71" t="s">
        <v>296</v>
      </c>
      <c r="V92" s="71">
        <v>1083151.0</v>
      </c>
      <c r="W92" s="71">
        <v>1488.0</v>
      </c>
      <c r="X92" s="71" t="s">
        <v>298</v>
      </c>
      <c r="Y92" s="72">
        <v>418.48</v>
      </c>
      <c r="Z92" s="72">
        <v>433.91</v>
      </c>
      <c r="AA92" s="72">
        <v>-15.43</v>
      </c>
      <c r="AB92" s="254">
        <f t="shared" si="7"/>
        <v>29.16061828</v>
      </c>
      <c r="AC92" s="54"/>
      <c r="AD92" s="54"/>
      <c r="AE92" s="54"/>
    </row>
    <row r="93">
      <c r="A93" s="54"/>
      <c r="B93" s="98">
        <v>45496.0</v>
      </c>
      <c r="C93" s="98"/>
      <c r="D93" s="102"/>
      <c r="E93" s="100">
        <v>1326315.0</v>
      </c>
      <c r="F93" s="99">
        <f t="shared" si="8"/>
        <v>1653</v>
      </c>
      <c r="G93" s="100">
        <v>610.0</v>
      </c>
      <c r="H93" s="101">
        <v>443.0</v>
      </c>
      <c r="I93" s="101">
        <v>445.27</v>
      </c>
      <c r="J93" s="102">
        <f t="shared" si="9"/>
        <v>-2.27</v>
      </c>
      <c r="K93" s="103">
        <f t="shared" si="10"/>
        <v>26.93708409</v>
      </c>
      <c r="L93" s="54"/>
      <c r="M93" s="54"/>
      <c r="N93" s="54"/>
      <c r="O93" s="54"/>
      <c r="R93" s="249"/>
      <c r="S93" s="54"/>
      <c r="T93" s="70">
        <v>45468.0</v>
      </c>
      <c r="U93" s="71" t="s">
        <v>296</v>
      </c>
      <c r="V93" s="71">
        <v>1084639.0</v>
      </c>
      <c r="W93" s="71">
        <v>1488.0</v>
      </c>
      <c r="X93" s="71" t="s">
        <v>298</v>
      </c>
      <c r="Y93" s="72">
        <v>397.04</v>
      </c>
      <c r="Z93" s="72">
        <v>410.92</v>
      </c>
      <c r="AA93" s="72">
        <v>-13.88</v>
      </c>
      <c r="AB93" s="254">
        <f t="shared" si="7"/>
        <v>27.6155914</v>
      </c>
      <c r="AC93" s="54"/>
      <c r="AD93" s="54"/>
      <c r="AE93" s="54"/>
    </row>
    <row r="94">
      <c r="A94" s="54"/>
      <c r="B94" s="98">
        <v>45498.0</v>
      </c>
      <c r="C94" s="98"/>
      <c r="D94" s="102"/>
      <c r="E94" s="104">
        <v>1327788.0</v>
      </c>
      <c r="F94" s="99">
        <f t="shared" si="8"/>
        <v>1473</v>
      </c>
      <c r="G94" s="100">
        <v>610.0</v>
      </c>
      <c r="H94" s="101">
        <v>407.0</v>
      </c>
      <c r="I94" s="101">
        <v>400.0</v>
      </c>
      <c r="J94" s="102">
        <f t="shared" si="9"/>
        <v>7</v>
      </c>
      <c r="K94" s="103">
        <f t="shared" si="10"/>
        <v>27.15546504</v>
      </c>
      <c r="L94" s="54"/>
      <c r="M94" s="54"/>
      <c r="N94" s="54"/>
      <c r="O94" s="54"/>
      <c r="R94" s="249"/>
      <c r="S94" s="54"/>
      <c r="T94" s="70">
        <v>45471.0</v>
      </c>
      <c r="U94" s="71" t="s">
        <v>296</v>
      </c>
      <c r="V94" s="71">
        <v>1086245.0</v>
      </c>
      <c r="W94" s="71">
        <v>1606.0</v>
      </c>
      <c r="X94" s="71" t="s">
        <v>298</v>
      </c>
      <c r="Y94" s="72">
        <v>421.23</v>
      </c>
      <c r="Z94" s="72">
        <v>435.19</v>
      </c>
      <c r="AA94" s="72">
        <v>-13.96</v>
      </c>
      <c r="AB94" s="254">
        <f t="shared" si="7"/>
        <v>27.09775841</v>
      </c>
      <c r="AC94" s="54"/>
      <c r="AD94" s="54"/>
      <c r="AE94" s="54"/>
    </row>
    <row r="95">
      <c r="A95" s="54"/>
      <c r="B95" s="98">
        <v>45500.0</v>
      </c>
      <c r="C95" s="98"/>
      <c r="D95" s="102"/>
      <c r="E95" s="100">
        <v>1329261.0</v>
      </c>
      <c r="F95" s="99">
        <f t="shared" si="8"/>
        <v>1473</v>
      </c>
      <c r="G95" s="100">
        <v>610.0</v>
      </c>
      <c r="H95" s="101">
        <v>402.0</v>
      </c>
      <c r="I95" s="101">
        <v>397.48</v>
      </c>
      <c r="J95" s="102">
        <f t="shared" si="9"/>
        <v>4.52</v>
      </c>
      <c r="K95" s="103">
        <f t="shared" si="10"/>
        <v>26.98438561</v>
      </c>
      <c r="L95" s="54"/>
      <c r="M95" s="54"/>
      <c r="N95" s="54"/>
      <c r="O95" s="54"/>
      <c r="R95" s="249"/>
      <c r="S95" s="54"/>
      <c r="T95" s="70">
        <v>45473.0</v>
      </c>
      <c r="U95" s="71" t="s">
        <v>296</v>
      </c>
      <c r="V95" s="71">
        <v>1087733.0</v>
      </c>
      <c r="W95" s="71">
        <v>1488.0</v>
      </c>
      <c r="X95" s="71" t="s">
        <v>298</v>
      </c>
      <c r="Y95" s="72">
        <v>395.53</v>
      </c>
      <c r="Z95" s="72">
        <v>403.94</v>
      </c>
      <c r="AA95" s="72">
        <v>-8.41</v>
      </c>
      <c r="AB95" s="254">
        <f t="shared" si="7"/>
        <v>27.14650538</v>
      </c>
      <c r="AC95" s="54"/>
      <c r="AD95" s="54"/>
      <c r="AE95" s="54"/>
    </row>
    <row r="96">
      <c r="A96" s="54"/>
      <c r="B96" s="98">
        <v>45503.0</v>
      </c>
      <c r="C96" s="98"/>
      <c r="D96" s="99"/>
      <c r="E96" s="130">
        <v>1330734.0</v>
      </c>
      <c r="F96" s="99">
        <f t="shared" si="8"/>
        <v>1473</v>
      </c>
      <c r="G96" s="100">
        <v>610.0</v>
      </c>
      <c r="H96" s="101">
        <v>406.0</v>
      </c>
      <c r="I96" s="101">
        <v>405.37</v>
      </c>
      <c r="J96" s="102">
        <f t="shared" si="9"/>
        <v>0.63</v>
      </c>
      <c r="K96" s="103">
        <f t="shared" si="10"/>
        <v>27.52002716</v>
      </c>
      <c r="L96" s="54"/>
      <c r="M96" s="54"/>
      <c r="N96" s="54"/>
      <c r="O96" s="54"/>
      <c r="R96" s="249"/>
      <c r="S96" s="66"/>
      <c r="T96" s="67" t="s">
        <v>92</v>
      </c>
      <c r="AA96" s="66"/>
      <c r="AB96" s="242"/>
      <c r="AC96" s="66"/>
      <c r="AD96" s="66"/>
      <c r="AE96" s="66"/>
    </row>
    <row r="97">
      <c r="A97" s="66"/>
      <c r="B97" s="67" t="s">
        <v>95</v>
      </c>
      <c r="J97" s="66"/>
      <c r="K97" s="66"/>
      <c r="L97" s="66"/>
      <c r="M97" s="66"/>
      <c r="N97" s="66"/>
      <c r="O97" s="66"/>
      <c r="R97" s="249"/>
      <c r="S97" s="54"/>
      <c r="T97" s="70">
        <v>45456.0</v>
      </c>
      <c r="U97" s="71" t="s">
        <v>296</v>
      </c>
      <c r="V97" s="71">
        <v>1076534.0</v>
      </c>
      <c r="W97" s="71">
        <v>887.0</v>
      </c>
      <c r="X97" s="71" t="s">
        <v>308</v>
      </c>
      <c r="Y97" s="72">
        <v>202.44</v>
      </c>
      <c r="Z97" s="72">
        <v>200.0</v>
      </c>
      <c r="AA97" s="72">
        <v>2.44</v>
      </c>
      <c r="AB97" s="254">
        <f t="shared" ref="AB97:AB109" si="11">Z97/W97*100</f>
        <v>22.54791432</v>
      </c>
      <c r="AC97" s="54"/>
      <c r="AD97" s="54"/>
      <c r="AE97" s="54"/>
    </row>
    <row r="98">
      <c r="A98" s="54"/>
      <c r="B98" s="98">
        <v>45505.0</v>
      </c>
      <c r="C98" s="98"/>
      <c r="D98" s="99"/>
      <c r="E98" s="104">
        <v>1332208.0</v>
      </c>
      <c r="F98" s="99">
        <f>E98-E96</f>
        <v>1474</v>
      </c>
      <c r="G98" s="100">
        <v>610.0</v>
      </c>
      <c r="H98" s="101">
        <v>404.0</v>
      </c>
      <c r="I98" s="101">
        <v>399.99</v>
      </c>
      <c r="J98" s="102">
        <f t="shared" ref="J98:J111" si="12">H98-I98</f>
        <v>4.01</v>
      </c>
      <c r="K98" s="103">
        <f t="shared" ref="K98:K111" si="13">I98/F98*100</f>
        <v>27.13636364</v>
      </c>
      <c r="L98" s="54"/>
      <c r="M98" s="82" t="str">
        <f>"тотал"&amp;" "&amp;B97</f>
        <v>тотал АВГУСТ</v>
      </c>
      <c r="N98" s="75"/>
      <c r="O98" s="76"/>
      <c r="R98" s="249"/>
      <c r="S98" s="54"/>
      <c r="T98" s="70">
        <v>45478.0</v>
      </c>
      <c r="U98" s="71" t="s">
        <v>296</v>
      </c>
      <c r="V98" s="71">
        <v>1090923.0</v>
      </c>
      <c r="W98" s="71">
        <v>1701.0</v>
      </c>
      <c r="X98" s="71" t="s">
        <v>298</v>
      </c>
      <c r="Y98" s="72">
        <v>453.01</v>
      </c>
      <c r="Z98" s="72">
        <v>462.6</v>
      </c>
      <c r="AA98" s="72">
        <v>-9.59</v>
      </c>
      <c r="AB98" s="254">
        <f t="shared" si="11"/>
        <v>27.1957672</v>
      </c>
      <c r="AC98" s="54"/>
      <c r="AD98" s="54"/>
      <c r="AE98" s="54"/>
    </row>
    <row r="99">
      <c r="A99" s="54"/>
      <c r="B99" s="98">
        <v>45507.0</v>
      </c>
      <c r="C99" s="98"/>
      <c r="D99" s="99"/>
      <c r="E99" s="104">
        <v>1333738.0</v>
      </c>
      <c r="F99" s="99">
        <f t="shared" ref="F99:F111" si="14">E99-E98</f>
        <v>1530</v>
      </c>
      <c r="G99" s="100">
        <v>610.0</v>
      </c>
      <c r="H99" s="101">
        <v>412.0</v>
      </c>
      <c r="I99" s="101">
        <v>410.02</v>
      </c>
      <c r="J99" s="102">
        <f t="shared" si="12"/>
        <v>1.98</v>
      </c>
      <c r="K99" s="103">
        <f t="shared" si="13"/>
        <v>26.79869281</v>
      </c>
      <c r="L99" s="54"/>
      <c r="M99" s="83" t="s">
        <v>70</v>
      </c>
      <c r="N99" s="83" t="s">
        <v>71</v>
      </c>
      <c r="O99" s="83" t="s">
        <v>27</v>
      </c>
      <c r="R99" s="249"/>
      <c r="S99" s="54"/>
      <c r="T99" s="70">
        <v>45480.0</v>
      </c>
      <c r="U99" s="71" t="s">
        <v>296</v>
      </c>
      <c r="V99" s="71">
        <v>1092407.0</v>
      </c>
      <c r="W99" s="71">
        <v>1484.0</v>
      </c>
      <c r="X99" s="71" t="s">
        <v>298</v>
      </c>
      <c r="Y99" s="72">
        <v>410.43</v>
      </c>
      <c r="Z99" s="72">
        <v>424.24</v>
      </c>
      <c r="AA99" s="72">
        <v>-13.81</v>
      </c>
      <c r="AB99" s="254">
        <f t="shared" si="11"/>
        <v>28.58760108</v>
      </c>
      <c r="AC99" s="54"/>
      <c r="AD99" s="54"/>
      <c r="AE99" s="54"/>
    </row>
    <row r="100">
      <c r="A100" s="54"/>
      <c r="B100" s="98">
        <v>45510.0</v>
      </c>
      <c r="C100" s="98"/>
      <c r="D100" s="99"/>
      <c r="E100" s="100">
        <v>1335395.0</v>
      </c>
      <c r="F100" s="99">
        <f t="shared" si="14"/>
        <v>1657</v>
      </c>
      <c r="G100" s="100">
        <v>610.0</v>
      </c>
      <c r="H100" s="101">
        <v>427.0</v>
      </c>
      <c r="I100" s="101">
        <v>428.06</v>
      </c>
      <c r="J100" s="102">
        <f t="shared" si="12"/>
        <v>-1.06</v>
      </c>
      <c r="K100" s="103">
        <f t="shared" si="13"/>
        <v>25.83343392</v>
      </c>
      <c r="L100" s="54"/>
      <c r="M100" s="84">
        <f>SUM(F98:F111)</f>
        <v>21114</v>
      </c>
      <c r="N100" s="84">
        <f>SUM(I98:I111)</f>
        <v>5599.25</v>
      </c>
      <c r="O100" s="85">
        <f>N100/M100*100</f>
        <v>26.51913422</v>
      </c>
      <c r="R100" s="249"/>
      <c r="S100" s="54"/>
      <c r="T100" s="70">
        <v>45482.0</v>
      </c>
      <c r="U100" s="71" t="s">
        <v>296</v>
      </c>
      <c r="V100" s="71">
        <v>1093890.0</v>
      </c>
      <c r="W100" s="71">
        <v>1483.0</v>
      </c>
      <c r="X100" s="71" t="s">
        <v>298</v>
      </c>
      <c r="Y100" s="72">
        <v>398.38</v>
      </c>
      <c r="Z100" s="72">
        <v>412.27</v>
      </c>
      <c r="AA100" s="72">
        <v>-13.89</v>
      </c>
      <c r="AB100" s="254">
        <f t="shared" si="11"/>
        <v>27.79973028</v>
      </c>
      <c r="AC100" s="54"/>
      <c r="AD100" s="54"/>
      <c r="AE100" s="54"/>
    </row>
    <row r="101">
      <c r="A101" s="54"/>
      <c r="B101" s="98">
        <v>45512.0</v>
      </c>
      <c r="C101" s="98"/>
      <c r="D101" s="99"/>
      <c r="E101" s="280">
        <v>1336899.0</v>
      </c>
      <c r="F101" s="99">
        <f t="shared" si="14"/>
        <v>1504</v>
      </c>
      <c r="G101" s="100">
        <v>610.0</v>
      </c>
      <c r="H101" s="101">
        <v>399.0</v>
      </c>
      <c r="I101" s="101">
        <v>400.1</v>
      </c>
      <c r="J101" s="102">
        <f t="shared" si="12"/>
        <v>-1.1</v>
      </c>
      <c r="K101" s="103">
        <f t="shared" si="13"/>
        <v>26.60239362</v>
      </c>
      <c r="L101" s="54"/>
      <c r="M101" s="54"/>
      <c r="N101" s="54"/>
      <c r="O101" s="54"/>
      <c r="R101" s="249"/>
      <c r="S101" s="54"/>
      <c r="T101" s="70">
        <v>45485.0</v>
      </c>
      <c r="U101" s="71" t="s">
        <v>296</v>
      </c>
      <c r="V101" s="71">
        <v>1095500.0</v>
      </c>
      <c r="W101" s="71">
        <v>1610.0</v>
      </c>
      <c r="X101" s="71" t="s">
        <v>298</v>
      </c>
      <c r="Y101" s="72">
        <v>426.16</v>
      </c>
      <c r="Z101" s="72">
        <v>443.72</v>
      </c>
      <c r="AA101" s="72">
        <v>-17.56</v>
      </c>
      <c r="AB101" s="254">
        <f t="shared" si="11"/>
        <v>27.56024845</v>
      </c>
      <c r="AC101" s="54"/>
      <c r="AD101" s="54"/>
      <c r="AE101" s="54"/>
    </row>
    <row r="102">
      <c r="A102" s="54"/>
      <c r="B102" s="98">
        <v>45514.0</v>
      </c>
      <c r="C102" s="98"/>
      <c r="D102" s="99"/>
      <c r="E102" s="280">
        <v>1338345.0</v>
      </c>
      <c r="F102" s="99">
        <f t="shared" si="14"/>
        <v>1446</v>
      </c>
      <c r="G102" s="100">
        <v>610.0</v>
      </c>
      <c r="H102" s="101">
        <v>383.0</v>
      </c>
      <c r="I102" s="101">
        <v>382.91</v>
      </c>
      <c r="J102" s="102">
        <f t="shared" si="12"/>
        <v>0.09</v>
      </c>
      <c r="K102" s="103">
        <f t="shared" si="13"/>
        <v>26.48063624</v>
      </c>
      <c r="L102" s="54"/>
      <c r="M102" s="54"/>
      <c r="N102" s="54"/>
      <c r="O102" s="54"/>
      <c r="R102" s="249"/>
      <c r="S102" s="54"/>
      <c r="T102" s="70">
        <v>45487.0</v>
      </c>
      <c r="U102" s="71" t="s">
        <v>296</v>
      </c>
      <c r="V102" s="71">
        <v>1096988.0</v>
      </c>
      <c r="W102" s="71">
        <v>1488.0</v>
      </c>
      <c r="X102" s="71" t="s">
        <v>298</v>
      </c>
      <c r="Y102" s="72">
        <v>395.53</v>
      </c>
      <c r="Z102" s="72">
        <v>408.14</v>
      </c>
      <c r="AA102" s="72">
        <v>-12.61</v>
      </c>
      <c r="AB102" s="254">
        <f t="shared" si="11"/>
        <v>27.42876344</v>
      </c>
      <c r="AC102" s="54"/>
      <c r="AD102" s="54"/>
      <c r="AE102" s="54"/>
    </row>
    <row r="103">
      <c r="A103" s="54"/>
      <c r="B103" s="98">
        <v>45517.0</v>
      </c>
      <c r="C103" s="98"/>
      <c r="D103" s="99"/>
      <c r="E103" s="104">
        <v>1339821.0</v>
      </c>
      <c r="F103" s="99">
        <f t="shared" si="14"/>
        <v>1476</v>
      </c>
      <c r="G103" s="100">
        <v>610.0</v>
      </c>
      <c r="H103" s="101">
        <v>400.0</v>
      </c>
      <c r="I103" s="101">
        <v>400.02</v>
      </c>
      <c r="J103" s="102">
        <f t="shared" si="12"/>
        <v>-0.02</v>
      </c>
      <c r="K103" s="103">
        <f t="shared" si="13"/>
        <v>27.10162602</v>
      </c>
      <c r="L103" s="54"/>
      <c r="M103" s="54"/>
      <c r="N103" s="54"/>
      <c r="O103" s="54"/>
      <c r="R103" s="249"/>
      <c r="S103" s="54"/>
      <c r="T103" s="70">
        <v>45489.0</v>
      </c>
      <c r="U103" s="71" t="s">
        <v>296</v>
      </c>
      <c r="V103" s="71">
        <v>1098477.0</v>
      </c>
      <c r="W103" s="71">
        <v>1489.0</v>
      </c>
      <c r="X103" s="71" t="s">
        <v>298</v>
      </c>
      <c r="Y103" s="72">
        <v>391.8</v>
      </c>
      <c r="Z103" s="72">
        <v>400.37</v>
      </c>
      <c r="AA103" s="72">
        <v>-8.57</v>
      </c>
      <c r="AB103" s="254">
        <f t="shared" si="11"/>
        <v>26.88851578</v>
      </c>
      <c r="AC103" s="54"/>
      <c r="AD103" s="54"/>
      <c r="AE103" s="54"/>
    </row>
    <row r="104">
      <c r="A104" s="54"/>
      <c r="B104" s="98">
        <v>45519.0</v>
      </c>
      <c r="C104" s="98"/>
      <c r="D104" s="99"/>
      <c r="E104" s="104">
        <v>1341294.0</v>
      </c>
      <c r="F104" s="99">
        <f t="shared" si="14"/>
        <v>1473</v>
      </c>
      <c r="G104" s="100">
        <v>610.0</v>
      </c>
      <c r="H104" s="101">
        <v>391.0</v>
      </c>
      <c r="I104" s="101">
        <v>389.62</v>
      </c>
      <c r="J104" s="102">
        <f t="shared" si="12"/>
        <v>1.38</v>
      </c>
      <c r="K104" s="103">
        <f t="shared" si="13"/>
        <v>26.45078072</v>
      </c>
      <c r="L104" s="54"/>
      <c r="M104" s="54"/>
      <c r="N104" s="54"/>
      <c r="O104" s="54"/>
      <c r="R104" s="249"/>
      <c r="S104" s="54"/>
      <c r="T104" s="70">
        <v>45492.0</v>
      </c>
      <c r="U104" s="71" t="s">
        <v>296</v>
      </c>
      <c r="V104" s="71">
        <v>1100087.0</v>
      </c>
      <c r="W104" s="71">
        <v>1610.0</v>
      </c>
      <c r="X104" s="71" t="s">
        <v>298</v>
      </c>
      <c r="Y104" s="72">
        <v>423.18</v>
      </c>
      <c r="Z104" s="72">
        <v>434.18</v>
      </c>
      <c r="AA104" s="72">
        <v>-11.0</v>
      </c>
      <c r="AB104" s="254">
        <f t="shared" si="11"/>
        <v>26.96770186</v>
      </c>
      <c r="AC104" s="54"/>
      <c r="AD104" s="54"/>
      <c r="AE104" s="54"/>
    </row>
    <row r="105">
      <c r="A105" s="54"/>
      <c r="B105" s="98">
        <v>45521.0</v>
      </c>
      <c r="C105" s="98"/>
      <c r="D105" s="102"/>
      <c r="E105" s="104">
        <v>1342769.0</v>
      </c>
      <c r="F105" s="99">
        <f t="shared" si="14"/>
        <v>1475</v>
      </c>
      <c r="G105" s="100">
        <v>610.0</v>
      </c>
      <c r="H105" s="101">
        <v>400.0</v>
      </c>
      <c r="I105" s="101">
        <v>400.05</v>
      </c>
      <c r="J105" s="102">
        <f t="shared" si="12"/>
        <v>-0.05</v>
      </c>
      <c r="K105" s="103">
        <f t="shared" si="13"/>
        <v>27.1220339</v>
      </c>
      <c r="L105" s="54"/>
      <c r="M105" s="54"/>
      <c r="N105" s="54"/>
      <c r="O105" s="54"/>
      <c r="R105" s="249"/>
      <c r="S105" s="54"/>
      <c r="T105" s="70">
        <v>45494.0</v>
      </c>
      <c r="U105" s="71" t="s">
        <v>296</v>
      </c>
      <c r="V105" s="71">
        <v>1101577.0</v>
      </c>
      <c r="W105" s="71">
        <v>1490.0</v>
      </c>
      <c r="X105" s="71" t="s">
        <v>298</v>
      </c>
      <c r="Y105" s="72">
        <v>413.55</v>
      </c>
      <c r="Z105" s="72">
        <v>424.19</v>
      </c>
      <c r="AA105" s="72">
        <v>-10.64</v>
      </c>
      <c r="AB105" s="254">
        <f t="shared" si="11"/>
        <v>28.46912752</v>
      </c>
      <c r="AC105" s="54"/>
      <c r="AD105" s="54"/>
      <c r="AE105" s="54"/>
    </row>
    <row r="106">
      <c r="A106" s="54"/>
      <c r="B106" s="98">
        <v>45524.0</v>
      </c>
      <c r="C106" s="98"/>
      <c r="D106" s="99"/>
      <c r="E106" s="100">
        <v>1344430.0</v>
      </c>
      <c r="F106" s="99">
        <f t="shared" si="14"/>
        <v>1661</v>
      </c>
      <c r="G106" s="100">
        <v>610.0</v>
      </c>
      <c r="H106" s="101">
        <v>428.0</v>
      </c>
      <c r="I106" s="101">
        <v>427.94</v>
      </c>
      <c r="J106" s="102">
        <f t="shared" si="12"/>
        <v>0.06</v>
      </c>
      <c r="K106" s="103">
        <f t="shared" si="13"/>
        <v>25.76399759</v>
      </c>
      <c r="L106" s="54"/>
      <c r="M106" s="54"/>
      <c r="N106" s="54"/>
      <c r="O106" s="54"/>
      <c r="R106" s="249"/>
      <c r="S106" s="54"/>
      <c r="T106" s="70">
        <v>45496.0</v>
      </c>
      <c r="U106" s="71" t="s">
        <v>296</v>
      </c>
      <c r="V106" s="71">
        <v>1103066.0</v>
      </c>
      <c r="W106" s="71">
        <v>1489.0</v>
      </c>
      <c r="X106" s="71" t="s">
        <v>298</v>
      </c>
      <c r="Y106" s="72">
        <v>398.23</v>
      </c>
      <c r="Z106" s="72">
        <v>408.31</v>
      </c>
      <c r="AA106" s="72">
        <v>-10.08</v>
      </c>
      <c r="AB106" s="254">
        <f t="shared" si="11"/>
        <v>27.42175957</v>
      </c>
      <c r="AC106" s="54"/>
      <c r="AD106" s="54"/>
      <c r="AE106" s="54"/>
    </row>
    <row r="107">
      <c r="A107" s="54"/>
      <c r="B107" s="98">
        <v>45526.0</v>
      </c>
      <c r="C107" s="98"/>
      <c r="D107" s="99"/>
      <c r="E107" s="131">
        <v>1345989.0</v>
      </c>
      <c r="F107" s="99">
        <f t="shared" si="14"/>
        <v>1559</v>
      </c>
      <c r="G107" s="100">
        <v>610.0</v>
      </c>
      <c r="H107" s="101">
        <v>416.0</v>
      </c>
      <c r="I107" s="101">
        <v>410.31</v>
      </c>
      <c r="J107" s="102">
        <f t="shared" si="12"/>
        <v>5.69</v>
      </c>
      <c r="K107" s="103">
        <f t="shared" si="13"/>
        <v>26.3187941</v>
      </c>
      <c r="L107" s="54"/>
      <c r="M107" s="54"/>
      <c r="N107" s="54"/>
      <c r="O107" s="54"/>
      <c r="R107" s="249"/>
      <c r="S107" s="54"/>
      <c r="T107" s="70">
        <v>45499.0</v>
      </c>
      <c r="U107" s="71" t="s">
        <v>296</v>
      </c>
      <c r="V107" s="71">
        <v>1104678.0</v>
      </c>
      <c r="W107" s="71">
        <v>1612.0</v>
      </c>
      <c r="X107" s="71" t="s">
        <v>298</v>
      </c>
      <c r="Y107" s="72">
        <v>444.06</v>
      </c>
      <c r="Z107" s="72">
        <v>450.0</v>
      </c>
      <c r="AA107" s="72">
        <v>-5.94</v>
      </c>
      <c r="AB107" s="254">
        <f t="shared" si="11"/>
        <v>27.91563275</v>
      </c>
      <c r="AC107" s="54"/>
      <c r="AD107" s="54"/>
      <c r="AE107" s="54"/>
    </row>
    <row r="108">
      <c r="A108" s="54"/>
      <c r="B108" s="98">
        <v>45528.0</v>
      </c>
      <c r="C108" s="98"/>
      <c r="D108" s="102"/>
      <c r="E108" s="100">
        <v>1347548.0</v>
      </c>
      <c r="F108" s="99">
        <f t="shared" si="14"/>
        <v>1559</v>
      </c>
      <c r="G108" s="100">
        <v>610.0</v>
      </c>
      <c r="H108" s="101">
        <v>431.0</v>
      </c>
      <c r="I108" s="101">
        <v>426.22</v>
      </c>
      <c r="J108" s="102">
        <f t="shared" si="12"/>
        <v>4.78</v>
      </c>
      <c r="K108" s="103">
        <f t="shared" si="13"/>
        <v>27.33932008</v>
      </c>
      <c r="L108" s="54"/>
      <c r="M108" s="54"/>
      <c r="N108" s="54"/>
      <c r="O108" s="54"/>
      <c r="R108" s="249"/>
      <c r="S108" s="54"/>
      <c r="T108" s="70">
        <v>45501.0</v>
      </c>
      <c r="U108" s="71" t="s">
        <v>296</v>
      </c>
      <c r="V108" s="71">
        <v>1106379.0</v>
      </c>
      <c r="W108" s="71">
        <v>1701.0</v>
      </c>
      <c r="X108" s="71" t="s">
        <v>298</v>
      </c>
      <c r="Y108" s="72">
        <v>451.77</v>
      </c>
      <c r="Z108" s="72">
        <v>464.38</v>
      </c>
      <c r="AA108" s="72">
        <v>-12.61</v>
      </c>
      <c r="AB108" s="254">
        <f t="shared" si="11"/>
        <v>27.30041152</v>
      </c>
      <c r="AC108" s="54"/>
      <c r="AD108" s="54"/>
      <c r="AE108" s="54"/>
    </row>
    <row r="109">
      <c r="A109" s="54"/>
      <c r="B109" s="98">
        <v>45531.0</v>
      </c>
      <c r="C109" s="98"/>
      <c r="D109" s="99"/>
      <c r="E109" s="104">
        <v>1349105.0</v>
      </c>
      <c r="F109" s="99">
        <f t="shared" si="14"/>
        <v>1557</v>
      </c>
      <c r="G109" s="100">
        <v>610.0</v>
      </c>
      <c r="H109" s="101">
        <v>400.0</v>
      </c>
      <c r="I109" s="101">
        <v>395.79</v>
      </c>
      <c r="J109" s="102">
        <f t="shared" si="12"/>
        <v>4.21</v>
      </c>
      <c r="K109" s="103">
        <f t="shared" si="13"/>
        <v>25.42003854</v>
      </c>
      <c r="L109" s="54"/>
      <c r="M109" s="54"/>
      <c r="N109" s="54"/>
      <c r="O109" s="54"/>
      <c r="R109" s="249"/>
      <c r="S109" s="54"/>
      <c r="T109" s="70">
        <v>45502.0</v>
      </c>
      <c r="U109" s="71" t="s">
        <v>296</v>
      </c>
      <c r="V109" s="71">
        <v>1107882.0</v>
      </c>
      <c r="W109" s="71">
        <v>1503.0</v>
      </c>
      <c r="X109" s="71" t="s">
        <v>298</v>
      </c>
      <c r="Y109" s="72">
        <v>398.98</v>
      </c>
      <c r="Z109" s="72">
        <v>413.42</v>
      </c>
      <c r="AA109" s="72">
        <v>-14.44</v>
      </c>
      <c r="AB109" s="254">
        <f t="shared" si="11"/>
        <v>27.50632069</v>
      </c>
      <c r="AC109" s="54"/>
      <c r="AD109" s="54"/>
      <c r="AE109" s="54"/>
    </row>
    <row r="110">
      <c r="A110" s="54"/>
      <c r="B110" s="98">
        <v>45533.0</v>
      </c>
      <c r="C110" s="98"/>
      <c r="D110" s="99"/>
      <c r="E110" s="104">
        <v>1350664.0</v>
      </c>
      <c r="F110" s="99">
        <f t="shared" si="14"/>
        <v>1559</v>
      </c>
      <c r="G110" s="100">
        <v>610.0</v>
      </c>
      <c r="H110" s="101">
        <v>420.0</v>
      </c>
      <c r="I110" s="101">
        <v>418.09</v>
      </c>
      <c r="J110" s="102">
        <f t="shared" si="12"/>
        <v>1.91</v>
      </c>
      <c r="K110" s="103">
        <f t="shared" si="13"/>
        <v>26.81783194</v>
      </c>
      <c r="L110" s="54"/>
      <c r="M110" s="54"/>
      <c r="N110" s="54"/>
      <c r="O110" s="54"/>
      <c r="R110" s="249"/>
      <c r="S110" s="66"/>
      <c r="T110" s="67" t="s">
        <v>95</v>
      </c>
      <c r="AA110" s="66"/>
      <c r="AB110" s="242"/>
      <c r="AC110" s="66"/>
      <c r="AD110" s="66"/>
      <c r="AE110" s="66"/>
    </row>
    <row r="111">
      <c r="A111" s="54"/>
      <c r="B111" s="98">
        <v>45535.0</v>
      </c>
      <c r="C111" s="98"/>
      <c r="D111" s="99"/>
      <c r="E111" s="100">
        <v>1351848.0</v>
      </c>
      <c r="F111" s="99">
        <f t="shared" si="14"/>
        <v>1184</v>
      </c>
      <c r="G111" s="100">
        <v>610.0</v>
      </c>
      <c r="H111" s="101">
        <v>305.0</v>
      </c>
      <c r="I111" s="101">
        <v>310.13</v>
      </c>
      <c r="J111" s="102">
        <f t="shared" si="12"/>
        <v>-5.13</v>
      </c>
      <c r="K111" s="103">
        <f t="shared" si="13"/>
        <v>26.19341216</v>
      </c>
      <c r="L111" s="54"/>
      <c r="M111" s="54"/>
      <c r="N111" s="54"/>
      <c r="O111" s="54"/>
      <c r="R111" s="249"/>
      <c r="S111" s="54"/>
      <c r="T111" s="70">
        <v>45506.0</v>
      </c>
      <c r="U111" s="71" t="s">
        <v>296</v>
      </c>
      <c r="V111" s="71">
        <v>1109607.0</v>
      </c>
      <c r="W111" s="71">
        <v>1725.0</v>
      </c>
      <c r="X111" s="71" t="s">
        <v>298</v>
      </c>
      <c r="Y111" s="72">
        <v>450.82</v>
      </c>
      <c r="Z111" s="72">
        <v>463.56</v>
      </c>
      <c r="AA111" s="72">
        <v>-12.74</v>
      </c>
      <c r="AB111" s="254">
        <f t="shared" ref="AB111:AB123" si="15">Z111/W111*100</f>
        <v>26.87304348</v>
      </c>
      <c r="AC111" s="54"/>
      <c r="AD111" s="54"/>
      <c r="AE111" s="54"/>
    </row>
    <row r="112">
      <c r="A112" s="66"/>
      <c r="B112" s="67" t="s">
        <v>104</v>
      </c>
      <c r="J112" s="66"/>
      <c r="K112" s="66"/>
      <c r="L112" s="66"/>
      <c r="M112" s="66"/>
      <c r="N112" s="66"/>
      <c r="O112" s="66"/>
      <c r="R112" s="249"/>
      <c r="S112" s="54"/>
      <c r="T112" s="70">
        <v>45456.0</v>
      </c>
      <c r="U112" s="71" t="s">
        <v>296</v>
      </c>
      <c r="V112" s="71">
        <v>1076534.0</v>
      </c>
      <c r="W112" s="71">
        <v>887.0</v>
      </c>
      <c r="X112" s="71" t="s">
        <v>308</v>
      </c>
      <c r="Y112" s="72">
        <v>202.44</v>
      </c>
      <c r="Z112" s="72">
        <v>200.0</v>
      </c>
      <c r="AA112" s="72">
        <v>2.44</v>
      </c>
      <c r="AB112" s="254">
        <f t="shared" si="15"/>
        <v>22.54791432</v>
      </c>
      <c r="AC112" s="54"/>
      <c r="AD112" s="54"/>
      <c r="AE112" s="54"/>
    </row>
    <row r="113">
      <c r="A113" s="54"/>
      <c r="B113" s="98">
        <v>45538.0</v>
      </c>
      <c r="C113" s="98"/>
      <c r="D113" s="99"/>
      <c r="E113" s="104">
        <v>1352930.0</v>
      </c>
      <c r="F113" s="99">
        <f>E113-E111</f>
        <v>1082</v>
      </c>
      <c r="G113" s="100">
        <v>610.0</v>
      </c>
      <c r="H113" s="101">
        <v>269.0</v>
      </c>
      <c r="I113" s="101">
        <v>265.68</v>
      </c>
      <c r="J113" s="102">
        <f t="shared" ref="J113:J124" si="16">H113-I113</f>
        <v>3.32</v>
      </c>
      <c r="K113" s="103">
        <f t="shared" ref="K113:K124" si="17">I113/F113*100</f>
        <v>24.55452865</v>
      </c>
      <c r="L113" s="54"/>
      <c r="M113" s="82" t="str">
        <f>"тотал"&amp;" "&amp;B112</f>
        <v>тотал СЕНТЯБРЬ</v>
      </c>
      <c r="N113" s="75"/>
      <c r="O113" s="76"/>
      <c r="R113" s="249"/>
      <c r="S113" s="54"/>
      <c r="T113" s="70">
        <v>45510.0</v>
      </c>
      <c r="U113" s="71" t="s">
        <v>296</v>
      </c>
      <c r="V113" s="71">
        <v>1112590.0</v>
      </c>
      <c r="W113" s="71">
        <v>1493.0</v>
      </c>
      <c r="X113" s="71" t="s">
        <v>298</v>
      </c>
      <c r="Y113" s="72">
        <v>387.75</v>
      </c>
      <c r="Z113" s="72">
        <v>402.47</v>
      </c>
      <c r="AA113" s="72">
        <v>-14.72</v>
      </c>
      <c r="AB113" s="254">
        <f t="shared" si="15"/>
        <v>26.95713329</v>
      </c>
      <c r="AC113" s="54"/>
      <c r="AD113" s="54"/>
      <c r="AE113" s="54"/>
    </row>
    <row r="114">
      <c r="A114" s="54"/>
      <c r="B114" s="98">
        <v>45540.0</v>
      </c>
      <c r="C114" s="98"/>
      <c r="D114" s="99"/>
      <c r="E114" s="100">
        <v>1354488.0</v>
      </c>
      <c r="F114" s="99">
        <f t="shared" ref="F114:F124" si="18">E114-E113</f>
        <v>1558</v>
      </c>
      <c r="G114" s="100">
        <v>610.0</v>
      </c>
      <c r="H114" s="101">
        <v>413.0</v>
      </c>
      <c r="I114" s="101">
        <v>412.5</v>
      </c>
      <c r="J114" s="102">
        <f t="shared" si="16"/>
        <v>0.5</v>
      </c>
      <c r="K114" s="103">
        <f t="shared" si="17"/>
        <v>26.4762516</v>
      </c>
      <c r="L114" s="54"/>
      <c r="M114" s="83" t="s">
        <v>70</v>
      </c>
      <c r="N114" s="83" t="s">
        <v>71</v>
      </c>
      <c r="O114" s="83" t="s">
        <v>27</v>
      </c>
      <c r="R114" s="249"/>
      <c r="S114" s="54"/>
      <c r="T114" s="70">
        <v>45513.0</v>
      </c>
      <c r="U114" s="71" t="s">
        <v>296</v>
      </c>
      <c r="V114" s="71">
        <v>1114204.0</v>
      </c>
      <c r="W114" s="71">
        <v>1614.0</v>
      </c>
      <c r="X114" s="71" t="s">
        <v>298</v>
      </c>
      <c r="Y114" s="72">
        <v>410.88</v>
      </c>
      <c r="Z114" s="72">
        <v>421.73</v>
      </c>
      <c r="AA114" s="72">
        <v>-10.85</v>
      </c>
      <c r="AB114" s="254">
        <f t="shared" si="15"/>
        <v>26.12949195</v>
      </c>
      <c r="AC114" s="54"/>
      <c r="AD114" s="54"/>
      <c r="AE114" s="54"/>
    </row>
    <row r="115">
      <c r="A115" s="54"/>
      <c r="B115" s="98">
        <v>45542.0</v>
      </c>
      <c r="C115" s="98"/>
      <c r="D115" s="99"/>
      <c r="E115" s="104">
        <v>1356047.0</v>
      </c>
      <c r="F115" s="99">
        <f t="shared" si="18"/>
        <v>1559</v>
      </c>
      <c r="G115" s="100">
        <v>610.0</v>
      </c>
      <c r="H115" s="101">
        <v>414.0</v>
      </c>
      <c r="I115" s="101">
        <v>411.07</v>
      </c>
      <c r="J115" s="102">
        <f t="shared" si="16"/>
        <v>2.93</v>
      </c>
      <c r="K115" s="103">
        <f t="shared" si="17"/>
        <v>26.3675433</v>
      </c>
      <c r="L115" s="54"/>
      <c r="M115" s="84">
        <f>SUM(F113:F124)</f>
        <v>18286</v>
      </c>
      <c r="N115" s="84">
        <f>SUM(I113:I124)</f>
        <v>4791.82</v>
      </c>
      <c r="O115" s="85">
        <f>N115/M115*100</f>
        <v>26.20485617</v>
      </c>
      <c r="R115" s="249"/>
      <c r="S115" s="54"/>
      <c r="T115" s="70">
        <v>45515.0</v>
      </c>
      <c r="U115" s="71" t="s">
        <v>296</v>
      </c>
      <c r="V115" s="71">
        <v>1115694.0</v>
      </c>
      <c r="W115" s="71">
        <v>1490.0</v>
      </c>
      <c r="X115" s="71" t="s">
        <v>298</v>
      </c>
      <c r="Y115" s="72">
        <v>400.17</v>
      </c>
      <c r="Z115" s="72">
        <v>413.52</v>
      </c>
      <c r="AA115" s="72">
        <v>-13.35</v>
      </c>
      <c r="AB115" s="254">
        <f t="shared" si="15"/>
        <v>27.75302013</v>
      </c>
      <c r="AC115" s="54"/>
      <c r="AD115" s="54"/>
      <c r="AE115" s="54"/>
    </row>
    <row r="116">
      <c r="A116" s="54"/>
      <c r="B116" s="98">
        <v>45545.0</v>
      </c>
      <c r="C116" s="98"/>
      <c r="D116" s="99"/>
      <c r="E116" s="104">
        <v>1357606.0</v>
      </c>
      <c r="F116" s="99">
        <f t="shared" si="18"/>
        <v>1559</v>
      </c>
      <c r="G116" s="100">
        <v>610.0</v>
      </c>
      <c r="H116" s="101">
        <v>413.0</v>
      </c>
      <c r="I116" s="101">
        <v>410.37</v>
      </c>
      <c r="J116" s="102">
        <f t="shared" si="16"/>
        <v>2.63</v>
      </c>
      <c r="K116" s="103">
        <f t="shared" si="17"/>
        <v>26.32264272</v>
      </c>
      <c r="L116" s="54"/>
      <c r="M116" s="54"/>
      <c r="N116" s="54"/>
      <c r="O116" s="54"/>
      <c r="R116" s="249"/>
      <c r="S116" s="54"/>
      <c r="T116" s="70">
        <v>45517.0</v>
      </c>
      <c r="U116" s="71" t="s">
        <v>296</v>
      </c>
      <c r="V116" s="71">
        <v>1117438.0</v>
      </c>
      <c r="W116" s="71">
        <v>1744.0</v>
      </c>
      <c r="X116" s="71" t="s">
        <v>298</v>
      </c>
      <c r="Y116" s="72">
        <v>466.76</v>
      </c>
      <c r="Z116" s="72">
        <v>480.72</v>
      </c>
      <c r="AA116" s="72">
        <v>-13.96</v>
      </c>
      <c r="AB116" s="254">
        <f t="shared" si="15"/>
        <v>27.56422018</v>
      </c>
      <c r="AC116" s="54"/>
      <c r="AD116" s="54"/>
      <c r="AE116" s="54"/>
    </row>
    <row r="117">
      <c r="A117" s="54"/>
      <c r="B117" s="98">
        <v>45547.0</v>
      </c>
      <c r="C117" s="98"/>
      <c r="D117" s="99"/>
      <c r="E117" s="100">
        <v>1359168.0</v>
      </c>
      <c r="F117" s="99">
        <f t="shared" si="18"/>
        <v>1562</v>
      </c>
      <c r="G117" s="100">
        <v>610.0</v>
      </c>
      <c r="H117" s="101">
        <v>407.0</v>
      </c>
      <c r="I117" s="101">
        <v>402.27</v>
      </c>
      <c r="J117" s="102">
        <f t="shared" si="16"/>
        <v>4.73</v>
      </c>
      <c r="K117" s="103">
        <f t="shared" si="17"/>
        <v>25.75352113</v>
      </c>
      <c r="L117" s="54"/>
      <c r="M117" s="54"/>
      <c r="N117" s="54"/>
      <c r="O117" s="54"/>
      <c r="R117" s="249"/>
      <c r="S117" s="54"/>
      <c r="T117" s="70">
        <v>45520.0</v>
      </c>
      <c r="U117" s="71" t="s">
        <v>296</v>
      </c>
      <c r="V117" s="71">
        <v>1119066.0</v>
      </c>
      <c r="W117" s="71">
        <v>1628.0</v>
      </c>
      <c r="X117" s="71" t="s">
        <v>298</v>
      </c>
      <c r="Y117" s="72">
        <v>421.69</v>
      </c>
      <c r="Z117" s="72">
        <v>432.72</v>
      </c>
      <c r="AA117" s="72">
        <v>-11.03</v>
      </c>
      <c r="AB117" s="254">
        <f t="shared" si="15"/>
        <v>26.57985258</v>
      </c>
      <c r="AC117" s="54"/>
      <c r="AD117" s="54"/>
      <c r="AE117" s="54"/>
    </row>
    <row r="118">
      <c r="A118" s="54"/>
      <c r="B118" s="98">
        <v>45549.0</v>
      </c>
      <c r="C118" s="98"/>
      <c r="D118" s="99"/>
      <c r="E118" s="131">
        <v>1360731.0</v>
      </c>
      <c r="F118" s="99">
        <f t="shared" si="18"/>
        <v>1563</v>
      </c>
      <c r="G118" s="100">
        <v>610.0</v>
      </c>
      <c r="H118" s="101">
        <v>408.0</v>
      </c>
      <c r="I118" s="101">
        <v>408.27</v>
      </c>
      <c r="J118" s="102">
        <f t="shared" si="16"/>
        <v>-0.27</v>
      </c>
      <c r="K118" s="103">
        <f t="shared" si="17"/>
        <v>26.12092131</v>
      </c>
      <c r="L118" s="54"/>
      <c r="M118" s="54"/>
      <c r="N118" s="54"/>
      <c r="O118" s="54"/>
      <c r="R118" s="249"/>
      <c r="S118" s="54"/>
      <c r="T118" s="70">
        <v>45522.0</v>
      </c>
      <c r="U118" s="71" t="s">
        <v>296</v>
      </c>
      <c r="V118" s="71">
        <v>1120382.0</v>
      </c>
      <c r="W118" s="71">
        <v>1316.0</v>
      </c>
      <c r="X118" s="71" t="s">
        <v>298</v>
      </c>
      <c r="Y118" s="72">
        <v>346.9</v>
      </c>
      <c r="Z118" s="72">
        <v>358.07</v>
      </c>
      <c r="AA118" s="72">
        <v>-11.17</v>
      </c>
      <c r="AB118" s="254">
        <f t="shared" si="15"/>
        <v>27.20896657</v>
      </c>
      <c r="AC118" s="54"/>
      <c r="AD118" s="54"/>
      <c r="AE118" s="54"/>
    </row>
    <row r="119">
      <c r="A119" s="54"/>
      <c r="B119" s="98">
        <v>45552.0</v>
      </c>
      <c r="C119" s="98"/>
      <c r="D119" s="99"/>
      <c r="E119" s="100">
        <v>1362293.0</v>
      </c>
      <c r="F119" s="99">
        <f t="shared" si="18"/>
        <v>1562</v>
      </c>
      <c r="G119" s="100">
        <v>610.0</v>
      </c>
      <c r="H119" s="101">
        <v>416.0</v>
      </c>
      <c r="I119" s="101">
        <v>412.88</v>
      </c>
      <c r="J119" s="102">
        <f t="shared" si="16"/>
        <v>3.12</v>
      </c>
      <c r="K119" s="103">
        <f t="shared" si="17"/>
        <v>26.43277849</v>
      </c>
      <c r="L119" s="54"/>
      <c r="M119" s="54"/>
      <c r="N119" s="54"/>
      <c r="O119" s="54"/>
      <c r="R119" s="249"/>
      <c r="S119" s="54"/>
      <c r="T119" s="70">
        <v>45524.0</v>
      </c>
      <c r="U119" s="71" t="s">
        <v>296</v>
      </c>
      <c r="V119" s="71">
        <v>1121897.0</v>
      </c>
      <c r="W119" s="71">
        <v>1515.0</v>
      </c>
      <c r="X119" s="71" t="s">
        <v>298</v>
      </c>
      <c r="Y119" s="72">
        <v>396.0</v>
      </c>
      <c r="Z119" s="72">
        <v>409.99</v>
      </c>
      <c r="AA119" s="72">
        <v>-13.99</v>
      </c>
      <c r="AB119" s="254">
        <f t="shared" si="15"/>
        <v>27.0620462</v>
      </c>
      <c r="AC119" s="54"/>
      <c r="AD119" s="54"/>
      <c r="AE119" s="54"/>
    </row>
    <row r="120">
      <c r="A120" s="54"/>
      <c r="B120" s="98">
        <v>45554.0</v>
      </c>
      <c r="C120" s="98"/>
      <c r="D120" s="99"/>
      <c r="E120" s="100">
        <v>1363856.0</v>
      </c>
      <c r="F120" s="99">
        <f t="shared" si="18"/>
        <v>1563</v>
      </c>
      <c r="G120" s="100">
        <v>610.0</v>
      </c>
      <c r="H120" s="101">
        <v>417.0</v>
      </c>
      <c r="I120" s="101">
        <v>415.44</v>
      </c>
      <c r="J120" s="102">
        <f t="shared" si="16"/>
        <v>1.56</v>
      </c>
      <c r="K120" s="103">
        <f t="shared" si="17"/>
        <v>26.57965451</v>
      </c>
      <c r="L120" s="54"/>
      <c r="M120" s="54"/>
      <c r="N120" s="54"/>
      <c r="O120" s="54"/>
      <c r="R120" s="249"/>
      <c r="S120" s="54"/>
      <c r="T120" s="70">
        <v>45528.0</v>
      </c>
      <c r="U120" s="71" t="s">
        <v>296</v>
      </c>
      <c r="V120" s="71">
        <v>1123658.0</v>
      </c>
      <c r="W120" s="71">
        <v>1761.0</v>
      </c>
      <c r="X120" s="71" t="s">
        <v>298</v>
      </c>
      <c r="Y120" s="72">
        <v>454.86</v>
      </c>
      <c r="Z120" s="72">
        <v>450.0</v>
      </c>
      <c r="AA120" s="72">
        <v>4.86</v>
      </c>
      <c r="AB120" s="254">
        <f t="shared" si="15"/>
        <v>25.55366269</v>
      </c>
      <c r="AC120" s="54"/>
      <c r="AD120" s="54"/>
      <c r="AE120" s="54"/>
    </row>
    <row r="121">
      <c r="A121" s="54"/>
      <c r="B121" s="98">
        <v>45556.0</v>
      </c>
      <c r="C121" s="98"/>
      <c r="D121" s="102"/>
      <c r="E121" s="131">
        <v>1365423.0</v>
      </c>
      <c r="F121" s="99">
        <f t="shared" si="18"/>
        <v>1567</v>
      </c>
      <c r="G121" s="100">
        <v>610.0</v>
      </c>
      <c r="H121" s="101">
        <v>413.0</v>
      </c>
      <c r="I121" s="101">
        <v>412.53</v>
      </c>
      <c r="J121" s="102">
        <f t="shared" si="16"/>
        <v>0.47</v>
      </c>
      <c r="K121" s="103">
        <f t="shared" si="17"/>
        <v>26.32610083</v>
      </c>
      <c r="L121" s="54"/>
      <c r="M121" s="54"/>
      <c r="N121" s="54"/>
      <c r="O121" s="54"/>
      <c r="R121" s="249"/>
      <c r="S121" s="54"/>
      <c r="T121" s="70">
        <v>45530.0</v>
      </c>
      <c r="U121" s="71" t="s">
        <v>296</v>
      </c>
      <c r="V121" s="71">
        <v>1125107.0</v>
      </c>
      <c r="W121" s="71">
        <v>1449.0</v>
      </c>
      <c r="X121" s="71" t="s">
        <v>310</v>
      </c>
      <c r="Y121" s="72">
        <v>392.05</v>
      </c>
      <c r="Z121" s="72">
        <v>412.35</v>
      </c>
      <c r="AA121" s="72">
        <v>-20.3</v>
      </c>
      <c r="AB121" s="254">
        <f t="shared" si="15"/>
        <v>28.45755694</v>
      </c>
      <c r="AC121" s="54"/>
      <c r="AD121" s="54"/>
      <c r="AE121" s="54"/>
    </row>
    <row r="122">
      <c r="A122" s="54"/>
      <c r="B122" s="98">
        <v>45559.0</v>
      </c>
      <c r="C122" s="98"/>
      <c r="D122" s="102"/>
      <c r="E122" s="100">
        <v>1367021.0</v>
      </c>
      <c r="F122" s="99">
        <f t="shared" si="18"/>
        <v>1598</v>
      </c>
      <c r="G122" s="100">
        <v>610.0</v>
      </c>
      <c r="H122" s="101">
        <v>411.0</v>
      </c>
      <c r="I122" s="101">
        <v>408.76</v>
      </c>
      <c r="J122" s="102">
        <f t="shared" si="16"/>
        <v>2.24</v>
      </c>
      <c r="K122" s="103">
        <f t="shared" si="17"/>
        <v>25.57947434</v>
      </c>
      <c r="L122" s="54"/>
      <c r="M122" s="54"/>
      <c r="N122" s="54"/>
      <c r="O122" s="54"/>
      <c r="R122" s="249"/>
      <c r="S122" s="54"/>
      <c r="T122" s="70">
        <v>45532.0</v>
      </c>
      <c r="U122" s="71" t="s">
        <v>296</v>
      </c>
      <c r="V122" s="71">
        <v>1126580.0</v>
      </c>
      <c r="W122" s="71">
        <v>1473.0</v>
      </c>
      <c r="X122" s="71" t="s">
        <v>298</v>
      </c>
      <c r="Y122" s="72">
        <v>399.72</v>
      </c>
      <c r="Z122" s="72">
        <v>409.15</v>
      </c>
      <c r="AA122" s="72">
        <v>-9.43</v>
      </c>
      <c r="AB122" s="254">
        <f t="shared" si="15"/>
        <v>27.7766463</v>
      </c>
      <c r="AC122" s="54"/>
      <c r="AD122" s="54"/>
      <c r="AE122" s="54"/>
    </row>
    <row r="123">
      <c r="A123" s="54"/>
      <c r="B123" s="98">
        <v>45561.0</v>
      </c>
      <c r="C123" s="98"/>
      <c r="D123" s="102"/>
      <c r="E123" s="100">
        <v>1368569.0</v>
      </c>
      <c r="F123" s="99">
        <f t="shared" si="18"/>
        <v>1548</v>
      </c>
      <c r="G123" s="100">
        <v>610.0</v>
      </c>
      <c r="H123" s="101">
        <v>402.0</v>
      </c>
      <c r="I123" s="101">
        <v>403.14</v>
      </c>
      <c r="J123" s="102">
        <f t="shared" si="16"/>
        <v>-1.14</v>
      </c>
      <c r="K123" s="103">
        <f t="shared" si="17"/>
        <v>26.04263566</v>
      </c>
      <c r="L123" s="54"/>
      <c r="M123" s="54"/>
      <c r="N123" s="54"/>
      <c r="O123" s="54"/>
      <c r="R123" s="249"/>
      <c r="S123" s="54"/>
      <c r="T123" s="70">
        <v>45534.0</v>
      </c>
      <c r="U123" s="71" t="s">
        <v>296</v>
      </c>
      <c r="V123" s="71">
        <v>1128076.0</v>
      </c>
      <c r="W123" s="71">
        <v>1496.0</v>
      </c>
      <c r="X123" s="71" t="s">
        <v>298</v>
      </c>
      <c r="Y123" s="72">
        <v>392.89</v>
      </c>
      <c r="Z123" s="72">
        <v>407.86</v>
      </c>
      <c r="AA123" s="72">
        <v>-14.97</v>
      </c>
      <c r="AB123" s="254">
        <f t="shared" si="15"/>
        <v>27.26336898</v>
      </c>
      <c r="AC123" s="54"/>
      <c r="AD123" s="54"/>
      <c r="AE123" s="54"/>
    </row>
    <row r="124">
      <c r="A124" s="54"/>
      <c r="B124" s="98">
        <v>45563.0</v>
      </c>
      <c r="C124" s="98"/>
      <c r="D124" s="99"/>
      <c r="E124" s="100">
        <v>1370134.0</v>
      </c>
      <c r="F124" s="99">
        <f t="shared" si="18"/>
        <v>1565</v>
      </c>
      <c r="G124" s="100">
        <v>610.0</v>
      </c>
      <c r="H124" s="101">
        <v>425.0</v>
      </c>
      <c r="I124" s="101">
        <v>428.91</v>
      </c>
      <c r="J124" s="102">
        <f t="shared" si="16"/>
        <v>-3.91</v>
      </c>
      <c r="K124" s="103">
        <f t="shared" si="17"/>
        <v>27.40638978</v>
      </c>
      <c r="L124" s="54"/>
      <c r="M124" s="54"/>
      <c r="N124" s="54"/>
      <c r="O124" s="54"/>
      <c r="R124" s="249"/>
      <c r="S124" s="66"/>
      <c r="T124" s="67" t="s">
        <v>104</v>
      </c>
      <c r="AA124" s="66"/>
      <c r="AB124" s="242"/>
      <c r="AC124" s="66"/>
      <c r="AD124" s="66"/>
      <c r="AE124" s="66"/>
    </row>
    <row r="125">
      <c r="A125" s="66"/>
      <c r="B125" s="67" t="s">
        <v>96</v>
      </c>
      <c r="J125" s="66"/>
      <c r="K125" s="66"/>
      <c r="L125" s="66"/>
      <c r="M125" s="66"/>
      <c r="N125" s="66"/>
      <c r="O125" s="66"/>
      <c r="R125" s="249"/>
      <c r="S125" s="54"/>
      <c r="T125" s="70">
        <v>45536.0</v>
      </c>
      <c r="U125" s="71" t="s">
        <v>296</v>
      </c>
      <c r="V125" s="71">
        <v>1129629.0</v>
      </c>
      <c r="W125" s="71">
        <v>1553.0</v>
      </c>
      <c r="X125" s="71" t="s">
        <v>311</v>
      </c>
      <c r="Y125" s="72">
        <v>428.64</v>
      </c>
      <c r="Z125" s="72">
        <v>431.55</v>
      </c>
      <c r="AA125" s="72">
        <v>-2.91</v>
      </c>
      <c r="AB125" s="254">
        <f t="shared" ref="AB125:AB135" si="19">Z125/W125*100</f>
        <v>27.78815196</v>
      </c>
      <c r="AC125" s="54"/>
      <c r="AD125" s="54"/>
      <c r="AE125" s="54"/>
    </row>
    <row r="126">
      <c r="A126" s="54"/>
      <c r="B126" s="98">
        <v>45566.0</v>
      </c>
      <c r="C126" s="98"/>
      <c r="D126" s="99"/>
      <c r="E126" s="100">
        <v>1371497.0</v>
      </c>
      <c r="F126" s="99">
        <f>E126-E124</f>
        <v>1363</v>
      </c>
      <c r="G126" s="100">
        <v>610.0</v>
      </c>
      <c r="H126" s="101">
        <v>379.0</v>
      </c>
      <c r="I126" s="101">
        <v>378.0</v>
      </c>
      <c r="J126" s="102">
        <f t="shared" ref="J126:J137" si="20">H126-I126</f>
        <v>1</v>
      </c>
      <c r="K126" s="103">
        <f t="shared" ref="K126:K137" si="21">I126/F126*100</f>
        <v>27.73294204</v>
      </c>
      <c r="L126" s="54"/>
      <c r="M126" s="82" t="str">
        <f>"тотал"&amp;" "&amp;B125&amp;" "&amp;RIGHT(YEAR(B126),2)</f>
        <v>тотал ОКТЯБРЬ 24</v>
      </c>
      <c r="N126" s="75"/>
      <c r="O126" s="75"/>
      <c r="P126" s="75"/>
      <c r="Q126" s="76"/>
      <c r="R126" s="249"/>
      <c r="S126" s="54"/>
      <c r="T126" s="70">
        <v>45538.0</v>
      </c>
      <c r="U126" s="71" t="s">
        <v>296</v>
      </c>
      <c r="V126" s="71">
        <v>1131062.0</v>
      </c>
      <c r="W126" s="71">
        <v>1433.0</v>
      </c>
      <c r="X126" s="71" t="s">
        <v>311</v>
      </c>
      <c r="Y126" s="72">
        <v>416.32</v>
      </c>
      <c r="Z126" s="72">
        <v>422.61</v>
      </c>
      <c r="AA126" s="72">
        <v>-6.29</v>
      </c>
      <c r="AB126" s="254">
        <f t="shared" si="19"/>
        <v>29.49127704</v>
      </c>
      <c r="AC126" s="54"/>
      <c r="AD126" s="54"/>
      <c r="AE126" s="54"/>
    </row>
    <row r="127">
      <c r="A127" s="54"/>
      <c r="B127" s="98">
        <v>45567.0</v>
      </c>
      <c r="C127" s="98"/>
      <c r="D127" s="99"/>
      <c r="E127" s="100">
        <v>1372514.0</v>
      </c>
      <c r="F127" s="99">
        <f t="shared" ref="F127:F137" si="22">E127-E126</f>
        <v>1017</v>
      </c>
      <c r="G127" s="100">
        <v>610.0</v>
      </c>
      <c r="H127" s="101">
        <v>278.0</v>
      </c>
      <c r="I127" s="101">
        <v>283.39</v>
      </c>
      <c r="J127" s="102">
        <f t="shared" si="20"/>
        <v>-5.39</v>
      </c>
      <c r="K127" s="103">
        <f t="shared" si="21"/>
        <v>27.86529007</v>
      </c>
      <c r="L127" s="54"/>
      <c r="M127" s="83" t="s">
        <v>70</v>
      </c>
      <c r="N127" s="83" t="s">
        <v>71</v>
      </c>
      <c r="O127" s="83" t="s">
        <v>27</v>
      </c>
      <c r="P127" s="77" t="s">
        <v>28</v>
      </c>
      <c r="Q127" s="12" t="s">
        <v>78</v>
      </c>
      <c r="R127" s="249"/>
      <c r="S127" s="54"/>
      <c r="T127" s="70">
        <v>45541.0</v>
      </c>
      <c r="U127" s="71" t="s">
        <v>296</v>
      </c>
      <c r="V127" s="71">
        <v>1132804.0</v>
      </c>
      <c r="W127" s="71">
        <v>1742.0</v>
      </c>
      <c r="X127" s="71" t="s">
        <v>311</v>
      </c>
      <c r="Y127" s="72">
        <v>466.81</v>
      </c>
      <c r="Z127" s="72">
        <v>450.0</v>
      </c>
      <c r="AA127" s="72">
        <v>16.81</v>
      </c>
      <c r="AB127" s="254">
        <f t="shared" si="19"/>
        <v>25.83237658</v>
      </c>
      <c r="AC127" s="54"/>
      <c r="AD127" s="54"/>
      <c r="AE127" s="54"/>
    </row>
    <row r="128">
      <c r="A128" s="54"/>
      <c r="B128" s="98">
        <v>45569.0</v>
      </c>
      <c r="C128" s="98"/>
      <c r="D128" s="99"/>
      <c r="E128" s="100">
        <v>1374076.0</v>
      </c>
      <c r="F128" s="99">
        <f t="shared" si="22"/>
        <v>1562</v>
      </c>
      <c r="G128" s="100">
        <v>610.0</v>
      </c>
      <c r="H128" s="101">
        <v>410.0</v>
      </c>
      <c r="I128" s="101">
        <v>416.58</v>
      </c>
      <c r="J128" s="102">
        <f t="shared" si="20"/>
        <v>-6.58</v>
      </c>
      <c r="K128" s="103">
        <f t="shared" si="21"/>
        <v>26.66965429</v>
      </c>
      <c r="L128" s="54"/>
      <c r="M128" s="84">
        <f>SUM(F126:F137)</f>
        <v>18145</v>
      </c>
      <c r="N128" s="84">
        <f>SUM(I126:I137)</f>
        <v>4971.93</v>
      </c>
      <c r="O128" s="85">
        <f>N128/M128*100</f>
        <v>27.40110223</v>
      </c>
      <c r="P128" s="79">
        <f>(M128/100)*(O128-Q128)</f>
        <v>-108.67</v>
      </c>
      <c r="Q128" s="78">
        <v>28.0</v>
      </c>
      <c r="R128" s="249"/>
      <c r="S128" s="54"/>
      <c r="T128" s="70">
        <v>45543.0</v>
      </c>
      <c r="U128" s="71" t="s">
        <v>296</v>
      </c>
      <c r="V128" s="71">
        <v>1134296.0</v>
      </c>
      <c r="W128" s="71">
        <v>1492.0</v>
      </c>
      <c r="X128" s="71" t="s">
        <v>311</v>
      </c>
      <c r="Y128" s="72">
        <v>444.0</v>
      </c>
      <c r="Z128" s="72">
        <v>446.27</v>
      </c>
      <c r="AA128" s="72">
        <v>-2.27</v>
      </c>
      <c r="AB128" s="254">
        <f t="shared" si="19"/>
        <v>29.91085791</v>
      </c>
      <c r="AC128" s="54"/>
      <c r="AD128" s="54"/>
      <c r="AE128" s="54"/>
    </row>
    <row r="129">
      <c r="A129" s="54"/>
      <c r="B129" s="98">
        <v>45572.0</v>
      </c>
      <c r="C129" s="98"/>
      <c r="D129" s="99"/>
      <c r="E129" s="100">
        <v>1375645.0</v>
      </c>
      <c r="F129" s="99">
        <f t="shared" si="22"/>
        <v>1569</v>
      </c>
      <c r="G129" s="100">
        <v>610.0</v>
      </c>
      <c r="H129" s="101">
        <v>410.0</v>
      </c>
      <c r="I129" s="101">
        <v>415.57</v>
      </c>
      <c r="J129" s="102">
        <f t="shared" si="20"/>
        <v>-5.57</v>
      </c>
      <c r="K129" s="103">
        <f t="shared" si="21"/>
        <v>26.486297</v>
      </c>
      <c r="L129" s="54"/>
      <c r="M129" s="54"/>
      <c r="N129" s="54"/>
      <c r="O129" s="54"/>
      <c r="R129" s="249"/>
      <c r="S129" s="54"/>
      <c r="T129" s="70">
        <v>45545.0</v>
      </c>
      <c r="U129" s="71" t="s">
        <v>296</v>
      </c>
      <c r="V129" s="71">
        <v>1135815.0</v>
      </c>
      <c r="W129" s="71">
        <v>1519.0</v>
      </c>
      <c r="X129" s="71" t="s">
        <v>311</v>
      </c>
      <c r="Y129" s="72">
        <v>415.0</v>
      </c>
      <c r="Z129" s="72">
        <v>415.47</v>
      </c>
      <c r="AA129" s="72">
        <v>-0.47</v>
      </c>
      <c r="AB129" s="254">
        <f t="shared" si="19"/>
        <v>27.35154707</v>
      </c>
      <c r="AC129" s="54"/>
      <c r="AD129" s="54"/>
      <c r="AE129" s="54"/>
    </row>
    <row r="130">
      <c r="A130" s="54"/>
      <c r="B130" s="98">
        <v>45574.0</v>
      </c>
      <c r="C130" s="98"/>
      <c r="D130" s="99"/>
      <c r="E130" s="100">
        <v>1377202.0</v>
      </c>
      <c r="F130" s="99">
        <f t="shared" si="22"/>
        <v>1557</v>
      </c>
      <c r="G130" s="100">
        <v>610.0</v>
      </c>
      <c r="H130" s="101">
        <v>428.0</v>
      </c>
      <c r="I130" s="101">
        <v>434.76</v>
      </c>
      <c r="J130" s="102">
        <f t="shared" si="20"/>
        <v>-6.76</v>
      </c>
      <c r="K130" s="103">
        <f t="shared" si="21"/>
        <v>27.92292871</v>
      </c>
      <c r="L130" s="54"/>
      <c r="M130" s="54"/>
      <c r="N130" s="54"/>
      <c r="O130" s="54"/>
      <c r="R130" s="249"/>
      <c r="S130" s="54"/>
      <c r="T130" s="70">
        <v>45555.0</v>
      </c>
      <c r="U130" s="71" t="s">
        <v>296</v>
      </c>
      <c r="V130" s="71">
        <v>1137560.0</v>
      </c>
      <c r="W130" s="71">
        <v>1745.0</v>
      </c>
      <c r="X130" s="71" t="s">
        <v>311</v>
      </c>
      <c r="Y130" s="72">
        <v>465.0</v>
      </c>
      <c r="Z130" s="72">
        <v>472.84</v>
      </c>
      <c r="AA130" s="72">
        <v>-7.84</v>
      </c>
      <c r="AB130" s="254">
        <f t="shared" si="19"/>
        <v>27.09684814</v>
      </c>
      <c r="AC130" s="54"/>
      <c r="AD130" s="54"/>
      <c r="AE130" s="54"/>
    </row>
    <row r="131">
      <c r="A131" s="54"/>
      <c r="B131" s="98">
        <v>45576.0</v>
      </c>
      <c r="C131" s="98"/>
      <c r="D131" s="99"/>
      <c r="E131" s="100">
        <v>1378765.0</v>
      </c>
      <c r="F131" s="99">
        <f t="shared" si="22"/>
        <v>1563</v>
      </c>
      <c r="G131" s="100">
        <v>610.0</v>
      </c>
      <c r="H131" s="101">
        <v>422.0</v>
      </c>
      <c r="I131" s="101">
        <v>426.92</v>
      </c>
      <c r="J131" s="102">
        <f t="shared" si="20"/>
        <v>-4.92</v>
      </c>
      <c r="K131" s="103">
        <f t="shared" si="21"/>
        <v>27.31413948</v>
      </c>
      <c r="L131" s="54"/>
      <c r="M131" s="54"/>
      <c r="N131" s="54"/>
      <c r="O131" s="54"/>
      <c r="R131" s="249"/>
      <c r="S131" s="54"/>
      <c r="T131" s="70">
        <v>45557.0</v>
      </c>
      <c r="U131" s="71" t="s">
        <v>296</v>
      </c>
      <c r="V131" s="71">
        <v>1139052.0</v>
      </c>
      <c r="W131" s="71">
        <v>1492.0</v>
      </c>
      <c r="X131" s="71" t="s">
        <v>311</v>
      </c>
      <c r="Y131" s="72">
        <v>406.0</v>
      </c>
      <c r="Z131" s="72">
        <v>412.96</v>
      </c>
      <c r="AA131" s="72">
        <v>-6.96</v>
      </c>
      <c r="AB131" s="254">
        <f t="shared" si="19"/>
        <v>27.67828418</v>
      </c>
      <c r="AC131" s="54"/>
      <c r="AD131" s="54"/>
      <c r="AE131" s="54"/>
    </row>
    <row r="132">
      <c r="A132" s="54"/>
      <c r="B132" s="98">
        <v>45580.0</v>
      </c>
      <c r="C132" s="98"/>
      <c r="D132" s="99"/>
      <c r="E132" s="100">
        <v>1380473.0</v>
      </c>
      <c r="F132" s="99">
        <f t="shared" si="22"/>
        <v>1708</v>
      </c>
      <c r="G132" s="100">
        <v>605.0</v>
      </c>
      <c r="H132" s="101">
        <v>468.0</v>
      </c>
      <c r="I132" s="101">
        <v>450.0</v>
      </c>
      <c r="J132" s="102">
        <f t="shared" si="20"/>
        <v>18</v>
      </c>
      <c r="K132" s="103">
        <f t="shared" si="21"/>
        <v>26.34660422</v>
      </c>
      <c r="L132" s="54"/>
      <c r="M132" s="54"/>
      <c r="N132" s="54"/>
      <c r="O132" s="54"/>
      <c r="R132" s="249"/>
      <c r="S132" s="54"/>
      <c r="T132" s="70">
        <v>45559.0</v>
      </c>
      <c r="U132" s="71" t="s">
        <v>296</v>
      </c>
      <c r="V132" s="71">
        <v>1140698.0</v>
      </c>
      <c r="W132" s="71">
        <v>1646.0</v>
      </c>
      <c r="X132" s="71" t="s">
        <v>311</v>
      </c>
      <c r="Y132" s="72">
        <v>453.0</v>
      </c>
      <c r="Z132" s="72">
        <v>450.0</v>
      </c>
      <c r="AA132" s="72">
        <v>3.0</v>
      </c>
      <c r="AB132" s="254">
        <f t="shared" si="19"/>
        <v>27.33900365</v>
      </c>
      <c r="AC132" s="54"/>
      <c r="AD132" s="54"/>
      <c r="AE132" s="54"/>
    </row>
    <row r="133">
      <c r="A133" s="54"/>
      <c r="B133" s="98">
        <v>45581.0</v>
      </c>
      <c r="C133" s="98"/>
      <c r="D133" s="99"/>
      <c r="E133" s="100">
        <v>1381905.0</v>
      </c>
      <c r="F133" s="99">
        <f t="shared" si="22"/>
        <v>1432</v>
      </c>
      <c r="G133" s="100">
        <v>610.0</v>
      </c>
      <c r="H133" s="101">
        <v>409.0</v>
      </c>
      <c r="I133" s="101">
        <v>417.05</v>
      </c>
      <c r="J133" s="102">
        <f t="shared" si="20"/>
        <v>-8.05</v>
      </c>
      <c r="K133" s="103">
        <f t="shared" si="21"/>
        <v>29.12360335</v>
      </c>
      <c r="L133" s="54"/>
      <c r="M133" s="54"/>
      <c r="N133" s="54"/>
      <c r="O133" s="54"/>
      <c r="R133" s="249"/>
      <c r="S133" s="54"/>
      <c r="T133" s="70">
        <v>45561.0</v>
      </c>
      <c r="U133" s="71" t="s">
        <v>296</v>
      </c>
      <c r="V133" s="71">
        <v>1142041.0</v>
      </c>
      <c r="W133" s="71">
        <v>1343.0</v>
      </c>
      <c r="X133" s="71" t="s">
        <v>311</v>
      </c>
      <c r="Y133" s="72">
        <v>385.0</v>
      </c>
      <c r="Z133" s="72">
        <v>389.25</v>
      </c>
      <c r="AA133" s="72">
        <v>-4.25</v>
      </c>
      <c r="AB133" s="254">
        <f t="shared" si="19"/>
        <v>28.98361876</v>
      </c>
      <c r="AC133" s="54"/>
      <c r="AD133" s="54"/>
      <c r="AE133" s="54"/>
    </row>
    <row r="134">
      <c r="A134" s="54"/>
      <c r="B134" s="98">
        <v>45583.0</v>
      </c>
      <c r="C134" s="98"/>
      <c r="D134" s="99"/>
      <c r="E134" s="100">
        <v>1383474.0</v>
      </c>
      <c r="F134" s="99">
        <f t="shared" si="22"/>
        <v>1569</v>
      </c>
      <c r="G134" s="100">
        <v>610.0</v>
      </c>
      <c r="H134" s="101">
        <v>426.0</v>
      </c>
      <c r="I134" s="101">
        <v>429.77</v>
      </c>
      <c r="J134" s="102">
        <f t="shared" si="20"/>
        <v>-3.77</v>
      </c>
      <c r="K134" s="103">
        <f t="shared" si="21"/>
        <v>27.39133206</v>
      </c>
      <c r="L134" s="54"/>
      <c r="M134" s="54"/>
      <c r="N134" s="54"/>
      <c r="O134" s="54"/>
      <c r="R134" s="249"/>
      <c r="S134" s="54"/>
      <c r="T134" s="70">
        <v>45563.0</v>
      </c>
      <c r="U134" s="71" t="s">
        <v>296</v>
      </c>
      <c r="V134" s="71">
        <v>1143533.0</v>
      </c>
      <c r="W134" s="71">
        <v>1492.0</v>
      </c>
      <c r="X134" s="71">
        <v>610.0</v>
      </c>
      <c r="Y134" s="72">
        <v>424.0</v>
      </c>
      <c r="Z134" s="72">
        <v>425.07</v>
      </c>
      <c r="AA134" s="72">
        <v>-1.07</v>
      </c>
      <c r="AB134" s="254">
        <f t="shared" si="19"/>
        <v>28.48994638</v>
      </c>
      <c r="AC134" s="54"/>
      <c r="AD134" s="54"/>
      <c r="AE134" s="54"/>
    </row>
    <row r="135">
      <c r="A135" s="54"/>
      <c r="B135" s="98">
        <v>45586.0</v>
      </c>
      <c r="C135" s="98"/>
      <c r="D135" s="99"/>
      <c r="E135" s="349">
        <v>1385140.0</v>
      </c>
      <c r="F135" s="99">
        <f t="shared" si="22"/>
        <v>1666</v>
      </c>
      <c r="G135" s="100">
        <v>610.0</v>
      </c>
      <c r="H135" s="101">
        <v>449.0</v>
      </c>
      <c r="I135" s="101">
        <v>450.0</v>
      </c>
      <c r="J135" s="102">
        <f t="shared" si="20"/>
        <v>-1</v>
      </c>
      <c r="K135" s="103">
        <f t="shared" si="21"/>
        <v>27.01080432</v>
      </c>
      <c r="L135" s="54"/>
      <c r="M135" s="54"/>
      <c r="N135" s="54"/>
      <c r="O135" s="54"/>
      <c r="R135" s="249"/>
      <c r="S135" s="54"/>
      <c r="T135" s="70">
        <v>45565.0</v>
      </c>
      <c r="U135" s="71" t="s">
        <v>296</v>
      </c>
      <c r="V135" s="71">
        <v>1145280.0</v>
      </c>
      <c r="W135" s="71">
        <v>1747.0</v>
      </c>
      <c r="X135" s="71">
        <v>590.0</v>
      </c>
      <c r="Y135" s="72">
        <v>469.0</v>
      </c>
      <c r="Z135" s="72">
        <v>450.0</v>
      </c>
      <c r="AA135" s="72">
        <v>19.0</v>
      </c>
      <c r="AB135" s="254">
        <f t="shared" si="19"/>
        <v>25.75844305</v>
      </c>
      <c r="AC135" s="54"/>
      <c r="AD135" s="54"/>
      <c r="AE135" s="54"/>
    </row>
    <row r="136">
      <c r="A136" s="54"/>
      <c r="B136" s="98">
        <v>45588.0</v>
      </c>
      <c r="C136" s="98"/>
      <c r="D136" s="99"/>
      <c r="E136" s="100">
        <v>1386710.0</v>
      </c>
      <c r="F136" s="99">
        <f t="shared" si="22"/>
        <v>1570</v>
      </c>
      <c r="G136" s="100">
        <v>610.0</v>
      </c>
      <c r="H136" s="101">
        <v>430.0</v>
      </c>
      <c r="I136" s="101">
        <v>437.08</v>
      </c>
      <c r="J136" s="102">
        <f t="shared" si="20"/>
        <v>-7.08</v>
      </c>
      <c r="K136" s="103">
        <f t="shared" si="21"/>
        <v>27.83949045</v>
      </c>
      <c r="L136" s="54"/>
      <c r="M136" s="54"/>
      <c r="N136" s="54"/>
      <c r="O136" s="54"/>
      <c r="R136" s="249"/>
      <c r="S136" s="66"/>
      <c r="T136" s="67" t="s">
        <v>312</v>
      </c>
      <c r="AA136" s="66"/>
      <c r="AB136" s="242"/>
      <c r="AC136" s="66"/>
      <c r="AD136" s="66"/>
      <c r="AE136" s="66"/>
    </row>
    <row r="137">
      <c r="A137" s="54"/>
      <c r="B137" s="110">
        <v>45590.0</v>
      </c>
      <c r="C137" s="110"/>
      <c r="D137" s="99"/>
      <c r="E137" s="100">
        <v>1388279.0</v>
      </c>
      <c r="F137" s="99">
        <f t="shared" si="22"/>
        <v>1569</v>
      </c>
      <c r="G137" s="100">
        <v>610.0</v>
      </c>
      <c r="H137" s="101">
        <v>429.0</v>
      </c>
      <c r="I137" s="101">
        <v>432.81</v>
      </c>
      <c r="J137" s="102">
        <f t="shared" si="20"/>
        <v>-3.81</v>
      </c>
      <c r="K137" s="103">
        <f t="shared" si="21"/>
        <v>27.58508604</v>
      </c>
      <c r="L137" s="54"/>
      <c r="M137" s="54"/>
      <c r="N137" s="54"/>
      <c r="O137" s="54"/>
      <c r="R137" s="249"/>
      <c r="S137" s="54"/>
      <c r="T137" s="70">
        <v>45569.0</v>
      </c>
      <c r="U137" s="71" t="s">
        <v>296</v>
      </c>
      <c r="V137" s="71">
        <v>1146641.0</v>
      </c>
      <c r="W137" s="71">
        <v>1361.0</v>
      </c>
      <c r="X137" s="71">
        <v>610.0</v>
      </c>
      <c r="Y137" s="72">
        <v>435.0</v>
      </c>
      <c r="Z137" s="72">
        <v>442.51</v>
      </c>
      <c r="AA137" s="72">
        <v>-7.51</v>
      </c>
      <c r="AB137" s="254">
        <f t="shared" ref="AB137:AB148" si="23">Z137/W137*100</f>
        <v>32.51359295</v>
      </c>
      <c r="AC137" s="54"/>
      <c r="AD137" s="54"/>
      <c r="AE137" s="54"/>
    </row>
    <row r="138">
      <c r="A138" s="66"/>
      <c r="B138" s="67" t="s">
        <v>97</v>
      </c>
      <c r="J138" s="66"/>
      <c r="K138" s="66"/>
      <c r="L138" s="66"/>
      <c r="M138" s="66"/>
      <c r="N138" s="66"/>
      <c r="O138" s="66"/>
      <c r="R138" s="249"/>
      <c r="S138" s="54"/>
      <c r="T138" s="70">
        <v>45571.0</v>
      </c>
      <c r="U138" s="71" t="s">
        <v>296</v>
      </c>
      <c r="V138" s="71">
        <v>1148139.0</v>
      </c>
      <c r="W138" s="71">
        <v>1498.0</v>
      </c>
      <c r="X138" s="71">
        <v>610.0</v>
      </c>
      <c r="Y138" s="72">
        <v>445.0</v>
      </c>
      <c r="Z138" s="72">
        <v>450.0</v>
      </c>
      <c r="AA138" s="72">
        <v>-5.0</v>
      </c>
      <c r="AB138" s="254">
        <f t="shared" si="23"/>
        <v>30.0400534</v>
      </c>
      <c r="AC138" s="54"/>
      <c r="AD138" s="54"/>
      <c r="AE138" s="54"/>
    </row>
    <row r="139">
      <c r="A139" s="54"/>
      <c r="B139" s="110">
        <v>45606.0</v>
      </c>
      <c r="C139" s="110"/>
      <c r="D139" s="99"/>
      <c r="E139" s="100">
        <v>1390061.0</v>
      </c>
      <c r="F139" s="99">
        <f>E139-E137</f>
        <v>1782</v>
      </c>
      <c r="G139" s="100">
        <v>610.0</v>
      </c>
      <c r="H139" s="101">
        <v>464.0</v>
      </c>
      <c r="I139" s="101">
        <v>450.0</v>
      </c>
      <c r="J139" s="102">
        <f t="shared" ref="J139:J154" si="24">H139-I139</f>
        <v>14</v>
      </c>
      <c r="K139" s="103">
        <f t="shared" ref="K139:K154" si="25">I139/F139*100</f>
        <v>25.25252525</v>
      </c>
      <c r="L139" s="54"/>
      <c r="M139" s="82" t="str">
        <f>"тотал"&amp;" "&amp;B138&amp;" "&amp;RIGHT(YEAR(B139),2)</f>
        <v>тотал НОЯБРЬ 24</v>
      </c>
      <c r="N139" s="75"/>
      <c r="O139" s="75"/>
      <c r="P139" s="75"/>
      <c r="Q139" s="76"/>
      <c r="R139" s="249"/>
      <c r="S139" s="54"/>
      <c r="T139" s="70">
        <v>45573.0</v>
      </c>
      <c r="U139" s="71" t="s">
        <v>296</v>
      </c>
      <c r="V139" s="71">
        <v>1149791.0</v>
      </c>
      <c r="W139" s="71">
        <v>1652.0</v>
      </c>
      <c r="X139" s="71">
        <v>547.0</v>
      </c>
      <c r="Y139" s="72">
        <v>453.0</v>
      </c>
      <c r="Z139" s="72">
        <v>450.0</v>
      </c>
      <c r="AA139" s="72">
        <v>3.0</v>
      </c>
      <c r="AB139" s="254">
        <f t="shared" si="23"/>
        <v>27.23970944</v>
      </c>
      <c r="AC139" s="54"/>
      <c r="AD139" s="54"/>
      <c r="AE139" s="54"/>
    </row>
    <row r="140">
      <c r="A140" s="54"/>
      <c r="B140" s="110">
        <v>45607.0</v>
      </c>
      <c r="C140" s="110"/>
      <c r="D140" s="99"/>
      <c r="E140" s="100">
        <v>1390817.0</v>
      </c>
      <c r="F140" s="99">
        <f t="shared" ref="F140:F154" si="26">E140-E139</f>
        <v>756</v>
      </c>
      <c r="G140" s="100">
        <v>472.0</v>
      </c>
      <c r="H140" s="101">
        <v>98.0</v>
      </c>
      <c r="I140" s="101">
        <v>99.95</v>
      </c>
      <c r="J140" s="102">
        <f t="shared" si="24"/>
        <v>-1.95</v>
      </c>
      <c r="K140" s="103">
        <f t="shared" si="25"/>
        <v>13.22089947</v>
      </c>
      <c r="L140" s="54"/>
      <c r="M140" s="83" t="s">
        <v>70</v>
      </c>
      <c r="N140" s="83" t="s">
        <v>71</v>
      </c>
      <c r="O140" s="83" t="s">
        <v>27</v>
      </c>
      <c r="P140" s="77" t="s">
        <v>28</v>
      </c>
      <c r="Q140" s="12" t="s">
        <v>78</v>
      </c>
      <c r="R140" s="249"/>
      <c r="S140" s="54"/>
      <c r="T140" s="275">
        <v>45575.0</v>
      </c>
      <c r="U140" s="71" t="s">
        <v>296</v>
      </c>
      <c r="V140" s="71">
        <v>1151057.0</v>
      </c>
      <c r="W140" s="71">
        <v>1266.0</v>
      </c>
      <c r="X140" s="71">
        <v>610.0</v>
      </c>
      <c r="Y140" s="72">
        <v>434.0</v>
      </c>
      <c r="Z140" s="72">
        <v>435.42</v>
      </c>
      <c r="AA140" s="72">
        <v>-1.42</v>
      </c>
      <c r="AB140" s="254">
        <f t="shared" si="23"/>
        <v>34.39336493</v>
      </c>
      <c r="AC140" s="54"/>
      <c r="AD140" s="54"/>
      <c r="AE140" s="54"/>
    </row>
    <row r="141">
      <c r="A141" s="54"/>
      <c r="B141" s="110">
        <v>45608.0</v>
      </c>
      <c r="C141" s="110"/>
      <c r="D141" s="99"/>
      <c r="E141" s="100">
        <v>1391601.0</v>
      </c>
      <c r="F141" s="99">
        <f t="shared" si="26"/>
        <v>784</v>
      </c>
      <c r="G141" s="100">
        <v>601.0</v>
      </c>
      <c r="H141" s="101">
        <v>366.0</v>
      </c>
      <c r="I141" s="101">
        <v>350.0</v>
      </c>
      <c r="J141" s="102">
        <f t="shared" si="24"/>
        <v>16</v>
      </c>
      <c r="K141" s="103">
        <f t="shared" si="25"/>
        <v>44.64285714</v>
      </c>
      <c r="L141" s="54"/>
      <c r="M141" s="84">
        <f>SUM(F139:F154)</f>
        <v>13576</v>
      </c>
      <c r="N141" s="84">
        <f>SUM(I139:I154)</f>
        <v>3935.14</v>
      </c>
      <c r="O141" s="85">
        <f>N141/M141*100</f>
        <v>28.98600471</v>
      </c>
      <c r="P141" s="79">
        <f>(M141/100)*(O141-Q141)</f>
        <v>133.86</v>
      </c>
      <c r="Q141" s="78">
        <v>28.0</v>
      </c>
      <c r="R141" s="249"/>
      <c r="S141" s="54"/>
      <c r="T141" s="275">
        <v>45577.0</v>
      </c>
      <c r="U141" s="71" t="s">
        <v>296</v>
      </c>
      <c r="V141" s="71">
        <v>1152549.0</v>
      </c>
      <c r="W141" s="71">
        <v>1492.0</v>
      </c>
      <c r="X141" s="71">
        <v>610.0</v>
      </c>
      <c r="Y141" s="72">
        <v>435.0</v>
      </c>
      <c r="Z141" s="72">
        <v>438.19</v>
      </c>
      <c r="AA141" s="72">
        <v>-3.19</v>
      </c>
      <c r="AB141" s="254">
        <f t="shared" si="23"/>
        <v>29.36930295</v>
      </c>
      <c r="AC141" s="54"/>
      <c r="AD141" s="54"/>
      <c r="AE141" s="54"/>
    </row>
    <row r="142">
      <c r="A142" s="54"/>
      <c r="B142" s="110">
        <v>45609.0</v>
      </c>
      <c r="C142" s="110"/>
      <c r="D142" s="99"/>
      <c r="E142" s="100">
        <v>1392357.0</v>
      </c>
      <c r="F142" s="99">
        <f t="shared" si="26"/>
        <v>756</v>
      </c>
      <c r="G142" s="100">
        <v>565.0</v>
      </c>
      <c r="H142" s="101">
        <v>199.0</v>
      </c>
      <c r="I142" s="101">
        <v>197.56</v>
      </c>
      <c r="J142" s="102">
        <f t="shared" si="24"/>
        <v>1.44</v>
      </c>
      <c r="K142" s="103">
        <f t="shared" si="25"/>
        <v>26.13227513</v>
      </c>
      <c r="L142" s="54"/>
      <c r="M142" s="54"/>
      <c r="N142" s="54"/>
      <c r="O142" s="54"/>
      <c r="R142" s="249"/>
      <c r="S142" s="54"/>
      <c r="T142" s="275">
        <v>45580.0</v>
      </c>
      <c r="U142" s="71" t="s">
        <v>296</v>
      </c>
      <c r="V142" s="71">
        <v>1154349.0</v>
      </c>
      <c r="W142" s="71">
        <v>1800.0</v>
      </c>
      <c r="X142" s="71">
        <v>610.0</v>
      </c>
      <c r="Y142" s="72">
        <v>516.0</v>
      </c>
      <c r="Z142" s="72">
        <v>500.0</v>
      </c>
      <c r="AA142" s="72">
        <v>16.0</v>
      </c>
      <c r="AB142" s="254">
        <f t="shared" si="23"/>
        <v>27.77777778</v>
      </c>
      <c r="AC142" s="54"/>
      <c r="AD142" s="54"/>
      <c r="AE142" s="54"/>
    </row>
    <row r="143">
      <c r="A143" s="54"/>
      <c r="B143" s="110">
        <v>45610.0</v>
      </c>
      <c r="C143" s="110"/>
      <c r="D143" s="99"/>
      <c r="E143" s="100">
        <v>1393139.0</v>
      </c>
      <c r="F143" s="99">
        <f t="shared" si="26"/>
        <v>782</v>
      </c>
      <c r="G143" s="100">
        <v>569.0</v>
      </c>
      <c r="H143" s="101">
        <v>254.0</v>
      </c>
      <c r="I143" s="101">
        <v>250.0</v>
      </c>
      <c r="J143" s="102">
        <f t="shared" si="24"/>
        <v>4</v>
      </c>
      <c r="K143" s="103">
        <f t="shared" si="25"/>
        <v>31.96930946</v>
      </c>
      <c r="L143" s="54"/>
      <c r="M143" s="54"/>
      <c r="N143" s="54"/>
      <c r="O143" s="54"/>
      <c r="R143" s="249"/>
      <c r="S143" s="54"/>
      <c r="T143" s="275">
        <v>45583.0</v>
      </c>
      <c r="U143" s="71" t="s">
        <v>296</v>
      </c>
      <c r="V143" s="71">
        <v>1155990.0</v>
      </c>
      <c r="W143" s="71">
        <v>1641.0</v>
      </c>
      <c r="X143" s="71">
        <v>610.0</v>
      </c>
      <c r="Y143" s="72">
        <v>488.0</v>
      </c>
      <c r="Z143" s="72">
        <v>485.41</v>
      </c>
      <c r="AA143" s="72">
        <v>2.59</v>
      </c>
      <c r="AB143" s="254">
        <f t="shared" si="23"/>
        <v>29.58013406</v>
      </c>
      <c r="AC143" s="54"/>
      <c r="AD143" s="54"/>
      <c r="AE143" s="54"/>
    </row>
    <row r="144">
      <c r="A144" s="54"/>
      <c r="B144" s="110">
        <v>45611.0</v>
      </c>
      <c r="C144" s="110"/>
      <c r="D144" s="99"/>
      <c r="E144" s="100">
        <v>1393895.0</v>
      </c>
      <c r="F144" s="99">
        <f t="shared" si="26"/>
        <v>756</v>
      </c>
      <c r="G144" s="100">
        <v>610.0</v>
      </c>
      <c r="H144" s="101">
        <v>265.0</v>
      </c>
      <c r="I144" s="101">
        <v>247.56</v>
      </c>
      <c r="J144" s="102">
        <f t="shared" si="24"/>
        <v>17.44</v>
      </c>
      <c r="K144" s="103">
        <f t="shared" si="25"/>
        <v>32.74603175</v>
      </c>
      <c r="L144" s="54"/>
      <c r="M144" s="54"/>
      <c r="N144" s="54"/>
      <c r="O144" s="54"/>
      <c r="R144" s="249"/>
      <c r="S144" s="54"/>
      <c r="T144" s="275">
        <v>45585.0</v>
      </c>
      <c r="U144" s="71" t="s">
        <v>296</v>
      </c>
      <c r="V144" s="71">
        <v>1157488.0</v>
      </c>
      <c r="W144" s="71">
        <v>1498.0</v>
      </c>
      <c r="X144" s="71">
        <v>610.0</v>
      </c>
      <c r="Y144" s="72">
        <v>445.0</v>
      </c>
      <c r="Z144" s="72">
        <v>445.27</v>
      </c>
      <c r="AA144" s="72">
        <v>-0.27</v>
      </c>
      <c r="AB144" s="254">
        <f t="shared" si="23"/>
        <v>29.72429907</v>
      </c>
      <c r="AC144" s="54"/>
      <c r="AD144" s="54"/>
      <c r="AE144" s="54"/>
    </row>
    <row r="145">
      <c r="A145" s="54"/>
      <c r="B145" s="110">
        <v>45613.0</v>
      </c>
      <c r="C145" s="110"/>
      <c r="D145" s="99"/>
      <c r="E145" s="100">
        <v>1394679.0</v>
      </c>
      <c r="F145" s="99">
        <f t="shared" si="26"/>
        <v>784</v>
      </c>
      <c r="G145" s="100">
        <v>610.0</v>
      </c>
      <c r="H145" s="101">
        <v>266.0</v>
      </c>
      <c r="I145" s="101">
        <v>248.55</v>
      </c>
      <c r="J145" s="102">
        <f t="shared" si="24"/>
        <v>17.45</v>
      </c>
      <c r="K145" s="103">
        <f t="shared" si="25"/>
        <v>31.70280612</v>
      </c>
      <c r="L145" s="54"/>
      <c r="M145" s="54"/>
      <c r="N145" s="54"/>
      <c r="O145" s="54"/>
      <c r="R145" s="249"/>
      <c r="S145" s="54"/>
      <c r="T145" s="275">
        <v>45587.0</v>
      </c>
      <c r="U145" s="71" t="s">
        <v>296</v>
      </c>
      <c r="V145" s="71">
        <v>1159141.0</v>
      </c>
      <c r="W145" s="71">
        <v>1653.0</v>
      </c>
      <c r="X145" s="71">
        <v>610.0</v>
      </c>
      <c r="Y145" s="72">
        <v>499.0</v>
      </c>
      <c r="Z145" s="72">
        <v>488.47</v>
      </c>
      <c r="AA145" s="72">
        <v>10.53</v>
      </c>
      <c r="AB145" s="254">
        <f t="shared" si="23"/>
        <v>29.55051422</v>
      </c>
      <c r="AC145" s="54"/>
      <c r="AD145" s="54"/>
      <c r="AE145" s="54"/>
    </row>
    <row r="146">
      <c r="A146" s="54"/>
      <c r="B146" s="110">
        <v>45614.0</v>
      </c>
      <c r="C146" s="110"/>
      <c r="D146" s="99"/>
      <c r="E146" s="100">
        <v>1395437.0</v>
      </c>
      <c r="F146" s="99">
        <f t="shared" si="26"/>
        <v>758</v>
      </c>
      <c r="G146" s="100">
        <v>610.0</v>
      </c>
      <c r="H146" s="101">
        <v>234.0</v>
      </c>
      <c r="I146" s="101">
        <v>216.91</v>
      </c>
      <c r="J146" s="102">
        <f t="shared" si="24"/>
        <v>17.09</v>
      </c>
      <c r="K146" s="103">
        <f t="shared" si="25"/>
        <v>28.61609499</v>
      </c>
      <c r="L146" s="54"/>
      <c r="M146" s="54"/>
      <c r="N146" s="54"/>
      <c r="O146" s="54"/>
      <c r="R146" s="249"/>
      <c r="S146" s="54"/>
      <c r="T146" s="275">
        <v>45590.0</v>
      </c>
      <c r="U146" s="71" t="s">
        <v>296</v>
      </c>
      <c r="V146" s="71">
        <v>1160764.0</v>
      </c>
      <c r="W146" s="71">
        <v>1623.0</v>
      </c>
      <c r="X146" s="71">
        <v>607.0</v>
      </c>
      <c r="Y146" s="72">
        <v>472.0</v>
      </c>
      <c r="Z146" s="72">
        <v>450.0</v>
      </c>
      <c r="AA146" s="72">
        <v>22.0</v>
      </c>
      <c r="AB146" s="254">
        <f t="shared" si="23"/>
        <v>27.72643253</v>
      </c>
      <c r="AC146" s="54"/>
      <c r="AD146" s="54"/>
      <c r="AE146" s="54"/>
    </row>
    <row r="147">
      <c r="A147" s="54"/>
      <c r="B147" s="110">
        <v>45617.0</v>
      </c>
      <c r="C147" s="110"/>
      <c r="D147" s="99"/>
      <c r="E147" s="100">
        <v>1396328.0</v>
      </c>
      <c r="F147" s="99">
        <f t="shared" si="26"/>
        <v>891</v>
      </c>
      <c r="G147" s="100">
        <v>603.0</v>
      </c>
      <c r="H147" s="101">
        <v>270.0</v>
      </c>
      <c r="I147" s="101">
        <v>250.0</v>
      </c>
      <c r="J147" s="102">
        <f t="shared" si="24"/>
        <v>20</v>
      </c>
      <c r="K147" s="103">
        <f t="shared" si="25"/>
        <v>28.05836139</v>
      </c>
      <c r="L147" s="54"/>
      <c r="M147" s="54"/>
      <c r="N147" s="54"/>
      <c r="O147" s="54"/>
      <c r="R147" s="249"/>
      <c r="S147" s="54"/>
      <c r="T147" s="275">
        <v>45592.0</v>
      </c>
      <c r="U147" s="71" t="s">
        <v>296</v>
      </c>
      <c r="V147" s="71">
        <v>1162110.0</v>
      </c>
      <c r="W147" s="71">
        <v>1346.0</v>
      </c>
      <c r="X147" s="71">
        <v>610.0</v>
      </c>
      <c r="Y147" s="72">
        <v>431.0</v>
      </c>
      <c r="Z147" s="72">
        <v>435.07</v>
      </c>
      <c r="AA147" s="72">
        <v>-4.07</v>
      </c>
      <c r="AB147" s="254">
        <f t="shared" si="23"/>
        <v>32.32317979</v>
      </c>
      <c r="AC147" s="54"/>
      <c r="AD147" s="54"/>
      <c r="AE147" s="54"/>
    </row>
    <row r="148">
      <c r="A148" s="54"/>
      <c r="B148" s="110">
        <v>45618.0</v>
      </c>
      <c r="C148" s="110"/>
      <c r="D148" s="99"/>
      <c r="E148" s="100">
        <v>1397109.0</v>
      </c>
      <c r="F148" s="99">
        <f t="shared" si="26"/>
        <v>781</v>
      </c>
      <c r="G148" s="100">
        <v>606.0</v>
      </c>
      <c r="H148" s="101">
        <v>253.0</v>
      </c>
      <c r="I148" s="101">
        <v>236.92</v>
      </c>
      <c r="J148" s="102">
        <f t="shared" si="24"/>
        <v>16.08</v>
      </c>
      <c r="K148" s="103">
        <f t="shared" si="25"/>
        <v>30.33546735</v>
      </c>
      <c r="L148" s="54"/>
      <c r="M148" s="54"/>
      <c r="N148" s="54"/>
      <c r="O148" s="54"/>
      <c r="R148" s="249"/>
      <c r="S148" s="54"/>
      <c r="T148" s="275">
        <v>45594.0</v>
      </c>
      <c r="U148" s="71" t="s">
        <v>296</v>
      </c>
      <c r="V148" s="71">
        <v>1163609.0</v>
      </c>
      <c r="W148" s="71">
        <v>1499.0</v>
      </c>
      <c r="X148" s="71">
        <v>160.0</v>
      </c>
      <c r="Y148" s="72">
        <v>445.0</v>
      </c>
      <c r="Z148" s="72">
        <v>447.26</v>
      </c>
      <c r="AA148" s="72">
        <v>-2.26</v>
      </c>
      <c r="AB148" s="254">
        <f t="shared" si="23"/>
        <v>29.83722482</v>
      </c>
      <c r="AC148" s="54"/>
      <c r="AD148" s="54"/>
      <c r="AE148" s="54"/>
    </row>
    <row r="149">
      <c r="A149" s="54"/>
      <c r="B149" s="110">
        <v>45620.0</v>
      </c>
      <c r="C149" s="110"/>
      <c r="D149" s="99"/>
      <c r="E149" s="335">
        <v>1397892.0</v>
      </c>
      <c r="F149" s="99">
        <f t="shared" si="26"/>
        <v>783</v>
      </c>
      <c r="G149" s="100">
        <v>610.0</v>
      </c>
      <c r="H149" s="101">
        <v>271.0</v>
      </c>
      <c r="I149" s="101">
        <v>250.0</v>
      </c>
      <c r="J149" s="102">
        <f t="shared" si="24"/>
        <v>21</v>
      </c>
      <c r="K149" s="103">
        <f t="shared" si="25"/>
        <v>31.9284802</v>
      </c>
      <c r="L149" s="54"/>
      <c r="M149" s="54"/>
      <c r="N149" s="54"/>
      <c r="O149" s="54"/>
      <c r="R149" s="249"/>
      <c r="S149" s="66"/>
      <c r="T149" s="67" t="s">
        <v>97</v>
      </c>
      <c r="AA149" s="66"/>
      <c r="AB149" s="242"/>
      <c r="AC149" s="66"/>
      <c r="AD149" s="66"/>
      <c r="AE149" s="66"/>
    </row>
    <row r="150">
      <c r="A150" s="54"/>
      <c r="B150" s="110">
        <v>45621.0</v>
      </c>
      <c r="C150" s="110"/>
      <c r="D150" s="99"/>
      <c r="E150" s="100">
        <v>1398648.0</v>
      </c>
      <c r="F150" s="99">
        <f t="shared" si="26"/>
        <v>756</v>
      </c>
      <c r="G150" s="100">
        <v>610.0</v>
      </c>
      <c r="H150" s="101">
        <v>225.0</v>
      </c>
      <c r="I150" s="101">
        <v>209.83</v>
      </c>
      <c r="J150" s="102">
        <f t="shared" si="24"/>
        <v>15.17</v>
      </c>
      <c r="K150" s="103">
        <f t="shared" si="25"/>
        <v>27.75529101</v>
      </c>
      <c r="L150" s="54"/>
      <c r="M150" s="54"/>
      <c r="N150" s="54"/>
      <c r="O150" s="54"/>
      <c r="R150" s="249"/>
      <c r="S150" s="54"/>
      <c r="T150" s="70">
        <v>45597.0</v>
      </c>
      <c r="U150" s="71" t="s">
        <v>296</v>
      </c>
      <c r="V150" s="71">
        <v>1165305.0</v>
      </c>
      <c r="W150" s="71">
        <v>1696.0</v>
      </c>
      <c r="X150" s="71">
        <v>610.0</v>
      </c>
      <c r="Y150" s="72">
        <v>520.0</v>
      </c>
      <c r="Z150" s="72">
        <v>500.0</v>
      </c>
      <c r="AA150" s="72">
        <v>20.0</v>
      </c>
      <c r="AB150" s="254">
        <f t="shared" ref="AB150:AB162" si="27">Z150/W150*100</f>
        <v>29.48113208</v>
      </c>
      <c r="AC150" s="54"/>
      <c r="AD150" s="54"/>
      <c r="AE150" s="54"/>
    </row>
    <row r="151">
      <c r="A151" s="54"/>
      <c r="B151" s="110">
        <v>45623.0</v>
      </c>
      <c r="C151" s="110"/>
      <c r="D151" s="99"/>
      <c r="E151" s="100">
        <v>1399577.0</v>
      </c>
      <c r="F151" s="99">
        <f t="shared" si="26"/>
        <v>929</v>
      </c>
      <c r="G151" s="100">
        <v>610.0</v>
      </c>
      <c r="H151" s="101">
        <v>301.0</v>
      </c>
      <c r="I151" s="101">
        <v>290.0</v>
      </c>
      <c r="J151" s="102">
        <f t="shared" si="24"/>
        <v>11</v>
      </c>
      <c r="K151" s="103">
        <f t="shared" si="25"/>
        <v>31.21636168</v>
      </c>
      <c r="L151" s="54"/>
      <c r="M151" s="54"/>
      <c r="N151" s="54"/>
      <c r="O151" s="54"/>
      <c r="R151" s="249"/>
      <c r="S151" s="54"/>
      <c r="T151" s="70">
        <v>45599.0</v>
      </c>
      <c r="U151" s="71" t="s">
        <v>296</v>
      </c>
      <c r="V151" s="71">
        <v>1167014.0</v>
      </c>
      <c r="W151" s="71">
        <v>1709.0</v>
      </c>
      <c r="X151" s="71">
        <v>610.0</v>
      </c>
      <c r="Y151" s="72">
        <v>523.0</v>
      </c>
      <c r="Z151" s="72">
        <v>500.0</v>
      </c>
      <c r="AA151" s="72">
        <v>23.0</v>
      </c>
      <c r="AB151" s="254">
        <f t="shared" si="27"/>
        <v>29.25687537</v>
      </c>
      <c r="AC151" s="54"/>
      <c r="AD151" s="54"/>
      <c r="AE151" s="54"/>
    </row>
    <row r="152">
      <c r="A152" s="54"/>
      <c r="B152" s="110">
        <v>45623.0</v>
      </c>
      <c r="C152" s="110"/>
      <c r="D152" s="99"/>
      <c r="E152" s="335">
        <v>1400316.0</v>
      </c>
      <c r="F152" s="99">
        <f t="shared" si="26"/>
        <v>739</v>
      </c>
      <c r="G152" s="100">
        <v>610.0</v>
      </c>
      <c r="H152" s="101">
        <v>214.0</v>
      </c>
      <c r="I152" s="101">
        <v>197.77</v>
      </c>
      <c r="J152" s="102">
        <f t="shared" si="24"/>
        <v>16.23</v>
      </c>
      <c r="K152" s="103">
        <f t="shared" si="25"/>
        <v>26.76184032</v>
      </c>
      <c r="L152" s="54"/>
      <c r="M152" s="54"/>
      <c r="N152" s="54"/>
      <c r="O152" s="54"/>
      <c r="R152" s="249"/>
      <c r="S152" s="54"/>
      <c r="T152" s="70">
        <v>45601.0</v>
      </c>
      <c r="U152" s="71" t="s">
        <v>296</v>
      </c>
      <c r="V152" s="71">
        <v>1168589.0</v>
      </c>
      <c r="W152" s="71">
        <v>1575.0</v>
      </c>
      <c r="X152" s="71">
        <v>610.0</v>
      </c>
      <c r="Y152" s="72">
        <v>507.0</v>
      </c>
      <c r="Z152" s="72">
        <v>500.0</v>
      </c>
      <c r="AA152" s="72">
        <v>7.0</v>
      </c>
      <c r="AB152" s="254">
        <f t="shared" si="27"/>
        <v>31.74603175</v>
      </c>
      <c r="AC152" s="54"/>
      <c r="AD152" s="54"/>
      <c r="AE152" s="54"/>
    </row>
    <row r="153">
      <c r="A153" s="54"/>
      <c r="B153" s="110">
        <v>45624.0</v>
      </c>
      <c r="C153" s="110"/>
      <c r="D153" s="99"/>
      <c r="E153" s="100">
        <v>1401099.0</v>
      </c>
      <c r="F153" s="99">
        <f t="shared" si="26"/>
        <v>783</v>
      </c>
      <c r="G153" s="100">
        <v>592.0</v>
      </c>
      <c r="H153" s="101">
        <v>231.0</v>
      </c>
      <c r="I153" s="101">
        <v>220.0</v>
      </c>
      <c r="J153" s="102">
        <f t="shared" si="24"/>
        <v>11</v>
      </c>
      <c r="K153" s="103">
        <f t="shared" si="25"/>
        <v>28.09706258</v>
      </c>
      <c r="L153" s="54"/>
      <c r="M153" s="54"/>
      <c r="N153" s="54"/>
      <c r="O153" s="54"/>
      <c r="R153" s="249"/>
      <c r="S153" s="54"/>
      <c r="T153" s="70">
        <v>45604.0</v>
      </c>
      <c r="U153" s="71" t="s">
        <v>296</v>
      </c>
      <c r="V153" s="71">
        <v>1169954.0</v>
      </c>
      <c r="W153" s="71">
        <v>1365.0</v>
      </c>
      <c r="X153" s="71">
        <v>610.0</v>
      </c>
      <c r="Y153" s="72">
        <v>408.0</v>
      </c>
      <c r="Z153" s="72">
        <v>407.42</v>
      </c>
      <c r="AA153" s="72">
        <v>0.58</v>
      </c>
      <c r="AB153" s="254">
        <f t="shared" si="27"/>
        <v>29.84761905</v>
      </c>
      <c r="AC153" s="54"/>
      <c r="AD153" s="54"/>
      <c r="AE153" s="54"/>
    </row>
    <row r="154">
      <c r="A154" s="54"/>
      <c r="B154" s="110">
        <v>45625.0</v>
      </c>
      <c r="C154" s="110"/>
      <c r="D154" s="99"/>
      <c r="E154" s="100">
        <v>1401855.0</v>
      </c>
      <c r="F154" s="99">
        <f t="shared" si="26"/>
        <v>756</v>
      </c>
      <c r="G154" s="100">
        <v>610.0</v>
      </c>
      <c r="H154" s="101">
        <v>239.0</v>
      </c>
      <c r="I154" s="101">
        <v>220.09</v>
      </c>
      <c r="J154" s="102">
        <f t="shared" si="24"/>
        <v>18.91</v>
      </c>
      <c r="K154" s="103">
        <f t="shared" si="25"/>
        <v>29.11243386</v>
      </c>
      <c r="L154" s="54"/>
      <c r="M154" s="54"/>
      <c r="N154" s="54"/>
      <c r="O154" s="54"/>
      <c r="R154" s="249"/>
      <c r="S154" s="54"/>
      <c r="T154" s="275">
        <v>45607.0</v>
      </c>
      <c r="U154" s="71" t="s">
        <v>296</v>
      </c>
      <c r="V154" s="71">
        <v>1171391.0</v>
      </c>
      <c r="W154" s="71">
        <v>1437.0</v>
      </c>
      <c r="X154" s="71">
        <v>610.0</v>
      </c>
      <c r="Y154" s="72">
        <v>402.0</v>
      </c>
      <c r="Z154" s="72">
        <v>404.43</v>
      </c>
      <c r="AA154" s="72">
        <v>-2.43</v>
      </c>
      <c r="AB154" s="254">
        <f t="shared" si="27"/>
        <v>28.1440501</v>
      </c>
      <c r="AC154" s="54"/>
      <c r="AD154" s="54"/>
      <c r="AE154" s="54"/>
    </row>
    <row r="155">
      <c r="A155" s="66"/>
      <c r="B155" s="67" t="s">
        <v>98</v>
      </c>
      <c r="J155" s="66"/>
      <c r="K155" s="66"/>
      <c r="L155" s="66"/>
      <c r="M155" s="66"/>
      <c r="N155" s="66"/>
      <c r="O155" s="66"/>
      <c r="P155" s="68"/>
      <c r="Q155" s="68"/>
      <c r="R155" s="249"/>
      <c r="S155" s="54"/>
      <c r="T155" s="70">
        <v>45571.0</v>
      </c>
      <c r="U155" s="71" t="s">
        <v>296</v>
      </c>
      <c r="V155" s="71">
        <v>1148139.0</v>
      </c>
      <c r="W155" s="71">
        <v>1498.0</v>
      </c>
      <c r="X155" s="71">
        <v>610.0</v>
      </c>
      <c r="Y155" s="72">
        <v>445.0</v>
      </c>
      <c r="Z155" s="72">
        <v>450.0</v>
      </c>
      <c r="AA155" s="72">
        <v>-5.0</v>
      </c>
      <c r="AB155" s="254">
        <f t="shared" si="27"/>
        <v>30.0400534</v>
      </c>
      <c r="AC155" s="54"/>
      <c r="AD155" s="54"/>
      <c r="AE155" s="54"/>
    </row>
    <row r="156">
      <c r="A156" s="54"/>
      <c r="B156" s="110">
        <v>45628.0</v>
      </c>
      <c r="C156" s="110"/>
      <c r="D156" s="99"/>
      <c r="E156" s="100">
        <v>1403017.0</v>
      </c>
      <c r="F156" s="99">
        <f>E156-E154</f>
        <v>1162</v>
      </c>
      <c r="G156" s="100">
        <v>610.0</v>
      </c>
      <c r="H156" s="101">
        <v>349.0</v>
      </c>
      <c r="I156" s="101">
        <v>345.95</v>
      </c>
      <c r="J156" s="102">
        <f t="shared" ref="J156:J181" si="28">H156-I156</f>
        <v>3.05</v>
      </c>
      <c r="K156" s="103">
        <f t="shared" ref="K156:K181" si="29">I156/F156*100</f>
        <v>29.77194492</v>
      </c>
      <c r="L156" s="54"/>
      <c r="M156" s="82" t="str">
        <f>"тотал"&amp;" "&amp;B155&amp;" "&amp;RIGHT(YEAR(B156),2)</f>
        <v>тотал ДЕКАБРЬ 24</v>
      </c>
      <c r="N156" s="75"/>
      <c r="O156" s="75"/>
      <c r="P156" s="75"/>
      <c r="Q156" s="76"/>
      <c r="R156" s="249"/>
      <c r="S156" s="54"/>
      <c r="T156" s="275">
        <v>45612.0</v>
      </c>
      <c r="U156" s="71" t="s">
        <v>296</v>
      </c>
      <c r="V156" s="71">
        <v>1174539.0</v>
      </c>
      <c r="W156" s="71">
        <v>1505.0</v>
      </c>
      <c r="X156" s="71">
        <v>610.0</v>
      </c>
      <c r="Y156" s="72">
        <v>442.0</v>
      </c>
      <c r="Z156" s="72">
        <v>442.15</v>
      </c>
      <c r="AA156" s="72">
        <v>-0.15</v>
      </c>
      <c r="AB156" s="254">
        <f t="shared" si="27"/>
        <v>29.37873754</v>
      </c>
      <c r="AC156" s="54"/>
      <c r="AD156" s="54"/>
      <c r="AE156" s="54"/>
    </row>
    <row r="157">
      <c r="A157" s="54"/>
      <c r="B157" s="110">
        <v>45629.0</v>
      </c>
      <c r="C157" s="110"/>
      <c r="D157" s="99"/>
      <c r="E157" s="100">
        <v>1403773.0</v>
      </c>
      <c r="F157" s="99">
        <f t="shared" ref="F157:F181" si="30">E157-E156</f>
        <v>756</v>
      </c>
      <c r="G157" s="100">
        <v>607.0</v>
      </c>
      <c r="H157" s="101">
        <v>205.0</v>
      </c>
      <c r="I157" s="101">
        <v>183.6</v>
      </c>
      <c r="J157" s="102">
        <f t="shared" si="28"/>
        <v>21.4</v>
      </c>
      <c r="K157" s="103">
        <f t="shared" si="29"/>
        <v>24.28571429</v>
      </c>
      <c r="L157" s="54"/>
      <c r="M157" s="83" t="s">
        <v>70</v>
      </c>
      <c r="N157" s="83" t="s">
        <v>71</v>
      </c>
      <c r="O157" s="83" t="s">
        <v>27</v>
      </c>
      <c r="P157" s="77" t="s">
        <v>28</v>
      </c>
      <c r="Q157" s="12" t="s">
        <v>78</v>
      </c>
      <c r="R157" s="249"/>
      <c r="S157" s="54"/>
      <c r="T157" s="275">
        <v>45614.0</v>
      </c>
      <c r="U157" s="71" t="s">
        <v>296</v>
      </c>
      <c r="V157" s="71">
        <v>1176337.0</v>
      </c>
      <c r="W157" s="71">
        <v>1798.0</v>
      </c>
      <c r="X157" s="71">
        <v>585.0</v>
      </c>
      <c r="Y157" s="72">
        <v>511.0</v>
      </c>
      <c r="Z157" s="72">
        <v>500.0</v>
      </c>
      <c r="AA157" s="72">
        <v>11.0</v>
      </c>
      <c r="AB157" s="254">
        <f t="shared" si="27"/>
        <v>27.80867631</v>
      </c>
      <c r="AC157" s="54"/>
      <c r="AD157" s="54"/>
      <c r="AE157" s="54"/>
    </row>
    <row r="158">
      <c r="A158" s="54"/>
      <c r="B158" s="110">
        <v>45630.0</v>
      </c>
      <c r="C158" s="110"/>
      <c r="D158" s="99"/>
      <c r="E158" s="100">
        <v>1404555.0</v>
      </c>
      <c r="F158" s="99">
        <f t="shared" si="30"/>
        <v>782</v>
      </c>
      <c r="G158" s="100">
        <v>601.0</v>
      </c>
      <c r="H158" s="101">
        <v>254.0</v>
      </c>
      <c r="I158" s="101">
        <v>240.0</v>
      </c>
      <c r="J158" s="102">
        <f t="shared" si="28"/>
        <v>14</v>
      </c>
      <c r="K158" s="103">
        <f t="shared" si="29"/>
        <v>30.69053708</v>
      </c>
      <c r="L158" s="54"/>
      <c r="M158" s="84">
        <f>SUM(F156:F181)</f>
        <v>20391</v>
      </c>
      <c r="N158" s="84">
        <f>SUM(I156:I181)</f>
        <v>5968.12</v>
      </c>
      <c r="O158" s="85">
        <f>N158/M158*100</f>
        <v>29.26840273</v>
      </c>
      <c r="P158" s="79">
        <f>(M158/100)*(O158-Q158)</f>
        <v>258.64</v>
      </c>
      <c r="Q158" s="78">
        <v>28.0</v>
      </c>
      <c r="R158" s="249"/>
      <c r="S158" s="54"/>
      <c r="T158" s="275">
        <v>45617.0</v>
      </c>
      <c r="U158" s="71" t="s">
        <v>296</v>
      </c>
      <c r="V158" s="71">
        <v>1177963.0</v>
      </c>
      <c r="W158" s="71">
        <v>1626.0</v>
      </c>
      <c r="X158" s="71">
        <v>610.0</v>
      </c>
      <c r="Y158" s="72">
        <v>518.0</v>
      </c>
      <c r="Z158" s="72">
        <v>500.0</v>
      </c>
      <c r="AA158" s="72">
        <v>18.0</v>
      </c>
      <c r="AB158" s="254">
        <f t="shared" si="27"/>
        <v>30.7503075</v>
      </c>
      <c r="AC158" s="54"/>
      <c r="AD158" s="54"/>
      <c r="AE158" s="54"/>
    </row>
    <row r="159">
      <c r="A159" s="54"/>
      <c r="B159" s="110">
        <v>45631.0</v>
      </c>
      <c r="C159" s="110"/>
      <c r="D159" s="99"/>
      <c r="E159" s="100">
        <v>1405312.0</v>
      </c>
      <c r="F159" s="99">
        <f t="shared" si="30"/>
        <v>757</v>
      </c>
      <c r="G159" s="100">
        <v>603.0</v>
      </c>
      <c r="H159" s="101">
        <v>224.0</v>
      </c>
      <c r="I159" s="101">
        <v>208.53</v>
      </c>
      <c r="J159" s="102">
        <f t="shared" si="28"/>
        <v>15.47</v>
      </c>
      <c r="K159" s="103">
        <f t="shared" si="29"/>
        <v>27.54689564</v>
      </c>
      <c r="L159" s="54"/>
      <c r="M159" s="54"/>
      <c r="N159" s="54"/>
      <c r="O159" s="54"/>
      <c r="R159" s="249"/>
      <c r="S159" s="54"/>
      <c r="T159" s="275">
        <v>45619.0</v>
      </c>
      <c r="U159" s="71" t="s">
        <v>296</v>
      </c>
      <c r="V159" s="71">
        <v>1179468.0</v>
      </c>
      <c r="W159" s="71">
        <v>1505.0</v>
      </c>
      <c r="X159" s="71">
        <v>610.0</v>
      </c>
      <c r="Y159" s="72">
        <v>478.0</v>
      </c>
      <c r="Z159" s="72">
        <v>473.73</v>
      </c>
      <c r="AA159" s="72">
        <v>4.27</v>
      </c>
      <c r="AB159" s="254">
        <f t="shared" si="27"/>
        <v>31.47707641</v>
      </c>
      <c r="AC159" s="54"/>
      <c r="AD159" s="54"/>
      <c r="AE159" s="54"/>
    </row>
    <row r="160">
      <c r="A160" s="54"/>
      <c r="B160" s="110">
        <v>45632.0</v>
      </c>
      <c r="C160" s="110"/>
      <c r="D160" s="99"/>
      <c r="E160" s="100">
        <v>1406094.0</v>
      </c>
      <c r="F160" s="99">
        <f t="shared" si="30"/>
        <v>782</v>
      </c>
      <c r="G160" s="100">
        <v>608.0</v>
      </c>
      <c r="H160" s="101">
        <v>268.0</v>
      </c>
      <c r="I160" s="101">
        <v>250.0</v>
      </c>
      <c r="J160" s="102">
        <f t="shared" si="28"/>
        <v>18</v>
      </c>
      <c r="K160" s="103">
        <f t="shared" si="29"/>
        <v>31.96930946</v>
      </c>
      <c r="L160" s="54"/>
      <c r="M160" s="54"/>
      <c r="N160" s="54"/>
      <c r="O160" s="54"/>
      <c r="R160" s="249"/>
      <c r="S160" s="54"/>
      <c r="T160" s="275">
        <v>45621.0</v>
      </c>
      <c r="U160" s="71" t="s">
        <v>296</v>
      </c>
      <c r="V160" s="71">
        <v>1181104.0</v>
      </c>
      <c r="W160" s="71">
        <v>1636.0</v>
      </c>
      <c r="X160" s="71">
        <v>610.0</v>
      </c>
      <c r="Y160" s="72">
        <v>514.0</v>
      </c>
      <c r="Z160" s="72">
        <v>500.0</v>
      </c>
      <c r="AA160" s="72">
        <v>14.0</v>
      </c>
      <c r="AB160" s="254">
        <f t="shared" si="27"/>
        <v>30.56234719</v>
      </c>
      <c r="AC160" s="54"/>
      <c r="AD160" s="54"/>
      <c r="AE160" s="54"/>
    </row>
    <row r="161">
      <c r="A161" s="54"/>
      <c r="B161" s="110">
        <v>45633.0</v>
      </c>
      <c r="C161" s="110"/>
      <c r="D161" s="99"/>
      <c r="E161" s="100">
        <v>1406851.0</v>
      </c>
      <c r="F161" s="99">
        <f t="shared" si="30"/>
        <v>757</v>
      </c>
      <c r="G161" s="100">
        <v>610.0</v>
      </c>
      <c r="H161" s="101">
        <v>225.0</v>
      </c>
      <c r="I161" s="101">
        <v>205.84</v>
      </c>
      <c r="J161" s="102">
        <f t="shared" si="28"/>
        <v>19.16</v>
      </c>
      <c r="K161" s="103">
        <f t="shared" si="29"/>
        <v>27.19154557</v>
      </c>
      <c r="L161" s="54"/>
      <c r="M161" s="54"/>
      <c r="N161" s="54"/>
      <c r="O161" s="54"/>
      <c r="R161" s="249"/>
      <c r="S161" s="54"/>
      <c r="T161" s="275">
        <v>45624.0</v>
      </c>
      <c r="U161" s="71" t="s">
        <v>296</v>
      </c>
      <c r="V161" s="71">
        <v>1182864.0</v>
      </c>
      <c r="W161" s="71">
        <v>1760.0</v>
      </c>
      <c r="X161" s="71">
        <v>580.0</v>
      </c>
      <c r="Y161" s="72">
        <v>506.0</v>
      </c>
      <c r="Z161" s="72">
        <v>500.0</v>
      </c>
      <c r="AA161" s="72">
        <v>6.0</v>
      </c>
      <c r="AB161" s="254">
        <f t="shared" si="27"/>
        <v>28.40909091</v>
      </c>
      <c r="AC161" s="54"/>
      <c r="AD161" s="54"/>
      <c r="AE161" s="54"/>
    </row>
    <row r="162">
      <c r="A162" s="54"/>
      <c r="B162" s="110">
        <v>45634.0</v>
      </c>
      <c r="C162" s="110"/>
      <c r="D162" s="99"/>
      <c r="E162" s="100">
        <v>1407633.0</v>
      </c>
      <c r="F162" s="99">
        <f t="shared" si="30"/>
        <v>782</v>
      </c>
      <c r="G162" s="100">
        <v>605.0</v>
      </c>
      <c r="H162" s="101">
        <v>257.0</v>
      </c>
      <c r="I162" s="101">
        <v>240.0</v>
      </c>
      <c r="J162" s="102">
        <f t="shared" si="28"/>
        <v>17</v>
      </c>
      <c r="K162" s="103">
        <f t="shared" si="29"/>
        <v>30.69053708</v>
      </c>
      <c r="L162" s="54"/>
      <c r="M162" s="54"/>
      <c r="N162" s="54"/>
      <c r="O162" s="54"/>
      <c r="R162" s="249"/>
      <c r="S162" s="54"/>
      <c r="T162" s="275">
        <v>45626.0</v>
      </c>
      <c r="U162" s="71" t="s">
        <v>296</v>
      </c>
      <c r="V162" s="71">
        <v>1184109.0</v>
      </c>
      <c r="W162" s="71">
        <v>1245.0</v>
      </c>
      <c r="X162" s="71">
        <v>610.0</v>
      </c>
      <c r="Y162" s="72">
        <v>413.0</v>
      </c>
      <c r="Z162" s="72">
        <v>408.98</v>
      </c>
      <c r="AA162" s="72">
        <v>4.02</v>
      </c>
      <c r="AB162" s="254">
        <f t="shared" si="27"/>
        <v>32.8497992</v>
      </c>
      <c r="AC162" s="54"/>
      <c r="AD162" s="54"/>
      <c r="AE162" s="54"/>
    </row>
    <row r="163">
      <c r="A163" s="54"/>
      <c r="B163" s="110">
        <v>45635.0</v>
      </c>
      <c r="C163" s="110"/>
      <c r="D163" s="99"/>
      <c r="E163" s="100">
        <v>1408392.0</v>
      </c>
      <c r="F163" s="99">
        <f t="shared" si="30"/>
        <v>759</v>
      </c>
      <c r="G163" s="100">
        <v>604.0</v>
      </c>
      <c r="H163" s="101">
        <v>236.0</v>
      </c>
      <c r="I163" s="101">
        <v>220.17</v>
      </c>
      <c r="J163" s="102">
        <f t="shared" si="28"/>
        <v>15.83</v>
      </c>
      <c r="K163" s="103">
        <f t="shared" si="29"/>
        <v>29.00790514</v>
      </c>
      <c r="L163" s="54"/>
      <c r="M163" s="54"/>
      <c r="N163" s="54"/>
      <c r="O163" s="54"/>
      <c r="R163" s="249"/>
      <c r="S163" s="66"/>
      <c r="T163" s="67" t="s">
        <v>98</v>
      </c>
      <c r="AA163" s="66"/>
      <c r="AB163" s="242"/>
      <c r="AC163" s="66"/>
      <c r="AD163" s="66"/>
      <c r="AE163" s="66"/>
    </row>
    <row r="164">
      <c r="A164" s="54"/>
      <c r="B164" s="110">
        <v>45636.0</v>
      </c>
      <c r="C164" s="110"/>
      <c r="D164" s="99"/>
      <c r="E164" s="100">
        <v>1409174.0</v>
      </c>
      <c r="F164" s="99">
        <f t="shared" si="30"/>
        <v>782</v>
      </c>
      <c r="G164" s="100">
        <v>610.0</v>
      </c>
      <c r="H164" s="101">
        <v>246.0</v>
      </c>
      <c r="I164" s="101">
        <v>240.0</v>
      </c>
      <c r="J164" s="102">
        <f t="shared" si="28"/>
        <v>6</v>
      </c>
      <c r="K164" s="103">
        <f t="shared" si="29"/>
        <v>30.69053708</v>
      </c>
      <c r="L164" s="54"/>
      <c r="M164" s="54"/>
      <c r="N164" s="54"/>
      <c r="O164" s="54"/>
      <c r="R164" s="249"/>
      <c r="S164" s="54"/>
      <c r="T164" s="70">
        <v>45628.0</v>
      </c>
      <c r="U164" s="71" t="s">
        <v>296</v>
      </c>
      <c r="V164" s="71">
        <v>1185615.0</v>
      </c>
      <c r="W164" s="71">
        <v>1506.0</v>
      </c>
      <c r="X164" s="71">
        <v>610.0</v>
      </c>
      <c r="Y164" s="72">
        <v>477.0</v>
      </c>
      <c r="Z164" s="72">
        <v>465.25</v>
      </c>
      <c r="AA164" s="72">
        <v>11.75</v>
      </c>
      <c r="AB164" s="254">
        <f t="shared" ref="AB164:AB179" si="31">Z164/W164*100</f>
        <v>30.89309429</v>
      </c>
      <c r="AC164" s="54"/>
      <c r="AD164" s="54"/>
      <c r="AE164" s="54"/>
    </row>
    <row r="165">
      <c r="A165" s="54"/>
      <c r="B165" s="110">
        <v>45637.0</v>
      </c>
      <c r="C165" s="110"/>
      <c r="D165" s="99"/>
      <c r="E165" s="100">
        <v>1409933.0</v>
      </c>
      <c r="F165" s="99">
        <f t="shared" si="30"/>
        <v>759</v>
      </c>
      <c r="G165" s="100">
        <v>610.0</v>
      </c>
      <c r="H165" s="101">
        <v>226.0</v>
      </c>
      <c r="I165" s="101">
        <v>204.36</v>
      </c>
      <c r="J165" s="102">
        <f t="shared" si="28"/>
        <v>21.64</v>
      </c>
      <c r="K165" s="103">
        <f t="shared" si="29"/>
        <v>26.92490119</v>
      </c>
      <c r="L165" s="54"/>
      <c r="M165" s="54"/>
      <c r="N165" s="54"/>
      <c r="O165" s="54"/>
      <c r="R165" s="249"/>
      <c r="S165" s="54"/>
      <c r="T165" s="70">
        <v>45631.0</v>
      </c>
      <c r="U165" s="71" t="s">
        <v>296</v>
      </c>
      <c r="V165" s="71">
        <v>1187376.0</v>
      </c>
      <c r="W165" s="71">
        <v>1761.0</v>
      </c>
      <c r="X165" s="71">
        <v>570.0</v>
      </c>
      <c r="Y165" s="72">
        <v>501.0</v>
      </c>
      <c r="Z165" s="72">
        <v>500.0</v>
      </c>
      <c r="AA165" s="72">
        <v>1.0</v>
      </c>
      <c r="AB165" s="254">
        <f t="shared" si="31"/>
        <v>28.39295855</v>
      </c>
      <c r="AC165" s="54"/>
      <c r="AD165" s="54"/>
      <c r="AE165" s="54"/>
    </row>
    <row r="166">
      <c r="A166" s="54"/>
      <c r="B166" s="110">
        <v>45638.0</v>
      </c>
      <c r="C166" s="110"/>
      <c r="D166" s="99"/>
      <c r="E166" s="100">
        <v>1410715.0</v>
      </c>
      <c r="F166" s="99">
        <f t="shared" si="30"/>
        <v>782</v>
      </c>
      <c r="G166" s="100">
        <v>610.0</v>
      </c>
      <c r="H166" s="101">
        <v>242.0</v>
      </c>
      <c r="I166" s="101">
        <v>230.0</v>
      </c>
      <c r="J166" s="102">
        <f t="shared" si="28"/>
        <v>12</v>
      </c>
      <c r="K166" s="103">
        <f t="shared" si="29"/>
        <v>29.41176471</v>
      </c>
      <c r="L166" s="54"/>
      <c r="M166" s="54"/>
      <c r="N166" s="54"/>
      <c r="O166" s="54"/>
      <c r="R166" s="249"/>
      <c r="S166" s="54"/>
      <c r="T166" s="70">
        <v>45633.0</v>
      </c>
      <c r="U166" s="71" t="s">
        <v>296</v>
      </c>
      <c r="V166" s="71">
        <v>1188881.0</v>
      </c>
      <c r="W166" s="71">
        <v>1505.0</v>
      </c>
      <c r="X166" s="71">
        <v>610.0</v>
      </c>
      <c r="Y166" s="72">
        <v>512.0</v>
      </c>
      <c r="Z166" s="72">
        <v>499.44</v>
      </c>
      <c r="AA166" s="72">
        <v>12.56</v>
      </c>
      <c r="AB166" s="254">
        <f t="shared" si="31"/>
        <v>33.18538206</v>
      </c>
      <c r="AC166" s="54"/>
      <c r="AD166" s="54"/>
      <c r="AE166" s="54"/>
    </row>
    <row r="167">
      <c r="A167" s="54"/>
      <c r="B167" s="110">
        <v>45639.0</v>
      </c>
      <c r="C167" s="110"/>
      <c r="D167" s="99"/>
      <c r="E167" s="100">
        <v>1411472.0</v>
      </c>
      <c r="F167" s="99">
        <f t="shared" si="30"/>
        <v>757</v>
      </c>
      <c r="G167" s="100">
        <v>610.0</v>
      </c>
      <c r="H167" s="101">
        <v>243.0</v>
      </c>
      <c r="I167" s="101">
        <v>224.26</v>
      </c>
      <c r="J167" s="102">
        <f t="shared" si="28"/>
        <v>18.74</v>
      </c>
      <c r="K167" s="103">
        <f t="shared" si="29"/>
        <v>29.62483487</v>
      </c>
      <c r="L167" s="54"/>
      <c r="M167" s="54"/>
      <c r="N167" s="54"/>
      <c r="O167" s="54"/>
      <c r="R167" s="249"/>
      <c r="S167" s="54"/>
      <c r="T167" s="70">
        <v>45635.0</v>
      </c>
      <c r="U167" s="71" t="s">
        <v>296</v>
      </c>
      <c r="V167" s="71">
        <v>1190386.0</v>
      </c>
      <c r="W167" s="71">
        <v>1505.0</v>
      </c>
      <c r="X167" s="71">
        <v>610.0</v>
      </c>
      <c r="Y167" s="72">
        <v>508.0</v>
      </c>
      <c r="Z167" s="72">
        <v>494.2</v>
      </c>
      <c r="AA167" s="72">
        <v>13.8</v>
      </c>
      <c r="AB167" s="254">
        <f t="shared" si="31"/>
        <v>32.8372093</v>
      </c>
      <c r="AC167" s="54"/>
      <c r="AD167" s="54"/>
      <c r="AE167" s="54"/>
    </row>
    <row r="168">
      <c r="A168" s="54"/>
      <c r="B168" s="110">
        <v>45641.0</v>
      </c>
      <c r="C168" s="110"/>
      <c r="D168" s="99"/>
      <c r="E168" s="100">
        <v>1412256.0</v>
      </c>
      <c r="F168" s="99">
        <f t="shared" si="30"/>
        <v>784</v>
      </c>
      <c r="G168" s="100">
        <v>610.0</v>
      </c>
      <c r="H168" s="101">
        <v>263.0</v>
      </c>
      <c r="I168" s="101">
        <v>250.0</v>
      </c>
      <c r="J168" s="102">
        <f t="shared" si="28"/>
        <v>13</v>
      </c>
      <c r="K168" s="103">
        <f t="shared" si="29"/>
        <v>31.8877551</v>
      </c>
      <c r="L168" s="54"/>
      <c r="M168" s="54"/>
      <c r="N168" s="54"/>
      <c r="O168" s="54"/>
      <c r="R168" s="249"/>
      <c r="S168" s="54"/>
      <c r="T168" s="275">
        <v>45638.0</v>
      </c>
      <c r="U168" s="71" t="s">
        <v>296</v>
      </c>
      <c r="V168" s="71">
        <v>1191938.0</v>
      </c>
      <c r="W168" s="71">
        <v>1552.0</v>
      </c>
      <c r="X168" s="71">
        <v>610.0</v>
      </c>
      <c r="Y168" s="72">
        <v>514.0</v>
      </c>
      <c r="Z168" s="72">
        <v>500.0</v>
      </c>
      <c r="AA168" s="72">
        <v>14.0</v>
      </c>
      <c r="AB168" s="254">
        <f t="shared" si="31"/>
        <v>32.21649485</v>
      </c>
      <c r="AC168" s="54"/>
      <c r="AD168" s="54"/>
      <c r="AE168" s="54"/>
    </row>
    <row r="169">
      <c r="A169" s="54"/>
      <c r="B169" s="110">
        <v>45642.0</v>
      </c>
      <c r="C169" s="110"/>
      <c r="D169" s="99"/>
      <c r="E169" s="100">
        <v>1413013.0</v>
      </c>
      <c r="F169" s="99">
        <f t="shared" si="30"/>
        <v>757</v>
      </c>
      <c r="G169" s="100">
        <v>610.0</v>
      </c>
      <c r="H169" s="101">
        <v>228.0</v>
      </c>
      <c r="I169" s="101">
        <v>213.19</v>
      </c>
      <c r="J169" s="102">
        <f t="shared" si="28"/>
        <v>14.81</v>
      </c>
      <c r="K169" s="103">
        <f t="shared" si="29"/>
        <v>28.16248349</v>
      </c>
      <c r="L169" s="54"/>
      <c r="M169" s="54"/>
      <c r="N169" s="54"/>
      <c r="O169" s="54"/>
      <c r="R169" s="249"/>
      <c r="S169" s="54"/>
      <c r="T169" s="275">
        <v>45640.0</v>
      </c>
      <c r="U169" s="71" t="s">
        <v>296</v>
      </c>
      <c r="V169" s="71">
        <v>1193445.0</v>
      </c>
      <c r="W169" s="71">
        <v>1507.0</v>
      </c>
      <c r="X169" s="71">
        <v>610.0</v>
      </c>
      <c r="Y169" s="72">
        <v>497.0</v>
      </c>
      <c r="Z169" s="72">
        <v>486.01</v>
      </c>
      <c r="AA169" s="72">
        <v>10.99</v>
      </c>
      <c r="AB169" s="254">
        <f t="shared" si="31"/>
        <v>32.25016589</v>
      </c>
      <c r="AC169" s="54"/>
      <c r="AD169" s="54"/>
      <c r="AE169" s="54"/>
    </row>
    <row r="170">
      <c r="A170" s="54"/>
      <c r="B170" s="110">
        <v>45643.0</v>
      </c>
      <c r="C170" s="110"/>
      <c r="D170" s="99"/>
      <c r="E170" s="100">
        <v>1413796.0</v>
      </c>
      <c r="F170" s="99">
        <f t="shared" si="30"/>
        <v>783</v>
      </c>
      <c r="G170" s="100">
        <v>610.0</v>
      </c>
      <c r="H170" s="101">
        <v>246.0</v>
      </c>
      <c r="I170" s="101">
        <v>233.1</v>
      </c>
      <c r="J170" s="102">
        <f t="shared" si="28"/>
        <v>12.9</v>
      </c>
      <c r="K170" s="103">
        <f t="shared" si="29"/>
        <v>29.77011494</v>
      </c>
      <c r="L170" s="54"/>
      <c r="M170" s="54"/>
      <c r="N170" s="54"/>
      <c r="O170" s="54"/>
      <c r="R170" s="249"/>
      <c r="S170" s="54"/>
      <c r="T170" s="275">
        <v>45641.0</v>
      </c>
      <c r="U170" s="71" t="s">
        <v>296</v>
      </c>
      <c r="V170" s="71">
        <v>1194439.0</v>
      </c>
      <c r="W170" s="71">
        <v>994.0</v>
      </c>
      <c r="X170" s="71">
        <v>490.0</v>
      </c>
      <c r="Y170" s="72">
        <v>244.0</v>
      </c>
      <c r="Z170" s="72">
        <v>250.0</v>
      </c>
      <c r="AA170" s="72">
        <v>-6.0</v>
      </c>
      <c r="AB170" s="254">
        <f t="shared" si="31"/>
        <v>25.15090543</v>
      </c>
      <c r="AC170" s="54"/>
      <c r="AD170" s="54"/>
      <c r="AE170" s="54"/>
    </row>
    <row r="171">
      <c r="A171" s="54"/>
      <c r="B171" s="110">
        <v>45644.0</v>
      </c>
      <c r="C171" s="110"/>
      <c r="D171" s="99"/>
      <c r="E171" s="100">
        <v>1414553.0</v>
      </c>
      <c r="F171" s="99">
        <f t="shared" si="30"/>
        <v>757</v>
      </c>
      <c r="G171" s="100">
        <v>610.0</v>
      </c>
      <c r="H171" s="101">
        <v>250.0</v>
      </c>
      <c r="I171" s="101">
        <v>234.57</v>
      </c>
      <c r="J171" s="102">
        <f t="shared" si="28"/>
        <v>15.43</v>
      </c>
      <c r="K171" s="103">
        <f t="shared" si="29"/>
        <v>30.98678996</v>
      </c>
      <c r="L171" s="54"/>
      <c r="M171" s="54"/>
      <c r="N171" s="54"/>
      <c r="O171" s="54"/>
      <c r="R171" s="249"/>
      <c r="S171" s="54"/>
      <c r="T171" s="275">
        <v>45642.0</v>
      </c>
      <c r="U171" s="71" t="s">
        <v>296</v>
      </c>
      <c r="V171" s="71">
        <v>1194953.0</v>
      </c>
      <c r="W171" s="71">
        <v>514.0</v>
      </c>
      <c r="X171" s="71">
        <v>600.0</v>
      </c>
      <c r="Y171" s="72">
        <v>266.0</v>
      </c>
      <c r="Z171" s="72">
        <v>250.0</v>
      </c>
      <c r="AA171" s="72">
        <v>16.0</v>
      </c>
      <c r="AB171" s="254">
        <f t="shared" si="31"/>
        <v>48.6381323</v>
      </c>
      <c r="AC171" s="54"/>
      <c r="AD171" s="54"/>
      <c r="AE171" s="54"/>
    </row>
    <row r="172">
      <c r="A172" s="54"/>
      <c r="B172" s="110">
        <v>45645.0</v>
      </c>
      <c r="C172" s="110"/>
      <c r="D172" s="99"/>
      <c r="E172" s="100">
        <v>1415336.0</v>
      </c>
      <c r="F172" s="99">
        <f t="shared" si="30"/>
        <v>783</v>
      </c>
      <c r="G172" s="100">
        <v>610.0</v>
      </c>
      <c r="H172" s="101">
        <v>259.0</v>
      </c>
      <c r="I172" s="101">
        <v>240.0</v>
      </c>
      <c r="J172" s="102">
        <f t="shared" si="28"/>
        <v>19</v>
      </c>
      <c r="K172" s="103">
        <f t="shared" si="29"/>
        <v>30.651341</v>
      </c>
      <c r="L172" s="54"/>
      <c r="M172" s="54"/>
      <c r="N172" s="54"/>
      <c r="O172" s="54"/>
      <c r="R172" s="249"/>
      <c r="S172" s="54"/>
      <c r="T172" s="275">
        <v>45644.0</v>
      </c>
      <c r="U172" s="71" t="s">
        <v>296</v>
      </c>
      <c r="V172" s="71">
        <v>1196099.0</v>
      </c>
      <c r="W172" s="71">
        <v>1146.0</v>
      </c>
      <c r="X172" s="71">
        <v>504.0</v>
      </c>
      <c r="Y172" s="72">
        <v>290.0</v>
      </c>
      <c r="Z172" s="72">
        <v>300.0</v>
      </c>
      <c r="AA172" s="72">
        <v>-10.0</v>
      </c>
      <c r="AB172" s="254">
        <f t="shared" si="31"/>
        <v>26.17801047</v>
      </c>
      <c r="AC172" s="54"/>
      <c r="AD172" s="54"/>
      <c r="AE172" s="54"/>
    </row>
    <row r="173">
      <c r="A173" s="54"/>
      <c r="B173" s="110">
        <v>45646.0</v>
      </c>
      <c r="C173" s="110"/>
      <c r="D173" s="99"/>
      <c r="E173" s="100">
        <v>1416093.0</v>
      </c>
      <c r="F173" s="99">
        <f t="shared" si="30"/>
        <v>757</v>
      </c>
      <c r="G173" s="100">
        <v>610.0</v>
      </c>
      <c r="H173" s="101">
        <v>232.0</v>
      </c>
      <c r="I173" s="101">
        <v>219.57</v>
      </c>
      <c r="J173" s="102">
        <f t="shared" si="28"/>
        <v>12.43</v>
      </c>
      <c r="K173" s="103">
        <f t="shared" si="29"/>
        <v>29.00528402</v>
      </c>
      <c r="L173" s="54"/>
      <c r="M173" s="54"/>
      <c r="N173" s="54"/>
      <c r="O173" s="54"/>
      <c r="R173" s="249"/>
      <c r="S173" s="54"/>
      <c r="T173" s="275">
        <v>45645.0</v>
      </c>
      <c r="U173" s="71" t="s">
        <v>296</v>
      </c>
      <c r="V173" s="71">
        <v>1196611.0</v>
      </c>
      <c r="W173" s="71">
        <v>512.0</v>
      </c>
      <c r="X173" s="71">
        <v>563.0</v>
      </c>
      <c r="Y173" s="72">
        <v>201.0</v>
      </c>
      <c r="Z173" s="72">
        <v>200.0</v>
      </c>
      <c r="AA173" s="72">
        <v>1.0</v>
      </c>
      <c r="AB173" s="254">
        <f t="shared" si="31"/>
        <v>39.0625</v>
      </c>
      <c r="AC173" s="54"/>
      <c r="AD173" s="54"/>
      <c r="AE173" s="54"/>
    </row>
    <row r="174">
      <c r="A174" s="54"/>
      <c r="B174" s="110">
        <v>45648.0</v>
      </c>
      <c r="C174" s="110"/>
      <c r="D174" s="99"/>
      <c r="E174" s="100">
        <v>1416876.0</v>
      </c>
      <c r="F174" s="99">
        <f t="shared" si="30"/>
        <v>783</v>
      </c>
      <c r="G174" s="100">
        <v>610.0</v>
      </c>
      <c r="H174" s="101">
        <v>258.0</v>
      </c>
      <c r="I174" s="101">
        <v>240.0</v>
      </c>
      <c r="J174" s="102">
        <f t="shared" si="28"/>
        <v>18</v>
      </c>
      <c r="K174" s="103">
        <f t="shared" si="29"/>
        <v>30.651341</v>
      </c>
      <c r="L174" s="54"/>
      <c r="M174" s="54"/>
      <c r="N174" s="54"/>
      <c r="O174" s="54"/>
      <c r="R174" s="249"/>
      <c r="S174" s="54"/>
      <c r="T174" s="275">
        <v>45647.0</v>
      </c>
      <c r="U174" s="71" t="s">
        <v>296</v>
      </c>
      <c r="V174" s="71">
        <v>1198114.0</v>
      </c>
      <c r="W174" s="71">
        <v>1503.0</v>
      </c>
      <c r="X174" s="71">
        <v>610.0</v>
      </c>
      <c r="Y174" s="72">
        <v>481.0</v>
      </c>
      <c r="Z174" s="72">
        <v>473.63</v>
      </c>
      <c r="AA174" s="72">
        <v>7.37</v>
      </c>
      <c r="AB174" s="254">
        <f t="shared" si="31"/>
        <v>31.51230872</v>
      </c>
      <c r="AC174" s="54"/>
      <c r="AD174" s="54"/>
      <c r="AE174" s="54"/>
    </row>
    <row r="175">
      <c r="A175" s="54"/>
      <c r="B175" s="110">
        <v>45649.0</v>
      </c>
      <c r="C175" s="110"/>
      <c r="D175" s="99"/>
      <c r="E175" s="100">
        <v>1417628.0</v>
      </c>
      <c r="F175" s="99">
        <f t="shared" si="30"/>
        <v>752</v>
      </c>
      <c r="G175" s="100">
        <v>610.0</v>
      </c>
      <c r="H175" s="101">
        <v>218.0</v>
      </c>
      <c r="I175" s="101">
        <v>199.05</v>
      </c>
      <c r="J175" s="102">
        <f t="shared" si="28"/>
        <v>18.95</v>
      </c>
      <c r="K175" s="103">
        <f t="shared" si="29"/>
        <v>26.46941489</v>
      </c>
      <c r="L175" s="54"/>
      <c r="M175" s="54"/>
      <c r="N175" s="54"/>
      <c r="O175" s="54"/>
      <c r="R175" s="249"/>
      <c r="S175" s="54"/>
      <c r="T175" s="275">
        <v>45649.0</v>
      </c>
      <c r="U175" s="71" t="s">
        <v>296</v>
      </c>
      <c r="V175" s="71">
        <v>1199618.0</v>
      </c>
      <c r="W175" s="71">
        <v>1504.0</v>
      </c>
      <c r="X175" s="71">
        <v>610.0</v>
      </c>
      <c r="Y175" s="72">
        <v>460.0</v>
      </c>
      <c r="Z175" s="72">
        <v>452.35</v>
      </c>
      <c r="AA175" s="72">
        <v>7.65</v>
      </c>
      <c r="AB175" s="254">
        <f t="shared" si="31"/>
        <v>30.07646277</v>
      </c>
      <c r="AC175" s="54"/>
      <c r="AD175" s="54"/>
      <c r="AE175" s="54"/>
    </row>
    <row r="176">
      <c r="A176" s="54"/>
      <c r="B176" s="110">
        <v>45650.0</v>
      </c>
      <c r="C176" s="110"/>
      <c r="D176" s="99"/>
      <c r="E176" s="100">
        <v>1418411.0</v>
      </c>
      <c r="F176" s="99">
        <f t="shared" si="30"/>
        <v>783</v>
      </c>
      <c r="G176" s="100">
        <v>610.0</v>
      </c>
      <c r="H176" s="101">
        <v>256.0</v>
      </c>
      <c r="I176" s="101">
        <v>240.0</v>
      </c>
      <c r="J176" s="102">
        <f t="shared" si="28"/>
        <v>16</v>
      </c>
      <c r="K176" s="103">
        <f t="shared" si="29"/>
        <v>30.651341</v>
      </c>
      <c r="L176" s="54"/>
      <c r="M176" s="54"/>
      <c r="N176" s="54"/>
      <c r="O176" s="54"/>
      <c r="R176" s="249"/>
      <c r="S176" s="54"/>
      <c r="T176" s="275">
        <v>45651.0</v>
      </c>
      <c r="U176" s="71" t="s">
        <v>296</v>
      </c>
      <c r="V176" s="71">
        <v>1201122.0</v>
      </c>
      <c r="W176" s="71">
        <v>1504.0</v>
      </c>
      <c r="X176" s="71">
        <v>610.0</v>
      </c>
      <c r="Y176" s="72">
        <v>477.0</v>
      </c>
      <c r="Z176" s="72">
        <v>462.78</v>
      </c>
      <c r="AA176" s="72">
        <v>14.22</v>
      </c>
      <c r="AB176" s="254">
        <f t="shared" si="31"/>
        <v>30.76994681</v>
      </c>
      <c r="AC176" s="54"/>
      <c r="AD176" s="54"/>
      <c r="AE176" s="54"/>
    </row>
    <row r="177">
      <c r="A177" s="54"/>
      <c r="B177" s="110">
        <v>45651.0</v>
      </c>
      <c r="C177" s="110"/>
      <c r="D177" s="99"/>
      <c r="E177" s="100">
        <v>1419168.0</v>
      </c>
      <c r="F177" s="99">
        <f t="shared" si="30"/>
        <v>757</v>
      </c>
      <c r="G177" s="100">
        <v>607.0</v>
      </c>
      <c r="H177" s="101">
        <v>228.0</v>
      </c>
      <c r="I177" s="101">
        <v>211.34</v>
      </c>
      <c r="J177" s="102">
        <f t="shared" si="28"/>
        <v>16.66</v>
      </c>
      <c r="K177" s="103">
        <f t="shared" si="29"/>
        <v>27.91809775</v>
      </c>
      <c r="L177" s="54"/>
      <c r="M177" s="54"/>
      <c r="N177" s="54"/>
      <c r="O177" s="54"/>
      <c r="R177" s="249"/>
      <c r="S177" s="54"/>
      <c r="T177" s="275">
        <v>45653.0</v>
      </c>
      <c r="U177" s="71" t="s">
        <v>296</v>
      </c>
      <c r="V177" s="71">
        <v>1202631.0</v>
      </c>
      <c r="W177" s="71">
        <v>1509.0</v>
      </c>
      <c r="X177" s="71">
        <v>610.0</v>
      </c>
      <c r="Y177" s="72">
        <v>478.0</v>
      </c>
      <c r="Z177" s="72">
        <v>471.93</v>
      </c>
      <c r="AA177" s="72">
        <v>6.07</v>
      </c>
      <c r="AB177" s="254">
        <f t="shared" si="31"/>
        <v>31.27435388</v>
      </c>
      <c r="AC177" s="54"/>
      <c r="AD177" s="54"/>
      <c r="AE177" s="54"/>
    </row>
    <row r="178">
      <c r="A178" s="54"/>
      <c r="B178" s="110">
        <v>45652.0</v>
      </c>
      <c r="C178" s="110"/>
      <c r="D178" s="99"/>
      <c r="E178" s="100">
        <v>1419945.0</v>
      </c>
      <c r="F178" s="99">
        <f t="shared" si="30"/>
        <v>777</v>
      </c>
      <c r="G178" s="100">
        <v>610.0</v>
      </c>
      <c r="H178" s="101">
        <v>257.0</v>
      </c>
      <c r="I178" s="101">
        <v>240.0</v>
      </c>
      <c r="J178" s="102">
        <f t="shared" si="28"/>
        <v>17</v>
      </c>
      <c r="K178" s="103">
        <f t="shared" si="29"/>
        <v>30.88803089</v>
      </c>
      <c r="L178" s="54"/>
      <c r="M178" s="54"/>
      <c r="N178" s="54"/>
      <c r="O178" s="54"/>
      <c r="R178" s="249"/>
      <c r="S178" s="54"/>
      <c r="T178" s="275">
        <v>45655.0</v>
      </c>
      <c r="U178" s="71" t="s">
        <v>296</v>
      </c>
      <c r="V178" s="71">
        <v>1204138.0</v>
      </c>
      <c r="W178" s="71">
        <v>1507.0</v>
      </c>
      <c r="X178" s="71">
        <v>610.0</v>
      </c>
      <c r="Y178" s="72">
        <v>453.0</v>
      </c>
      <c r="Z178" s="72">
        <v>446.78</v>
      </c>
      <c r="AA178" s="72">
        <v>6.22</v>
      </c>
      <c r="AB178" s="254">
        <f t="shared" si="31"/>
        <v>29.64698076</v>
      </c>
      <c r="AC178" s="54"/>
      <c r="AD178" s="54"/>
      <c r="AE178" s="54"/>
    </row>
    <row r="179">
      <c r="A179" s="54"/>
      <c r="B179" s="110">
        <v>45653.0</v>
      </c>
      <c r="C179" s="110"/>
      <c r="D179" s="99"/>
      <c r="E179" s="100">
        <v>1420703.0</v>
      </c>
      <c r="F179" s="99">
        <f t="shared" si="30"/>
        <v>758</v>
      </c>
      <c r="G179" s="100">
        <v>610.0</v>
      </c>
      <c r="H179" s="101">
        <v>231.0</v>
      </c>
      <c r="I179" s="101">
        <v>214.06</v>
      </c>
      <c r="J179" s="102">
        <f t="shared" si="28"/>
        <v>16.94</v>
      </c>
      <c r="K179" s="103">
        <f t="shared" si="29"/>
        <v>28.24010554</v>
      </c>
      <c r="L179" s="54"/>
      <c r="M179" s="54"/>
      <c r="N179" s="54"/>
      <c r="O179" s="54"/>
      <c r="R179" s="249"/>
      <c r="S179" s="54"/>
      <c r="T179" s="275">
        <v>45656.0</v>
      </c>
      <c r="U179" s="71" t="s">
        <v>296</v>
      </c>
      <c r="V179" s="71">
        <v>1204978.0</v>
      </c>
      <c r="W179" s="71">
        <v>840.0</v>
      </c>
      <c r="X179" s="71">
        <v>610.0</v>
      </c>
      <c r="Y179" s="72">
        <v>286.0</v>
      </c>
      <c r="Z179" s="72">
        <v>278.84</v>
      </c>
      <c r="AA179" s="72">
        <v>7.16</v>
      </c>
      <c r="AB179" s="254">
        <f t="shared" si="31"/>
        <v>33.1952381</v>
      </c>
      <c r="AC179" s="54"/>
      <c r="AD179" s="54"/>
      <c r="AE179" s="54"/>
    </row>
    <row r="180">
      <c r="A180" s="54"/>
      <c r="B180" s="110">
        <v>45654.0</v>
      </c>
      <c r="C180" s="110"/>
      <c r="D180" s="99"/>
      <c r="E180" s="100">
        <v>1421489.0</v>
      </c>
      <c r="F180" s="99">
        <f t="shared" si="30"/>
        <v>786</v>
      </c>
      <c r="G180" s="100">
        <v>610.0</v>
      </c>
      <c r="H180" s="101">
        <v>248.0</v>
      </c>
      <c r="I180" s="101">
        <v>240.0</v>
      </c>
      <c r="J180" s="102">
        <f t="shared" si="28"/>
        <v>8</v>
      </c>
      <c r="K180" s="103">
        <f t="shared" si="29"/>
        <v>30.53435115</v>
      </c>
      <c r="L180" s="54"/>
      <c r="M180" s="54"/>
      <c r="N180" s="54"/>
      <c r="O180" s="54"/>
      <c r="R180" s="249"/>
      <c r="S180" s="54"/>
      <c r="T180" s="54"/>
      <c r="U180" s="54"/>
      <c r="V180" s="54"/>
      <c r="W180" s="54"/>
      <c r="X180" s="54"/>
      <c r="Y180" s="54"/>
      <c r="Z180" s="54"/>
      <c r="AA180" s="54"/>
      <c r="AB180" s="287"/>
      <c r="AC180" s="54"/>
      <c r="AD180" s="54"/>
      <c r="AE180" s="54"/>
    </row>
    <row r="181">
      <c r="A181" s="54"/>
      <c r="B181" s="110">
        <v>45655.0</v>
      </c>
      <c r="C181" s="110"/>
      <c r="D181" s="99"/>
      <c r="E181" s="100">
        <v>1422246.0</v>
      </c>
      <c r="F181" s="99">
        <f t="shared" si="30"/>
        <v>757</v>
      </c>
      <c r="G181" s="100">
        <v>606.0</v>
      </c>
      <c r="H181" s="101">
        <v>216.0</v>
      </c>
      <c r="I181" s="101">
        <v>200.53</v>
      </c>
      <c r="J181" s="102">
        <f t="shared" si="28"/>
        <v>15.47</v>
      </c>
      <c r="K181" s="103">
        <f t="shared" si="29"/>
        <v>26.49009247</v>
      </c>
      <c r="L181" s="54"/>
      <c r="M181" s="54"/>
      <c r="N181" s="54"/>
      <c r="O181" s="54"/>
      <c r="R181" s="249"/>
      <c r="S181" s="54"/>
      <c r="T181" s="54"/>
      <c r="U181" s="54"/>
      <c r="V181" s="54"/>
      <c r="W181" s="54"/>
      <c r="X181" s="54"/>
      <c r="Y181" s="54"/>
      <c r="Z181" s="54"/>
      <c r="AA181" s="54"/>
      <c r="AB181" s="287"/>
      <c r="AC181" s="54"/>
      <c r="AD181" s="54"/>
      <c r="AE181" s="54"/>
    </row>
    <row r="182">
      <c r="A182" s="66"/>
      <c r="B182" s="191">
        <v>2025.0</v>
      </c>
      <c r="J182" s="66"/>
      <c r="K182" s="66"/>
      <c r="L182" s="66"/>
      <c r="M182" s="66"/>
      <c r="N182" s="66"/>
      <c r="O182" s="66"/>
      <c r="P182" s="68"/>
      <c r="Q182" s="68"/>
      <c r="R182" s="249"/>
      <c r="S182" s="54"/>
      <c r="T182" s="54"/>
      <c r="U182" s="54"/>
      <c r="V182" s="54"/>
      <c r="W182" s="54"/>
      <c r="X182" s="54"/>
      <c r="Y182" s="54"/>
      <c r="Z182" s="54"/>
      <c r="AA182" s="54"/>
      <c r="AB182" s="287"/>
      <c r="AC182" s="54"/>
      <c r="AD182" s="54"/>
      <c r="AE182" s="54"/>
    </row>
    <row r="183">
      <c r="A183" s="66"/>
      <c r="B183" s="67" t="s">
        <v>66</v>
      </c>
      <c r="J183" s="66"/>
      <c r="K183" s="66"/>
      <c r="L183" s="66"/>
      <c r="M183" s="66"/>
      <c r="N183" s="66"/>
      <c r="O183" s="66"/>
      <c r="P183" s="68"/>
      <c r="Q183" s="68"/>
      <c r="R183" s="249"/>
      <c r="S183" s="54"/>
      <c r="T183" s="54"/>
      <c r="U183" s="54"/>
      <c r="V183" s="54"/>
      <c r="W183" s="54"/>
      <c r="X183" s="54"/>
      <c r="Y183" s="54"/>
      <c r="Z183" s="54"/>
      <c r="AA183" s="54"/>
      <c r="AB183" s="287"/>
      <c r="AC183" s="54"/>
      <c r="AD183" s="54"/>
      <c r="AE183" s="54"/>
    </row>
    <row r="184">
      <c r="A184" s="54"/>
      <c r="B184" s="110">
        <v>45666.0</v>
      </c>
      <c r="C184" s="110"/>
      <c r="D184" s="99"/>
      <c r="E184" s="100">
        <v>1423133.0</v>
      </c>
      <c r="F184" s="99">
        <f>E184-E181</f>
        <v>887</v>
      </c>
      <c r="G184" s="100">
        <v>610.0</v>
      </c>
      <c r="H184" s="178">
        <v>284.0</v>
      </c>
      <c r="I184" s="178">
        <v>269.07</v>
      </c>
      <c r="J184" s="350">
        <f t="shared" ref="J184:J201" si="32">H184-I184</f>
        <v>14.93</v>
      </c>
      <c r="K184" s="351">
        <f t="shared" ref="K184:K201" si="33">I184/F184*100</f>
        <v>30.33483653</v>
      </c>
      <c r="L184" s="54"/>
      <c r="M184" s="82" t="str">
        <f>"тотал"&amp;" "&amp;B183&amp;" "&amp;RIGHT(YEAR(B184),2)</f>
        <v>тотал ЯНВАРЬ 25</v>
      </c>
      <c r="N184" s="75"/>
      <c r="O184" s="75"/>
      <c r="P184" s="75"/>
      <c r="Q184" s="76"/>
      <c r="R184" s="249"/>
      <c r="S184" s="54"/>
      <c r="T184" s="54"/>
      <c r="U184" s="54"/>
      <c r="V184" s="54"/>
      <c r="W184" s="54"/>
      <c r="X184" s="54"/>
      <c r="Y184" s="54"/>
      <c r="Z184" s="54"/>
      <c r="AA184" s="54"/>
      <c r="AB184" s="287"/>
      <c r="AC184" s="54"/>
      <c r="AD184" s="54"/>
      <c r="AE184" s="54"/>
    </row>
    <row r="185">
      <c r="A185" s="54"/>
      <c r="B185" s="110">
        <v>45667.0</v>
      </c>
      <c r="C185" s="110"/>
      <c r="D185" s="99"/>
      <c r="E185" s="100">
        <v>1423934.0</v>
      </c>
      <c r="F185" s="99">
        <f t="shared" ref="F185:F201" si="34">E185-E184</f>
        <v>801</v>
      </c>
      <c r="G185" s="100">
        <v>610.0</v>
      </c>
      <c r="H185" s="178">
        <v>216.0</v>
      </c>
      <c r="I185" s="178">
        <v>204.62</v>
      </c>
      <c r="J185" s="350">
        <f t="shared" si="32"/>
        <v>11.38</v>
      </c>
      <c r="K185" s="351">
        <f t="shared" si="33"/>
        <v>25.54556804</v>
      </c>
      <c r="L185" s="54"/>
      <c r="M185" s="83" t="s">
        <v>70</v>
      </c>
      <c r="N185" s="83" t="s">
        <v>71</v>
      </c>
      <c r="O185" s="83" t="s">
        <v>27</v>
      </c>
      <c r="P185" s="77" t="s">
        <v>28</v>
      </c>
      <c r="Q185" s="12" t="s">
        <v>78</v>
      </c>
      <c r="R185" s="249"/>
      <c r="S185" s="54"/>
      <c r="T185" s="54"/>
      <c r="U185" s="54"/>
      <c r="V185" s="54"/>
      <c r="W185" s="54"/>
      <c r="X185" s="54"/>
      <c r="Y185" s="54"/>
      <c r="Z185" s="54"/>
      <c r="AA185" s="54"/>
      <c r="AB185" s="287"/>
      <c r="AC185" s="54"/>
      <c r="AD185" s="54"/>
      <c r="AE185" s="54"/>
    </row>
    <row r="186">
      <c r="A186" s="54"/>
      <c r="B186" s="110">
        <v>45669.0</v>
      </c>
      <c r="C186" s="110"/>
      <c r="D186" s="99"/>
      <c r="E186" s="100">
        <v>1424722.0</v>
      </c>
      <c r="F186" s="99">
        <f t="shared" si="34"/>
        <v>788</v>
      </c>
      <c r="G186" s="100">
        <v>596.0</v>
      </c>
      <c r="H186" s="178">
        <v>256.0</v>
      </c>
      <c r="I186" s="178">
        <v>240.0</v>
      </c>
      <c r="J186" s="350">
        <f t="shared" si="32"/>
        <v>16</v>
      </c>
      <c r="K186" s="351">
        <f t="shared" si="33"/>
        <v>30.45685279</v>
      </c>
      <c r="L186" s="54"/>
      <c r="M186" s="84">
        <f>SUM(F184:F201)</f>
        <v>14188</v>
      </c>
      <c r="N186" s="84">
        <f>SUM(I184:I201)</f>
        <v>4120.57</v>
      </c>
      <c r="O186" s="85">
        <f>N186/M186*100</f>
        <v>29.04264167</v>
      </c>
      <c r="P186" s="79">
        <f>(M186/100)*(O186-Q186)</f>
        <v>147.93</v>
      </c>
      <c r="Q186" s="78">
        <v>28.0</v>
      </c>
      <c r="R186" s="249"/>
      <c r="S186" s="54"/>
      <c r="T186" s="54"/>
      <c r="U186" s="54"/>
      <c r="V186" s="54"/>
      <c r="W186" s="54"/>
      <c r="X186" s="54"/>
      <c r="Y186" s="54"/>
      <c r="Z186" s="54"/>
      <c r="AA186" s="54"/>
      <c r="AB186" s="287"/>
      <c r="AC186" s="54"/>
      <c r="AD186" s="54"/>
      <c r="AE186" s="54"/>
    </row>
    <row r="187">
      <c r="A187" s="54"/>
      <c r="B187" s="110">
        <v>45670.0</v>
      </c>
      <c r="C187" s="110"/>
      <c r="D187" s="99"/>
      <c r="E187" s="100">
        <v>1425478.0</v>
      </c>
      <c r="F187" s="99">
        <f t="shared" si="34"/>
        <v>756</v>
      </c>
      <c r="G187" s="100">
        <v>610.0</v>
      </c>
      <c r="H187" s="178">
        <v>231.0</v>
      </c>
      <c r="I187" s="178">
        <v>211.66</v>
      </c>
      <c r="J187" s="350">
        <f t="shared" si="32"/>
        <v>19.34</v>
      </c>
      <c r="K187" s="351">
        <f t="shared" si="33"/>
        <v>27.9973545</v>
      </c>
      <c r="L187" s="54"/>
      <c r="M187" s="54"/>
      <c r="N187" s="54"/>
      <c r="O187" s="54"/>
      <c r="R187" s="249"/>
      <c r="S187" s="54"/>
      <c r="T187" s="54"/>
      <c r="U187" s="54"/>
      <c r="V187" s="54"/>
      <c r="W187" s="54"/>
      <c r="X187" s="54"/>
      <c r="Y187" s="54"/>
      <c r="Z187" s="54"/>
      <c r="AA187" s="54"/>
      <c r="AB187" s="287"/>
      <c r="AC187" s="54"/>
      <c r="AD187" s="54"/>
      <c r="AE187" s="54"/>
    </row>
    <row r="188">
      <c r="A188" s="54"/>
      <c r="B188" s="110">
        <v>45671.0</v>
      </c>
      <c r="C188" s="110"/>
      <c r="D188" s="99"/>
      <c r="E188" s="100">
        <v>1426261.0</v>
      </c>
      <c r="F188" s="99">
        <f t="shared" si="34"/>
        <v>783</v>
      </c>
      <c r="G188" s="100">
        <v>610.0</v>
      </c>
      <c r="H188" s="178">
        <v>259.0</v>
      </c>
      <c r="I188" s="178">
        <v>240.0</v>
      </c>
      <c r="J188" s="350">
        <f t="shared" si="32"/>
        <v>19</v>
      </c>
      <c r="K188" s="351">
        <f t="shared" si="33"/>
        <v>30.651341</v>
      </c>
      <c r="L188" s="54"/>
      <c r="M188" s="54"/>
      <c r="N188" s="54"/>
      <c r="O188" s="54"/>
      <c r="R188" s="249"/>
      <c r="S188" s="54"/>
      <c r="T188" s="54"/>
      <c r="U188" s="54"/>
      <c r="V188" s="54"/>
      <c r="W188" s="54"/>
      <c r="X188" s="54"/>
      <c r="Y188" s="54"/>
      <c r="Z188" s="54"/>
      <c r="AA188" s="54"/>
      <c r="AB188" s="287"/>
      <c r="AC188" s="54"/>
      <c r="AD188" s="54"/>
      <c r="AE188" s="54"/>
    </row>
    <row r="189">
      <c r="A189" s="54"/>
      <c r="B189" s="110">
        <v>45672.0</v>
      </c>
      <c r="C189" s="110"/>
      <c r="D189" s="99"/>
      <c r="E189" s="100">
        <v>1427018.0</v>
      </c>
      <c r="F189" s="99">
        <f t="shared" si="34"/>
        <v>757</v>
      </c>
      <c r="G189" s="100">
        <v>610.0</v>
      </c>
      <c r="H189" s="178">
        <v>238.0</v>
      </c>
      <c r="I189" s="178">
        <v>223.53</v>
      </c>
      <c r="J189" s="350">
        <f t="shared" si="32"/>
        <v>14.47</v>
      </c>
      <c r="K189" s="351">
        <f t="shared" si="33"/>
        <v>29.52840159</v>
      </c>
      <c r="L189" s="54"/>
      <c r="M189" s="54"/>
      <c r="N189" s="54"/>
      <c r="O189" s="54"/>
      <c r="R189" s="249"/>
      <c r="S189" s="54"/>
      <c r="T189" s="54"/>
      <c r="U189" s="54"/>
      <c r="V189" s="54"/>
      <c r="W189" s="54"/>
      <c r="X189" s="54"/>
      <c r="Y189" s="54"/>
      <c r="Z189" s="54"/>
      <c r="AA189" s="54"/>
      <c r="AB189" s="287"/>
      <c r="AC189" s="54"/>
      <c r="AD189" s="54"/>
      <c r="AE189" s="54"/>
    </row>
    <row r="190">
      <c r="A190" s="54"/>
      <c r="B190" s="110">
        <v>45673.0</v>
      </c>
      <c r="C190" s="110"/>
      <c r="D190" s="102"/>
      <c r="E190" s="100">
        <v>1427801.0</v>
      </c>
      <c r="F190" s="99">
        <f t="shared" si="34"/>
        <v>783</v>
      </c>
      <c r="G190" s="100">
        <v>610.0</v>
      </c>
      <c r="H190" s="178">
        <v>241.0</v>
      </c>
      <c r="I190" s="178">
        <v>230.0</v>
      </c>
      <c r="J190" s="350">
        <f t="shared" si="32"/>
        <v>11</v>
      </c>
      <c r="K190" s="351">
        <f t="shared" si="33"/>
        <v>29.37420179</v>
      </c>
      <c r="L190" s="54"/>
      <c r="M190" s="54"/>
      <c r="N190" s="54"/>
      <c r="O190" s="54"/>
      <c r="R190" s="249"/>
      <c r="S190" s="54"/>
      <c r="T190" s="54"/>
      <c r="U190" s="54"/>
      <c r="V190" s="54"/>
      <c r="W190" s="54"/>
      <c r="X190" s="54"/>
      <c r="Y190" s="54"/>
      <c r="Z190" s="54"/>
      <c r="AA190" s="54"/>
      <c r="AB190" s="287"/>
      <c r="AC190" s="54"/>
      <c r="AD190" s="54"/>
      <c r="AE190" s="54"/>
    </row>
    <row r="191">
      <c r="A191" s="54"/>
      <c r="B191" s="110">
        <v>45674.0</v>
      </c>
      <c r="C191" s="110"/>
      <c r="D191" s="102"/>
      <c r="E191" s="100">
        <v>1428557.0</v>
      </c>
      <c r="F191" s="99">
        <f t="shared" si="34"/>
        <v>756</v>
      </c>
      <c r="G191" s="100">
        <v>599.0</v>
      </c>
      <c r="H191" s="178">
        <v>227.0</v>
      </c>
      <c r="I191" s="178">
        <v>213.79</v>
      </c>
      <c r="J191" s="350">
        <f t="shared" si="32"/>
        <v>13.21</v>
      </c>
      <c r="K191" s="351">
        <f t="shared" si="33"/>
        <v>28.27910053</v>
      </c>
      <c r="L191" s="54"/>
      <c r="M191" s="54"/>
      <c r="N191" s="54"/>
      <c r="O191" s="54"/>
      <c r="R191" s="249"/>
      <c r="S191" s="54"/>
      <c r="T191" s="54"/>
      <c r="U191" s="54"/>
      <c r="V191" s="54"/>
      <c r="W191" s="54"/>
      <c r="X191" s="54"/>
      <c r="Y191" s="54"/>
      <c r="Z191" s="54"/>
      <c r="AA191" s="54"/>
      <c r="AB191" s="287"/>
      <c r="AC191" s="54"/>
      <c r="AD191" s="54"/>
      <c r="AE191" s="54"/>
    </row>
    <row r="192">
      <c r="A192" s="54"/>
      <c r="B192" s="110">
        <v>45676.0</v>
      </c>
      <c r="C192" s="110"/>
      <c r="D192" s="102"/>
      <c r="E192" s="100">
        <v>1429527.0</v>
      </c>
      <c r="F192" s="99">
        <f t="shared" si="34"/>
        <v>970</v>
      </c>
      <c r="G192" s="100">
        <v>591.0</v>
      </c>
      <c r="H192" s="178">
        <v>316.0</v>
      </c>
      <c r="I192" s="352">
        <v>300.0</v>
      </c>
      <c r="J192" s="350">
        <f t="shared" si="32"/>
        <v>16</v>
      </c>
      <c r="K192" s="351">
        <f t="shared" si="33"/>
        <v>30.92783505</v>
      </c>
      <c r="L192" s="54"/>
      <c r="M192" s="54"/>
      <c r="N192" s="54"/>
      <c r="O192" s="54"/>
      <c r="R192" s="249"/>
      <c r="S192" s="54"/>
      <c r="T192" s="54"/>
      <c r="U192" s="54"/>
      <c r="V192" s="54"/>
      <c r="W192" s="54"/>
      <c r="X192" s="54"/>
      <c r="Y192" s="54"/>
      <c r="Z192" s="54"/>
      <c r="AA192" s="54"/>
      <c r="AB192" s="287"/>
      <c r="AC192" s="54"/>
      <c r="AD192" s="54"/>
      <c r="AE192" s="54"/>
    </row>
    <row r="193">
      <c r="A193" s="54"/>
      <c r="B193" s="110">
        <v>45677.0</v>
      </c>
      <c r="C193" s="110"/>
      <c r="D193" s="102"/>
      <c r="E193" s="100">
        <v>1430283.0</v>
      </c>
      <c r="F193" s="99">
        <f t="shared" si="34"/>
        <v>756</v>
      </c>
      <c r="G193" s="100">
        <v>597.0</v>
      </c>
      <c r="H193" s="178">
        <v>242.0</v>
      </c>
      <c r="I193" s="178">
        <v>230.53</v>
      </c>
      <c r="J193" s="350">
        <f t="shared" si="32"/>
        <v>11.47</v>
      </c>
      <c r="K193" s="351">
        <f t="shared" si="33"/>
        <v>30.49338624</v>
      </c>
      <c r="L193" s="54"/>
      <c r="M193" s="54"/>
      <c r="N193" s="54"/>
      <c r="O193" s="54"/>
      <c r="R193" s="249"/>
      <c r="S193" s="54"/>
      <c r="T193" s="54"/>
      <c r="U193" s="54"/>
      <c r="V193" s="54"/>
      <c r="W193" s="54"/>
      <c r="X193" s="54"/>
      <c r="Y193" s="54"/>
      <c r="Z193" s="54"/>
      <c r="AA193" s="54"/>
      <c r="AB193" s="287"/>
      <c r="AC193" s="54"/>
      <c r="AD193" s="54"/>
      <c r="AE193" s="54"/>
    </row>
    <row r="194">
      <c r="A194" s="54"/>
      <c r="B194" s="110">
        <v>45678.0</v>
      </c>
      <c r="C194" s="110"/>
      <c r="D194" s="99"/>
      <c r="E194" s="100">
        <v>1431047.0</v>
      </c>
      <c r="F194" s="99">
        <f t="shared" si="34"/>
        <v>764</v>
      </c>
      <c r="G194" s="100">
        <v>610.0</v>
      </c>
      <c r="H194" s="178">
        <v>247.0</v>
      </c>
      <c r="I194" s="178">
        <v>230.0</v>
      </c>
      <c r="J194" s="350">
        <f t="shared" si="32"/>
        <v>17</v>
      </c>
      <c r="K194" s="351">
        <f t="shared" si="33"/>
        <v>30.10471204</v>
      </c>
      <c r="L194" s="54"/>
      <c r="M194" s="54"/>
      <c r="N194" s="54"/>
      <c r="O194" s="54"/>
      <c r="R194" s="249"/>
      <c r="S194" s="54"/>
      <c r="T194" s="54"/>
      <c r="U194" s="54"/>
      <c r="V194" s="54"/>
      <c r="W194" s="54"/>
      <c r="X194" s="54"/>
      <c r="Y194" s="54"/>
      <c r="Z194" s="54"/>
      <c r="AA194" s="54"/>
      <c r="AB194" s="287"/>
      <c r="AC194" s="54"/>
      <c r="AD194" s="54"/>
      <c r="AE194" s="54"/>
    </row>
    <row r="195">
      <c r="A195" s="54"/>
      <c r="B195" s="110">
        <v>45679.0</v>
      </c>
      <c r="C195" s="110"/>
      <c r="D195" s="99"/>
      <c r="E195" s="100">
        <v>1431804.0</v>
      </c>
      <c r="F195" s="99">
        <f t="shared" si="34"/>
        <v>757</v>
      </c>
      <c r="G195" s="100">
        <v>609.0</v>
      </c>
      <c r="H195" s="178">
        <v>213.0</v>
      </c>
      <c r="I195" s="178">
        <v>192.73</v>
      </c>
      <c r="J195" s="350">
        <f t="shared" si="32"/>
        <v>20.27</v>
      </c>
      <c r="K195" s="351">
        <f t="shared" si="33"/>
        <v>25.45970938</v>
      </c>
      <c r="L195" s="54"/>
      <c r="M195" s="54"/>
      <c r="N195" s="54"/>
      <c r="O195" s="54"/>
      <c r="R195" s="249"/>
      <c r="S195" s="54"/>
      <c r="T195" s="54"/>
      <c r="U195" s="54"/>
      <c r="V195" s="54"/>
      <c r="W195" s="54"/>
      <c r="X195" s="54"/>
      <c r="Y195" s="54"/>
      <c r="Z195" s="54"/>
      <c r="AA195" s="54"/>
      <c r="AB195" s="287"/>
      <c r="AC195" s="54"/>
      <c r="AD195" s="54"/>
      <c r="AE195" s="54"/>
    </row>
    <row r="196">
      <c r="A196" s="54"/>
      <c r="B196" s="110">
        <v>45680.0</v>
      </c>
      <c r="C196" s="110"/>
      <c r="D196" s="99"/>
      <c r="E196" s="100">
        <v>1432595.0</v>
      </c>
      <c r="F196" s="99">
        <f t="shared" si="34"/>
        <v>791</v>
      </c>
      <c r="G196" s="100">
        <v>597.0</v>
      </c>
      <c r="H196" s="178">
        <v>254.0</v>
      </c>
      <c r="I196" s="178">
        <v>240.0</v>
      </c>
      <c r="J196" s="350">
        <f t="shared" si="32"/>
        <v>14</v>
      </c>
      <c r="K196" s="351">
        <f t="shared" si="33"/>
        <v>30.34134008</v>
      </c>
      <c r="L196" s="54"/>
      <c r="M196" s="54"/>
      <c r="N196" s="54"/>
      <c r="O196" s="54"/>
      <c r="R196" s="249"/>
      <c r="S196" s="54"/>
      <c r="T196" s="54"/>
      <c r="U196" s="54"/>
      <c r="V196" s="54"/>
      <c r="W196" s="54"/>
      <c r="X196" s="54"/>
      <c r="Y196" s="54"/>
      <c r="Z196" s="54"/>
      <c r="AA196" s="54"/>
      <c r="AB196" s="287"/>
      <c r="AC196" s="54"/>
      <c r="AD196" s="54"/>
      <c r="AE196" s="54"/>
    </row>
    <row r="197">
      <c r="A197" s="54"/>
      <c r="B197" s="110">
        <v>45681.0</v>
      </c>
      <c r="C197" s="110"/>
      <c r="D197" s="99"/>
      <c r="E197" s="100">
        <v>1433351.0</v>
      </c>
      <c r="F197" s="99">
        <f t="shared" si="34"/>
        <v>756</v>
      </c>
      <c r="G197" s="100">
        <v>601.0</v>
      </c>
      <c r="H197" s="178">
        <v>223.0</v>
      </c>
      <c r="I197" s="178">
        <v>210.53</v>
      </c>
      <c r="J197" s="350">
        <f t="shared" si="32"/>
        <v>12.47</v>
      </c>
      <c r="K197" s="351">
        <f t="shared" si="33"/>
        <v>27.8478836</v>
      </c>
      <c r="L197" s="54"/>
      <c r="M197" s="54"/>
      <c r="N197" s="54"/>
      <c r="O197" s="54"/>
      <c r="R197" s="249"/>
      <c r="S197" s="54"/>
      <c r="T197" s="54"/>
      <c r="U197" s="54"/>
      <c r="V197" s="54"/>
      <c r="W197" s="54"/>
      <c r="X197" s="54"/>
      <c r="Y197" s="54"/>
      <c r="Z197" s="54"/>
      <c r="AA197" s="54"/>
      <c r="AB197" s="287"/>
      <c r="AC197" s="54"/>
      <c r="AD197" s="54"/>
      <c r="AE197" s="54"/>
    </row>
    <row r="198">
      <c r="A198" s="54"/>
      <c r="B198" s="110">
        <v>45685.0</v>
      </c>
      <c r="C198" s="110"/>
      <c r="D198" s="99"/>
      <c r="E198" s="100">
        <v>1434133.0</v>
      </c>
      <c r="F198" s="99">
        <f t="shared" si="34"/>
        <v>782</v>
      </c>
      <c r="G198" s="100">
        <v>599.0</v>
      </c>
      <c r="H198" s="178">
        <v>245.0</v>
      </c>
      <c r="I198" s="178">
        <v>230.0</v>
      </c>
      <c r="J198" s="350">
        <f t="shared" si="32"/>
        <v>15</v>
      </c>
      <c r="K198" s="351">
        <f t="shared" si="33"/>
        <v>29.41176471</v>
      </c>
      <c r="L198" s="54"/>
      <c r="M198" s="54"/>
      <c r="N198" s="54"/>
      <c r="O198" s="54"/>
      <c r="R198" s="249"/>
      <c r="S198" s="54"/>
      <c r="T198" s="54"/>
      <c r="U198" s="54"/>
      <c r="V198" s="54"/>
      <c r="W198" s="54"/>
      <c r="X198" s="54"/>
      <c r="Y198" s="54"/>
      <c r="Z198" s="54"/>
      <c r="AA198" s="54"/>
      <c r="AB198" s="287"/>
      <c r="AC198" s="54"/>
      <c r="AD198" s="54"/>
      <c r="AE198" s="54"/>
    </row>
    <row r="199">
      <c r="A199" s="54"/>
      <c r="B199" s="110">
        <v>45686.0</v>
      </c>
      <c r="C199" s="110"/>
      <c r="D199" s="99"/>
      <c r="E199" s="100">
        <v>1434889.0</v>
      </c>
      <c r="F199" s="99">
        <f t="shared" si="34"/>
        <v>756</v>
      </c>
      <c r="G199" s="100">
        <v>601.0</v>
      </c>
      <c r="H199" s="178">
        <v>215.0</v>
      </c>
      <c r="I199" s="178">
        <v>200.54</v>
      </c>
      <c r="J199" s="350">
        <f t="shared" si="32"/>
        <v>14.46</v>
      </c>
      <c r="K199" s="351">
        <f t="shared" si="33"/>
        <v>26.52645503</v>
      </c>
      <c r="L199" s="54"/>
      <c r="M199" s="54"/>
      <c r="N199" s="54"/>
      <c r="O199" s="54"/>
      <c r="R199" s="249"/>
      <c r="S199" s="54"/>
      <c r="T199" s="54"/>
      <c r="U199" s="54"/>
      <c r="V199" s="54"/>
      <c r="W199" s="54"/>
      <c r="X199" s="54"/>
      <c r="Y199" s="54"/>
      <c r="Z199" s="54"/>
      <c r="AA199" s="54"/>
      <c r="AB199" s="287"/>
      <c r="AC199" s="54"/>
      <c r="AD199" s="54"/>
      <c r="AE199" s="54"/>
    </row>
    <row r="200">
      <c r="A200" s="54"/>
      <c r="B200" s="110">
        <v>45687.0</v>
      </c>
      <c r="C200" s="110"/>
      <c r="D200" s="99"/>
      <c r="E200" s="100">
        <v>1435681.0</v>
      </c>
      <c r="F200" s="99">
        <f t="shared" si="34"/>
        <v>792</v>
      </c>
      <c r="G200" s="100">
        <v>588.0</v>
      </c>
      <c r="H200" s="178">
        <v>251.0</v>
      </c>
      <c r="I200" s="178">
        <v>240.0</v>
      </c>
      <c r="J200" s="350">
        <f t="shared" si="32"/>
        <v>11</v>
      </c>
      <c r="K200" s="351">
        <f t="shared" si="33"/>
        <v>30.3030303</v>
      </c>
      <c r="L200" s="54"/>
      <c r="M200" s="54"/>
      <c r="N200" s="54"/>
      <c r="O200" s="54"/>
      <c r="R200" s="249"/>
      <c r="S200" s="54"/>
      <c r="T200" s="54"/>
      <c r="U200" s="54"/>
      <c r="V200" s="54"/>
      <c r="W200" s="54"/>
      <c r="X200" s="54"/>
      <c r="Y200" s="54"/>
      <c r="Z200" s="54"/>
      <c r="AA200" s="54"/>
      <c r="AB200" s="287"/>
      <c r="AC200" s="54"/>
      <c r="AD200" s="54"/>
      <c r="AE200" s="54"/>
    </row>
    <row r="201">
      <c r="A201" s="54"/>
      <c r="B201" s="110">
        <v>45688.0</v>
      </c>
      <c r="C201" s="110"/>
      <c r="D201" s="99"/>
      <c r="E201" s="100">
        <v>1436434.0</v>
      </c>
      <c r="F201" s="99">
        <f t="shared" si="34"/>
        <v>753</v>
      </c>
      <c r="G201" s="100">
        <v>601.0</v>
      </c>
      <c r="H201" s="178">
        <v>227.0</v>
      </c>
      <c r="I201" s="178">
        <v>213.57</v>
      </c>
      <c r="J201" s="353">
        <f t="shared" si="32"/>
        <v>13.43</v>
      </c>
      <c r="K201" s="354">
        <f t="shared" si="33"/>
        <v>28.3625498</v>
      </c>
      <c r="L201" s="54"/>
      <c r="M201" s="54"/>
      <c r="N201" s="54"/>
      <c r="O201" s="54"/>
      <c r="R201" s="249"/>
      <c r="S201" s="54"/>
      <c r="T201" s="54"/>
      <c r="U201" s="54"/>
      <c r="V201" s="54"/>
      <c r="W201" s="54"/>
      <c r="X201" s="54"/>
      <c r="Y201" s="54"/>
      <c r="Z201" s="54"/>
      <c r="AA201" s="54"/>
      <c r="AB201" s="287"/>
      <c r="AC201" s="54"/>
      <c r="AD201" s="54"/>
      <c r="AE201" s="54"/>
    </row>
    <row r="202">
      <c r="A202" s="66"/>
      <c r="B202" s="67" t="s">
        <v>68</v>
      </c>
      <c r="J202" s="355"/>
      <c r="K202" s="356"/>
      <c r="L202" s="66"/>
      <c r="M202" s="66"/>
      <c r="N202" s="66"/>
      <c r="O202" s="66"/>
      <c r="P202" s="68"/>
      <c r="Q202" s="68"/>
      <c r="R202" s="249"/>
      <c r="S202" s="54"/>
      <c r="T202" s="54"/>
      <c r="U202" s="54"/>
      <c r="V202" s="54"/>
      <c r="W202" s="54"/>
      <c r="X202" s="54"/>
      <c r="Y202" s="54"/>
      <c r="Z202" s="54"/>
      <c r="AA202" s="54"/>
      <c r="AB202" s="287"/>
      <c r="AC202" s="54"/>
      <c r="AD202" s="54"/>
      <c r="AE202" s="54"/>
    </row>
    <row r="203">
      <c r="A203" s="54"/>
      <c r="B203" s="110">
        <v>45690.0</v>
      </c>
      <c r="C203" s="110"/>
      <c r="D203" s="99"/>
      <c r="E203" s="100">
        <v>1437214.0</v>
      </c>
      <c r="F203" s="99">
        <f>E203-E201</f>
        <v>780</v>
      </c>
      <c r="G203" s="100">
        <v>588.0</v>
      </c>
      <c r="H203" s="178">
        <v>241.0</v>
      </c>
      <c r="I203" s="178">
        <v>229.95</v>
      </c>
      <c r="J203" s="357">
        <f t="shared" ref="J203:J224" si="35">H203-I203</f>
        <v>11.05</v>
      </c>
      <c r="K203" s="358">
        <f t="shared" ref="K203:K224" si="36">I203/F203*100</f>
        <v>29.48076923</v>
      </c>
      <c r="L203" s="54"/>
      <c r="M203" s="82" t="str">
        <f>"тотал"&amp;" "&amp;B202&amp;" "&amp;RIGHT(YEAR(B203),2)</f>
        <v>тотал ФЕВРАЛЬ 25</v>
      </c>
      <c r="N203" s="75"/>
      <c r="O203" s="75"/>
      <c r="P203" s="75"/>
      <c r="Q203" s="76"/>
      <c r="R203" s="359"/>
      <c r="S203" s="54"/>
      <c r="T203" s="54"/>
      <c r="U203" s="54"/>
      <c r="V203" s="54"/>
      <c r="W203" s="54"/>
      <c r="X203" s="54"/>
      <c r="Y203" s="54"/>
      <c r="Z203" s="54"/>
      <c r="AA203" s="54"/>
      <c r="AB203" s="287"/>
      <c r="AC203" s="54"/>
      <c r="AD203" s="54"/>
      <c r="AE203" s="54"/>
    </row>
    <row r="204">
      <c r="A204" s="54"/>
      <c r="B204" s="110">
        <v>45691.0</v>
      </c>
      <c r="C204" s="110"/>
      <c r="D204" s="99"/>
      <c r="E204" s="100">
        <v>1437967.0</v>
      </c>
      <c r="F204" s="99">
        <f t="shared" ref="F204:F224" si="37">E204-E203</f>
        <v>753</v>
      </c>
      <c r="G204" s="100">
        <v>597.0</v>
      </c>
      <c r="H204" s="178">
        <v>236.0</v>
      </c>
      <c r="I204" s="178">
        <v>222.92</v>
      </c>
      <c r="J204" s="350">
        <f t="shared" si="35"/>
        <v>13.08</v>
      </c>
      <c r="K204" s="351">
        <f t="shared" si="36"/>
        <v>29.60424967</v>
      </c>
      <c r="L204" s="54"/>
      <c r="M204" s="83" t="s">
        <v>70</v>
      </c>
      <c r="N204" s="83" t="s">
        <v>71</v>
      </c>
      <c r="O204" s="83" t="s">
        <v>27</v>
      </c>
      <c r="P204" s="77" t="s">
        <v>28</v>
      </c>
      <c r="Q204" s="12" t="s">
        <v>78</v>
      </c>
      <c r="R204" s="249"/>
      <c r="S204" s="54"/>
      <c r="T204" s="54"/>
      <c r="U204" s="54"/>
      <c r="V204" s="54"/>
      <c r="W204" s="54"/>
      <c r="X204" s="54"/>
      <c r="Y204" s="54"/>
      <c r="Z204" s="54"/>
      <c r="AA204" s="54"/>
      <c r="AB204" s="287"/>
      <c r="AC204" s="54"/>
      <c r="AD204" s="54"/>
      <c r="AE204" s="54"/>
    </row>
    <row r="205">
      <c r="A205" s="54"/>
      <c r="B205" s="110">
        <v>45692.0</v>
      </c>
      <c r="C205" s="110"/>
      <c r="D205" s="99"/>
      <c r="E205" s="100">
        <v>1438728.0</v>
      </c>
      <c r="F205" s="99">
        <f t="shared" si="37"/>
        <v>761</v>
      </c>
      <c r="G205" s="100">
        <v>610.0</v>
      </c>
      <c r="H205" s="178">
        <v>243.0</v>
      </c>
      <c r="I205" s="178">
        <v>230.0</v>
      </c>
      <c r="J205" s="350">
        <f t="shared" si="35"/>
        <v>13</v>
      </c>
      <c r="K205" s="351">
        <f t="shared" si="36"/>
        <v>30.22339028</v>
      </c>
      <c r="L205" s="54"/>
      <c r="M205" s="84">
        <f>SUM(F203:F224)</f>
        <v>16784</v>
      </c>
      <c r="N205" s="84">
        <f>SUM(I203:I224)</f>
        <v>4975.89</v>
      </c>
      <c r="O205" s="85">
        <f>N205/M205*100</f>
        <v>29.64662774</v>
      </c>
      <c r="P205" s="79">
        <f>(M205/100)*(O205-Q205)</f>
        <v>276.37</v>
      </c>
      <c r="Q205" s="78">
        <v>28.0</v>
      </c>
      <c r="R205" s="249"/>
      <c r="S205" s="54"/>
      <c r="T205" s="54"/>
      <c r="U205" s="54"/>
      <c r="V205" s="54"/>
      <c r="W205" s="54"/>
      <c r="X205" s="54"/>
      <c r="Y205" s="54"/>
      <c r="Z205" s="54"/>
      <c r="AA205" s="54"/>
      <c r="AB205" s="287"/>
      <c r="AC205" s="54"/>
      <c r="AD205" s="54"/>
      <c r="AE205" s="54"/>
    </row>
    <row r="206">
      <c r="A206" s="54"/>
      <c r="B206" s="110">
        <v>45693.0</v>
      </c>
      <c r="C206" s="110"/>
      <c r="D206" s="99"/>
      <c r="E206" s="111">
        <v>1439481.0</v>
      </c>
      <c r="F206" s="99">
        <f t="shared" si="37"/>
        <v>753</v>
      </c>
      <c r="G206" s="100">
        <v>597.0</v>
      </c>
      <c r="H206" s="178">
        <v>214.0</v>
      </c>
      <c r="I206" s="178">
        <v>199.93</v>
      </c>
      <c r="J206" s="350">
        <f t="shared" si="35"/>
        <v>14.07</v>
      </c>
      <c r="K206" s="351">
        <f t="shared" si="36"/>
        <v>26.55112882</v>
      </c>
      <c r="L206" s="54"/>
      <c r="M206" s="54"/>
      <c r="N206" s="54"/>
      <c r="O206" s="54"/>
      <c r="R206" s="249"/>
      <c r="S206" s="54"/>
      <c r="T206" s="54"/>
      <c r="U206" s="54"/>
      <c r="V206" s="54"/>
      <c r="W206" s="54"/>
      <c r="X206" s="54"/>
      <c r="Y206" s="54"/>
      <c r="Z206" s="54"/>
      <c r="AA206" s="54"/>
      <c r="AB206" s="287"/>
      <c r="AC206" s="54"/>
      <c r="AD206" s="54"/>
      <c r="AE206" s="54"/>
    </row>
    <row r="207">
      <c r="A207" s="54"/>
      <c r="B207" s="110">
        <v>45694.0</v>
      </c>
      <c r="C207" s="110"/>
      <c r="D207" s="99"/>
      <c r="E207" s="100">
        <v>1440261.0</v>
      </c>
      <c r="F207" s="99">
        <f t="shared" si="37"/>
        <v>780</v>
      </c>
      <c r="G207" s="100">
        <v>585.0</v>
      </c>
      <c r="H207" s="178">
        <v>241.0</v>
      </c>
      <c r="I207" s="178">
        <v>230.0</v>
      </c>
      <c r="J207" s="350">
        <f t="shared" si="35"/>
        <v>11</v>
      </c>
      <c r="K207" s="351">
        <f t="shared" si="36"/>
        <v>29.48717949</v>
      </c>
      <c r="L207" s="54"/>
      <c r="M207" s="54"/>
      <c r="N207" s="54"/>
      <c r="O207" s="54"/>
      <c r="R207" s="249"/>
      <c r="S207" s="54"/>
      <c r="T207" s="54"/>
      <c r="U207" s="54"/>
      <c r="V207" s="54"/>
      <c r="W207" s="54"/>
      <c r="X207" s="54"/>
      <c r="Y207" s="54"/>
      <c r="Z207" s="54"/>
      <c r="AA207" s="54"/>
      <c r="AB207" s="287"/>
      <c r="AC207" s="54"/>
      <c r="AD207" s="54"/>
      <c r="AE207" s="54"/>
    </row>
    <row r="208">
      <c r="A208" s="54"/>
      <c r="B208" s="110">
        <v>45695.0</v>
      </c>
      <c r="C208" s="110"/>
      <c r="D208" s="99"/>
      <c r="E208" s="100">
        <v>1441018.0</v>
      </c>
      <c r="F208" s="99">
        <f t="shared" si="37"/>
        <v>757</v>
      </c>
      <c r="G208" s="100">
        <v>605.0</v>
      </c>
      <c r="H208" s="178">
        <v>242.0</v>
      </c>
      <c r="I208" s="178">
        <v>223.01</v>
      </c>
      <c r="J208" s="350">
        <f t="shared" si="35"/>
        <v>18.99</v>
      </c>
      <c r="K208" s="351">
        <f t="shared" si="36"/>
        <v>29.45970938</v>
      </c>
      <c r="L208" s="54"/>
      <c r="M208" s="54"/>
      <c r="N208" s="54"/>
      <c r="O208" s="54"/>
      <c r="R208" s="249"/>
      <c r="S208" s="54"/>
      <c r="T208" s="54"/>
      <c r="U208" s="54"/>
      <c r="V208" s="54"/>
      <c r="W208" s="54"/>
      <c r="X208" s="54"/>
      <c r="Y208" s="54"/>
      <c r="Z208" s="54"/>
      <c r="AA208" s="54"/>
      <c r="AB208" s="287"/>
      <c r="AC208" s="54"/>
      <c r="AD208" s="54"/>
      <c r="AE208" s="54"/>
    </row>
    <row r="209">
      <c r="A209" s="54"/>
      <c r="B209" s="110">
        <v>45699.0</v>
      </c>
      <c r="C209" s="110"/>
      <c r="D209" s="99"/>
      <c r="E209" s="100">
        <v>1441800.0</v>
      </c>
      <c r="F209" s="99">
        <f t="shared" si="37"/>
        <v>782</v>
      </c>
      <c r="G209" s="100">
        <v>583.0</v>
      </c>
      <c r="H209" s="178">
        <v>241.0</v>
      </c>
      <c r="I209" s="178">
        <v>230.0</v>
      </c>
      <c r="J209" s="350">
        <f t="shared" si="35"/>
        <v>11</v>
      </c>
      <c r="K209" s="351">
        <f t="shared" si="36"/>
        <v>29.41176471</v>
      </c>
      <c r="L209" s="54"/>
      <c r="M209" s="54"/>
      <c r="N209" s="54"/>
      <c r="O209" s="54"/>
      <c r="R209" s="249"/>
      <c r="S209" s="54"/>
      <c r="T209" s="54"/>
      <c r="U209" s="54"/>
      <c r="V209" s="54"/>
      <c r="W209" s="54"/>
      <c r="X209" s="54"/>
      <c r="Y209" s="54"/>
      <c r="Z209" s="54"/>
      <c r="AA209" s="54"/>
      <c r="AB209" s="287"/>
      <c r="AC209" s="54"/>
      <c r="AD209" s="54"/>
      <c r="AE209" s="54"/>
    </row>
    <row r="210">
      <c r="A210" s="54"/>
      <c r="B210" s="110">
        <v>45700.0</v>
      </c>
      <c r="C210" s="110"/>
      <c r="D210" s="99"/>
      <c r="E210" s="100">
        <v>1442558.0</v>
      </c>
      <c r="F210" s="99">
        <f t="shared" si="37"/>
        <v>758</v>
      </c>
      <c r="G210" s="100">
        <v>587.0</v>
      </c>
      <c r="H210" s="178">
        <v>239.0</v>
      </c>
      <c r="I210" s="178">
        <v>230.34</v>
      </c>
      <c r="J210" s="350">
        <f t="shared" si="35"/>
        <v>8.66</v>
      </c>
      <c r="K210" s="351">
        <f t="shared" si="36"/>
        <v>30.3878628</v>
      </c>
      <c r="L210" s="54"/>
      <c r="M210" s="54"/>
      <c r="N210" s="54"/>
      <c r="O210" s="54"/>
      <c r="R210" s="249"/>
      <c r="S210" s="54"/>
      <c r="T210" s="54"/>
      <c r="U210" s="54"/>
      <c r="V210" s="54"/>
      <c r="W210" s="54"/>
      <c r="X210" s="54"/>
      <c r="Y210" s="54"/>
      <c r="Z210" s="54"/>
      <c r="AA210" s="54"/>
      <c r="AB210" s="287"/>
      <c r="AC210" s="54"/>
      <c r="AD210" s="54"/>
      <c r="AE210" s="54"/>
    </row>
    <row r="211">
      <c r="A211" s="54"/>
      <c r="B211" s="110">
        <v>45701.0</v>
      </c>
      <c r="C211" s="110"/>
      <c r="D211" s="99"/>
      <c r="E211" s="100">
        <v>1443342.0</v>
      </c>
      <c r="F211" s="99">
        <f t="shared" si="37"/>
        <v>784</v>
      </c>
      <c r="G211" s="100">
        <v>581.0</v>
      </c>
      <c r="H211" s="178">
        <v>250.0</v>
      </c>
      <c r="I211" s="178">
        <v>240.0</v>
      </c>
      <c r="J211" s="350">
        <f t="shared" si="35"/>
        <v>10</v>
      </c>
      <c r="K211" s="351">
        <f t="shared" si="36"/>
        <v>30.6122449</v>
      </c>
      <c r="L211" s="54"/>
      <c r="M211" s="54"/>
      <c r="N211" s="54"/>
      <c r="O211" s="54"/>
      <c r="R211" s="249"/>
      <c r="S211" s="54"/>
      <c r="T211" s="54"/>
      <c r="U211" s="54"/>
      <c r="V211" s="54"/>
      <c r="W211" s="54"/>
      <c r="X211" s="54"/>
      <c r="Y211" s="54"/>
      <c r="Z211" s="54"/>
      <c r="AA211" s="54"/>
      <c r="AB211" s="287"/>
      <c r="AC211" s="54"/>
      <c r="AD211" s="54"/>
      <c r="AE211" s="54"/>
    </row>
    <row r="212">
      <c r="A212" s="54"/>
      <c r="B212" s="110">
        <v>45702.0</v>
      </c>
      <c r="C212" s="110"/>
      <c r="D212" s="99"/>
      <c r="E212" s="100">
        <v>1444100.0</v>
      </c>
      <c r="F212" s="99">
        <f t="shared" si="37"/>
        <v>758</v>
      </c>
      <c r="G212" s="100">
        <v>586.0</v>
      </c>
      <c r="H212" s="178">
        <v>234.0</v>
      </c>
      <c r="I212" s="178">
        <v>224.31</v>
      </c>
      <c r="J212" s="350">
        <f t="shared" si="35"/>
        <v>9.69</v>
      </c>
      <c r="K212" s="351">
        <f t="shared" si="36"/>
        <v>29.59234828</v>
      </c>
      <c r="L212" s="54"/>
      <c r="M212" s="54"/>
      <c r="N212" s="54"/>
      <c r="O212" s="54"/>
      <c r="R212" s="249"/>
      <c r="S212" s="54"/>
      <c r="T212" s="54"/>
      <c r="U212" s="54"/>
      <c r="V212" s="54"/>
      <c r="W212" s="54"/>
      <c r="X212" s="54"/>
      <c r="Y212" s="54"/>
      <c r="Z212" s="54"/>
      <c r="AA212" s="54"/>
      <c r="AB212" s="287"/>
      <c r="AC212" s="54"/>
      <c r="AD212" s="54"/>
      <c r="AE212" s="54"/>
    </row>
    <row r="213">
      <c r="A213" s="54"/>
      <c r="B213" s="110">
        <v>45704.0</v>
      </c>
      <c r="C213" s="110"/>
      <c r="D213" s="99"/>
      <c r="E213" s="100">
        <v>1444883.0</v>
      </c>
      <c r="F213" s="99">
        <f t="shared" si="37"/>
        <v>783</v>
      </c>
      <c r="G213" s="100">
        <v>592.0</v>
      </c>
      <c r="H213" s="178">
        <v>254.0</v>
      </c>
      <c r="I213" s="178">
        <v>240.0</v>
      </c>
      <c r="J213" s="350">
        <f t="shared" si="35"/>
        <v>14</v>
      </c>
      <c r="K213" s="351">
        <f t="shared" si="36"/>
        <v>30.651341</v>
      </c>
      <c r="L213" s="54"/>
      <c r="M213" s="54"/>
      <c r="N213" s="54"/>
      <c r="O213" s="54"/>
      <c r="R213" s="249"/>
      <c r="S213" s="54"/>
      <c r="T213" s="54"/>
      <c r="U213" s="54"/>
      <c r="V213" s="54"/>
      <c r="W213" s="54"/>
      <c r="X213" s="54"/>
      <c r="Y213" s="54"/>
      <c r="Z213" s="54"/>
      <c r="AA213" s="54"/>
      <c r="AB213" s="287"/>
      <c r="AC213" s="54"/>
      <c r="AD213" s="54"/>
      <c r="AE213" s="54"/>
    </row>
    <row r="214">
      <c r="A214" s="54"/>
      <c r="B214" s="110">
        <v>45705.0</v>
      </c>
      <c r="C214" s="110"/>
      <c r="D214" s="99"/>
      <c r="E214" s="100">
        <v>1445637.0</v>
      </c>
      <c r="F214" s="99">
        <f t="shared" si="37"/>
        <v>754</v>
      </c>
      <c r="G214" s="100">
        <v>600.0</v>
      </c>
      <c r="H214" s="178">
        <v>236.0</v>
      </c>
      <c r="I214" s="178">
        <v>221.7</v>
      </c>
      <c r="J214" s="350">
        <f t="shared" si="35"/>
        <v>14.3</v>
      </c>
      <c r="K214" s="351">
        <f t="shared" si="36"/>
        <v>29.40318302</v>
      </c>
      <c r="L214" s="54"/>
      <c r="M214" s="54"/>
      <c r="N214" s="54"/>
      <c r="O214" s="54"/>
      <c r="R214" s="249"/>
      <c r="S214" s="54"/>
      <c r="T214" s="54"/>
      <c r="U214" s="54"/>
      <c r="V214" s="54"/>
      <c r="W214" s="54"/>
      <c r="X214" s="54"/>
      <c r="Y214" s="54"/>
      <c r="Z214" s="54"/>
      <c r="AA214" s="54"/>
      <c r="AB214" s="287"/>
      <c r="AC214" s="54"/>
      <c r="AD214" s="54"/>
      <c r="AE214" s="54"/>
    </row>
    <row r="215">
      <c r="A215" s="54"/>
      <c r="B215" s="110">
        <v>45706.0</v>
      </c>
      <c r="C215" s="110"/>
      <c r="D215" s="99"/>
      <c r="E215" s="100">
        <v>1446401.0</v>
      </c>
      <c r="F215" s="99">
        <f t="shared" si="37"/>
        <v>764</v>
      </c>
      <c r="G215" s="100">
        <v>608.0</v>
      </c>
      <c r="H215" s="178">
        <v>258.0</v>
      </c>
      <c r="I215" s="178">
        <v>240.0</v>
      </c>
      <c r="J215" s="350">
        <f t="shared" si="35"/>
        <v>18</v>
      </c>
      <c r="K215" s="351">
        <f t="shared" si="36"/>
        <v>31.41361257</v>
      </c>
      <c r="L215" s="54"/>
      <c r="M215" s="54"/>
      <c r="N215" s="54"/>
      <c r="O215" s="54"/>
      <c r="R215" s="249"/>
      <c r="S215" s="54"/>
      <c r="T215" s="54"/>
      <c r="U215" s="54"/>
      <c r="V215" s="54"/>
      <c r="W215" s="54"/>
      <c r="X215" s="54"/>
      <c r="Y215" s="54"/>
      <c r="Z215" s="54"/>
      <c r="AA215" s="54"/>
      <c r="AB215" s="287"/>
      <c r="AC215" s="54"/>
      <c r="AD215" s="54"/>
      <c r="AE215" s="54"/>
    </row>
    <row r="216">
      <c r="A216" s="54"/>
      <c r="B216" s="110">
        <v>45707.0</v>
      </c>
      <c r="C216" s="110"/>
      <c r="D216" s="99"/>
      <c r="E216" s="100">
        <v>1447159.0</v>
      </c>
      <c r="F216" s="99">
        <f t="shared" si="37"/>
        <v>758</v>
      </c>
      <c r="G216" s="100">
        <v>606.0</v>
      </c>
      <c r="H216" s="178">
        <v>238.0</v>
      </c>
      <c r="I216" s="350">
        <f>80+141.7</f>
        <v>221.7</v>
      </c>
      <c r="J216" s="350">
        <f t="shared" si="35"/>
        <v>16.3</v>
      </c>
      <c r="K216" s="351">
        <f t="shared" si="36"/>
        <v>29.24802111</v>
      </c>
      <c r="L216" s="54"/>
      <c r="M216" s="54"/>
      <c r="N216" s="54"/>
      <c r="O216" s="54"/>
      <c r="R216" s="249"/>
      <c r="S216" s="54"/>
      <c r="T216" s="54"/>
      <c r="U216" s="54"/>
      <c r="V216" s="54"/>
      <c r="W216" s="54"/>
      <c r="X216" s="54"/>
      <c r="Y216" s="54"/>
      <c r="Z216" s="54"/>
      <c r="AA216" s="54"/>
      <c r="AB216" s="287"/>
      <c r="AC216" s="54"/>
      <c r="AD216" s="54"/>
      <c r="AE216" s="54"/>
    </row>
    <row r="217">
      <c r="A217" s="54"/>
      <c r="B217" s="110">
        <v>45708.0</v>
      </c>
      <c r="C217" s="110"/>
      <c r="D217" s="102"/>
      <c r="E217" s="100">
        <v>1447942.0</v>
      </c>
      <c r="F217" s="99">
        <f t="shared" si="37"/>
        <v>783</v>
      </c>
      <c r="G217" s="100">
        <v>594.0</v>
      </c>
      <c r="H217" s="178">
        <v>243.0</v>
      </c>
      <c r="I217" s="178">
        <v>230.0</v>
      </c>
      <c r="J217" s="350">
        <f t="shared" si="35"/>
        <v>13</v>
      </c>
      <c r="K217" s="351">
        <f t="shared" si="36"/>
        <v>29.37420179</v>
      </c>
      <c r="L217" s="54"/>
      <c r="M217" s="54"/>
      <c r="N217" s="54"/>
      <c r="O217" s="54"/>
      <c r="R217" s="249"/>
      <c r="S217" s="54"/>
      <c r="T217" s="54"/>
      <c r="U217" s="54"/>
      <c r="V217" s="54"/>
      <c r="W217" s="54"/>
      <c r="X217" s="54"/>
      <c r="Y217" s="54"/>
      <c r="Z217" s="54"/>
      <c r="AA217" s="54"/>
      <c r="AB217" s="287"/>
      <c r="AC217" s="54"/>
      <c r="AD217" s="54"/>
      <c r="AE217" s="54"/>
    </row>
    <row r="218">
      <c r="A218" s="54"/>
      <c r="B218" s="110">
        <v>45709.0</v>
      </c>
      <c r="C218" s="110"/>
      <c r="D218" s="102"/>
      <c r="E218" s="100">
        <v>1448696.0</v>
      </c>
      <c r="F218" s="99">
        <f t="shared" si="37"/>
        <v>754</v>
      </c>
      <c r="G218" s="100">
        <v>607.0</v>
      </c>
      <c r="H218" s="178">
        <v>236.0</v>
      </c>
      <c r="I218" s="178">
        <v>219.71</v>
      </c>
      <c r="J218" s="350">
        <f t="shared" si="35"/>
        <v>16.29</v>
      </c>
      <c r="K218" s="351">
        <f t="shared" si="36"/>
        <v>29.13925729</v>
      </c>
      <c r="L218" s="54"/>
      <c r="M218" s="54"/>
      <c r="N218" s="54"/>
      <c r="O218" s="54"/>
      <c r="R218" s="249"/>
      <c r="S218" s="54"/>
      <c r="T218" s="54"/>
      <c r="U218" s="54"/>
      <c r="V218" s="54"/>
      <c r="W218" s="54"/>
      <c r="X218" s="54"/>
      <c r="Y218" s="54"/>
      <c r="Z218" s="54"/>
      <c r="AA218" s="54"/>
      <c r="AB218" s="287"/>
      <c r="AC218" s="54"/>
      <c r="AD218" s="54"/>
      <c r="AE218" s="54"/>
    </row>
    <row r="219">
      <c r="A219" s="54"/>
      <c r="B219" s="110">
        <v>45711.0</v>
      </c>
      <c r="C219" s="110"/>
      <c r="D219" s="102"/>
      <c r="E219" s="100">
        <v>1449479.0</v>
      </c>
      <c r="F219" s="99">
        <f t="shared" si="37"/>
        <v>783</v>
      </c>
      <c r="G219" s="100">
        <v>597.0</v>
      </c>
      <c r="H219" s="178">
        <v>247.0</v>
      </c>
      <c r="I219" s="178">
        <v>230.0</v>
      </c>
      <c r="J219" s="350">
        <f t="shared" si="35"/>
        <v>17</v>
      </c>
      <c r="K219" s="351">
        <f t="shared" si="36"/>
        <v>29.37420179</v>
      </c>
      <c r="L219" s="54"/>
      <c r="M219" s="54"/>
      <c r="N219" s="54"/>
      <c r="O219" s="54"/>
      <c r="R219" s="249"/>
      <c r="S219" s="54"/>
      <c r="T219" s="54"/>
      <c r="U219" s="54"/>
      <c r="V219" s="54"/>
      <c r="W219" s="54"/>
      <c r="X219" s="54"/>
      <c r="Y219" s="54"/>
      <c r="Z219" s="54"/>
      <c r="AA219" s="54"/>
      <c r="AB219" s="287"/>
      <c r="AC219" s="54"/>
      <c r="AD219" s="54"/>
      <c r="AE219" s="54"/>
    </row>
    <row r="220">
      <c r="A220" s="54"/>
      <c r="B220" s="110">
        <v>45712.0</v>
      </c>
      <c r="C220" s="110"/>
      <c r="D220" s="102"/>
      <c r="E220" s="100">
        <v>1450236.0</v>
      </c>
      <c r="F220" s="99">
        <f t="shared" si="37"/>
        <v>757</v>
      </c>
      <c r="G220" s="100">
        <v>603.0</v>
      </c>
      <c r="H220" s="178">
        <v>234.0</v>
      </c>
      <c r="I220" s="178">
        <v>219.73</v>
      </c>
      <c r="J220" s="350">
        <f t="shared" si="35"/>
        <v>14.27</v>
      </c>
      <c r="K220" s="351">
        <f t="shared" si="36"/>
        <v>29.02642008</v>
      </c>
      <c r="L220" s="54"/>
      <c r="M220" s="54"/>
      <c r="N220" s="54"/>
      <c r="O220" s="54"/>
      <c r="R220" s="249"/>
      <c r="S220" s="54"/>
      <c r="T220" s="54"/>
      <c r="U220" s="54"/>
      <c r="V220" s="54"/>
      <c r="W220" s="54"/>
      <c r="X220" s="54"/>
      <c r="Y220" s="54"/>
      <c r="Z220" s="54"/>
      <c r="AA220" s="54"/>
      <c r="AB220" s="287"/>
      <c r="AC220" s="54"/>
      <c r="AD220" s="54"/>
      <c r="AE220" s="54"/>
    </row>
    <row r="221">
      <c r="A221" s="54"/>
      <c r="B221" s="110">
        <v>45714.0</v>
      </c>
      <c r="C221" s="110"/>
      <c r="D221" s="102"/>
      <c r="E221" s="100">
        <v>1451167.0</v>
      </c>
      <c r="F221" s="99">
        <f t="shared" si="37"/>
        <v>931</v>
      </c>
      <c r="G221" s="100">
        <v>552.0</v>
      </c>
      <c r="H221" s="178">
        <v>249.0</v>
      </c>
      <c r="I221" s="178">
        <v>250.0</v>
      </c>
      <c r="J221" s="350">
        <f t="shared" si="35"/>
        <v>-1</v>
      </c>
      <c r="K221" s="351">
        <f t="shared" si="36"/>
        <v>26.8528464</v>
      </c>
      <c r="L221" s="54"/>
      <c r="M221" s="54"/>
      <c r="N221" s="54"/>
      <c r="O221" s="54"/>
      <c r="R221" s="249"/>
      <c r="S221" s="54"/>
      <c r="T221" s="54"/>
      <c r="U221" s="54"/>
      <c r="V221" s="54"/>
      <c r="W221" s="54"/>
      <c r="X221" s="54"/>
      <c r="Y221" s="54"/>
      <c r="Z221" s="54"/>
      <c r="AA221" s="54"/>
      <c r="AB221" s="287"/>
      <c r="AC221" s="54"/>
      <c r="AD221" s="54"/>
      <c r="AE221" s="54"/>
    </row>
    <row r="222">
      <c r="A222" s="54"/>
      <c r="B222" s="110">
        <v>45714.0</v>
      </c>
      <c r="C222" s="110"/>
      <c r="D222" s="102"/>
      <c r="E222" s="100">
        <v>1451697.0</v>
      </c>
      <c r="F222" s="99">
        <f t="shared" si="37"/>
        <v>530</v>
      </c>
      <c r="G222" s="100">
        <v>606.0</v>
      </c>
      <c r="H222" s="178">
        <v>207.0</v>
      </c>
      <c r="I222" s="178">
        <v>187.18</v>
      </c>
      <c r="J222" s="350">
        <f t="shared" si="35"/>
        <v>19.82</v>
      </c>
      <c r="K222" s="351">
        <f t="shared" si="36"/>
        <v>35.31698113</v>
      </c>
      <c r="L222" s="54"/>
      <c r="M222" s="54"/>
      <c r="N222" s="54"/>
      <c r="O222" s="54"/>
      <c r="R222" s="249"/>
      <c r="S222" s="54"/>
      <c r="T222" s="54"/>
      <c r="U222" s="54"/>
      <c r="V222" s="54"/>
      <c r="W222" s="54"/>
      <c r="X222" s="54"/>
      <c r="Y222" s="54"/>
      <c r="Z222" s="54"/>
      <c r="AA222" s="54"/>
      <c r="AB222" s="287"/>
      <c r="AC222" s="54"/>
      <c r="AD222" s="54"/>
      <c r="AE222" s="54"/>
    </row>
    <row r="223">
      <c r="A223" s="54"/>
      <c r="B223" s="110">
        <v>45715.0</v>
      </c>
      <c r="C223" s="110"/>
      <c r="D223" s="102"/>
      <c r="E223" s="100">
        <v>1452462.0</v>
      </c>
      <c r="F223" s="99">
        <f t="shared" si="37"/>
        <v>765</v>
      </c>
      <c r="G223" s="100">
        <v>599.0</v>
      </c>
      <c r="H223" s="178">
        <v>245.0</v>
      </c>
      <c r="I223" s="178">
        <v>230.0</v>
      </c>
      <c r="J223" s="350">
        <f t="shared" si="35"/>
        <v>15</v>
      </c>
      <c r="K223" s="351">
        <f t="shared" si="36"/>
        <v>30.06535948</v>
      </c>
      <c r="L223" s="54"/>
      <c r="M223" s="54"/>
      <c r="N223" s="54"/>
      <c r="O223" s="54"/>
      <c r="R223" s="249"/>
      <c r="S223" s="54"/>
      <c r="T223" s="54"/>
      <c r="U223" s="54"/>
      <c r="V223" s="54"/>
      <c r="W223" s="54"/>
      <c r="X223" s="54"/>
      <c r="Y223" s="54"/>
      <c r="Z223" s="54"/>
      <c r="AA223" s="54"/>
      <c r="AB223" s="287"/>
      <c r="AC223" s="54"/>
      <c r="AD223" s="54"/>
      <c r="AE223" s="54"/>
    </row>
    <row r="224">
      <c r="A224" s="54"/>
      <c r="B224" s="110">
        <v>45716.0</v>
      </c>
      <c r="C224" s="110"/>
      <c r="D224" s="102"/>
      <c r="E224" s="100">
        <v>1453218.0</v>
      </c>
      <c r="F224" s="99">
        <f t="shared" si="37"/>
        <v>756</v>
      </c>
      <c r="G224" s="100">
        <v>604.0</v>
      </c>
      <c r="H224" s="178">
        <v>242.0</v>
      </c>
      <c r="I224" s="178">
        <v>225.41</v>
      </c>
      <c r="J224" s="350">
        <f t="shared" si="35"/>
        <v>16.59</v>
      </c>
      <c r="K224" s="351">
        <f t="shared" si="36"/>
        <v>29.81613757</v>
      </c>
      <c r="L224" s="54"/>
      <c r="M224" s="54"/>
      <c r="N224" s="54"/>
      <c r="O224" s="54"/>
      <c r="R224" s="249"/>
      <c r="S224" s="54"/>
      <c r="T224" s="54"/>
      <c r="U224" s="54"/>
      <c r="V224" s="54"/>
      <c r="W224" s="54"/>
      <c r="X224" s="54"/>
      <c r="Y224" s="54"/>
      <c r="Z224" s="54"/>
      <c r="AA224" s="54"/>
      <c r="AB224" s="287"/>
      <c r="AC224" s="54"/>
      <c r="AD224" s="54"/>
      <c r="AE224" s="54"/>
    </row>
    <row r="225">
      <c r="A225" s="89"/>
      <c r="B225" s="203" t="str">
        <f>IF(L225=4,"АПРЕЛЬ",IF(L225=5,"МАЙ",IF(L225=1,"ЯНВАРЬ",IF(L225=2,"ФЕВРАЛЬ",IF(L225=3,"МАРТ",IF(L225=6,"ИЮНЬ",IF(L225=7,"ИЮЛЬ",IF(L225=8,"АВГУСТ",IF(L225=9,"СЕНТЯБРЬ",IF(L225=10,"ОКТЯБРЬ",IF(L225=11,"НОЯБРЬ",IF(L225=12,"ДЕКАБРЬ"))))))))))))</f>
        <v>МАРТ</v>
      </c>
      <c r="J225" s="89"/>
      <c r="K225" s="90"/>
      <c r="L225" s="91">
        <f>MONTH(B226)</f>
        <v>3</v>
      </c>
      <c r="M225" s="89"/>
      <c r="N225" s="89"/>
      <c r="O225" s="89"/>
      <c r="P225" s="89"/>
      <c r="Q225" s="89"/>
      <c r="R225" s="241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301"/>
      <c r="AD225" s="56"/>
      <c r="AE225" s="56"/>
    </row>
    <row r="226">
      <c r="A226" s="54"/>
      <c r="B226" s="110">
        <v>45718.0</v>
      </c>
      <c r="C226" s="110"/>
      <c r="D226" s="102"/>
      <c r="E226" s="100">
        <v>1454001.0</v>
      </c>
      <c r="F226" s="99">
        <f>E226-E224</f>
        <v>783</v>
      </c>
      <c r="G226" s="100">
        <v>590.0</v>
      </c>
      <c r="H226" s="178">
        <v>244.0</v>
      </c>
      <c r="I226" s="178">
        <v>230.0</v>
      </c>
      <c r="J226" s="350">
        <f t="shared" ref="J226:J251" si="38">H226-I226</f>
        <v>14</v>
      </c>
      <c r="K226" s="351">
        <f t="shared" ref="K226:K251" si="39">I226/F226*100</f>
        <v>29.37420179</v>
      </c>
      <c r="L226" s="54"/>
      <c r="M226" s="82" t="str">
        <f>"тотал"&amp;" "&amp;B225&amp;" "&amp;R226</f>
        <v>тотал МАРТ 25</v>
      </c>
      <c r="N226" s="75"/>
      <c r="O226" s="75"/>
      <c r="P226" s="75"/>
      <c r="Q226" s="76"/>
      <c r="R226" s="359" t="str">
        <f>RIGHT(YEAR(B226),2)</f>
        <v>25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287"/>
      <c r="AC226" s="54"/>
      <c r="AD226" s="54"/>
      <c r="AE226" s="54"/>
    </row>
    <row r="227">
      <c r="A227" s="54"/>
      <c r="B227" s="110">
        <v>45719.0</v>
      </c>
      <c r="C227" s="110"/>
      <c r="D227" s="102"/>
      <c r="E227" s="100">
        <v>1454758.0</v>
      </c>
      <c r="F227" s="99">
        <f t="shared" ref="F227:F251" si="40">E227-E226</f>
        <v>757</v>
      </c>
      <c r="G227" s="100">
        <v>602.0</v>
      </c>
      <c r="H227" s="178">
        <v>252.0</v>
      </c>
      <c r="I227" s="178">
        <v>237.26</v>
      </c>
      <c r="J227" s="350">
        <f t="shared" si="38"/>
        <v>14.74</v>
      </c>
      <c r="K227" s="351">
        <f t="shared" si="39"/>
        <v>31.34214003</v>
      </c>
      <c r="L227" s="54"/>
      <c r="M227" s="83" t="s">
        <v>70</v>
      </c>
      <c r="N227" s="83" t="s">
        <v>71</v>
      </c>
      <c r="O227" s="83" t="s">
        <v>27</v>
      </c>
      <c r="P227" s="77" t="s">
        <v>28</v>
      </c>
      <c r="Q227" s="12" t="s">
        <v>78</v>
      </c>
      <c r="R227" s="249"/>
      <c r="S227" s="54"/>
      <c r="T227" s="54"/>
      <c r="U227" s="54"/>
      <c r="V227" s="54"/>
      <c r="W227" s="54"/>
      <c r="X227" s="54"/>
      <c r="Y227" s="54"/>
      <c r="Z227" s="54"/>
      <c r="AA227" s="54"/>
      <c r="AB227" s="287"/>
      <c r="AC227" s="54"/>
      <c r="AD227" s="54"/>
      <c r="AE227" s="54"/>
    </row>
    <row r="228">
      <c r="A228" s="54"/>
      <c r="B228" s="110">
        <v>45720.0</v>
      </c>
      <c r="C228" s="110"/>
      <c r="D228" s="102"/>
      <c r="E228" s="100">
        <v>1455524.0</v>
      </c>
      <c r="F228" s="99">
        <f t="shared" si="40"/>
        <v>766</v>
      </c>
      <c r="G228" s="100">
        <v>585.0</v>
      </c>
      <c r="H228" s="178">
        <v>239.0</v>
      </c>
      <c r="I228" s="178">
        <v>230.0</v>
      </c>
      <c r="J228" s="350">
        <f t="shared" si="38"/>
        <v>9</v>
      </c>
      <c r="K228" s="351">
        <f t="shared" si="39"/>
        <v>30.02610966</v>
      </c>
      <c r="L228" s="54"/>
      <c r="M228" s="84">
        <f>SUM(F226:F251)</f>
        <v>20035</v>
      </c>
      <c r="N228" s="84">
        <f>SUM(I226:I251)</f>
        <v>5792.63</v>
      </c>
      <c r="O228" s="85">
        <f>N228/M228*100</f>
        <v>28.91255303</v>
      </c>
      <c r="P228" s="79">
        <f>(M228/100)*(O228-Q228)</f>
        <v>182.83</v>
      </c>
      <c r="Q228" s="78">
        <v>28.0</v>
      </c>
      <c r="R228" s="249"/>
      <c r="S228" s="54"/>
      <c r="T228" s="54"/>
      <c r="U228" s="54"/>
      <c r="V228" s="54"/>
      <c r="W228" s="54"/>
      <c r="X228" s="54"/>
      <c r="Y228" s="54"/>
      <c r="Z228" s="54"/>
      <c r="AA228" s="54"/>
      <c r="AB228" s="287"/>
      <c r="AC228" s="54"/>
      <c r="AD228" s="54"/>
      <c r="AE228" s="54"/>
    </row>
    <row r="229">
      <c r="A229" s="54"/>
      <c r="B229" s="110">
        <v>45721.0</v>
      </c>
      <c r="C229" s="110"/>
      <c r="D229" s="102"/>
      <c r="E229" s="100">
        <v>1456281.0</v>
      </c>
      <c r="F229" s="99">
        <f t="shared" si="40"/>
        <v>757</v>
      </c>
      <c r="G229" s="100">
        <v>594.0</v>
      </c>
      <c r="H229" s="178">
        <v>252.0</v>
      </c>
      <c r="I229" s="178">
        <v>241.3</v>
      </c>
      <c r="J229" s="350">
        <f t="shared" si="38"/>
        <v>10.7</v>
      </c>
      <c r="K229" s="351">
        <f t="shared" si="39"/>
        <v>31.87582563</v>
      </c>
      <c r="L229" s="54"/>
      <c r="M229" s="54"/>
      <c r="N229" s="54"/>
      <c r="O229" s="54"/>
      <c r="R229" s="249"/>
      <c r="S229" s="54"/>
      <c r="T229" s="54"/>
      <c r="U229" s="54"/>
      <c r="V229" s="54"/>
      <c r="W229" s="54"/>
      <c r="X229" s="54"/>
      <c r="Y229" s="54"/>
      <c r="Z229" s="54"/>
      <c r="AA229" s="54"/>
      <c r="AB229" s="287"/>
      <c r="AC229" s="54"/>
      <c r="AD229" s="54"/>
      <c r="AE229" s="54"/>
    </row>
    <row r="230">
      <c r="A230" s="54"/>
      <c r="B230" s="110">
        <v>45722.0</v>
      </c>
      <c r="C230" s="110"/>
      <c r="D230" s="102"/>
      <c r="E230" s="100">
        <v>1457064.0</v>
      </c>
      <c r="F230" s="99">
        <f t="shared" si="40"/>
        <v>783</v>
      </c>
      <c r="G230" s="100">
        <v>590.0</v>
      </c>
      <c r="H230" s="178">
        <v>250.0</v>
      </c>
      <c r="I230" s="178">
        <v>240.0</v>
      </c>
      <c r="J230" s="350">
        <f t="shared" si="38"/>
        <v>10</v>
      </c>
      <c r="K230" s="351">
        <f t="shared" si="39"/>
        <v>30.651341</v>
      </c>
      <c r="L230" s="54"/>
      <c r="M230" s="54"/>
      <c r="N230" s="54"/>
      <c r="O230" s="54"/>
      <c r="R230" s="249"/>
      <c r="S230" s="54"/>
      <c r="T230" s="54"/>
      <c r="U230" s="54"/>
      <c r="V230" s="54"/>
      <c r="W230" s="54"/>
      <c r="X230" s="54"/>
      <c r="Y230" s="54"/>
      <c r="Z230" s="54"/>
      <c r="AA230" s="54"/>
      <c r="AB230" s="287"/>
      <c r="AC230" s="54"/>
      <c r="AD230" s="54"/>
      <c r="AE230" s="54"/>
    </row>
    <row r="231">
      <c r="A231" s="54"/>
      <c r="B231" s="110">
        <v>45723.0</v>
      </c>
      <c r="C231" s="110"/>
      <c r="D231" s="102"/>
      <c r="E231" s="100">
        <v>1457821.0</v>
      </c>
      <c r="F231" s="99">
        <f t="shared" si="40"/>
        <v>757</v>
      </c>
      <c r="G231" s="100">
        <v>600.0</v>
      </c>
      <c r="H231" s="178">
        <v>251.0</v>
      </c>
      <c r="I231" s="178">
        <v>236.73</v>
      </c>
      <c r="J231" s="350">
        <f t="shared" si="38"/>
        <v>14.27</v>
      </c>
      <c r="K231" s="351">
        <f t="shared" si="39"/>
        <v>31.27212682</v>
      </c>
      <c r="L231" s="54"/>
      <c r="M231" s="54"/>
      <c r="N231" s="54"/>
      <c r="O231" s="54"/>
      <c r="R231" s="249"/>
      <c r="S231" s="54"/>
      <c r="T231" s="54"/>
      <c r="U231" s="54"/>
      <c r="V231" s="54"/>
      <c r="W231" s="54"/>
      <c r="X231" s="54"/>
      <c r="Y231" s="54"/>
      <c r="Z231" s="54"/>
      <c r="AA231" s="54"/>
      <c r="AB231" s="287"/>
      <c r="AC231" s="54"/>
      <c r="AD231" s="54"/>
      <c r="AE231" s="54"/>
    </row>
    <row r="232">
      <c r="A232" s="54"/>
      <c r="B232" s="110">
        <v>45724.0</v>
      </c>
      <c r="C232" s="110"/>
      <c r="D232" s="102"/>
      <c r="E232" s="100">
        <v>1458603.0</v>
      </c>
      <c r="F232" s="99">
        <f t="shared" si="40"/>
        <v>782</v>
      </c>
      <c r="G232" s="100">
        <v>602.0</v>
      </c>
      <c r="H232" s="178">
        <v>248.0</v>
      </c>
      <c r="I232" s="178">
        <v>230.0</v>
      </c>
      <c r="J232" s="350">
        <f t="shared" si="38"/>
        <v>18</v>
      </c>
      <c r="K232" s="351">
        <f t="shared" si="39"/>
        <v>29.41176471</v>
      </c>
      <c r="L232" s="54"/>
      <c r="M232" s="54"/>
      <c r="N232" s="54"/>
      <c r="O232" s="54"/>
      <c r="R232" s="249"/>
      <c r="S232" s="54"/>
      <c r="T232" s="54"/>
      <c r="U232" s="54"/>
      <c r="V232" s="54"/>
      <c r="W232" s="54"/>
      <c r="X232" s="54"/>
      <c r="Y232" s="54"/>
      <c r="Z232" s="54"/>
      <c r="AA232" s="54"/>
      <c r="AB232" s="287"/>
      <c r="AC232" s="54"/>
      <c r="AD232" s="54"/>
      <c r="AE232" s="54"/>
    </row>
    <row r="233">
      <c r="A233" s="54"/>
      <c r="B233" s="110">
        <v>45725.0</v>
      </c>
      <c r="C233" s="110"/>
      <c r="D233" s="102"/>
      <c r="E233" s="100">
        <v>1459361.0</v>
      </c>
      <c r="F233" s="99">
        <f t="shared" si="40"/>
        <v>758</v>
      </c>
      <c r="G233" s="100">
        <v>606.0</v>
      </c>
      <c r="H233" s="178">
        <v>246.0</v>
      </c>
      <c r="I233" s="178">
        <v>230.29</v>
      </c>
      <c r="J233" s="350">
        <f t="shared" si="38"/>
        <v>15.71</v>
      </c>
      <c r="K233" s="351">
        <f t="shared" si="39"/>
        <v>30.38126649</v>
      </c>
      <c r="L233" s="54"/>
      <c r="M233" s="54"/>
      <c r="N233" s="54"/>
      <c r="O233" s="54"/>
      <c r="R233" s="249"/>
      <c r="S233" s="54"/>
      <c r="T233" s="54"/>
      <c r="U233" s="54"/>
      <c r="V233" s="54"/>
      <c r="W233" s="54"/>
      <c r="X233" s="54"/>
      <c r="Y233" s="54"/>
      <c r="Z233" s="54"/>
      <c r="AA233" s="54"/>
      <c r="AB233" s="287"/>
      <c r="AC233" s="54"/>
      <c r="AD233" s="54"/>
      <c r="AE233" s="54"/>
    </row>
    <row r="234">
      <c r="A234" s="54"/>
      <c r="B234" s="110">
        <v>45727.0</v>
      </c>
      <c r="C234" s="110"/>
      <c r="D234" s="102"/>
      <c r="E234" s="100">
        <v>1460124.0</v>
      </c>
      <c r="F234" s="99">
        <f t="shared" si="40"/>
        <v>763</v>
      </c>
      <c r="G234" s="100">
        <v>596.0</v>
      </c>
      <c r="H234" s="178">
        <v>218.0</v>
      </c>
      <c r="I234" s="178">
        <v>200.0</v>
      </c>
      <c r="J234" s="350">
        <f t="shared" si="38"/>
        <v>18</v>
      </c>
      <c r="K234" s="351">
        <f t="shared" si="39"/>
        <v>26.21231979</v>
      </c>
      <c r="L234" s="54"/>
      <c r="M234" s="54"/>
      <c r="N234" s="54"/>
      <c r="O234" s="54"/>
      <c r="R234" s="249"/>
      <c r="S234" s="54"/>
      <c r="T234" s="54"/>
      <c r="U234" s="54"/>
      <c r="V234" s="54"/>
      <c r="W234" s="54"/>
      <c r="X234" s="54"/>
      <c r="Y234" s="54"/>
      <c r="Z234" s="54"/>
      <c r="AA234" s="54"/>
      <c r="AB234" s="287"/>
      <c r="AC234" s="54"/>
      <c r="AD234" s="54"/>
      <c r="AE234" s="54"/>
    </row>
    <row r="235">
      <c r="A235" s="54"/>
      <c r="B235" s="110">
        <v>45728.0</v>
      </c>
      <c r="C235" s="110"/>
      <c r="D235" s="102"/>
      <c r="E235" s="100">
        <v>1460881.0</v>
      </c>
      <c r="F235" s="99">
        <f t="shared" si="40"/>
        <v>757</v>
      </c>
      <c r="G235" s="100">
        <v>603.0</v>
      </c>
      <c r="H235" s="101">
        <v>237.0</v>
      </c>
      <c r="I235" s="101">
        <v>221.3</v>
      </c>
      <c r="J235" s="350">
        <f t="shared" si="38"/>
        <v>15.7</v>
      </c>
      <c r="K235" s="351">
        <f t="shared" si="39"/>
        <v>29.2338177</v>
      </c>
      <c r="L235" s="54"/>
      <c r="M235" s="54"/>
      <c r="N235" s="54"/>
      <c r="O235" s="54"/>
      <c r="R235" s="249"/>
      <c r="S235" s="54"/>
      <c r="T235" s="54"/>
      <c r="U235" s="54"/>
      <c r="V235" s="54"/>
      <c r="W235" s="54"/>
      <c r="X235" s="54"/>
      <c r="Y235" s="54"/>
      <c r="Z235" s="54"/>
      <c r="AA235" s="54"/>
      <c r="AB235" s="287"/>
      <c r="AC235" s="54"/>
      <c r="AD235" s="54"/>
      <c r="AE235" s="54"/>
    </row>
    <row r="236">
      <c r="A236" s="54"/>
      <c r="B236" s="110">
        <v>45729.0</v>
      </c>
      <c r="C236" s="110"/>
      <c r="D236" s="102"/>
      <c r="E236" s="100">
        <v>1461663.0</v>
      </c>
      <c r="F236" s="99">
        <f t="shared" si="40"/>
        <v>782</v>
      </c>
      <c r="G236" s="100">
        <v>606.0</v>
      </c>
      <c r="H236" s="101">
        <v>248.0</v>
      </c>
      <c r="I236" s="101">
        <v>230.0</v>
      </c>
      <c r="J236" s="350">
        <f t="shared" si="38"/>
        <v>18</v>
      </c>
      <c r="K236" s="351">
        <f t="shared" si="39"/>
        <v>29.41176471</v>
      </c>
      <c r="L236" s="54"/>
      <c r="M236" s="54"/>
      <c r="N236" s="54"/>
      <c r="O236" s="54"/>
      <c r="R236" s="249"/>
      <c r="S236" s="54"/>
      <c r="T236" s="54"/>
      <c r="U236" s="54"/>
      <c r="V236" s="54"/>
      <c r="W236" s="54"/>
      <c r="X236" s="54"/>
      <c r="Y236" s="54"/>
      <c r="Z236" s="54"/>
      <c r="AA236" s="54"/>
      <c r="AB236" s="287"/>
      <c r="AC236" s="54"/>
      <c r="AD236" s="54"/>
      <c r="AE236" s="54"/>
    </row>
    <row r="237">
      <c r="A237" s="54"/>
      <c r="B237" s="110">
        <v>45730.0</v>
      </c>
      <c r="C237" s="110"/>
      <c r="D237" s="102"/>
      <c r="E237" s="100">
        <v>1462420.0</v>
      </c>
      <c r="F237" s="99">
        <f t="shared" si="40"/>
        <v>757</v>
      </c>
      <c r="G237" s="100">
        <v>606.0</v>
      </c>
      <c r="H237" s="101">
        <v>230.0</v>
      </c>
      <c r="I237" s="101">
        <v>213.49</v>
      </c>
      <c r="J237" s="350">
        <f t="shared" si="38"/>
        <v>16.51</v>
      </c>
      <c r="K237" s="351">
        <f t="shared" si="39"/>
        <v>28.20211361</v>
      </c>
      <c r="L237" s="54"/>
      <c r="M237" s="54"/>
      <c r="N237" s="54"/>
      <c r="O237" s="54"/>
      <c r="R237" s="249"/>
      <c r="S237" s="54"/>
      <c r="T237" s="54"/>
      <c r="U237" s="54"/>
      <c r="V237" s="54"/>
      <c r="W237" s="54"/>
      <c r="X237" s="54"/>
      <c r="Y237" s="54"/>
      <c r="Z237" s="54"/>
      <c r="AA237" s="54"/>
      <c r="AB237" s="287"/>
      <c r="AC237" s="54"/>
      <c r="AD237" s="54"/>
      <c r="AE237" s="54"/>
    </row>
    <row r="238">
      <c r="A238" s="54"/>
      <c r="B238" s="110">
        <v>45731.0</v>
      </c>
      <c r="C238" s="110"/>
      <c r="D238" s="102"/>
      <c r="E238" s="100">
        <v>1463202.0</v>
      </c>
      <c r="F238" s="99">
        <f t="shared" si="40"/>
        <v>782</v>
      </c>
      <c r="G238" s="100">
        <v>603.0</v>
      </c>
      <c r="H238" s="101">
        <v>245.0</v>
      </c>
      <c r="I238" s="101">
        <v>230.0</v>
      </c>
      <c r="J238" s="350">
        <f t="shared" si="38"/>
        <v>15</v>
      </c>
      <c r="K238" s="351">
        <f t="shared" si="39"/>
        <v>29.41176471</v>
      </c>
      <c r="L238" s="54"/>
      <c r="M238" s="54"/>
      <c r="N238" s="54"/>
      <c r="O238" s="54"/>
      <c r="R238" s="249"/>
      <c r="S238" s="54"/>
      <c r="T238" s="54"/>
      <c r="U238" s="54"/>
      <c r="V238" s="54"/>
      <c r="W238" s="54"/>
      <c r="X238" s="54"/>
      <c r="Y238" s="54"/>
      <c r="Z238" s="54"/>
      <c r="AA238" s="54"/>
      <c r="AB238" s="287"/>
      <c r="AC238" s="54"/>
      <c r="AD238" s="54"/>
      <c r="AE238" s="54"/>
    </row>
    <row r="239">
      <c r="A239" s="54"/>
      <c r="B239" s="110">
        <v>45732.0</v>
      </c>
      <c r="C239" s="110"/>
      <c r="D239" s="102"/>
      <c r="E239" s="100">
        <v>1463959.0</v>
      </c>
      <c r="F239" s="99">
        <f t="shared" si="40"/>
        <v>757</v>
      </c>
      <c r="G239" s="100">
        <v>608.0</v>
      </c>
      <c r="H239" s="101">
        <v>238.0</v>
      </c>
      <c r="I239" s="101">
        <v>221.3</v>
      </c>
      <c r="J239" s="350">
        <f t="shared" si="38"/>
        <v>16.7</v>
      </c>
      <c r="K239" s="351">
        <f t="shared" si="39"/>
        <v>29.2338177</v>
      </c>
      <c r="L239" s="54"/>
      <c r="M239" s="54"/>
      <c r="N239" s="54"/>
      <c r="O239" s="54"/>
      <c r="R239" s="249"/>
      <c r="S239" s="54"/>
      <c r="T239" s="54"/>
      <c r="U239" s="54"/>
      <c r="V239" s="54"/>
      <c r="W239" s="54"/>
      <c r="X239" s="54"/>
      <c r="Y239" s="54"/>
      <c r="Z239" s="54"/>
      <c r="AA239" s="54"/>
      <c r="AB239" s="287"/>
      <c r="AC239" s="54"/>
      <c r="AD239" s="54"/>
      <c r="AE239" s="54"/>
    </row>
    <row r="240">
      <c r="A240" s="54"/>
      <c r="B240" s="110">
        <v>45734.0</v>
      </c>
      <c r="C240" s="110"/>
      <c r="D240" s="102"/>
      <c r="E240" s="100">
        <v>1464720.0</v>
      </c>
      <c r="F240" s="99">
        <f t="shared" si="40"/>
        <v>761</v>
      </c>
      <c r="G240" s="100">
        <v>610.0</v>
      </c>
      <c r="H240" s="101">
        <v>239.0</v>
      </c>
      <c r="I240" s="101">
        <v>230.0</v>
      </c>
      <c r="J240" s="350">
        <f t="shared" si="38"/>
        <v>9</v>
      </c>
      <c r="K240" s="351">
        <f t="shared" si="39"/>
        <v>30.22339028</v>
      </c>
      <c r="L240" s="54"/>
      <c r="M240" s="54"/>
      <c r="N240" s="54"/>
      <c r="O240" s="54"/>
      <c r="R240" s="249"/>
      <c r="S240" s="54"/>
      <c r="T240" s="54"/>
      <c r="U240" s="54"/>
      <c r="V240" s="54"/>
      <c r="W240" s="54"/>
      <c r="X240" s="54"/>
      <c r="Y240" s="54"/>
      <c r="Z240" s="54"/>
      <c r="AA240" s="54"/>
      <c r="AB240" s="287"/>
      <c r="AC240" s="54"/>
      <c r="AD240" s="54"/>
      <c r="AE240" s="54"/>
    </row>
    <row r="241">
      <c r="A241" s="54"/>
      <c r="B241" s="110">
        <v>45735.0</v>
      </c>
      <c r="C241" s="110"/>
      <c r="D241" s="102"/>
      <c r="E241" s="100">
        <v>1465473.0</v>
      </c>
      <c r="F241" s="99">
        <f t="shared" si="40"/>
        <v>753</v>
      </c>
      <c r="G241" s="100">
        <v>610.0</v>
      </c>
      <c r="H241" s="101">
        <v>218.0</v>
      </c>
      <c r="I241" s="101">
        <v>200.31</v>
      </c>
      <c r="J241" s="350">
        <f t="shared" si="38"/>
        <v>17.69</v>
      </c>
      <c r="K241" s="351">
        <f t="shared" si="39"/>
        <v>26.60159363</v>
      </c>
      <c r="L241" s="54"/>
      <c r="M241" s="54"/>
      <c r="N241" s="54"/>
      <c r="O241" s="54"/>
      <c r="R241" s="249"/>
      <c r="S241" s="54"/>
      <c r="T241" s="54"/>
      <c r="U241" s="54"/>
      <c r="V241" s="54"/>
      <c r="W241" s="54"/>
      <c r="X241" s="54"/>
      <c r="Y241" s="54"/>
      <c r="Z241" s="54"/>
      <c r="AA241" s="54"/>
      <c r="AB241" s="287"/>
      <c r="AC241" s="54"/>
      <c r="AD241" s="54"/>
      <c r="AE241" s="54"/>
    </row>
    <row r="242">
      <c r="A242" s="54"/>
      <c r="B242" s="110">
        <v>45736.0</v>
      </c>
      <c r="C242" s="110"/>
      <c r="D242" s="102"/>
      <c r="E242" s="100">
        <v>1466253.0</v>
      </c>
      <c r="F242" s="99">
        <f t="shared" si="40"/>
        <v>780</v>
      </c>
      <c r="G242" s="100">
        <v>608.0</v>
      </c>
      <c r="H242" s="101">
        <v>240.0</v>
      </c>
      <c r="I242" s="101">
        <v>220.0</v>
      </c>
      <c r="J242" s="350">
        <f t="shared" si="38"/>
        <v>20</v>
      </c>
      <c r="K242" s="351">
        <f t="shared" si="39"/>
        <v>28.20512821</v>
      </c>
      <c r="L242" s="54"/>
      <c r="M242" s="54"/>
      <c r="N242" s="54"/>
      <c r="O242" s="54"/>
      <c r="R242" s="249"/>
      <c r="S242" s="54"/>
      <c r="T242" s="54"/>
      <c r="U242" s="54"/>
      <c r="V242" s="54"/>
      <c r="W242" s="54"/>
      <c r="X242" s="54"/>
      <c r="Y242" s="54"/>
      <c r="Z242" s="54"/>
      <c r="AA242" s="54"/>
      <c r="AB242" s="287"/>
      <c r="AC242" s="54"/>
      <c r="AD242" s="54"/>
      <c r="AE242" s="54"/>
    </row>
    <row r="243">
      <c r="A243" s="54"/>
      <c r="B243" s="110">
        <v>45737.0</v>
      </c>
      <c r="C243" s="110"/>
      <c r="D243" s="102"/>
      <c r="E243" s="100">
        <v>1467005.0</v>
      </c>
      <c r="F243" s="99">
        <f t="shared" si="40"/>
        <v>752</v>
      </c>
      <c r="G243" s="100">
        <v>610.0</v>
      </c>
      <c r="H243" s="101">
        <v>238.0</v>
      </c>
      <c r="I243" s="101">
        <v>220.36</v>
      </c>
      <c r="J243" s="350">
        <f t="shared" si="38"/>
        <v>17.64</v>
      </c>
      <c r="K243" s="351">
        <f t="shared" si="39"/>
        <v>29.30319149</v>
      </c>
      <c r="L243" s="54"/>
      <c r="M243" s="54"/>
      <c r="N243" s="54"/>
      <c r="O243" s="54"/>
      <c r="R243" s="249"/>
      <c r="S243" s="54"/>
      <c r="T243" s="54"/>
      <c r="U243" s="54"/>
      <c r="V243" s="54"/>
      <c r="W243" s="54"/>
      <c r="X243" s="54"/>
      <c r="Y243" s="54"/>
      <c r="Z243" s="54"/>
      <c r="AA243" s="54"/>
      <c r="AB243" s="287"/>
      <c r="AC243" s="54"/>
      <c r="AD243" s="54"/>
      <c r="AE243" s="54"/>
    </row>
    <row r="244">
      <c r="A244" s="54"/>
      <c r="B244" s="110">
        <v>45738.0</v>
      </c>
      <c r="C244" s="110"/>
      <c r="D244" s="102"/>
      <c r="E244" s="100">
        <v>1467785.0</v>
      </c>
      <c r="F244" s="99">
        <f t="shared" si="40"/>
        <v>780</v>
      </c>
      <c r="G244" s="100">
        <v>610.0</v>
      </c>
      <c r="H244" s="101">
        <v>251.0</v>
      </c>
      <c r="I244" s="101">
        <v>230.0</v>
      </c>
      <c r="J244" s="350">
        <f t="shared" si="38"/>
        <v>21</v>
      </c>
      <c r="K244" s="351">
        <f t="shared" si="39"/>
        <v>29.48717949</v>
      </c>
      <c r="L244" s="54"/>
      <c r="M244" s="54"/>
      <c r="N244" s="54"/>
      <c r="O244" s="54"/>
      <c r="R244" s="249"/>
      <c r="S244" s="54"/>
      <c r="T244" s="54"/>
      <c r="U244" s="54"/>
      <c r="V244" s="54"/>
      <c r="W244" s="54"/>
      <c r="X244" s="54"/>
      <c r="Y244" s="54"/>
      <c r="Z244" s="54"/>
      <c r="AA244" s="54"/>
      <c r="AB244" s="287"/>
      <c r="AC244" s="54"/>
      <c r="AD244" s="54"/>
      <c r="AE244" s="54"/>
    </row>
    <row r="245">
      <c r="A245" s="54"/>
      <c r="B245" s="110">
        <v>45739.0</v>
      </c>
      <c r="C245" s="110"/>
      <c r="D245" s="102"/>
      <c r="E245" s="100">
        <v>1468539.0</v>
      </c>
      <c r="F245" s="99">
        <f t="shared" si="40"/>
        <v>754</v>
      </c>
      <c r="G245" s="100">
        <v>605.0</v>
      </c>
      <c r="H245" s="101">
        <v>238.0</v>
      </c>
      <c r="I245" s="101">
        <v>221.78</v>
      </c>
      <c r="J245" s="350">
        <f t="shared" si="38"/>
        <v>16.22</v>
      </c>
      <c r="K245" s="351">
        <f t="shared" si="39"/>
        <v>29.4137931</v>
      </c>
      <c r="L245" s="54"/>
      <c r="M245" s="54"/>
      <c r="N245" s="54"/>
      <c r="O245" s="54"/>
      <c r="R245" s="249"/>
      <c r="S245" s="54"/>
      <c r="T245" s="54"/>
      <c r="U245" s="54"/>
      <c r="V245" s="54"/>
      <c r="W245" s="54"/>
      <c r="X245" s="54"/>
      <c r="Y245" s="54"/>
      <c r="Z245" s="54"/>
      <c r="AA245" s="54"/>
      <c r="AB245" s="287"/>
      <c r="AC245" s="54"/>
      <c r="AD245" s="54"/>
      <c r="AE245" s="54"/>
    </row>
    <row r="246">
      <c r="A246" s="54"/>
      <c r="B246" s="110">
        <v>45742.0</v>
      </c>
      <c r="C246" s="110"/>
      <c r="D246" s="102"/>
      <c r="E246" s="100">
        <v>1469744.0</v>
      </c>
      <c r="F246" s="99">
        <f t="shared" si="40"/>
        <v>1205</v>
      </c>
      <c r="G246" s="100">
        <v>610.0</v>
      </c>
      <c r="H246" s="101">
        <v>355.0</v>
      </c>
      <c r="I246" s="101">
        <f>141.43+141.43</f>
        <v>282.86</v>
      </c>
      <c r="J246" s="350">
        <f t="shared" si="38"/>
        <v>72.14</v>
      </c>
      <c r="K246" s="351">
        <f t="shared" si="39"/>
        <v>23.47385892</v>
      </c>
      <c r="L246" s="54"/>
      <c r="M246" s="54"/>
      <c r="N246" s="54"/>
      <c r="O246" s="54"/>
      <c r="R246" s="249"/>
      <c r="S246" s="54"/>
      <c r="T246" s="54"/>
      <c r="U246" s="54"/>
      <c r="V246" s="54"/>
      <c r="W246" s="54"/>
      <c r="X246" s="54"/>
      <c r="Y246" s="54"/>
      <c r="Z246" s="54"/>
      <c r="AA246" s="54"/>
      <c r="AB246" s="287"/>
      <c r="AC246" s="54"/>
      <c r="AD246" s="54"/>
      <c r="AE246" s="54"/>
    </row>
    <row r="247">
      <c r="A247" s="54"/>
      <c r="B247" s="110">
        <v>45742.0</v>
      </c>
      <c r="C247" s="110"/>
      <c r="D247" s="102"/>
      <c r="E247" s="100">
        <v>1470189.0</v>
      </c>
      <c r="F247" s="99">
        <f t="shared" si="40"/>
        <v>445</v>
      </c>
      <c r="G247" s="100">
        <v>610.0</v>
      </c>
      <c r="H247" s="101">
        <v>142.0</v>
      </c>
      <c r="I247" s="101">
        <v>125.0</v>
      </c>
      <c r="J247" s="350">
        <f t="shared" si="38"/>
        <v>17</v>
      </c>
      <c r="K247" s="351">
        <f t="shared" si="39"/>
        <v>28.08988764</v>
      </c>
      <c r="L247" s="54"/>
      <c r="M247" s="54"/>
      <c r="N247" s="54"/>
      <c r="O247" s="54"/>
      <c r="R247" s="249"/>
      <c r="S247" s="54"/>
      <c r="T247" s="54"/>
      <c r="U247" s="54"/>
      <c r="V247" s="54"/>
      <c r="W247" s="54"/>
      <c r="X247" s="54"/>
      <c r="Y247" s="54"/>
      <c r="Z247" s="54"/>
      <c r="AA247" s="54"/>
      <c r="AB247" s="287"/>
      <c r="AC247" s="54"/>
      <c r="AD247" s="54"/>
      <c r="AE247" s="54"/>
    </row>
    <row r="248">
      <c r="A248" s="54"/>
      <c r="B248" s="110">
        <v>45743.0</v>
      </c>
      <c r="C248" s="110"/>
      <c r="D248" s="102"/>
      <c r="E248" s="100">
        <v>1470968.0</v>
      </c>
      <c r="F248" s="99">
        <f t="shared" si="40"/>
        <v>779</v>
      </c>
      <c r="G248" s="100">
        <v>610.0</v>
      </c>
      <c r="H248" s="101">
        <v>242.0</v>
      </c>
      <c r="I248" s="101">
        <v>220.0</v>
      </c>
      <c r="J248" s="350">
        <f t="shared" si="38"/>
        <v>22</v>
      </c>
      <c r="K248" s="351">
        <f t="shared" si="39"/>
        <v>28.24133504</v>
      </c>
      <c r="L248" s="54"/>
      <c r="M248" s="54"/>
      <c r="N248" s="54"/>
      <c r="O248" s="54"/>
      <c r="R248" s="249"/>
      <c r="S248" s="54"/>
      <c r="T248" s="54"/>
      <c r="U248" s="54"/>
      <c r="V248" s="54"/>
      <c r="W248" s="54"/>
      <c r="X248" s="54"/>
      <c r="Y248" s="54"/>
      <c r="Z248" s="54"/>
      <c r="AA248" s="54"/>
      <c r="AB248" s="287"/>
      <c r="AC248" s="54"/>
      <c r="AD248" s="54"/>
      <c r="AE248" s="54"/>
    </row>
    <row r="249">
      <c r="A249" s="54"/>
      <c r="B249" s="110">
        <v>45744.0</v>
      </c>
      <c r="C249" s="110"/>
      <c r="D249" s="102"/>
      <c r="E249" s="100">
        <v>1471722.0</v>
      </c>
      <c r="F249" s="99">
        <f t="shared" si="40"/>
        <v>754</v>
      </c>
      <c r="G249" s="100">
        <v>610.0</v>
      </c>
      <c r="H249" s="101">
        <v>232.0</v>
      </c>
      <c r="I249" s="102">
        <f>141.3+70</f>
        <v>211.3</v>
      </c>
      <c r="J249" s="350">
        <f t="shared" si="38"/>
        <v>20.7</v>
      </c>
      <c r="K249" s="351">
        <f t="shared" si="39"/>
        <v>28.02387268</v>
      </c>
      <c r="L249" s="54"/>
      <c r="M249" s="54"/>
      <c r="N249" s="54"/>
      <c r="O249" s="54"/>
      <c r="R249" s="249"/>
      <c r="S249" s="54"/>
      <c r="T249" s="54"/>
      <c r="U249" s="54"/>
      <c r="V249" s="54"/>
      <c r="W249" s="54"/>
      <c r="X249" s="54"/>
      <c r="Y249" s="54"/>
      <c r="Z249" s="54"/>
      <c r="AA249" s="54"/>
      <c r="AB249" s="287"/>
      <c r="AC249" s="54"/>
      <c r="AD249" s="54"/>
      <c r="AE249" s="54"/>
    </row>
    <row r="250">
      <c r="A250" s="54"/>
      <c r="B250" s="110">
        <v>45746.0</v>
      </c>
      <c r="C250" s="110"/>
      <c r="D250" s="102"/>
      <c r="E250" s="100">
        <v>1472501.0</v>
      </c>
      <c r="F250" s="99">
        <f t="shared" si="40"/>
        <v>779</v>
      </c>
      <c r="G250" s="100">
        <v>610.0</v>
      </c>
      <c r="H250" s="101">
        <v>249.0</v>
      </c>
      <c r="I250" s="101">
        <v>230.0</v>
      </c>
      <c r="J250" s="350">
        <f t="shared" si="38"/>
        <v>19</v>
      </c>
      <c r="K250" s="351">
        <f t="shared" si="39"/>
        <v>29.52503209</v>
      </c>
      <c r="L250" s="54"/>
      <c r="M250" s="54"/>
      <c r="N250" s="54"/>
      <c r="O250" s="54"/>
      <c r="R250" s="249"/>
      <c r="S250" s="54"/>
      <c r="T250" s="54"/>
      <c r="U250" s="54"/>
      <c r="V250" s="54"/>
      <c r="W250" s="54"/>
      <c r="X250" s="54"/>
      <c r="Y250" s="54"/>
      <c r="Z250" s="54"/>
      <c r="AA250" s="54"/>
      <c r="AB250" s="287"/>
      <c r="AC250" s="54"/>
      <c r="AD250" s="54"/>
      <c r="AE250" s="54"/>
    </row>
    <row r="251">
      <c r="A251" s="54"/>
      <c r="B251" s="110">
        <v>45747.0</v>
      </c>
      <c r="C251" s="110"/>
      <c r="D251" s="102"/>
      <c r="E251" s="100">
        <v>1473253.0</v>
      </c>
      <c r="F251" s="99">
        <f t="shared" si="40"/>
        <v>752</v>
      </c>
      <c r="G251" s="100">
        <v>610.0</v>
      </c>
      <c r="H251" s="101">
        <v>223.0</v>
      </c>
      <c r="I251" s="102">
        <f>141.3+68.05</f>
        <v>209.35</v>
      </c>
      <c r="J251" s="350">
        <f t="shared" si="38"/>
        <v>13.65</v>
      </c>
      <c r="K251" s="351">
        <f t="shared" si="39"/>
        <v>27.83909574</v>
      </c>
      <c r="L251" s="54"/>
      <c r="M251" s="54"/>
      <c r="N251" s="54"/>
      <c r="O251" s="54"/>
      <c r="R251" s="249"/>
      <c r="S251" s="54"/>
      <c r="T251" s="54"/>
      <c r="U251" s="54"/>
      <c r="V251" s="54"/>
      <c r="W251" s="54"/>
      <c r="X251" s="54"/>
      <c r="Y251" s="54"/>
      <c r="Z251" s="54"/>
      <c r="AA251" s="54"/>
      <c r="AB251" s="287"/>
      <c r="AC251" s="54"/>
      <c r="AD251" s="54"/>
      <c r="AE251" s="54"/>
    </row>
    <row r="252">
      <c r="A252" s="89"/>
      <c r="B252" s="203" t="str">
        <f>IF(L252=4,"АПРЕЛЬ",IF(L252=5,"МАЙ",IF(L252=1,"ЯНВАРЬ",IF(L252=2,"ФЕВРАЛЬ",IF(L252=3,"МАРТ",IF(L252=6,"ИЮНЬ",IF(L252=7,"ИЮЛЬ",IF(L252=8,"АВГУСТ",IF(L252=9,"СЕНТЯБРЬ",IF(L252=10,"ОКТЯБРЬ",IF(L252=11,"НОЯБРЬ",IF(L252=12,"ДЕКАБРЬ"))))))))))))</f>
        <v>АПРЕЛЬ</v>
      </c>
      <c r="J252" s="89"/>
      <c r="K252" s="90"/>
      <c r="L252" s="91">
        <f>MONTH(B253)</f>
        <v>4</v>
      </c>
      <c r="M252" s="89"/>
      <c r="N252" s="89"/>
      <c r="O252" s="89"/>
      <c r="P252" s="89"/>
      <c r="Q252" s="89"/>
      <c r="R252" s="241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301"/>
      <c r="AD252" s="56"/>
      <c r="AE252" s="56"/>
    </row>
    <row r="253">
      <c r="A253" s="54"/>
      <c r="B253" s="110">
        <v>45748.0</v>
      </c>
      <c r="C253" s="110"/>
      <c r="D253" s="102"/>
      <c r="E253" s="100">
        <v>1474014.0</v>
      </c>
      <c r="F253" s="99">
        <f>E253-E251</f>
        <v>761</v>
      </c>
      <c r="G253" s="100">
        <v>610.0</v>
      </c>
      <c r="H253" s="101">
        <v>230.0</v>
      </c>
      <c r="I253" s="101">
        <v>210.0</v>
      </c>
      <c r="J253" s="350">
        <f t="shared" ref="J253:J278" si="41">H253-I253</f>
        <v>20</v>
      </c>
      <c r="K253" s="351">
        <f t="shared" ref="K253:K278" si="42">I253/F253*100</f>
        <v>27.59526938</v>
      </c>
      <c r="L253" s="54"/>
      <c r="M253" s="82" t="str">
        <f>"тотал"&amp;" "&amp;B252&amp;" "&amp;R253</f>
        <v>тотал АПРЕЛЬ 25</v>
      </c>
      <c r="N253" s="75"/>
      <c r="O253" s="75"/>
      <c r="P253" s="75"/>
      <c r="Q253" s="76"/>
      <c r="R253" s="359" t="str">
        <f>RIGHT(YEAR(B253),2)</f>
        <v>25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287"/>
      <c r="AC253" s="54"/>
      <c r="AD253" s="54"/>
      <c r="AE253" s="54"/>
    </row>
    <row r="254">
      <c r="A254" s="54"/>
      <c r="B254" s="110">
        <v>45749.0</v>
      </c>
      <c r="C254" s="110"/>
      <c r="D254" s="102"/>
      <c r="E254" s="100">
        <v>1474769.0</v>
      </c>
      <c r="F254" s="99">
        <f t="shared" ref="F254:F278" si="43">E254-E253</f>
        <v>755</v>
      </c>
      <c r="G254" s="100">
        <v>610.0</v>
      </c>
      <c r="H254" s="101">
        <v>238.0</v>
      </c>
      <c r="I254" s="101">
        <v>220.38</v>
      </c>
      <c r="J254" s="350">
        <f t="shared" si="41"/>
        <v>17.62</v>
      </c>
      <c r="K254" s="351">
        <f t="shared" si="42"/>
        <v>29.18940397</v>
      </c>
      <c r="L254" s="54"/>
      <c r="M254" s="83" t="s">
        <v>70</v>
      </c>
      <c r="N254" s="83" t="s">
        <v>71</v>
      </c>
      <c r="O254" s="83" t="s">
        <v>27</v>
      </c>
      <c r="P254" s="77" t="s">
        <v>28</v>
      </c>
      <c r="Q254" s="12" t="s">
        <v>78</v>
      </c>
      <c r="R254" s="249"/>
      <c r="S254" s="54"/>
      <c r="T254" s="54"/>
      <c r="U254" s="54"/>
      <c r="V254" s="54"/>
      <c r="W254" s="54"/>
      <c r="X254" s="54"/>
      <c r="Y254" s="54"/>
      <c r="Z254" s="54"/>
      <c r="AA254" s="54"/>
      <c r="AB254" s="287"/>
      <c r="AC254" s="54"/>
      <c r="AD254" s="54"/>
      <c r="AE254" s="54"/>
    </row>
    <row r="255">
      <c r="A255" s="54"/>
      <c r="B255" s="110">
        <v>45751.0</v>
      </c>
      <c r="C255" s="110"/>
      <c r="D255" s="102"/>
      <c r="E255" s="100">
        <v>1476038.0</v>
      </c>
      <c r="F255" s="99">
        <f t="shared" si="43"/>
        <v>1269</v>
      </c>
      <c r="G255" s="100">
        <v>543.0</v>
      </c>
      <c r="H255" s="101">
        <v>300.0</v>
      </c>
      <c r="I255" s="101">
        <v>300.0</v>
      </c>
      <c r="J255" s="350">
        <f t="shared" si="41"/>
        <v>0</v>
      </c>
      <c r="K255" s="351">
        <f t="shared" si="42"/>
        <v>23.64066194</v>
      </c>
      <c r="L255" s="54"/>
      <c r="M255" s="84">
        <f>SUM(F253:F278)</f>
        <v>20200</v>
      </c>
      <c r="N255" s="84">
        <f>SUM(I253:I278)</f>
        <v>5603.4</v>
      </c>
      <c r="O255" s="85">
        <f>N255/M255*100</f>
        <v>27.73960396</v>
      </c>
      <c r="P255" s="79">
        <f>(M255/100)*(O255-Q255)</f>
        <v>-52.6</v>
      </c>
      <c r="Q255" s="78">
        <v>28.0</v>
      </c>
      <c r="R255" s="249"/>
      <c r="S255" s="54"/>
      <c r="T255" s="54"/>
      <c r="U255" s="54"/>
      <c r="V255" s="54"/>
      <c r="W255" s="54"/>
      <c r="X255" s="54"/>
      <c r="Y255" s="54"/>
      <c r="Z255" s="54"/>
      <c r="AA255" s="54"/>
      <c r="AB255" s="287"/>
      <c r="AC255" s="54"/>
      <c r="AD255" s="54"/>
      <c r="AE255" s="54"/>
    </row>
    <row r="256">
      <c r="A256" s="54"/>
      <c r="B256" s="110">
        <v>45751.0</v>
      </c>
      <c r="C256" s="110"/>
      <c r="D256" s="102"/>
      <c r="E256" s="100">
        <v>1476484.0</v>
      </c>
      <c r="F256" s="99">
        <f t="shared" si="43"/>
        <v>446</v>
      </c>
      <c r="G256" s="100">
        <v>610.0</v>
      </c>
      <c r="H256" s="101">
        <v>205.0</v>
      </c>
      <c r="I256" s="101">
        <v>186.31</v>
      </c>
      <c r="J256" s="350">
        <f t="shared" si="41"/>
        <v>18.69</v>
      </c>
      <c r="K256" s="351">
        <f t="shared" si="42"/>
        <v>41.7735426</v>
      </c>
      <c r="L256" s="54"/>
      <c r="M256" s="54"/>
      <c r="N256" s="54"/>
      <c r="O256" s="54"/>
      <c r="R256" s="249"/>
      <c r="S256" s="54"/>
      <c r="T256" s="54"/>
      <c r="U256" s="54"/>
      <c r="V256" s="54"/>
      <c r="W256" s="54"/>
      <c r="X256" s="54"/>
      <c r="Y256" s="54"/>
      <c r="Z256" s="54"/>
      <c r="AA256" s="54"/>
      <c r="AB256" s="287"/>
      <c r="AC256" s="54"/>
      <c r="AD256" s="54"/>
      <c r="AE256" s="54"/>
    </row>
    <row r="257">
      <c r="A257" s="54"/>
      <c r="B257" s="110">
        <v>45752.0</v>
      </c>
      <c r="C257" s="110"/>
      <c r="D257" s="102"/>
      <c r="E257" s="100">
        <v>1477262.0</v>
      </c>
      <c r="F257" s="99">
        <f t="shared" si="43"/>
        <v>778</v>
      </c>
      <c r="G257" s="100">
        <v>610.0</v>
      </c>
      <c r="H257" s="101">
        <v>232.0</v>
      </c>
      <c r="I257" s="101">
        <v>210.0</v>
      </c>
      <c r="J257" s="350">
        <f t="shared" si="41"/>
        <v>22</v>
      </c>
      <c r="K257" s="351">
        <f t="shared" si="42"/>
        <v>26.99228792</v>
      </c>
      <c r="L257" s="54"/>
      <c r="M257" s="54"/>
      <c r="N257" s="54"/>
      <c r="O257" s="54"/>
      <c r="R257" s="249"/>
      <c r="S257" s="54"/>
      <c r="T257" s="54"/>
      <c r="U257" s="54"/>
      <c r="V257" s="54"/>
      <c r="W257" s="54"/>
      <c r="X257" s="54"/>
      <c r="Y257" s="54"/>
      <c r="Z257" s="54"/>
      <c r="AA257" s="54"/>
      <c r="AB257" s="287"/>
      <c r="AC257" s="54"/>
      <c r="AD257" s="54"/>
      <c r="AE257" s="54"/>
    </row>
    <row r="258">
      <c r="A258" s="54"/>
      <c r="B258" s="110">
        <v>45753.0</v>
      </c>
      <c r="C258" s="110"/>
      <c r="D258" s="102"/>
      <c r="E258" s="100">
        <v>1478016.0</v>
      </c>
      <c r="F258" s="99">
        <f t="shared" si="43"/>
        <v>754</v>
      </c>
      <c r="G258" s="100">
        <v>610.0</v>
      </c>
      <c r="H258" s="101">
        <v>248.0</v>
      </c>
      <c r="I258" s="101">
        <v>230.35</v>
      </c>
      <c r="J258" s="350">
        <f t="shared" si="41"/>
        <v>17.65</v>
      </c>
      <c r="K258" s="351">
        <f t="shared" si="42"/>
        <v>30.55039788</v>
      </c>
      <c r="L258" s="54"/>
      <c r="M258" s="54"/>
      <c r="N258" s="54"/>
      <c r="O258" s="54"/>
      <c r="R258" s="249"/>
      <c r="S258" s="54"/>
      <c r="T258" s="54"/>
      <c r="U258" s="54"/>
      <c r="V258" s="54"/>
      <c r="W258" s="54"/>
      <c r="X258" s="54"/>
      <c r="Y258" s="54"/>
      <c r="Z258" s="54"/>
      <c r="AA258" s="54"/>
      <c r="AB258" s="287"/>
      <c r="AC258" s="54"/>
      <c r="AD258" s="54"/>
      <c r="AE258" s="54"/>
    </row>
    <row r="259">
      <c r="A259" s="54"/>
      <c r="B259" s="110">
        <v>45755.0</v>
      </c>
      <c r="C259" s="110"/>
      <c r="D259" s="102"/>
      <c r="E259" s="100">
        <v>1478778.0</v>
      </c>
      <c r="F259" s="99">
        <f t="shared" si="43"/>
        <v>762</v>
      </c>
      <c r="G259" s="100">
        <v>598.0</v>
      </c>
      <c r="H259" s="101">
        <v>226.0</v>
      </c>
      <c r="I259" s="101">
        <v>210.0</v>
      </c>
      <c r="J259" s="350">
        <f t="shared" si="41"/>
        <v>16</v>
      </c>
      <c r="K259" s="351">
        <f t="shared" si="42"/>
        <v>27.55905512</v>
      </c>
      <c r="L259" s="54"/>
      <c r="M259" s="54"/>
      <c r="N259" s="54"/>
      <c r="O259" s="54"/>
      <c r="R259" s="249"/>
      <c r="S259" s="54"/>
      <c r="T259" s="54"/>
      <c r="U259" s="54"/>
      <c r="V259" s="54"/>
      <c r="W259" s="54"/>
      <c r="X259" s="54"/>
      <c r="Y259" s="54"/>
      <c r="Z259" s="54"/>
      <c r="AA259" s="54"/>
      <c r="AB259" s="287"/>
      <c r="AC259" s="54"/>
      <c r="AD259" s="54"/>
      <c r="AE259" s="54"/>
    </row>
    <row r="260">
      <c r="A260" s="54"/>
      <c r="B260" s="110">
        <v>45756.0</v>
      </c>
      <c r="C260" s="110"/>
      <c r="D260" s="102"/>
      <c r="E260" s="100">
        <v>1479533.0</v>
      </c>
      <c r="F260" s="99">
        <f t="shared" si="43"/>
        <v>755</v>
      </c>
      <c r="G260" s="100">
        <v>610.0</v>
      </c>
      <c r="H260" s="101">
        <v>260.0</v>
      </c>
      <c r="I260" s="101">
        <v>241.31</v>
      </c>
      <c r="J260" s="350">
        <f t="shared" si="41"/>
        <v>18.69</v>
      </c>
      <c r="K260" s="351">
        <f t="shared" si="42"/>
        <v>31.9615894</v>
      </c>
      <c r="L260" s="54"/>
      <c r="M260" s="54"/>
      <c r="N260" s="54"/>
      <c r="O260" s="54"/>
      <c r="R260" s="249"/>
      <c r="S260" s="54"/>
      <c r="T260" s="54"/>
      <c r="U260" s="54"/>
      <c r="V260" s="54"/>
      <c r="W260" s="54"/>
      <c r="X260" s="54"/>
      <c r="Y260" s="54"/>
      <c r="Z260" s="54"/>
      <c r="AA260" s="54"/>
      <c r="AB260" s="287"/>
      <c r="AC260" s="54"/>
      <c r="AD260" s="54"/>
      <c r="AE260" s="54"/>
    </row>
    <row r="261">
      <c r="A261" s="54"/>
      <c r="B261" s="110">
        <v>45757.0</v>
      </c>
      <c r="C261" s="110"/>
      <c r="D261" s="102"/>
      <c r="E261" s="100">
        <v>1480313.0</v>
      </c>
      <c r="F261" s="99">
        <f t="shared" si="43"/>
        <v>780</v>
      </c>
      <c r="G261" s="100">
        <v>593.0</v>
      </c>
      <c r="H261" s="101">
        <v>234.0</v>
      </c>
      <c r="I261" s="101">
        <v>220.0</v>
      </c>
      <c r="J261" s="350">
        <f t="shared" si="41"/>
        <v>14</v>
      </c>
      <c r="K261" s="351">
        <f t="shared" si="42"/>
        <v>28.20512821</v>
      </c>
      <c r="L261" s="54"/>
      <c r="M261" s="54"/>
      <c r="N261" s="54"/>
      <c r="O261" s="54"/>
      <c r="R261" s="249"/>
      <c r="S261" s="54"/>
      <c r="T261" s="54"/>
      <c r="U261" s="54"/>
      <c r="V261" s="54"/>
      <c r="W261" s="54"/>
      <c r="X261" s="54"/>
      <c r="Y261" s="54"/>
      <c r="Z261" s="54"/>
      <c r="AA261" s="54"/>
      <c r="AB261" s="287"/>
      <c r="AC261" s="54"/>
      <c r="AD261" s="54"/>
      <c r="AE261" s="54"/>
    </row>
    <row r="262">
      <c r="A262" s="54"/>
      <c r="B262" s="110">
        <v>45758.0</v>
      </c>
      <c r="C262" s="110"/>
      <c r="D262" s="102"/>
      <c r="E262" s="100">
        <v>1481067.0</v>
      </c>
      <c r="F262" s="99">
        <f t="shared" si="43"/>
        <v>754</v>
      </c>
      <c r="G262" s="100">
        <v>605.0</v>
      </c>
      <c r="H262" s="101">
        <v>239.0</v>
      </c>
      <c r="I262" s="101">
        <v>220.55</v>
      </c>
      <c r="J262" s="350">
        <f t="shared" si="41"/>
        <v>18.45</v>
      </c>
      <c r="K262" s="351">
        <f t="shared" si="42"/>
        <v>29.25066313</v>
      </c>
      <c r="L262" s="54"/>
      <c r="M262" s="54"/>
      <c r="N262" s="54"/>
      <c r="O262" s="54"/>
      <c r="R262" s="249"/>
      <c r="S262" s="54"/>
      <c r="T262" s="54"/>
      <c r="U262" s="54"/>
      <c r="V262" s="54"/>
      <c r="W262" s="54"/>
      <c r="X262" s="54"/>
      <c r="Y262" s="54"/>
      <c r="Z262" s="54"/>
      <c r="AA262" s="54"/>
      <c r="AB262" s="287"/>
      <c r="AC262" s="54"/>
      <c r="AD262" s="54"/>
      <c r="AE262" s="54"/>
    </row>
    <row r="263">
      <c r="A263" s="54"/>
      <c r="B263" s="110">
        <v>45762.0</v>
      </c>
      <c r="C263" s="110"/>
      <c r="D263" s="102"/>
      <c r="E263" s="100">
        <v>1481976.0</v>
      </c>
      <c r="F263" s="99">
        <f t="shared" si="43"/>
        <v>909</v>
      </c>
      <c r="G263" s="100">
        <v>610.0</v>
      </c>
      <c r="H263" s="101">
        <v>272.0</v>
      </c>
      <c r="I263" s="101">
        <v>250.0</v>
      </c>
      <c r="J263" s="350">
        <f t="shared" si="41"/>
        <v>22</v>
      </c>
      <c r="K263" s="351">
        <f t="shared" si="42"/>
        <v>27.50275028</v>
      </c>
      <c r="L263" s="54"/>
      <c r="M263" s="54"/>
      <c r="N263" s="54"/>
      <c r="O263" s="54"/>
      <c r="R263" s="249"/>
      <c r="S263" s="54"/>
      <c r="T263" s="54"/>
      <c r="U263" s="54"/>
      <c r="V263" s="54"/>
      <c r="W263" s="54"/>
      <c r="X263" s="54"/>
      <c r="Y263" s="54"/>
      <c r="Z263" s="54"/>
      <c r="AA263" s="54"/>
      <c r="AB263" s="287"/>
      <c r="AC263" s="54"/>
      <c r="AD263" s="54"/>
      <c r="AE263" s="54"/>
    </row>
    <row r="264">
      <c r="A264" s="54"/>
      <c r="B264" s="110">
        <v>45763.0</v>
      </c>
      <c r="C264" s="110"/>
      <c r="D264" s="102"/>
      <c r="E264" s="100">
        <v>1482754.0</v>
      </c>
      <c r="F264" s="99">
        <f t="shared" si="43"/>
        <v>778</v>
      </c>
      <c r="G264" s="100">
        <v>610.0</v>
      </c>
      <c r="H264" s="101">
        <v>229.0</v>
      </c>
      <c r="I264" s="102">
        <f>141.7+77.06</f>
        <v>218.76</v>
      </c>
      <c r="J264" s="350">
        <f t="shared" si="41"/>
        <v>10.24</v>
      </c>
      <c r="K264" s="351">
        <f t="shared" si="42"/>
        <v>28.11825193</v>
      </c>
      <c r="L264" s="54"/>
      <c r="M264" s="54"/>
      <c r="N264" s="54"/>
      <c r="O264" s="54"/>
      <c r="R264" s="249"/>
      <c r="S264" s="54"/>
      <c r="T264" s="54"/>
      <c r="U264" s="54"/>
      <c r="V264" s="54"/>
      <c r="W264" s="54"/>
      <c r="X264" s="54"/>
      <c r="Y264" s="54"/>
      <c r="Z264" s="54"/>
      <c r="AA264" s="54"/>
      <c r="AB264" s="287"/>
      <c r="AC264" s="54"/>
      <c r="AD264" s="54"/>
      <c r="AE264" s="54"/>
    </row>
    <row r="265">
      <c r="A265" s="54"/>
      <c r="B265" s="110">
        <v>45764.0</v>
      </c>
      <c r="C265" s="110"/>
      <c r="D265" s="102"/>
      <c r="E265" s="100">
        <v>1483533.0</v>
      </c>
      <c r="F265" s="99">
        <f t="shared" si="43"/>
        <v>779</v>
      </c>
      <c r="G265" s="100">
        <v>610.0</v>
      </c>
      <c r="H265" s="101">
        <v>222.0</v>
      </c>
      <c r="I265" s="101">
        <v>220.0</v>
      </c>
      <c r="J265" s="350">
        <f t="shared" si="41"/>
        <v>2</v>
      </c>
      <c r="K265" s="351">
        <f t="shared" si="42"/>
        <v>28.24133504</v>
      </c>
      <c r="L265" s="54"/>
      <c r="M265" s="54"/>
      <c r="N265" s="54"/>
      <c r="O265" s="54"/>
      <c r="R265" s="249"/>
      <c r="S265" s="54"/>
      <c r="T265" s="54"/>
      <c r="U265" s="54"/>
      <c r="V265" s="54"/>
      <c r="W265" s="54"/>
      <c r="X265" s="54"/>
      <c r="Y265" s="54"/>
      <c r="Z265" s="54"/>
      <c r="AA265" s="54"/>
      <c r="AB265" s="287"/>
      <c r="AC265" s="54"/>
      <c r="AD265" s="54"/>
      <c r="AE265" s="54"/>
    </row>
    <row r="266">
      <c r="A266" s="54"/>
      <c r="B266" s="110">
        <v>45765.0</v>
      </c>
      <c r="C266" s="110"/>
      <c r="D266" s="102"/>
      <c r="E266" s="100">
        <v>1484288.0</v>
      </c>
      <c r="F266" s="99">
        <f t="shared" si="43"/>
        <v>755</v>
      </c>
      <c r="G266" s="100">
        <v>610.0</v>
      </c>
      <c r="H266" s="101">
        <v>203.0</v>
      </c>
      <c r="I266" s="102">
        <f>140.7+49.02</f>
        <v>189.72</v>
      </c>
      <c r="J266" s="350">
        <f t="shared" si="41"/>
        <v>13.28</v>
      </c>
      <c r="K266" s="351">
        <f t="shared" si="42"/>
        <v>25.12847682</v>
      </c>
      <c r="L266" s="54"/>
      <c r="M266" s="54"/>
      <c r="N266" s="54"/>
      <c r="O266" s="54"/>
      <c r="R266" s="249"/>
      <c r="S266" s="54"/>
      <c r="T266" s="54"/>
      <c r="U266" s="54"/>
      <c r="V266" s="54"/>
      <c r="W266" s="54"/>
      <c r="X266" s="54"/>
      <c r="Y266" s="54"/>
      <c r="Z266" s="54"/>
      <c r="AA266" s="54"/>
      <c r="AB266" s="287"/>
      <c r="AC266" s="54"/>
      <c r="AD266" s="54"/>
      <c r="AE266" s="54"/>
    </row>
    <row r="267">
      <c r="A267" s="54"/>
      <c r="B267" s="110">
        <v>45766.0</v>
      </c>
      <c r="C267" s="110"/>
      <c r="D267" s="102"/>
      <c r="E267" s="100">
        <v>1485067.0</v>
      </c>
      <c r="F267" s="99">
        <f t="shared" si="43"/>
        <v>779</v>
      </c>
      <c r="G267" s="100">
        <v>610.0</v>
      </c>
      <c r="H267" s="101">
        <v>214.0</v>
      </c>
      <c r="I267" s="101">
        <v>200.0</v>
      </c>
      <c r="J267" s="350">
        <f t="shared" si="41"/>
        <v>14</v>
      </c>
      <c r="K267" s="351">
        <f t="shared" si="42"/>
        <v>25.67394095</v>
      </c>
      <c r="L267" s="54"/>
      <c r="M267" s="54"/>
      <c r="N267" s="54"/>
      <c r="O267" s="54"/>
      <c r="R267" s="249"/>
      <c r="S267" s="54"/>
      <c r="T267" s="54"/>
      <c r="U267" s="54"/>
      <c r="V267" s="54"/>
      <c r="W267" s="54"/>
      <c r="X267" s="54"/>
      <c r="Y267" s="54"/>
      <c r="Z267" s="54"/>
      <c r="AA267" s="54"/>
      <c r="AB267" s="287"/>
      <c r="AC267" s="54"/>
      <c r="AD267" s="54"/>
      <c r="AE267" s="54"/>
    </row>
    <row r="268">
      <c r="A268" s="54"/>
      <c r="B268" s="110">
        <v>45767.0</v>
      </c>
      <c r="C268" s="110"/>
      <c r="D268" s="102"/>
      <c r="E268" s="100">
        <v>1485821.0</v>
      </c>
      <c r="F268" s="99">
        <f t="shared" si="43"/>
        <v>754</v>
      </c>
      <c r="G268" s="100">
        <v>610.0</v>
      </c>
      <c r="H268" s="101">
        <v>221.0</v>
      </c>
      <c r="I268" s="102">
        <f>140.7+69.02</f>
        <v>209.72</v>
      </c>
      <c r="J268" s="350">
        <f t="shared" si="41"/>
        <v>11.28</v>
      </c>
      <c r="K268" s="351">
        <f t="shared" si="42"/>
        <v>27.81432361</v>
      </c>
      <c r="L268" s="54"/>
      <c r="M268" s="54"/>
      <c r="N268" s="54"/>
      <c r="O268" s="54"/>
      <c r="R268" s="249"/>
      <c r="S268" s="54"/>
      <c r="T268" s="54"/>
      <c r="U268" s="54"/>
      <c r="V268" s="54"/>
      <c r="W268" s="54"/>
      <c r="X268" s="54"/>
      <c r="Y268" s="54"/>
      <c r="Z268" s="54"/>
      <c r="AA268" s="54"/>
      <c r="AB268" s="287"/>
      <c r="AC268" s="54"/>
      <c r="AD268" s="54"/>
      <c r="AE268" s="54"/>
    </row>
    <row r="269">
      <c r="A269" s="54"/>
      <c r="B269" s="110">
        <v>45768.0</v>
      </c>
      <c r="C269" s="110"/>
      <c r="D269" s="102"/>
      <c r="E269" s="100">
        <v>1486581.0</v>
      </c>
      <c r="F269" s="99">
        <f t="shared" si="43"/>
        <v>760</v>
      </c>
      <c r="G269" s="100">
        <v>610.0</v>
      </c>
      <c r="H269" s="101">
        <v>194.0</v>
      </c>
      <c r="I269" s="101">
        <v>194.46</v>
      </c>
      <c r="J269" s="350">
        <f t="shared" si="41"/>
        <v>-0.46</v>
      </c>
      <c r="K269" s="351">
        <f t="shared" si="42"/>
        <v>25.58684211</v>
      </c>
      <c r="L269" s="54"/>
      <c r="M269" s="54"/>
      <c r="N269" s="54"/>
      <c r="O269" s="54"/>
      <c r="R269" s="249"/>
      <c r="S269" s="54"/>
      <c r="T269" s="54"/>
      <c r="U269" s="54"/>
      <c r="V269" s="54"/>
      <c r="W269" s="54"/>
      <c r="X269" s="54"/>
      <c r="Y269" s="54"/>
      <c r="Z269" s="54"/>
      <c r="AA269" s="54"/>
      <c r="AB269" s="287"/>
      <c r="AC269" s="54"/>
      <c r="AD269" s="54"/>
      <c r="AE269" s="54"/>
    </row>
    <row r="270">
      <c r="A270" s="54"/>
      <c r="B270" s="110">
        <v>45769.0</v>
      </c>
      <c r="C270" s="110"/>
      <c r="D270" s="102"/>
      <c r="E270" s="100">
        <v>1487335.0</v>
      </c>
      <c r="F270" s="99">
        <f t="shared" si="43"/>
        <v>754</v>
      </c>
      <c r="G270" s="100">
        <v>610.0</v>
      </c>
      <c r="H270" s="101">
        <v>201.0</v>
      </c>
      <c r="I270" s="101">
        <v>188.16</v>
      </c>
      <c r="J270" s="350">
        <f t="shared" si="41"/>
        <v>12.84</v>
      </c>
      <c r="K270" s="351">
        <f t="shared" si="42"/>
        <v>24.95490716</v>
      </c>
      <c r="L270" s="54"/>
      <c r="M270" s="54"/>
      <c r="N270" s="54"/>
      <c r="O270" s="54"/>
      <c r="R270" s="249"/>
      <c r="S270" s="54"/>
      <c r="T270" s="54"/>
      <c r="U270" s="54"/>
      <c r="V270" s="54"/>
      <c r="W270" s="54"/>
      <c r="X270" s="54"/>
      <c r="Y270" s="54"/>
      <c r="Z270" s="54"/>
      <c r="AA270" s="54"/>
      <c r="AB270" s="287"/>
      <c r="AC270" s="54"/>
      <c r="AD270" s="54"/>
      <c r="AE270" s="54"/>
    </row>
    <row r="271">
      <c r="A271" s="54"/>
      <c r="B271" s="110">
        <v>45770.0</v>
      </c>
      <c r="C271" s="110"/>
      <c r="D271" s="102"/>
      <c r="E271" s="100">
        <v>1488114.0</v>
      </c>
      <c r="F271" s="99">
        <f t="shared" si="43"/>
        <v>779</v>
      </c>
      <c r="G271" s="100">
        <v>610.0</v>
      </c>
      <c r="H271" s="101">
        <v>223.0</v>
      </c>
      <c r="I271" s="101">
        <v>220.0</v>
      </c>
      <c r="J271" s="350">
        <f t="shared" si="41"/>
        <v>3</v>
      </c>
      <c r="K271" s="351">
        <f t="shared" si="42"/>
        <v>28.24133504</v>
      </c>
      <c r="L271" s="54"/>
      <c r="M271" s="54"/>
      <c r="N271" s="54"/>
      <c r="O271" s="54"/>
      <c r="R271" s="249"/>
      <c r="S271" s="54"/>
      <c r="T271" s="54"/>
      <c r="U271" s="54"/>
      <c r="V271" s="54"/>
      <c r="W271" s="54"/>
      <c r="X271" s="54"/>
      <c r="Y271" s="54"/>
      <c r="Z271" s="54"/>
      <c r="AA271" s="54"/>
      <c r="AB271" s="287"/>
      <c r="AC271" s="54"/>
      <c r="AD271" s="54"/>
      <c r="AE271" s="54"/>
    </row>
    <row r="272">
      <c r="A272" s="54"/>
      <c r="B272" s="110">
        <v>45771.0</v>
      </c>
      <c r="C272" s="110"/>
      <c r="D272" s="102"/>
      <c r="E272" s="100">
        <v>1488868.0</v>
      </c>
      <c r="F272" s="99">
        <f t="shared" si="43"/>
        <v>754</v>
      </c>
      <c r="G272" s="100">
        <v>610.0</v>
      </c>
      <c r="H272" s="101">
        <v>211.0</v>
      </c>
      <c r="I272" s="101">
        <v>196.68</v>
      </c>
      <c r="J272" s="350">
        <f t="shared" si="41"/>
        <v>14.32</v>
      </c>
      <c r="K272" s="351">
        <f t="shared" si="42"/>
        <v>26.08488064</v>
      </c>
      <c r="L272" s="54"/>
      <c r="M272" s="54"/>
      <c r="N272" s="54"/>
      <c r="O272" s="54"/>
      <c r="R272" s="249"/>
      <c r="S272" s="54"/>
      <c r="T272" s="54"/>
      <c r="U272" s="54"/>
      <c r="V272" s="54"/>
      <c r="W272" s="54"/>
      <c r="X272" s="54"/>
      <c r="Y272" s="54"/>
      <c r="Z272" s="54"/>
      <c r="AA272" s="54"/>
      <c r="AB272" s="287"/>
      <c r="AC272" s="54"/>
      <c r="AD272" s="54"/>
      <c r="AE272" s="54"/>
    </row>
    <row r="273">
      <c r="A273" s="54"/>
      <c r="B273" s="110">
        <v>45772.0</v>
      </c>
      <c r="C273" s="110"/>
      <c r="D273" s="102"/>
      <c r="E273" s="100">
        <v>1489648.0</v>
      </c>
      <c r="F273" s="99">
        <f t="shared" si="43"/>
        <v>780</v>
      </c>
      <c r="G273" s="100">
        <v>610.0</v>
      </c>
      <c r="H273" s="101">
        <v>232.0</v>
      </c>
      <c r="I273" s="101">
        <v>220.0</v>
      </c>
      <c r="J273" s="350">
        <f t="shared" si="41"/>
        <v>12</v>
      </c>
      <c r="K273" s="351">
        <f t="shared" si="42"/>
        <v>28.20512821</v>
      </c>
      <c r="L273" s="54"/>
      <c r="M273" s="54"/>
      <c r="N273" s="54"/>
      <c r="O273" s="54"/>
      <c r="R273" s="249"/>
      <c r="S273" s="54"/>
      <c r="T273" s="54"/>
      <c r="U273" s="54"/>
      <c r="V273" s="54"/>
      <c r="W273" s="54"/>
      <c r="X273" s="54"/>
      <c r="Y273" s="54"/>
      <c r="Z273" s="54"/>
      <c r="AA273" s="54"/>
      <c r="AB273" s="287"/>
      <c r="AC273" s="54"/>
      <c r="AD273" s="54"/>
      <c r="AE273" s="54"/>
    </row>
    <row r="274">
      <c r="A274" s="54"/>
      <c r="B274" s="110">
        <v>45773.0</v>
      </c>
      <c r="C274" s="110"/>
      <c r="D274" s="102"/>
      <c r="E274" s="100">
        <v>1490404.0</v>
      </c>
      <c r="F274" s="99">
        <f t="shared" si="43"/>
        <v>756</v>
      </c>
      <c r="G274" s="100">
        <v>610.0</v>
      </c>
      <c r="H274" s="101">
        <v>234.0</v>
      </c>
      <c r="I274" s="101">
        <v>219.75</v>
      </c>
      <c r="J274" s="350">
        <f t="shared" si="41"/>
        <v>14.25</v>
      </c>
      <c r="K274" s="351">
        <f t="shared" si="42"/>
        <v>29.06746032</v>
      </c>
      <c r="L274" s="54"/>
      <c r="M274" s="54"/>
      <c r="N274" s="54"/>
      <c r="O274" s="54"/>
      <c r="R274" s="249"/>
      <c r="S274" s="54"/>
      <c r="T274" s="54"/>
      <c r="U274" s="54"/>
      <c r="V274" s="54"/>
      <c r="W274" s="54"/>
      <c r="X274" s="54"/>
      <c r="Y274" s="54"/>
      <c r="Z274" s="54"/>
      <c r="AA274" s="54"/>
      <c r="AB274" s="287"/>
      <c r="AC274" s="54"/>
      <c r="AD274" s="54"/>
      <c r="AE274" s="54"/>
    </row>
    <row r="275">
      <c r="A275" s="54"/>
      <c r="B275" s="110">
        <v>45774.0</v>
      </c>
      <c r="C275" s="110"/>
      <c r="D275" s="102"/>
      <c r="E275" s="100">
        <v>1491183.0</v>
      </c>
      <c r="F275" s="99">
        <f t="shared" si="43"/>
        <v>779</v>
      </c>
      <c r="G275" s="100">
        <v>610.0</v>
      </c>
      <c r="H275" s="101">
        <v>216.0</v>
      </c>
      <c r="I275" s="101">
        <v>200.0</v>
      </c>
      <c r="J275" s="350">
        <f t="shared" si="41"/>
        <v>16</v>
      </c>
      <c r="K275" s="351">
        <f t="shared" si="42"/>
        <v>25.67394095</v>
      </c>
      <c r="L275" s="54"/>
      <c r="M275" s="54"/>
      <c r="N275" s="54"/>
      <c r="O275" s="54"/>
      <c r="R275" s="249"/>
      <c r="S275" s="54"/>
      <c r="T275" s="54"/>
      <c r="U275" s="54"/>
      <c r="V275" s="54"/>
      <c r="W275" s="54"/>
      <c r="X275" s="54"/>
      <c r="Y275" s="54"/>
      <c r="Z275" s="54"/>
      <c r="AA275" s="54"/>
      <c r="AB275" s="287"/>
      <c r="AC275" s="54"/>
      <c r="AD275" s="54"/>
      <c r="AE275" s="54"/>
    </row>
    <row r="276">
      <c r="A276" s="54"/>
      <c r="B276" s="110">
        <v>45775.0</v>
      </c>
      <c r="C276" s="110"/>
      <c r="D276" s="102"/>
      <c r="E276" s="100">
        <v>1491938.0</v>
      </c>
      <c r="F276" s="99">
        <f t="shared" si="43"/>
        <v>755</v>
      </c>
      <c r="G276" s="100">
        <v>610.0</v>
      </c>
      <c r="H276" s="101">
        <v>220.0</v>
      </c>
      <c r="I276" s="101">
        <v>209.77</v>
      </c>
      <c r="J276" s="350">
        <f t="shared" si="41"/>
        <v>10.23</v>
      </c>
      <c r="K276" s="351">
        <f t="shared" si="42"/>
        <v>27.78410596</v>
      </c>
      <c r="L276" s="54"/>
      <c r="M276" s="54"/>
      <c r="N276" s="54"/>
      <c r="O276" s="54"/>
      <c r="R276" s="249"/>
      <c r="S276" s="54"/>
      <c r="T276" s="54"/>
      <c r="U276" s="54"/>
      <c r="V276" s="54"/>
      <c r="W276" s="54"/>
      <c r="X276" s="54"/>
      <c r="Y276" s="54"/>
      <c r="Z276" s="54"/>
      <c r="AA276" s="54"/>
      <c r="AB276" s="287"/>
      <c r="AC276" s="54"/>
      <c r="AD276" s="54"/>
      <c r="AE276" s="54"/>
    </row>
    <row r="277">
      <c r="A277" s="54"/>
      <c r="B277" s="110">
        <v>45776.0</v>
      </c>
      <c r="C277" s="110"/>
      <c r="D277" s="102"/>
      <c r="E277" s="100">
        <v>1492700.0</v>
      </c>
      <c r="F277" s="99">
        <f t="shared" si="43"/>
        <v>762</v>
      </c>
      <c r="G277" s="100">
        <v>610.0</v>
      </c>
      <c r="H277" s="101">
        <v>219.0</v>
      </c>
      <c r="I277" s="101">
        <v>200.0</v>
      </c>
      <c r="J277" s="350">
        <f t="shared" si="41"/>
        <v>19</v>
      </c>
      <c r="K277" s="351">
        <f t="shared" si="42"/>
        <v>26.24671916</v>
      </c>
      <c r="L277" s="54"/>
      <c r="M277" s="54"/>
      <c r="N277" s="54"/>
      <c r="O277" s="54"/>
      <c r="R277" s="249"/>
      <c r="S277" s="54"/>
      <c r="T277" s="54"/>
      <c r="U277" s="54"/>
      <c r="V277" s="54"/>
      <c r="W277" s="54"/>
      <c r="X277" s="54"/>
      <c r="Y277" s="54"/>
      <c r="Z277" s="54"/>
      <c r="AA277" s="54"/>
      <c r="AB277" s="287"/>
      <c r="AC277" s="54"/>
      <c r="AD277" s="54"/>
      <c r="AE277" s="54"/>
    </row>
    <row r="278">
      <c r="A278" s="54"/>
      <c r="B278" s="110">
        <v>45777.0</v>
      </c>
      <c r="C278" s="110"/>
      <c r="D278" s="102"/>
      <c r="E278" s="100">
        <v>1493453.0</v>
      </c>
      <c r="F278" s="99">
        <f t="shared" si="43"/>
        <v>753</v>
      </c>
      <c r="G278" s="100">
        <v>610.0</v>
      </c>
      <c r="H278" s="101">
        <v>229.0</v>
      </c>
      <c r="I278" s="101">
        <v>217.48</v>
      </c>
      <c r="J278" s="350">
        <f t="shared" si="41"/>
        <v>11.52</v>
      </c>
      <c r="K278" s="351">
        <f t="shared" si="42"/>
        <v>28.88180611</v>
      </c>
      <c r="L278" s="54"/>
      <c r="M278" s="54"/>
      <c r="N278" s="54"/>
      <c r="O278" s="54"/>
      <c r="R278" s="249"/>
      <c r="S278" s="54"/>
      <c r="T278" s="54"/>
      <c r="U278" s="54"/>
      <c r="V278" s="54"/>
      <c r="W278" s="54"/>
      <c r="X278" s="54"/>
      <c r="Y278" s="54"/>
      <c r="Z278" s="54"/>
      <c r="AA278" s="54"/>
      <c r="AB278" s="287"/>
      <c r="AC278" s="54"/>
      <c r="AD278" s="54"/>
      <c r="AE278" s="54"/>
    </row>
    <row r="279">
      <c r="A279" s="89"/>
      <c r="B279" s="203" t="str">
        <f>IF(L279=4,"АПРЕЛЬ",IF(L279=5,"МАЙ",IF(L279=1,"ЯНВАРЬ",IF(L279=2,"ФЕВРАЛЬ",IF(L279=3,"МАРТ",IF(L279=6,"ИЮНЬ",IF(L279=7,"ИЮЛЬ",IF(L279=8,"АВГУСТ",IF(L279=9,"СЕНТЯБРЬ",IF(L279=10,"ОКТЯБРЬ",IF(L279=11,"НОЯБРЬ",IF(L279=12,"ДЕКАБРЬ"))))))))))))</f>
        <v>МАЙ</v>
      </c>
      <c r="J279" s="89"/>
      <c r="K279" s="90"/>
      <c r="L279" s="91">
        <f>MONTH(B280)</f>
        <v>5</v>
      </c>
      <c r="M279" s="89"/>
      <c r="N279" s="89"/>
      <c r="O279" s="89"/>
      <c r="P279" s="89"/>
      <c r="Q279" s="89"/>
      <c r="R279" s="241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301"/>
      <c r="AD279" s="56"/>
      <c r="AE279" s="56"/>
    </row>
    <row r="280">
      <c r="A280" s="54"/>
      <c r="B280" s="110">
        <v>45781.0</v>
      </c>
      <c r="C280" s="100" t="s">
        <v>123</v>
      </c>
      <c r="D280" s="101" t="s">
        <v>161</v>
      </c>
      <c r="E280" s="100">
        <v>1494234.0</v>
      </c>
      <c r="F280" s="99">
        <f>E280-E278</f>
        <v>781</v>
      </c>
      <c r="G280" s="100">
        <v>610.0</v>
      </c>
      <c r="H280" s="101">
        <v>238.0</v>
      </c>
      <c r="I280" s="101">
        <v>220.0</v>
      </c>
      <c r="J280" s="350">
        <f t="shared" ref="J280:J301" si="44">H280-I280</f>
        <v>18</v>
      </c>
      <c r="K280" s="351">
        <f t="shared" ref="K280:K301" si="45">I280/F280*100</f>
        <v>28.16901408</v>
      </c>
      <c r="L280" s="54"/>
      <c r="M280" s="82" t="str">
        <f>"тотал"&amp;" "&amp;B279&amp;" "&amp;R280</f>
        <v>тотал МАЙ 25</v>
      </c>
      <c r="N280" s="75"/>
      <c r="O280" s="75"/>
      <c r="P280" s="75"/>
      <c r="Q280" s="76"/>
      <c r="R280" s="359" t="str">
        <f>RIGHT(YEAR(B280),2)</f>
        <v>25</v>
      </c>
      <c r="S280" s="54"/>
      <c r="T280" s="54"/>
      <c r="U280" s="54"/>
      <c r="V280" s="54"/>
      <c r="W280" s="54"/>
      <c r="X280" s="54"/>
      <c r="Y280" s="54"/>
      <c r="Z280" s="54"/>
      <c r="AA280" s="54"/>
      <c r="AB280" s="287"/>
      <c r="AC280" s="54"/>
      <c r="AD280" s="54"/>
      <c r="AE280" s="54"/>
    </row>
    <row r="281">
      <c r="A281" s="54"/>
      <c r="B281" s="110">
        <v>45782.0</v>
      </c>
      <c r="C281" s="100" t="s">
        <v>123</v>
      </c>
      <c r="D281" s="101" t="s">
        <v>161</v>
      </c>
      <c r="E281" s="100">
        <v>1494989.0</v>
      </c>
      <c r="F281" s="99">
        <f t="shared" ref="F281:F301" si="46">E281-E280</f>
        <v>755</v>
      </c>
      <c r="G281" s="100">
        <v>608.0</v>
      </c>
      <c r="H281" s="101">
        <v>243.0</v>
      </c>
      <c r="I281" s="102">
        <f>140.7+80.6</f>
        <v>221.3</v>
      </c>
      <c r="J281" s="350">
        <f t="shared" si="44"/>
        <v>21.7</v>
      </c>
      <c r="K281" s="351">
        <f t="shared" si="45"/>
        <v>29.31125828</v>
      </c>
      <c r="L281" s="54"/>
      <c r="M281" s="83" t="s">
        <v>70</v>
      </c>
      <c r="N281" s="83" t="s">
        <v>71</v>
      </c>
      <c r="O281" s="83" t="s">
        <v>27</v>
      </c>
      <c r="P281" s="77" t="s">
        <v>28</v>
      </c>
      <c r="Q281" s="12" t="s">
        <v>78</v>
      </c>
      <c r="R281" s="249"/>
      <c r="S281" s="54"/>
      <c r="T281" s="54"/>
      <c r="U281" s="54"/>
      <c r="V281" s="54"/>
      <c r="W281" s="54"/>
      <c r="X281" s="54"/>
      <c r="Y281" s="54"/>
      <c r="Z281" s="54"/>
      <c r="AA281" s="54"/>
      <c r="AB281" s="287"/>
      <c r="AC281" s="54"/>
      <c r="AD281" s="54"/>
      <c r="AE281" s="54"/>
    </row>
    <row r="282">
      <c r="A282" s="54"/>
      <c r="B282" s="110">
        <v>45783.0</v>
      </c>
      <c r="C282" s="100" t="s">
        <v>123</v>
      </c>
      <c r="D282" s="101" t="s">
        <v>161</v>
      </c>
      <c r="E282" s="100">
        <v>1495770.0</v>
      </c>
      <c r="F282" s="99">
        <f t="shared" si="46"/>
        <v>781</v>
      </c>
      <c r="G282" s="100">
        <v>610.0</v>
      </c>
      <c r="H282" s="101">
        <v>236.0</v>
      </c>
      <c r="I282" s="101">
        <v>220.0</v>
      </c>
      <c r="J282" s="350">
        <f t="shared" si="44"/>
        <v>16</v>
      </c>
      <c r="K282" s="351">
        <f t="shared" si="45"/>
        <v>28.16901408</v>
      </c>
      <c r="L282" s="54"/>
      <c r="M282" s="84">
        <f>SUM(F280:F301)</f>
        <v>16855</v>
      </c>
      <c r="N282" s="84">
        <f>SUM(I280:I301)</f>
        <v>4627.01</v>
      </c>
      <c r="O282" s="85">
        <f>N282/M282*100</f>
        <v>27.45185405</v>
      </c>
      <c r="P282" s="79">
        <f>(M282/100)*(O282-Q282)</f>
        <v>-92.39</v>
      </c>
      <c r="Q282" s="78">
        <v>28.0</v>
      </c>
      <c r="R282" s="249"/>
      <c r="S282" s="54"/>
      <c r="T282" s="54"/>
      <c r="U282" s="54"/>
      <c r="V282" s="54"/>
      <c r="W282" s="54"/>
      <c r="X282" s="54"/>
      <c r="Y282" s="54"/>
      <c r="Z282" s="54"/>
      <c r="AA282" s="54"/>
      <c r="AB282" s="287"/>
      <c r="AC282" s="54"/>
      <c r="AD282" s="54"/>
      <c r="AE282" s="54"/>
    </row>
    <row r="283">
      <c r="A283" s="54"/>
      <c r="B283" s="110">
        <v>45784.0</v>
      </c>
      <c r="C283" s="100" t="s">
        <v>123</v>
      </c>
      <c r="D283" s="101" t="s">
        <v>161</v>
      </c>
      <c r="E283" s="100">
        <v>1496524.0</v>
      </c>
      <c r="F283" s="99">
        <f t="shared" si="46"/>
        <v>754</v>
      </c>
      <c r="G283" s="100">
        <v>610.0</v>
      </c>
      <c r="H283" s="101">
        <v>215.0</v>
      </c>
      <c r="I283" s="102">
        <f>140.7+59.01</f>
        <v>199.71</v>
      </c>
      <c r="J283" s="350">
        <f t="shared" si="44"/>
        <v>15.29</v>
      </c>
      <c r="K283" s="351">
        <f t="shared" si="45"/>
        <v>26.4867374</v>
      </c>
      <c r="L283" s="54"/>
      <c r="M283" s="54"/>
      <c r="N283" s="54"/>
      <c r="O283" s="54"/>
      <c r="R283" s="249"/>
      <c r="S283" s="54"/>
      <c r="T283" s="54"/>
      <c r="U283" s="54"/>
      <c r="V283" s="54"/>
      <c r="W283" s="54"/>
      <c r="X283" s="54"/>
      <c r="Y283" s="54"/>
      <c r="Z283" s="54"/>
      <c r="AA283" s="54"/>
      <c r="AB283" s="287"/>
      <c r="AC283" s="54"/>
      <c r="AD283" s="54"/>
      <c r="AE283" s="54"/>
    </row>
    <row r="284">
      <c r="A284" s="54"/>
      <c r="B284" s="110">
        <v>45788.0</v>
      </c>
      <c r="C284" s="100" t="s">
        <v>123</v>
      </c>
      <c r="D284" s="101" t="s">
        <v>161</v>
      </c>
      <c r="E284" s="100">
        <v>1497306.0</v>
      </c>
      <c r="F284" s="99">
        <f t="shared" si="46"/>
        <v>782</v>
      </c>
      <c r="G284" s="100">
        <v>610.0</v>
      </c>
      <c r="H284" s="101">
        <v>231.0</v>
      </c>
      <c r="I284" s="101">
        <v>220.0</v>
      </c>
      <c r="J284" s="350">
        <f t="shared" si="44"/>
        <v>11</v>
      </c>
      <c r="K284" s="351">
        <f t="shared" si="45"/>
        <v>28.13299233</v>
      </c>
      <c r="L284" s="54"/>
      <c r="M284" s="54"/>
      <c r="N284" s="54"/>
      <c r="O284" s="54"/>
      <c r="R284" s="249"/>
      <c r="S284" s="54"/>
      <c r="T284" s="54"/>
      <c r="U284" s="54"/>
      <c r="V284" s="54"/>
      <c r="W284" s="54"/>
      <c r="X284" s="54"/>
      <c r="Y284" s="54"/>
      <c r="Z284" s="54"/>
      <c r="AA284" s="54"/>
      <c r="AB284" s="287"/>
      <c r="AC284" s="54"/>
      <c r="AD284" s="54"/>
      <c r="AE284" s="54"/>
    </row>
    <row r="285">
      <c r="A285" s="54"/>
      <c r="B285" s="110">
        <v>45789.0</v>
      </c>
      <c r="C285" s="100" t="s">
        <v>123</v>
      </c>
      <c r="D285" s="101" t="s">
        <v>161</v>
      </c>
      <c r="E285" s="100">
        <v>1498062.0</v>
      </c>
      <c r="F285" s="99">
        <f t="shared" si="46"/>
        <v>756</v>
      </c>
      <c r="G285" s="100">
        <v>610.0</v>
      </c>
      <c r="H285" s="101">
        <v>219.0</v>
      </c>
      <c r="I285" s="102">
        <f>140.7+70.53</f>
        <v>211.23</v>
      </c>
      <c r="J285" s="350">
        <f t="shared" si="44"/>
        <v>7.77</v>
      </c>
      <c r="K285" s="351">
        <f t="shared" si="45"/>
        <v>27.94047619</v>
      </c>
      <c r="L285" s="54"/>
      <c r="M285" s="54"/>
      <c r="N285" s="54"/>
      <c r="O285" s="54"/>
      <c r="R285" s="249"/>
      <c r="S285" s="54"/>
      <c r="T285" s="54"/>
      <c r="U285" s="54"/>
      <c r="V285" s="54"/>
      <c r="W285" s="54"/>
      <c r="X285" s="54"/>
      <c r="Y285" s="54"/>
      <c r="Z285" s="54"/>
      <c r="AA285" s="54"/>
      <c r="AB285" s="287"/>
      <c r="AC285" s="54"/>
      <c r="AD285" s="54"/>
      <c r="AE285" s="54"/>
    </row>
    <row r="286">
      <c r="A286" s="54"/>
      <c r="B286" s="110">
        <v>45790.0</v>
      </c>
      <c r="C286" s="100" t="s">
        <v>123</v>
      </c>
      <c r="D286" s="101" t="s">
        <v>161</v>
      </c>
      <c r="E286" s="100">
        <v>1498844.0</v>
      </c>
      <c r="F286" s="99">
        <f t="shared" si="46"/>
        <v>782</v>
      </c>
      <c r="G286" s="100">
        <v>610.0</v>
      </c>
      <c r="H286" s="101">
        <v>219.0</v>
      </c>
      <c r="I286" s="101">
        <v>210.0</v>
      </c>
      <c r="J286" s="350">
        <f t="shared" si="44"/>
        <v>9</v>
      </c>
      <c r="K286" s="351">
        <f t="shared" si="45"/>
        <v>26.85421995</v>
      </c>
      <c r="L286" s="54"/>
      <c r="M286" s="54"/>
      <c r="N286" s="54"/>
      <c r="O286" s="54"/>
      <c r="R286" s="249"/>
      <c r="S286" s="54"/>
      <c r="T286" s="54"/>
      <c r="U286" s="54"/>
      <c r="V286" s="54"/>
      <c r="W286" s="54"/>
      <c r="X286" s="54"/>
      <c r="Y286" s="54"/>
      <c r="Z286" s="54"/>
      <c r="AA286" s="54"/>
      <c r="AB286" s="287"/>
      <c r="AC286" s="54"/>
      <c r="AD286" s="54"/>
      <c r="AE286" s="54"/>
    </row>
    <row r="287">
      <c r="A287" s="54"/>
      <c r="B287" s="110">
        <v>45791.0</v>
      </c>
      <c r="C287" s="100" t="s">
        <v>123</v>
      </c>
      <c r="D287" s="101" t="s">
        <v>161</v>
      </c>
      <c r="E287" s="100">
        <v>1499599.0</v>
      </c>
      <c r="F287" s="99">
        <f t="shared" si="46"/>
        <v>755</v>
      </c>
      <c r="G287" s="100">
        <v>610.0</v>
      </c>
      <c r="H287" s="101">
        <v>214.0</v>
      </c>
      <c r="I287" s="102">
        <f>140.7+63.76</f>
        <v>204.46</v>
      </c>
      <c r="J287" s="350">
        <f t="shared" si="44"/>
        <v>9.54</v>
      </c>
      <c r="K287" s="351">
        <f t="shared" si="45"/>
        <v>27.0807947</v>
      </c>
      <c r="L287" s="54"/>
      <c r="M287" s="54"/>
      <c r="N287" s="54"/>
      <c r="O287" s="54"/>
      <c r="R287" s="249"/>
      <c r="S287" s="54"/>
      <c r="T287" s="54"/>
      <c r="U287" s="54"/>
      <c r="V287" s="54"/>
      <c r="W287" s="54"/>
      <c r="X287" s="54"/>
      <c r="Y287" s="54"/>
      <c r="Z287" s="54"/>
      <c r="AA287" s="54"/>
      <c r="AB287" s="287"/>
      <c r="AC287" s="54"/>
      <c r="AD287" s="54"/>
      <c r="AE287" s="54"/>
    </row>
    <row r="288">
      <c r="A288" s="54"/>
      <c r="B288" s="110">
        <v>45792.0</v>
      </c>
      <c r="C288" s="100" t="s">
        <v>123</v>
      </c>
      <c r="D288" s="101" t="s">
        <v>161</v>
      </c>
      <c r="E288" s="100">
        <v>1500337.0</v>
      </c>
      <c r="F288" s="99">
        <f t="shared" si="46"/>
        <v>738</v>
      </c>
      <c r="G288" s="100">
        <v>610.0</v>
      </c>
      <c r="H288" s="101">
        <v>206.0</v>
      </c>
      <c r="I288" s="101">
        <v>210.0</v>
      </c>
      <c r="J288" s="350">
        <f t="shared" si="44"/>
        <v>-4</v>
      </c>
      <c r="K288" s="351">
        <f t="shared" si="45"/>
        <v>28.45528455</v>
      </c>
      <c r="L288" s="54"/>
      <c r="M288" s="54"/>
      <c r="N288" s="54"/>
      <c r="O288" s="54"/>
      <c r="R288" s="249"/>
      <c r="S288" s="54"/>
      <c r="T288" s="54"/>
      <c r="U288" s="54"/>
      <c r="V288" s="54"/>
      <c r="W288" s="54"/>
      <c r="X288" s="54"/>
      <c r="Y288" s="54"/>
      <c r="Z288" s="54"/>
      <c r="AA288" s="54"/>
      <c r="AB288" s="287"/>
      <c r="AC288" s="54"/>
      <c r="AD288" s="54"/>
      <c r="AE288" s="54"/>
    </row>
    <row r="289">
      <c r="A289" s="54"/>
      <c r="B289" s="110">
        <v>45793.0</v>
      </c>
      <c r="C289" s="100" t="s">
        <v>123</v>
      </c>
      <c r="D289" s="101" t="s">
        <v>161</v>
      </c>
      <c r="E289" s="100">
        <v>1501135.0</v>
      </c>
      <c r="F289" s="99">
        <f t="shared" si="46"/>
        <v>798</v>
      </c>
      <c r="G289" s="100">
        <v>610.0</v>
      </c>
      <c r="H289" s="101">
        <v>182.0</v>
      </c>
      <c r="I289" s="101">
        <v>196.82</v>
      </c>
      <c r="J289" s="350">
        <f t="shared" si="44"/>
        <v>-14.82</v>
      </c>
      <c r="K289" s="351">
        <f t="shared" si="45"/>
        <v>24.6641604</v>
      </c>
      <c r="L289" s="54"/>
      <c r="M289" s="54"/>
      <c r="N289" s="54"/>
      <c r="O289" s="54"/>
      <c r="R289" s="249"/>
      <c r="S289" s="54"/>
      <c r="T289" s="54"/>
      <c r="U289" s="54"/>
      <c r="V289" s="54"/>
      <c r="W289" s="54"/>
      <c r="X289" s="54"/>
      <c r="Y289" s="54"/>
      <c r="Z289" s="54"/>
      <c r="AA289" s="54"/>
      <c r="AB289" s="287"/>
      <c r="AC289" s="54"/>
      <c r="AD289" s="54"/>
      <c r="AE289" s="54"/>
    </row>
    <row r="290">
      <c r="A290" s="54"/>
      <c r="B290" s="110">
        <v>45795.0</v>
      </c>
      <c r="C290" s="100" t="s">
        <v>123</v>
      </c>
      <c r="D290" s="101" t="s">
        <v>161</v>
      </c>
      <c r="E290" s="100">
        <v>1501916.0</v>
      </c>
      <c r="F290" s="99">
        <f t="shared" si="46"/>
        <v>781</v>
      </c>
      <c r="G290" s="100">
        <v>610.0</v>
      </c>
      <c r="H290" s="101">
        <v>221.0</v>
      </c>
      <c r="I290" s="101">
        <v>210.0</v>
      </c>
      <c r="J290" s="350">
        <f t="shared" si="44"/>
        <v>11</v>
      </c>
      <c r="K290" s="351">
        <f t="shared" si="45"/>
        <v>26.88860435</v>
      </c>
      <c r="L290" s="54"/>
      <c r="M290" s="54"/>
      <c r="N290" s="54"/>
      <c r="O290" s="54"/>
      <c r="R290" s="249"/>
      <c r="S290" s="54"/>
      <c r="T290" s="54"/>
      <c r="U290" s="54"/>
      <c r="V290" s="54"/>
      <c r="W290" s="54"/>
      <c r="X290" s="54"/>
      <c r="Y290" s="54"/>
      <c r="Z290" s="54"/>
      <c r="AA290" s="54"/>
      <c r="AB290" s="287"/>
      <c r="AC290" s="54"/>
      <c r="AD290" s="54"/>
      <c r="AE290" s="54"/>
    </row>
    <row r="291">
      <c r="A291" s="54"/>
      <c r="B291" s="110">
        <v>45796.0</v>
      </c>
      <c r="C291" s="100" t="s">
        <v>123</v>
      </c>
      <c r="D291" s="101" t="s">
        <v>161</v>
      </c>
      <c r="E291" s="100">
        <v>1502671.0</v>
      </c>
      <c r="F291" s="99">
        <f t="shared" si="46"/>
        <v>755</v>
      </c>
      <c r="G291" s="100">
        <v>610.0</v>
      </c>
      <c r="H291" s="101">
        <v>223.0</v>
      </c>
      <c r="I291" s="101">
        <v>209.99</v>
      </c>
      <c r="J291" s="350">
        <f t="shared" si="44"/>
        <v>13.01</v>
      </c>
      <c r="K291" s="351">
        <f t="shared" si="45"/>
        <v>27.81324503</v>
      </c>
      <c r="L291" s="54"/>
      <c r="M291" s="54"/>
      <c r="N291" s="54"/>
      <c r="O291" s="54"/>
      <c r="R291" s="249"/>
      <c r="S291" s="54"/>
      <c r="T291" s="54"/>
      <c r="U291" s="54"/>
      <c r="V291" s="54"/>
      <c r="W291" s="54"/>
      <c r="X291" s="54"/>
      <c r="Y291" s="54"/>
      <c r="Z291" s="54"/>
      <c r="AA291" s="54"/>
      <c r="AB291" s="287"/>
      <c r="AC291" s="54"/>
      <c r="AD291" s="54"/>
      <c r="AE291" s="54"/>
    </row>
    <row r="292">
      <c r="A292" s="54"/>
      <c r="B292" s="110">
        <v>45798.0</v>
      </c>
      <c r="C292" s="100" t="s">
        <v>123</v>
      </c>
      <c r="D292" s="101" t="s">
        <v>161</v>
      </c>
      <c r="E292" s="100">
        <v>1503743.0</v>
      </c>
      <c r="F292" s="99">
        <f t="shared" si="46"/>
        <v>1072</v>
      </c>
      <c r="G292" s="100">
        <v>610.0</v>
      </c>
      <c r="H292" s="101">
        <v>299.0</v>
      </c>
      <c r="I292" s="101">
        <v>280.0</v>
      </c>
      <c r="J292" s="350">
        <f t="shared" si="44"/>
        <v>19</v>
      </c>
      <c r="K292" s="351">
        <f t="shared" si="45"/>
        <v>26.11940299</v>
      </c>
      <c r="L292" s="54"/>
      <c r="M292" s="54"/>
      <c r="N292" s="54"/>
      <c r="O292" s="54"/>
      <c r="R292" s="249"/>
      <c r="S292" s="54"/>
      <c r="T292" s="54"/>
      <c r="U292" s="54"/>
      <c r="V292" s="54"/>
      <c r="W292" s="54"/>
      <c r="X292" s="54"/>
      <c r="Y292" s="54"/>
      <c r="Z292" s="54"/>
      <c r="AA292" s="54"/>
      <c r="AB292" s="287"/>
      <c r="AC292" s="54"/>
      <c r="AD292" s="54"/>
      <c r="AE292" s="54"/>
    </row>
    <row r="293">
      <c r="A293" s="54"/>
      <c r="B293" s="110">
        <v>45798.0</v>
      </c>
      <c r="C293" s="100" t="s">
        <v>123</v>
      </c>
      <c r="D293" s="101" t="s">
        <v>161</v>
      </c>
      <c r="E293" s="100">
        <v>1504187.0</v>
      </c>
      <c r="F293" s="99">
        <f t="shared" si="46"/>
        <v>444</v>
      </c>
      <c r="G293" s="100">
        <v>610.0</v>
      </c>
      <c r="H293" s="101">
        <v>132.0</v>
      </c>
      <c r="I293" s="101">
        <v>140.7</v>
      </c>
      <c r="J293" s="350">
        <f t="shared" si="44"/>
        <v>-8.7</v>
      </c>
      <c r="K293" s="351">
        <f t="shared" si="45"/>
        <v>31.68918919</v>
      </c>
      <c r="L293" s="54"/>
      <c r="M293" s="54"/>
      <c r="N293" s="54"/>
      <c r="O293" s="54"/>
      <c r="R293" s="249"/>
      <c r="S293" s="54"/>
      <c r="T293" s="54"/>
      <c r="U293" s="54"/>
      <c r="V293" s="54"/>
      <c r="W293" s="54"/>
      <c r="X293" s="54"/>
      <c r="Y293" s="54"/>
      <c r="Z293" s="54"/>
      <c r="AA293" s="54"/>
      <c r="AB293" s="287"/>
      <c r="AC293" s="54"/>
      <c r="AD293" s="54"/>
      <c r="AE293" s="54"/>
    </row>
    <row r="294">
      <c r="A294" s="54"/>
      <c r="B294" s="110">
        <v>45799.0</v>
      </c>
      <c r="C294" s="100" t="s">
        <v>123</v>
      </c>
      <c r="D294" s="101" t="s">
        <v>161</v>
      </c>
      <c r="E294" s="100">
        <v>1504968.0</v>
      </c>
      <c r="F294" s="99">
        <f t="shared" si="46"/>
        <v>781</v>
      </c>
      <c r="G294" s="100">
        <v>544.0</v>
      </c>
      <c r="H294" s="101">
        <v>205.0</v>
      </c>
      <c r="I294" s="101">
        <v>210.0</v>
      </c>
      <c r="J294" s="350">
        <f t="shared" si="44"/>
        <v>-5</v>
      </c>
      <c r="K294" s="351">
        <f t="shared" si="45"/>
        <v>26.88860435</v>
      </c>
      <c r="L294" s="54"/>
      <c r="M294" s="54"/>
      <c r="N294" s="54"/>
      <c r="O294" s="54"/>
      <c r="R294" s="249"/>
      <c r="S294" s="54"/>
      <c r="T294" s="54"/>
      <c r="U294" s="54"/>
      <c r="V294" s="54"/>
      <c r="W294" s="54"/>
      <c r="X294" s="54"/>
      <c r="Y294" s="54"/>
      <c r="Z294" s="54"/>
      <c r="AA294" s="54"/>
      <c r="AB294" s="287"/>
      <c r="AC294" s="54"/>
      <c r="AD294" s="54"/>
      <c r="AE294" s="54"/>
    </row>
    <row r="295">
      <c r="A295" s="54"/>
      <c r="B295" s="110">
        <v>45800.0</v>
      </c>
      <c r="C295" s="100" t="s">
        <v>123</v>
      </c>
      <c r="D295" s="101" t="s">
        <v>161</v>
      </c>
      <c r="E295" s="100">
        <v>1505722.0</v>
      </c>
      <c r="F295" s="99">
        <f t="shared" si="46"/>
        <v>754</v>
      </c>
      <c r="G295" s="100">
        <v>545.0</v>
      </c>
      <c r="H295" s="101">
        <v>203.0</v>
      </c>
      <c r="I295" s="102">
        <f>140.7+69.16</f>
        <v>209.86</v>
      </c>
      <c r="J295" s="350">
        <f t="shared" si="44"/>
        <v>-6.86</v>
      </c>
      <c r="K295" s="351">
        <f t="shared" si="45"/>
        <v>27.83289125</v>
      </c>
      <c r="L295" s="54"/>
      <c r="M295" s="54"/>
      <c r="N295" s="54"/>
      <c r="O295" s="54"/>
      <c r="R295" s="249"/>
      <c r="S295" s="54"/>
      <c r="T295" s="54"/>
      <c r="U295" s="54"/>
      <c r="V295" s="54"/>
      <c r="W295" s="54"/>
      <c r="X295" s="54"/>
      <c r="Y295" s="54"/>
      <c r="Z295" s="54"/>
      <c r="AA295" s="54"/>
      <c r="AB295" s="287"/>
      <c r="AC295" s="54"/>
      <c r="AD295" s="54"/>
      <c r="AE295" s="54"/>
    </row>
    <row r="296">
      <c r="A296" s="54"/>
      <c r="B296" s="110">
        <v>45801.0</v>
      </c>
      <c r="C296" s="100" t="s">
        <v>123</v>
      </c>
      <c r="D296" s="101" t="s">
        <v>161</v>
      </c>
      <c r="E296" s="100">
        <v>1506502.0</v>
      </c>
      <c r="F296" s="99">
        <f t="shared" si="46"/>
        <v>780</v>
      </c>
      <c r="G296" s="100">
        <v>543.0</v>
      </c>
      <c r="H296" s="101">
        <v>203.0</v>
      </c>
      <c r="I296" s="101">
        <v>210.0</v>
      </c>
      <c r="J296" s="350">
        <f t="shared" si="44"/>
        <v>-7</v>
      </c>
      <c r="K296" s="351">
        <f t="shared" si="45"/>
        <v>26.92307692</v>
      </c>
      <c r="L296" s="54"/>
      <c r="M296" s="54"/>
      <c r="N296" s="54"/>
      <c r="O296" s="54"/>
      <c r="R296" s="249"/>
      <c r="S296" s="54"/>
      <c r="T296" s="54"/>
      <c r="U296" s="54"/>
      <c r="V296" s="54"/>
      <c r="W296" s="54"/>
      <c r="X296" s="54"/>
      <c r="Y296" s="54"/>
      <c r="Z296" s="54"/>
      <c r="AA296" s="54"/>
      <c r="AB296" s="287"/>
      <c r="AC296" s="54"/>
      <c r="AD296" s="54"/>
      <c r="AE296" s="54"/>
    </row>
    <row r="297">
      <c r="A297" s="54"/>
      <c r="B297" s="110">
        <v>45802.0</v>
      </c>
      <c r="C297" s="100" t="s">
        <v>123</v>
      </c>
      <c r="D297" s="101" t="s">
        <v>161</v>
      </c>
      <c r="E297" s="100">
        <v>1507255.0</v>
      </c>
      <c r="F297" s="99">
        <f t="shared" si="46"/>
        <v>753</v>
      </c>
      <c r="G297" s="100">
        <v>610.0</v>
      </c>
      <c r="H297" s="101">
        <v>264.0</v>
      </c>
      <c r="I297" s="102">
        <f>140.7+64.98</f>
        <v>205.68</v>
      </c>
      <c r="J297" s="350">
        <f t="shared" si="44"/>
        <v>58.32</v>
      </c>
      <c r="K297" s="351">
        <f t="shared" si="45"/>
        <v>27.31474104</v>
      </c>
      <c r="L297" s="54"/>
      <c r="M297" s="54"/>
      <c r="N297" s="54"/>
      <c r="O297" s="54"/>
      <c r="R297" s="249"/>
      <c r="S297" s="54"/>
      <c r="T297" s="54"/>
      <c r="U297" s="54"/>
      <c r="V297" s="54"/>
      <c r="W297" s="54"/>
      <c r="X297" s="54"/>
      <c r="Y297" s="54"/>
      <c r="Z297" s="54"/>
      <c r="AA297" s="54"/>
      <c r="AB297" s="287"/>
      <c r="AC297" s="54"/>
      <c r="AD297" s="54"/>
      <c r="AE297" s="54"/>
    </row>
    <row r="298">
      <c r="A298" s="54"/>
      <c r="B298" s="110">
        <v>45804.0</v>
      </c>
      <c r="C298" s="100" t="s">
        <v>123</v>
      </c>
      <c r="D298" s="101" t="s">
        <v>161</v>
      </c>
      <c r="E298" s="100">
        <v>1508022.0</v>
      </c>
      <c r="F298" s="99">
        <f t="shared" si="46"/>
        <v>767</v>
      </c>
      <c r="G298" s="100">
        <v>523.0</v>
      </c>
      <c r="H298" s="101">
        <v>176.0</v>
      </c>
      <c r="I298" s="101">
        <v>210.0</v>
      </c>
      <c r="J298" s="350">
        <f t="shared" si="44"/>
        <v>-34</v>
      </c>
      <c r="K298" s="351">
        <f t="shared" si="45"/>
        <v>27.37940026</v>
      </c>
      <c r="L298" s="54"/>
      <c r="M298" s="54"/>
      <c r="N298" s="54"/>
      <c r="O298" s="54"/>
      <c r="R298" s="249"/>
      <c r="S298" s="54"/>
      <c r="T298" s="54"/>
      <c r="U298" s="54"/>
      <c r="V298" s="54"/>
      <c r="W298" s="54"/>
      <c r="X298" s="54"/>
      <c r="Y298" s="54"/>
      <c r="Z298" s="54"/>
      <c r="AA298" s="54"/>
      <c r="AB298" s="287"/>
      <c r="AC298" s="54"/>
      <c r="AD298" s="54"/>
      <c r="AE298" s="54"/>
    </row>
    <row r="299">
      <c r="A299" s="54"/>
      <c r="B299" s="110">
        <v>45805.0</v>
      </c>
      <c r="C299" s="100" t="s">
        <v>123</v>
      </c>
      <c r="D299" s="101" t="s">
        <v>161</v>
      </c>
      <c r="E299" s="100">
        <v>1508774.0</v>
      </c>
      <c r="F299" s="99">
        <f t="shared" si="46"/>
        <v>752</v>
      </c>
      <c r="G299" s="100">
        <v>533.0</v>
      </c>
      <c r="H299" s="101">
        <v>199.0</v>
      </c>
      <c r="I299" s="102">
        <f>140.7+69.31</f>
        <v>210.01</v>
      </c>
      <c r="J299" s="350">
        <f t="shared" si="44"/>
        <v>-11.01</v>
      </c>
      <c r="K299" s="351">
        <f t="shared" si="45"/>
        <v>27.9268617</v>
      </c>
      <c r="L299" s="54"/>
      <c r="M299" s="54"/>
      <c r="N299" s="54"/>
      <c r="O299" s="54"/>
      <c r="R299" s="249"/>
      <c r="S299" s="54"/>
      <c r="T299" s="54"/>
      <c r="U299" s="54"/>
      <c r="V299" s="54"/>
      <c r="W299" s="54"/>
      <c r="X299" s="54"/>
      <c r="Y299" s="54"/>
      <c r="Z299" s="54"/>
      <c r="AA299" s="54"/>
      <c r="AB299" s="287"/>
      <c r="AC299" s="54"/>
      <c r="AD299" s="54"/>
      <c r="AE299" s="54"/>
    </row>
    <row r="300">
      <c r="A300" s="54"/>
      <c r="B300" s="110">
        <v>45806.0</v>
      </c>
      <c r="C300" s="100" t="s">
        <v>123</v>
      </c>
      <c r="D300" s="101" t="s">
        <v>161</v>
      </c>
      <c r="E300" s="100">
        <v>1509554.0</v>
      </c>
      <c r="F300" s="99">
        <f t="shared" si="46"/>
        <v>780</v>
      </c>
      <c r="G300" s="100">
        <v>526.0</v>
      </c>
      <c r="H300" s="101">
        <v>196.0</v>
      </c>
      <c r="I300" s="101">
        <v>210.0</v>
      </c>
      <c r="J300" s="350">
        <f t="shared" si="44"/>
        <v>-14</v>
      </c>
      <c r="K300" s="351">
        <f t="shared" si="45"/>
        <v>26.92307692</v>
      </c>
      <c r="L300" s="54"/>
      <c r="M300" s="54"/>
      <c r="N300" s="54"/>
      <c r="O300" s="54"/>
      <c r="R300" s="249"/>
      <c r="S300" s="54"/>
      <c r="T300" s="54"/>
      <c r="U300" s="54"/>
      <c r="V300" s="54"/>
      <c r="W300" s="54"/>
      <c r="X300" s="54"/>
      <c r="Y300" s="54"/>
      <c r="Z300" s="54"/>
      <c r="AA300" s="54"/>
      <c r="AB300" s="287"/>
      <c r="AC300" s="54"/>
      <c r="AD300" s="54"/>
      <c r="AE300" s="54"/>
    </row>
    <row r="301">
      <c r="A301" s="54"/>
      <c r="B301" s="110">
        <v>45807.0</v>
      </c>
      <c r="C301" s="100" t="s">
        <v>123</v>
      </c>
      <c r="D301" s="101" t="s">
        <v>161</v>
      </c>
      <c r="E301" s="100">
        <v>1510308.0</v>
      </c>
      <c r="F301" s="99">
        <f t="shared" si="46"/>
        <v>754</v>
      </c>
      <c r="G301" s="100">
        <v>542.0</v>
      </c>
      <c r="H301" s="101">
        <v>197.0</v>
      </c>
      <c r="I301" s="102">
        <f>140.7+66.55</f>
        <v>207.25</v>
      </c>
      <c r="J301" s="350">
        <f t="shared" si="44"/>
        <v>-10.25</v>
      </c>
      <c r="K301" s="351">
        <f t="shared" si="45"/>
        <v>27.4867374</v>
      </c>
      <c r="L301" s="54"/>
      <c r="M301" s="54"/>
      <c r="N301" s="54"/>
      <c r="O301" s="54"/>
      <c r="R301" s="249"/>
      <c r="S301" s="54"/>
      <c r="T301" s="54"/>
      <c r="U301" s="54"/>
      <c r="V301" s="54"/>
      <c r="W301" s="54"/>
      <c r="X301" s="54"/>
      <c r="Y301" s="54"/>
      <c r="Z301" s="54"/>
      <c r="AA301" s="54"/>
      <c r="AB301" s="287"/>
      <c r="AC301" s="54"/>
      <c r="AD301" s="54"/>
      <c r="AE301" s="54"/>
    </row>
    <row r="302">
      <c r="A302" s="89"/>
      <c r="B302" s="203" t="str">
        <f>IF(L302=4,"АПРЕЛЬ",IF(L302=5,"МАЙ",IF(L302=1,"ЯНВАРЬ",IF(L302=2,"ФЕВРАЛЬ",IF(L302=3,"МАРТ",IF(L302=6,"ИЮНЬ",IF(L302=7,"ИЮЛЬ",IF(L302=8,"АВГУСТ",IF(L302=9,"СЕНТЯБРЬ",IF(L302=10,"ОКТЯБРЬ",IF(L302=11,"НОЯБРЬ",IF(L302=12,"ДЕКАБРЬ"))))))))))))</f>
        <v>ИЮНЬ</v>
      </c>
      <c r="J302" s="89"/>
      <c r="K302" s="90"/>
      <c r="L302" s="91">
        <f>MONTH(B303)</f>
        <v>6</v>
      </c>
      <c r="M302" s="89"/>
      <c r="N302" s="89"/>
      <c r="O302" s="89"/>
      <c r="P302" s="89"/>
      <c r="Q302" s="89"/>
      <c r="R302" s="241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301"/>
      <c r="AD302" s="56"/>
      <c r="AE302" s="56"/>
    </row>
    <row r="303">
      <c r="A303" s="54"/>
      <c r="B303" s="110">
        <v>45809.0</v>
      </c>
      <c r="C303" s="100" t="s">
        <v>123</v>
      </c>
      <c r="D303" s="101" t="s">
        <v>161</v>
      </c>
      <c r="E303" s="100">
        <v>1511087.0</v>
      </c>
      <c r="F303" s="99">
        <f>E303-E301</f>
        <v>779</v>
      </c>
      <c r="G303" s="100">
        <v>538.0</v>
      </c>
      <c r="H303" s="101">
        <v>189.0</v>
      </c>
      <c r="I303" s="101">
        <v>200.0</v>
      </c>
      <c r="J303" s="350">
        <f t="shared" ref="J303:J322" si="47">H303-I303</f>
        <v>-11</v>
      </c>
      <c r="K303" s="351">
        <f t="shared" ref="K303:K322" si="48">I303/F303*100</f>
        <v>25.67394095</v>
      </c>
      <c r="L303" s="54"/>
      <c r="M303" s="82" t="str">
        <f>"тотал"&amp;" "&amp;B302&amp;" "&amp;R303</f>
        <v>тотал ИЮНЬ 25</v>
      </c>
      <c r="N303" s="75"/>
      <c r="O303" s="75"/>
      <c r="P303" s="76"/>
      <c r="Q303" s="360"/>
      <c r="R303" s="359" t="str">
        <f>RIGHT(YEAR(B303),2)</f>
        <v>25</v>
      </c>
      <c r="S303" s="54"/>
      <c r="T303" s="54"/>
      <c r="U303" s="54"/>
      <c r="V303" s="54"/>
      <c r="W303" s="54"/>
      <c r="X303" s="54"/>
      <c r="Y303" s="54"/>
      <c r="Z303" s="54"/>
      <c r="AA303" s="54"/>
      <c r="AB303" s="287"/>
      <c r="AC303" s="54"/>
      <c r="AD303" s="54"/>
      <c r="AE303" s="54"/>
    </row>
    <row r="304">
      <c r="A304" s="54"/>
      <c r="B304" s="110">
        <v>45810.0</v>
      </c>
      <c r="C304" s="100" t="s">
        <v>123</v>
      </c>
      <c r="D304" s="101" t="s">
        <v>161</v>
      </c>
      <c r="E304" s="100">
        <v>1511841.0</v>
      </c>
      <c r="F304" s="99">
        <f t="shared" ref="F304:F322" si="49">E304-E303</f>
        <v>754</v>
      </c>
      <c r="G304" s="100">
        <v>539.0</v>
      </c>
      <c r="H304" s="101">
        <v>194.0</v>
      </c>
      <c r="I304" s="102">
        <f>140.31+65.01</f>
        <v>205.32</v>
      </c>
      <c r="J304" s="350">
        <f t="shared" si="47"/>
        <v>-11.32</v>
      </c>
      <c r="K304" s="351">
        <f t="shared" si="48"/>
        <v>27.23076923</v>
      </c>
      <c r="L304" s="54"/>
      <c r="M304" s="83" t="s">
        <v>70</v>
      </c>
      <c r="N304" s="83" t="s">
        <v>71</v>
      </c>
      <c r="O304" s="83" t="s">
        <v>27</v>
      </c>
      <c r="P304" s="77" t="s">
        <v>28</v>
      </c>
      <c r="Q304" s="12" t="s">
        <v>78</v>
      </c>
      <c r="R304" s="249"/>
      <c r="S304" s="54"/>
      <c r="T304" s="54"/>
      <c r="U304" s="54"/>
      <c r="V304" s="54"/>
      <c r="W304" s="54"/>
      <c r="X304" s="54"/>
      <c r="Y304" s="54"/>
      <c r="Z304" s="54"/>
      <c r="AA304" s="54"/>
      <c r="AB304" s="287"/>
      <c r="AC304" s="54"/>
      <c r="AD304" s="54"/>
      <c r="AE304" s="54"/>
    </row>
    <row r="305">
      <c r="A305" s="54"/>
      <c r="B305" s="110">
        <v>45811.0</v>
      </c>
      <c r="C305" s="100" t="s">
        <v>123</v>
      </c>
      <c r="D305" s="101" t="s">
        <v>161</v>
      </c>
      <c r="E305" s="100">
        <v>1512622.0</v>
      </c>
      <c r="F305" s="99">
        <f t="shared" si="49"/>
        <v>781</v>
      </c>
      <c r="G305" s="100">
        <v>536.0</v>
      </c>
      <c r="H305" s="101">
        <v>204.0</v>
      </c>
      <c r="I305" s="101">
        <v>220.0</v>
      </c>
      <c r="J305" s="350">
        <f t="shared" si="47"/>
        <v>-16</v>
      </c>
      <c r="K305" s="351">
        <f t="shared" si="48"/>
        <v>28.16901408</v>
      </c>
      <c r="L305" s="54"/>
      <c r="M305" s="84">
        <f>SUM(F303:F322)</f>
        <v>15490</v>
      </c>
      <c r="N305" s="84">
        <f>SUM(I303:I322)</f>
        <v>4235.31</v>
      </c>
      <c r="O305" s="85">
        <f>N305/M305*100</f>
        <v>27.34222079</v>
      </c>
      <c r="P305" s="79">
        <f>(M305/100)*(O305-Q305)</f>
        <v>-101.89</v>
      </c>
      <c r="Q305" s="78">
        <v>28.0</v>
      </c>
      <c r="R305" s="249"/>
      <c r="S305" s="54"/>
      <c r="T305" s="54"/>
      <c r="U305" s="54"/>
      <c r="V305" s="54"/>
      <c r="W305" s="54"/>
      <c r="X305" s="54"/>
      <c r="Y305" s="54"/>
      <c r="Z305" s="54"/>
      <c r="AA305" s="54"/>
      <c r="AB305" s="287"/>
      <c r="AC305" s="54"/>
      <c r="AD305" s="54"/>
      <c r="AE305" s="54"/>
    </row>
    <row r="306">
      <c r="A306" s="54"/>
      <c r="B306" s="110">
        <v>45812.0</v>
      </c>
      <c r="C306" s="100" t="s">
        <v>123</v>
      </c>
      <c r="D306" s="101" t="s">
        <v>161</v>
      </c>
      <c r="E306" s="100">
        <v>1513376.0</v>
      </c>
      <c r="F306" s="99">
        <f t="shared" si="49"/>
        <v>754</v>
      </c>
      <c r="G306" s="100">
        <v>539.0</v>
      </c>
      <c r="H306" s="101">
        <v>193.0</v>
      </c>
      <c r="I306" s="102">
        <f>140.31+63.7</f>
        <v>204.01</v>
      </c>
      <c r="J306" s="350">
        <f t="shared" si="47"/>
        <v>-11.01</v>
      </c>
      <c r="K306" s="351">
        <f t="shared" si="48"/>
        <v>27.05702918</v>
      </c>
      <c r="L306" s="54"/>
      <c r="M306" s="54"/>
      <c r="N306" s="54"/>
      <c r="O306" s="54"/>
      <c r="R306" s="249"/>
      <c r="S306" s="54"/>
      <c r="T306" s="54"/>
      <c r="U306" s="54"/>
      <c r="V306" s="54"/>
      <c r="W306" s="54"/>
      <c r="X306" s="54"/>
      <c r="Y306" s="54"/>
      <c r="Z306" s="54"/>
      <c r="AA306" s="54"/>
      <c r="AB306" s="287"/>
      <c r="AC306" s="54"/>
      <c r="AD306" s="54"/>
      <c r="AE306" s="54"/>
    </row>
    <row r="307">
      <c r="A307" s="54"/>
      <c r="B307" s="110">
        <v>45813.0</v>
      </c>
      <c r="C307" s="100" t="s">
        <v>123</v>
      </c>
      <c r="D307" s="101" t="s">
        <v>161</v>
      </c>
      <c r="E307" s="100">
        <v>1514157.0</v>
      </c>
      <c r="F307" s="99">
        <f t="shared" si="49"/>
        <v>781</v>
      </c>
      <c r="G307" s="100">
        <v>542.0</v>
      </c>
      <c r="H307" s="101">
        <v>206.0</v>
      </c>
      <c r="I307" s="101">
        <v>220.0</v>
      </c>
      <c r="J307" s="350">
        <f t="shared" si="47"/>
        <v>-14</v>
      </c>
      <c r="K307" s="351">
        <f t="shared" si="48"/>
        <v>28.16901408</v>
      </c>
      <c r="L307" s="54"/>
      <c r="M307" s="54"/>
      <c r="N307" s="54"/>
      <c r="O307" s="54"/>
      <c r="R307" s="249"/>
      <c r="S307" s="54"/>
      <c r="T307" s="54"/>
      <c r="U307" s="54"/>
      <c r="V307" s="54"/>
      <c r="W307" s="54"/>
      <c r="X307" s="54"/>
      <c r="Y307" s="54"/>
      <c r="Z307" s="54"/>
      <c r="AA307" s="54"/>
      <c r="AB307" s="287"/>
      <c r="AC307" s="54"/>
      <c r="AD307" s="54"/>
      <c r="AE307" s="54"/>
    </row>
    <row r="308">
      <c r="A308" s="54"/>
      <c r="B308" s="110">
        <v>45814.0</v>
      </c>
      <c r="C308" s="100" t="s">
        <v>123</v>
      </c>
      <c r="D308" s="101" t="s">
        <v>161</v>
      </c>
      <c r="E308" s="100">
        <v>1514912.0</v>
      </c>
      <c r="F308" s="99">
        <f t="shared" si="49"/>
        <v>755</v>
      </c>
      <c r="G308" s="100">
        <v>539.0</v>
      </c>
      <c r="H308" s="101">
        <v>188.0</v>
      </c>
      <c r="I308" s="102">
        <f>140.31+58.46</f>
        <v>198.77</v>
      </c>
      <c r="J308" s="350">
        <f t="shared" si="47"/>
        <v>-10.77</v>
      </c>
      <c r="K308" s="351">
        <f t="shared" si="48"/>
        <v>26.32715232</v>
      </c>
      <c r="L308" s="54"/>
      <c r="M308" s="54"/>
      <c r="N308" s="54"/>
      <c r="O308" s="54"/>
      <c r="R308" s="249"/>
      <c r="S308" s="54"/>
      <c r="T308" s="54"/>
      <c r="U308" s="54"/>
      <c r="V308" s="54"/>
      <c r="W308" s="54"/>
      <c r="X308" s="54"/>
      <c r="Y308" s="54"/>
      <c r="Z308" s="54"/>
      <c r="AA308" s="54"/>
      <c r="AB308" s="287"/>
      <c r="AC308" s="54"/>
      <c r="AD308" s="54"/>
      <c r="AE308" s="54"/>
    </row>
    <row r="309">
      <c r="A309" s="54"/>
      <c r="B309" s="110">
        <v>45816.0</v>
      </c>
      <c r="C309" s="100" t="s">
        <v>123</v>
      </c>
      <c r="D309" s="101" t="s">
        <v>161</v>
      </c>
      <c r="E309" s="100">
        <v>1515692.0</v>
      </c>
      <c r="F309" s="99">
        <f t="shared" si="49"/>
        <v>780</v>
      </c>
      <c r="G309" s="100">
        <v>545.0</v>
      </c>
      <c r="H309" s="101">
        <v>205.0</v>
      </c>
      <c r="I309" s="101">
        <v>220.0</v>
      </c>
      <c r="J309" s="350">
        <f t="shared" si="47"/>
        <v>-15</v>
      </c>
      <c r="K309" s="351">
        <f t="shared" si="48"/>
        <v>28.20512821</v>
      </c>
      <c r="L309" s="54"/>
      <c r="M309" s="54"/>
      <c r="N309" s="54"/>
      <c r="O309" s="54"/>
      <c r="R309" s="249"/>
      <c r="S309" s="54"/>
      <c r="T309" s="54"/>
      <c r="U309" s="54"/>
      <c r="V309" s="54"/>
      <c r="W309" s="54"/>
      <c r="X309" s="54"/>
      <c r="Y309" s="54"/>
      <c r="Z309" s="54"/>
      <c r="AA309" s="54"/>
      <c r="AB309" s="287"/>
      <c r="AC309" s="54"/>
      <c r="AD309" s="54"/>
      <c r="AE309" s="54"/>
    </row>
    <row r="310">
      <c r="A310" s="54"/>
      <c r="B310" s="110">
        <v>45817.0</v>
      </c>
      <c r="C310" s="100" t="s">
        <v>123</v>
      </c>
      <c r="D310" s="101" t="s">
        <v>161</v>
      </c>
      <c r="E310" s="100">
        <v>1516445.0</v>
      </c>
      <c r="F310" s="99">
        <f t="shared" si="49"/>
        <v>753</v>
      </c>
      <c r="G310" s="100">
        <v>544.0</v>
      </c>
      <c r="H310" s="101">
        <v>174.0</v>
      </c>
      <c r="I310" s="102">
        <f>140.31+43.09</f>
        <v>183.4</v>
      </c>
      <c r="J310" s="350">
        <f t="shared" si="47"/>
        <v>-9.4</v>
      </c>
      <c r="K310" s="351">
        <f t="shared" si="48"/>
        <v>24.35590969</v>
      </c>
      <c r="L310" s="54"/>
      <c r="M310" s="54"/>
      <c r="N310" s="54"/>
      <c r="O310" s="54"/>
      <c r="R310" s="249"/>
      <c r="S310" s="54"/>
      <c r="T310" s="54"/>
      <c r="U310" s="54"/>
      <c r="V310" s="54"/>
      <c r="W310" s="54"/>
      <c r="X310" s="54"/>
      <c r="Y310" s="54"/>
      <c r="Z310" s="54"/>
      <c r="AA310" s="54"/>
      <c r="AB310" s="287"/>
      <c r="AC310" s="54"/>
      <c r="AD310" s="54"/>
      <c r="AE310" s="54"/>
    </row>
    <row r="311">
      <c r="A311" s="54"/>
      <c r="B311" s="110">
        <v>45818.0</v>
      </c>
      <c r="C311" s="100" t="s">
        <v>123</v>
      </c>
      <c r="D311" s="101" t="s">
        <v>161</v>
      </c>
      <c r="E311" s="100">
        <v>1517226.0</v>
      </c>
      <c r="F311" s="99">
        <f t="shared" si="49"/>
        <v>781</v>
      </c>
      <c r="G311" s="100">
        <v>533.0</v>
      </c>
      <c r="H311" s="101">
        <v>196.0</v>
      </c>
      <c r="I311" s="101">
        <v>210.0</v>
      </c>
      <c r="J311" s="350">
        <f t="shared" si="47"/>
        <v>-14</v>
      </c>
      <c r="K311" s="351">
        <f t="shared" si="48"/>
        <v>26.88860435</v>
      </c>
      <c r="L311" s="54"/>
      <c r="M311" s="54"/>
      <c r="N311" s="54"/>
      <c r="O311" s="54"/>
      <c r="R311" s="249"/>
      <c r="S311" s="54"/>
      <c r="T311" s="54"/>
      <c r="U311" s="54"/>
      <c r="V311" s="54"/>
      <c r="W311" s="54"/>
      <c r="X311" s="54"/>
      <c r="Y311" s="54"/>
      <c r="Z311" s="54"/>
      <c r="AA311" s="54"/>
      <c r="AB311" s="287"/>
      <c r="AC311" s="54"/>
      <c r="AD311" s="54"/>
      <c r="AE311" s="54"/>
    </row>
    <row r="312">
      <c r="A312" s="54"/>
      <c r="B312" s="110">
        <v>45819.0</v>
      </c>
      <c r="C312" s="100" t="s">
        <v>123</v>
      </c>
      <c r="D312" s="101" t="s">
        <v>161</v>
      </c>
      <c r="E312" s="100">
        <v>1517982.0</v>
      </c>
      <c r="F312" s="99">
        <f t="shared" si="49"/>
        <v>756</v>
      </c>
      <c r="G312" s="100">
        <v>539.0</v>
      </c>
      <c r="H312" s="101">
        <v>202.0</v>
      </c>
      <c r="I312" s="102">
        <f>140.31+73.69</f>
        <v>214</v>
      </c>
      <c r="J312" s="350">
        <f t="shared" si="47"/>
        <v>-12</v>
      </c>
      <c r="K312" s="351">
        <f t="shared" si="48"/>
        <v>28.30687831</v>
      </c>
      <c r="L312" s="54"/>
      <c r="M312" s="54"/>
      <c r="N312" s="54"/>
      <c r="O312" s="54"/>
      <c r="R312" s="249"/>
      <c r="S312" s="54"/>
      <c r="T312" s="54"/>
      <c r="U312" s="54"/>
      <c r="V312" s="54"/>
      <c r="W312" s="54"/>
      <c r="X312" s="54"/>
      <c r="Y312" s="54"/>
      <c r="Z312" s="54"/>
      <c r="AA312" s="54"/>
      <c r="AB312" s="287"/>
      <c r="AC312" s="54"/>
      <c r="AD312" s="54"/>
      <c r="AE312" s="54"/>
    </row>
    <row r="313">
      <c r="A313" s="54"/>
      <c r="B313" s="110">
        <v>45827.0</v>
      </c>
      <c r="C313" s="100" t="s">
        <v>123</v>
      </c>
      <c r="D313" s="101" t="s">
        <v>161</v>
      </c>
      <c r="E313" s="100">
        <v>1518870.0</v>
      </c>
      <c r="F313" s="99">
        <f t="shared" si="49"/>
        <v>888</v>
      </c>
      <c r="G313" s="100">
        <v>553.0</v>
      </c>
      <c r="H313" s="101">
        <v>240.0</v>
      </c>
      <c r="I313" s="102">
        <f>260-6.11</f>
        <v>253.89</v>
      </c>
      <c r="J313" s="350">
        <f t="shared" si="47"/>
        <v>-13.89</v>
      </c>
      <c r="K313" s="351">
        <f t="shared" si="48"/>
        <v>28.59121622</v>
      </c>
      <c r="L313" s="54"/>
      <c r="M313" s="54"/>
      <c r="N313" s="54"/>
      <c r="O313" s="54"/>
      <c r="R313" s="249"/>
      <c r="S313" s="54"/>
      <c r="T313" s="54"/>
      <c r="U313" s="54"/>
      <c r="V313" s="54"/>
      <c r="W313" s="54"/>
      <c r="X313" s="54"/>
      <c r="Y313" s="54"/>
      <c r="Z313" s="54"/>
      <c r="AA313" s="54"/>
      <c r="AB313" s="287"/>
      <c r="AC313" s="54"/>
      <c r="AD313" s="54"/>
      <c r="AE313" s="54"/>
    </row>
    <row r="314">
      <c r="A314" s="54"/>
      <c r="B314" s="110">
        <v>45828.0</v>
      </c>
      <c r="C314" s="100" t="s">
        <v>123</v>
      </c>
      <c r="D314" s="101" t="s">
        <v>161</v>
      </c>
      <c r="E314" s="100">
        <v>1519664.0</v>
      </c>
      <c r="F314" s="99">
        <f t="shared" si="49"/>
        <v>794</v>
      </c>
      <c r="G314" s="100">
        <v>541.0</v>
      </c>
      <c r="H314" s="101">
        <v>190.0</v>
      </c>
      <c r="I314" s="102">
        <f>140.31+60.87</f>
        <v>201.18</v>
      </c>
      <c r="J314" s="350">
        <f t="shared" si="47"/>
        <v>-11.18</v>
      </c>
      <c r="K314" s="351">
        <f t="shared" si="48"/>
        <v>25.33753149</v>
      </c>
      <c r="L314" s="54"/>
      <c r="M314" s="54"/>
      <c r="N314" s="54"/>
      <c r="O314" s="54"/>
      <c r="R314" s="249"/>
      <c r="S314" s="54"/>
      <c r="T314" s="54"/>
      <c r="U314" s="54"/>
      <c r="V314" s="54"/>
      <c r="W314" s="54"/>
      <c r="X314" s="54"/>
      <c r="Y314" s="54"/>
      <c r="Z314" s="54"/>
      <c r="AA314" s="54"/>
      <c r="AB314" s="287"/>
      <c r="AC314" s="54"/>
      <c r="AD314" s="54"/>
      <c r="AE314" s="54"/>
    </row>
    <row r="315">
      <c r="A315" s="54"/>
      <c r="B315" s="110">
        <v>45830.0</v>
      </c>
      <c r="C315" s="100" t="s">
        <v>123</v>
      </c>
      <c r="D315" s="101" t="s">
        <v>161</v>
      </c>
      <c r="E315" s="100">
        <v>1520439.0</v>
      </c>
      <c r="F315" s="99">
        <f t="shared" si="49"/>
        <v>775</v>
      </c>
      <c r="G315" s="100">
        <v>540.0</v>
      </c>
      <c r="H315" s="101">
        <v>200.0</v>
      </c>
      <c r="I315" s="101">
        <v>210.0</v>
      </c>
      <c r="J315" s="350">
        <f t="shared" si="47"/>
        <v>-10</v>
      </c>
      <c r="K315" s="351">
        <f t="shared" si="48"/>
        <v>27.09677419</v>
      </c>
      <c r="L315" s="54"/>
      <c r="M315" s="54"/>
      <c r="N315" s="54"/>
      <c r="O315" s="54"/>
      <c r="R315" s="249"/>
      <c r="S315" s="54"/>
      <c r="T315" s="54"/>
      <c r="U315" s="54"/>
      <c r="V315" s="54"/>
      <c r="W315" s="54"/>
      <c r="X315" s="54"/>
      <c r="Y315" s="54"/>
      <c r="Z315" s="54"/>
      <c r="AA315" s="54"/>
      <c r="AB315" s="287"/>
      <c r="AC315" s="54"/>
      <c r="AD315" s="54"/>
      <c r="AE315" s="54"/>
    </row>
    <row r="316">
      <c r="A316" s="54"/>
      <c r="B316" s="110">
        <v>45831.0</v>
      </c>
      <c r="C316" s="100" t="s">
        <v>123</v>
      </c>
      <c r="D316" s="101" t="s">
        <v>161</v>
      </c>
      <c r="E316" s="100">
        <v>1521193.0</v>
      </c>
      <c r="F316" s="99">
        <f t="shared" si="49"/>
        <v>754</v>
      </c>
      <c r="G316" s="100">
        <v>543.0</v>
      </c>
      <c r="H316" s="101">
        <v>197.0</v>
      </c>
      <c r="I316" s="102">
        <f>140.31+66.5</f>
        <v>206.81</v>
      </c>
      <c r="J316" s="350">
        <f t="shared" si="47"/>
        <v>-9.81</v>
      </c>
      <c r="K316" s="351">
        <f t="shared" si="48"/>
        <v>27.42838196</v>
      </c>
      <c r="L316" s="54"/>
      <c r="M316" s="54"/>
      <c r="N316" s="54"/>
      <c r="O316" s="54"/>
      <c r="R316" s="249"/>
      <c r="S316" s="54"/>
      <c r="T316" s="54"/>
      <c r="U316" s="54"/>
      <c r="V316" s="54"/>
      <c r="W316" s="54"/>
      <c r="X316" s="54"/>
      <c r="Y316" s="54"/>
      <c r="Z316" s="54"/>
      <c r="AA316" s="54"/>
      <c r="AB316" s="287"/>
      <c r="AC316" s="54"/>
      <c r="AD316" s="54"/>
      <c r="AE316" s="54"/>
    </row>
    <row r="317">
      <c r="A317" s="54"/>
      <c r="B317" s="110">
        <v>45832.0</v>
      </c>
      <c r="C317" s="100" t="s">
        <v>123</v>
      </c>
      <c r="D317" s="101" t="s">
        <v>161</v>
      </c>
      <c r="E317" s="100">
        <v>1521973.0</v>
      </c>
      <c r="F317" s="99">
        <f t="shared" si="49"/>
        <v>780</v>
      </c>
      <c r="G317" s="100">
        <v>531.0</v>
      </c>
      <c r="H317" s="101">
        <v>187.0</v>
      </c>
      <c r="I317" s="101">
        <v>200.0</v>
      </c>
      <c r="J317" s="350">
        <f t="shared" si="47"/>
        <v>-13</v>
      </c>
      <c r="K317" s="351">
        <f t="shared" si="48"/>
        <v>25.64102564</v>
      </c>
      <c r="L317" s="54"/>
      <c r="M317" s="54"/>
      <c r="N317" s="54"/>
      <c r="O317" s="54"/>
      <c r="R317" s="249"/>
      <c r="S317" s="54"/>
      <c r="T317" s="54"/>
      <c r="U317" s="54"/>
      <c r="V317" s="54"/>
      <c r="W317" s="54"/>
      <c r="X317" s="54"/>
      <c r="Y317" s="54"/>
      <c r="Z317" s="54"/>
      <c r="AA317" s="54"/>
      <c r="AB317" s="287"/>
      <c r="AC317" s="54"/>
      <c r="AD317" s="54"/>
      <c r="AE317" s="54"/>
    </row>
    <row r="318">
      <c r="A318" s="54"/>
      <c r="B318" s="110">
        <v>45833.0</v>
      </c>
      <c r="C318" s="100" t="s">
        <v>123</v>
      </c>
      <c r="D318" s="101" t="s">
        <v>161</v>
      </c>
      <c r="E318" s="100">
        <v>1522728.0</v>
      </c>
      <c r="F318" s="99">
        <f t="shared" si="49"/>
        <v>755</v>
      </c>
      <c r="G318" s="100">
        <v>541.0</v>
      </c>
      <c r="H318" s="101">
        <v>209.0</v>
      </c>
      <c r="I318" s="102">
        <f>140.31+80.94</f>
        <v>221.25</v>
      </c>
      <c r="J318" s="350">
        <f t="shared" si="47"/>
        <v>-12.25</v>
      </c>
      <c r="K318" s="351">
        <f t="shared" si="48"/>
        <v>29.30463576</v>
      </c>
      <c r="L318" s="54"/>
      <c r="M318" s="54"/>
      <c r="N318" s="54"/>
      <c r="O318" s="54"/>
      <c r="R318" s="249"/>
      <c r="S318" s="54"/>
      <c r="T318" s="54"/>
      <c r="U318" s="54"/>
      <c r="V318" s="54"/>
      <c r="W318" s="54"/>
      <c r="X318" s="54"/>
      <c r="Y318" s="54"/>
      <c r="Z318" s="54"/>
      <c r="AA318" s="54"/>
      <c r="AB318" s="287"/>
      <c r="AC318" s="54"/>
      <c r="AD318" s="54"/>
      <c r="AE318" s="54"/>
    </row>
    <row r="319">
      <c r="A319" s="54"/>
      <c r="B319" s="110">
        <v>45834.0</v>
      </c>
      <c r="C319" s="100" t="s">
        <v>123</v>
      </c>
      <c r="D319" s="101" t="s">
        <v>161</v>
      </c>
      <c r="E319" s="100">
        <v>1523508.0</v>
      </c>
      <c r="F319" s="99">
        <f t="shared" si="49"/>
        <v>780</v>
      </c>
      <c r="G319" s="100">
        <v>554.0</v>
      </c>
      <c r="H319" s="101">
        <v>209.0</v>
      </c>
      <c r="I319" s="101">
        <v>220.0</v>
      </c>
      <c r="J319" s="350">
        <f t="shared" si="47"/>
        <v>-11</v>
      </c>
      <c r="K319" s="351">
        <f t="shared" si="48"/>
        <v>28.20512821</v>
      </c>
      <c r="L319" s="54"/>
      <c r="M319" s="54"/>
      <c r="N319" s="54"/>
      <c r="O319" s="54"/>
      <c r="R319" s="249"/>
      <c r="S319" s="54"/>
      <c r="T319" s="54"/>
      <c r="U319" s="54"/>
      <c r="V319" s="54"/>
      <c r="W319" s="54"/>
      <c r="X319" s="54"/>
      <c r="Y319" s="54"/>
      <c r="Z319" s="54"/>
      <c r="AA319" s="54"/>
      <c r="AB319" s="287"/>
      <c r="AC319" s="54"/>
      <c r="AD319" s="54"/>
      <c r="AE319" s="54"/>
    </row>
    <row r="320">
      <c r="A320" s="54"/>
      <c r="B320" s="110">
        <v>45835.0</v>
      </c>
      <c r="C320" s="100" t="s">
        <v>123</v>
      </c>
      <c r="D320" s="101" t="s">
        <v>161</v>
      </c>
      <c r="E320" s="100">
        <v>1524262.0</v>
      </c>
      <c r="F320" s="99">
        <f t="shared" si="49"/>
        <v>754</v>
      </c>
      <c r="G320" s="100">
        <v>545.0</v>
      </c>
      <c r="H320" s="101">
        <v>195.0</v>
      </c>
      <c r="I320" s="102">
        <f>140.31+62.91</f>
        <v>203.22</v>
      </c>
      <c r="J320" s="350">
        <f t="shared" si="47"/>
        <v>-8.22</v>
      </c>
      <c r="K320" s="351">
        <f t="shared" si="48"/>
        <v>26.95225464</v>
      </c>
      <c r="L320" s="54"/>
      <c r="M320" s="54"/>
      <c r="N320" s="54"/>
      <c r="O320" s="54"/>
      <c r="R320" s="249"/>
      <c r="S320" s="54"/>
      <c r="T320" s="54"/>
      <c r="U320" s="54"/>
      <c r="V320" s="54"/>
      <c r="W320" s="54"/>
      <c r="X320" s="54"/>
      <c r="Y320" s="54"/>
      <c r="Z320" s="54"/>
      <c r="AA320" s="54"/>
      <c r="AB320" s="287"/>
      <c r="AC320" s="54"/>
      <c r="AD320" s="54"/>
      <c r="AE320" s="54"/>
    </row>
    <row r="321">
      <c r="A321" s="54"/>
      <c r="B321" s="110">
        <v>45837.0</v>
      </c>
      <c r="C321" s="100" t="s">
        <v>123</v>
      </c>
      <c r="D321" s="101" t="s">
        <v>161</v>
      </c>
      <c r="E321" s="100">
        <v>1525043.0</v>
      </c>
      <c r="F321" s="99">
        <f t="shared" si="49"/>
        <v>781</v>
      </c>
      <c r="G321" s="100">
        <v>539.0</v>
      </c>
      <c r="H321" s="101">
        <v>196.0</v>
      </c>
      <c r="I321" s="101">
        <v>210.0</v>
      </c>
      <c r="J321" s="350">
        <f t="shared" si="47"/>
        <v>-14</v>
      </c>
      <c r="K321" s="351">
        <f t="shared" si="48"/>
        <v>26.88860435</v>
      </c>
      <c r="L321" s="54"/>
      <c r="M321" s="54"/>
      <c r="N321" s="54"/>
      <c r="O321" s="54"/>
      <c r="R321" s="249"/>
      <c r="S321" s="54"/>
      <c r="T321" s="54"/>
      <c r="U321" s="54"/>
      <c r="V321" s="54"/>
      <c r="W321" s="54"/>
      <c r="X321" s="54"/>
      <c r="Y321" s="54"/>
      <c r="Z321" s="54"/>
      <c r="AA321" s="54"/>
      <c r="AB321" s="287"/>
      <c r="AC321" s="54"/>
      <c r="AD321" s="54"/>
      <c r="AE321" s="54"/>
    </row>
    <row r="322">
      <c r="A322" s="54"/>
      <c r="B322" s="110">
        <v>45838.0</v>
      </c>
      <c r="C322" s="100" t="s">
        <v>123</v>
      </c>
      <c r="D322" s="101" t="s">
        <v>161</v>
      </c>
      <c r="E322" s="100">
        <v>1525798.0</v>
      </c>
      <c r="F322" s="99">
        <f t="shared" si="49"/>
        <v>755</v>
      </c>
      <c r="G322" s="100">
        <v>542.0</v>
      </c>
      <c r="H322" s="101">
        <v>220.0</v>
      </c>
      <c r="I322" s="102">
        <f>140.31+93.15</f>
        <v>233.46</v>
      </c>
      <c r="J322" s="350">
        <f t="shared" si="47"/>
        <v>-13.46</v>
      </c>
      <c r="K322" s="351">
        <f t="shared" si="48"/>
        <v>30.9218543</v>
      </c>
      <c r="L322" s="54"/>
      <c r="M322" s="54"/>
      <c r="N322" s="54"/>
      <c r="O322" s="54"/>
      <c r="R322" s="249"/>
      <c r="S322" s="54"/>
      <c r="T322" s="54"/>
      <c r="U322" s="54"/>
      <c r="V322" s="54"/>
      <c r="W322" s="54"/>
      <c r="X322" s="54"/>
      <c r="Y322" s="54"/>
      <c r="Z322" s="54"/>
      <c r="AA322" s="54"/>
      <c r="AB322" s="287"/>
      <c r="AC322" s="54"/>
      <c r="AD322" s="54"/>
      <c r="AE322" s="54"/>
    </row>
    <row r="323">
      <c r="A323" s="89"/>
      <c r="B323" s="203" t="str">
        <f>IF(L323=4,"АПРЕЛЬ",IF(L323=5,"МАЙ",IF(L323=1,"ЯНВАРЬ",IF(L323=2,"ФЕВРАЛЬ",IF(L323=3,"МАРТ",IF(L323=6,"ИЮНЬ",IF(L323=7,"ИЮЛЬ",IF(L323=8,"АВГУСТ",IF(L323=9,"СЕНТЯБРЬ",IF(L323=10,"ОКТЯБРЬ",IF(L323=11,"НОЯБРЬ",IF(L323=12,"ДЕКАБРЬ"))))))))))))</f>
        <v>ИЮЛЬ</v>
      </c>
      <c r="J323" s="89"/>
      <c r="K323" s="90"/>
      <c r="L323" s="91">
        <f>MONTH(B324)</f>
        <v>7</v>
      </c>
      <c r="M323" s="89"/>
      <c r="N323" s="89"/>
      <c r="O323" s="89"/>
      <c r="P323" s="89"/>
      <c r="Q323" s="89"/>
      <c r="R323" s="241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301"/>
      <c r="AD323" s="56"/>
      <c r="AE323" s="56"/>
    </row>
    <row r="324">
      <c r="A324" s="54"/>
      <c r="B324" s="110">
        <v>45839.0</v>
      </c>
      <c r="C324" s="321" t="s">
        <v>123</v>
      </c>
      <c r="D324" s="321" t="s">
        <v>161</v>
      </c>
      <c r="E324" s="100">
        <v>1526560.0</v>
      </c>
      <c r="F324" s="99">
        <f>E324-E322</f>
        <v>762</v>
      </c>
      <c r="G324" s="100">
        <v>552.0</v>
      </c>
      <c r="H324" s="101">
        <v>203.0</v>
      </c>
      <c r="I324" s="101">
        <v>210.0</v>
      </c>
      <c r="J324" s="102">
        <f t="shared" ref="J324:J350" si="50">H324-I324</f>
        <v>-7</v>
      </c>
      <c r="K324" s="103">
        <f t="shared" ref="K324:K350" si="51">I324/F324*100</f>
        <v>27.55905512</v>
      </c>
      <c r="L324" s="54"/>
      <c r="M324" s="82" t="str">
        <f>"тотал"&amp;" "&amp;B323&amp;" "&amp;RIGHT(YEAR(B324),2)</f>
        <v>тотал ИЮЛЬ 25</v>
      </c>
      <c r="N324" s="75"/>
      <c r="O324" s="75"/>
      <c r="P324" s="75"/>
      <c r="Q324" s="76"/>
      <c r="R324" s="359"/>
      <c r="S324" s="54"/>
      <c r="T324" s="54"/>
      <c r="U324" s="54"/>
      <c r="V324" s="54"/>
      <c r="W324" s="54"/>
      <c r="X324" s="54"/>
      <c r="Y324" s="54"/>
      <c r="Z324" s="54"/>
      <c r="AA324" s="54"/>
      <c r="AB324" s="287"/>
      <c r="AC324" s="54"/>
      <c r="AD324" s="54"/>
      <c r="AE324" s="54"/>
    </row>
    <row r="325">
      <c r="A325" s="54"/>
      <c r="B325" s="110">
        <v>45840.0</v>
      </c>
      <c r="C325" s="321" t="s">
        <v>123</v>
      </c>
      <c r="D325" s="321" t="s">
        <v>161</v>
      </c>
      <c r="E325" s="100">
        <v>1527317.0</v>
      </c>
      <c r="F325" s="99">
        <f t="shared" ref="F325:F350" si="52">E325-E324</f>
        <v>757</v>
      </c>
      <c r="G325" s="100">
        <v>542.0</v>
      </c>
      <c r="H325" s="101">
        <v>202.0</v>
      </c>
      <c r="I325" s="102">
        <f>140.31+73.41</f>
        <v>213.72</v>
      </c>
      <c r="J325" s="102">
        <f t="shared" si="50"/>
        <v>-11.72</v>
      </c>
      <c r="K325" s="103">
        <f t="shared" si="51"/>
        <v>28.2324967</v>
      </c>
      <c r="L325" s="54"/>
      <c r="M325" s="83" t="s">
        <v>70</v>
      </c>
      <c r="N325" s="83" t="s">
        <v>71</v>
      </c>
      <c r="O325" s="83" t="s">
        <v>27</v>
      </c>
      <c r="P325" s="77" t="s">
        <v>28</v>
      </c>
      <c r="Q325" s="12" t="s">
        <v>78</v>
      </c>
      <c r="R325" s="249"/>
      <c r="S325" s="54"/>
      <c r="T325" s="54"/>
      <c r="U325" s="54"/>
      <c r="V325" s="54"/>
      <c r="W325" s="54"/>
      <c r="X325" s="54"/>
      <c r="Y325" s="54"/>
      <c r="Z325" s="54"/>
      <c r="AA325" s="54"/>
      <c r="AB325" s="287"/>
      <c r="AC325" s="54"/>
      <c r="AD325" s="54"/>
      <c r="AE325" s="54"/>
    </row>
    <row r="326">
      <c r="A326" s="54"/>
      <c r="B326" s="110">
        <v>45841.0</v>
      </c>
      <c r="C326" s="321" t="s">
        <v>123</v>
      </c>
      <c r="D326" s="321" t="s">
        <v>161</v>
      </c>
      <c r="E326" s="100">
        <v>1528097.0</v>
      </c>
      <c r="F326" s="99">
        <f t="shared" si="52"/>
        <v>780</v>
      </c>
      <c r="G326" s="100">
        <v>539.0</v>
      </c>
      <c r="H326" s="101">
        <v>188.0</v>
      </c>
      <c r="I326" s="101">
        <v>200.0</v>
      </c>
      <c r="J326" s="102">
        <f t="shared" si="50"/>
        <v>-12</v>
      </c>
      <c r="K326" s="103">
        <f t="shared" si="51"/>
        <v>25.64102564</v>
      </c>
      <c r="L326" s="54"/>
      <c r="M326" s="84">
        <f>SUM(F324:F350)</f>
        <v>20822</v>
      </c>
      <c r="N326" s="84">
        <f>SUM(I324:I350)</f>
        <v>5578.89</v>
      </c>
      <c r="O326" s="85">
        <f>N326/M326*100</f>
        <v>26.79324753</v>
      </c>
      <c r="P326" s="79">
        <f>(M326/100)*(O326-Q326)</f>
        <v>-251.27</v>
      </c>
      <c r="Q326" s="78">
        <v>28.0</v>
      </c>
      <c r="R326" s="249"/>
      <c r="S326" s="54"/>
      <c r="T326" s="54"/>
      <c r="U326" s="54"/>
      <c r="V326" s="54"/>
      <c r="W326" s="54"/>
      <c r="X326" s="54"/>
      <c r="Y326" s="54"/>
      <c r="Z326" s="54"/>
      <c r="AA326" s="54"/>
      <c r="AB326" s="287"/>
      <c r="AC326" s="54"/>
      <c r="AD326" s="54"/>
      <c r="AE326" s="54"/>
    </row>
    <row r="327">
      <c r="A327" s="54"/>
      <c r="B327" s="110">
        <v>45842.0</v>
      </c>
      <c r="C327" s="321" t="s">
        <v>123</v>
      </c>
      <c r="D327" s="321" t="s">
        <v>161</v>
      </c>
      <c r="E327" s="100">
        <v>1528849.0</v>
      </c>
      <c r="F327" s="99">
        <f t="shared" si="52"/>
        <v>752</v>
      </c>
      <c r="G327" s="100">
        <v>543.0</v>
      </c>
      <c r="H327" s="101">
        <v>190.0</v>
      </c>
      <c r="I327" s="102">
        <f>140.31+59.01</f>
        <v>199.32</v>
      </c>
      <c r="J327" s="102">
        <f t="shared" si="50"/>
        <v>-9.32</v>
      </c>
      <c r="K327" s="103">
        <f t="shared" si="51"/>
        <v>26.50531915</v>
      </c>
      <c r="L327" s="54"/>
      <c r="M327" s="54"/>
      <c r="N327" s="54"/>
      <c r="O327" s="54"/>
      <c r="R327" s="249"/>
      <c r="S327" s="54"/>
      <c r="T327" s="54"/>
      <c r="U327" s="54"/>
      <c r="V327" s="54"/>
      <c r="W327" s="54"/>
      <c r="X327" s="54"/>
      <c r="Y327" s="54"/>
      <c r="Z327" s="54"/>
      <c r="AA327" s="54"/>
      <c r="AB327" s="287"/>
      <c r="AC327" s="54"/>
      <c r="AD327" s="54"/>
      <c r="AE327" s="54"/>
    </row>
    <row r="328">
      <c r="A328" s="54"/>
      <c r="B328" s="110">
        <v>45844.0</v>
      </c>
      <c r="C328" s="321" t="s">
        <v>123</v>
      </c>
      <c r="D328" s="321" t="s">
        <v>161</v>
      </c>
      <c r="E328" s="100">
        <v>1529816.0</v>
      </c>
      <c r="F328" s="99">
        <f t="shared" si="52"/>
        <v>967</v>
      </c>
      <c r="G328" s="100">
        <v>542.0</v>
      </c>
      <c r="H328" s="101">
        <v>247.0</v>
      </c>
      <c r="I328" s="101">
        <v>260.0</v>
      </c>
      <c r="J328" s="102">
        <f t="shared" si="50"/>
        <v>-13</v>
      </c>
      <c r="K328" s="103">
        <f t="shared" si="51"/>
        <v>26.88728025</v>
      </c>
      <c r="L328" s="54"/>
      <c r="M328" s="54"/>
      <c r="N328" s="54"/>
      <c r="O328" s="54"/>
      <c r="R328" s="249"/>
      <c r="S328" s="54"/>
      <c r="T328" s="54"/>
      <c r="U328" s="54"/>
      <c r="V328" s="54"/>
      <c r="W328" s="54"/>
      <c r="X328" s="54"/>
      <c r="Y328" s="54"/>
      <c r="Z328" s="54"/>
      <c r="AA328" s="54"/>
      <c r="AB328" s="287"/>
      <c r="AC328" s="54"/>
      <c r="AD328" s="54"/>
      <c r="AE328" s="54"/>
    </row>
    <row r="329">
      <c r="A329" s="54"/>
      <c r="B329" s="110">
        <v>45845.0</v>
      </c>
      <c r="C329" s="321" t="s">
        <v>123</v>
      </c>
      <c r="D329" s="321" t="s">
        <v>161</v>
      </c>
      <c r="E329" s="100">
        <v>1530575.0</v>
      </c>
      <c r="F329" s="99">
        <f t="shared" si="52"/>
        <v>759</v>
      </c>
      <c r="G329" s="100">
        <v>543.0</v>
      </c>
      <c r="H329" s="101">
        <v>199.0</v>
      </c>
      <c r="I329" s="102">
        <f>140.31+67.88</f>
        <v>208.19</v>
      </c>
      <c r="J329" s="102">
        <f t="shared" si="50"/>
        <v>-9.19</v>
      </c>
      <c r="K329" s="103">
        <f t="shared" si="51"/>
        <v>27.42951252</v>
      </c>
      <c r="L329" s="54"/>
      <c r="M329" s="54"/>
      <c r="N329" s="54"/>
      <c r="O329" s="54"/>
      <c r="R329" s="249"/>
      <c r="S329" s="54"/>
      <c r="T329" s="54"/>
      <c r="U329" s="54"/>
      <c r="V329" s="54"/>
      <c r="W329" s="54"/>
      <c r="X329" s="54"/>
      <c r="Y329" s="54"/>
      <c r="Z329" s="54"/>
      <c r="AA329" s="54"/>
      <c r="AB329" s="287"/>
      <c r="AC329" s="54"/>
      <c r="AD329" s="54"/>
      <c r="AE329" s="54"/>
    </row>
    <row r="330">
      <c r="A330" s="54"/>
      <c r="B330" s="110">
        <v>45846.0</v>
      </c>
      <c r="C330" s="321" t="s">
        <v>123</v>
      </c>
      <c r="D330" s="321" t="s">
        <v>161</v>
      </c>
      <c r="E330" s="100">
        <v>1531337.0</v>
      </c>
      <c r="F330" s="99">
        <f t="shared" si="52"/>
        <v>762</v>
      </c>
      <c r="G330" s="100">
        <v>545.0</v>
      </c>
      <c r="H330" s="101">
        <v>189.0</v>
      </c>
      <c r="I330" s="101">
        <v>200.0</v>
      </c>
      <c r="J330" s="102">
        <f t="shared" si="50"/>
        <v>-11</v>
      </c>
      <c r="K330" s="103">
        <f t="shared" si="51"/>
        <v>26.24671916</v>
      </c>
      <c r="L330" s="54"/>
      <c r="M330" s="54"/>
      <c r="N330" s="54"/>
      <c r="O330" s="54"/>
      <c r="R330" s="249"/>
      <c r="S330" s="54"/>
      <c r="T330" s="54"/>
      <c r="U330" s="54"/>
      <c r="V330" s="54"/>
      <c r="W330" s="54"/>
      <c r="X330" s="54"/>
      <c r="Y330" s="54"/>
      <c r="Z330" s="54"/>
      <c r="AA330" s="54"/>
      <c r="AB330" s="287"/>
      <c r="AC330" s="54"/>
      <c r="AD330" s="54"/>
      <c r="AE330" s="54"/>
    </row>
    <row r="331">
      <c r="A331" s="54"/>
      <c r="B331" s="110">
        <v>45847.0</v>
      </c>
      <c r="C331" s="321" t="s">
        <v>123</v>
      </c>
      <c r="D331" s="321" t="s">
        <v>161</v>
      </c>
      <c r="E331" s="100">
        <v>1532091.0</v>
      </c>
      <c r="F331" s="99">
        <f t="shared" si="52"/>
        <v>754</v>
      </c>
      <c r="G331" s="100">
        <v>543.0</v>
      </c>
      <c r="H331" s="101">
        <v>193.0</v>
      </c>
      <c r="I331" s="102">
        <f>140.31+61.21</f>
        <v>201.52</v>
      </c>
      <c r="J331" s="102">
        <f t="shared" si="50"/>
        <v>-8.52</v>
      </c>
      <c r="K331" s="103">
        <f t="shared" si="51"/>
        <v>26.72679045</v>
      </c>
      <c r="L331" s="54"/>
      <c r="M331" s="54"/>
      <c r="N331" s="54"/>
      <c r="O331" s="54"/>
      <c r="R331" s="249"/>
      <c r="S331" s="54"/>
      <c r="T331" s="54"/>
      <c r="U331" s="54"/>
      <c r="V331" s="54"/>
      <c r="W331" s="54"/>
      <c r="X331" s="54"/>
      <c r="Y331" s="54"/>
      <c r="Z331" s="54"/>
      <c r="AA331" s="54"/>
      <c r="AB331" s="287"/>
      <c r="AC331" s="54"/>
      <c r="AD331" s="54"/>
      <c r="AE331" s="54"/>
    </row>
    <row r="332">
      <c r="A332" s="54"/>
      <c r="B332" s="110">
        <v>45848.0</v>
      </c>
      <c r="C332" s="321" t="s">
        <v>123</v>
      </c>
      <c r="D332" s="321" t="s">
        <v>161</v>
      </c>
      <c r="E332" s="100">
        <v>1532872.0</v>
      </c>
      <c r="F332" s="99">
        <f t="shared" si="52"/>
        <v>781</v>
      </c>
      <c r="G332" s="100">
        <v>533.0</v>
      </c>
      <c r="H332" s="101">
        <v>207.0</v>
      </c>
      <c r="I332" s="101">
        <v>220.0</v>
      </c>
      <c r="J332" s="102">
        <f t="shared" si="50"/>
        <v>-13</v>
      </c>
      <c r="K332" s="103">
        <f t="shared" si="51"/>
        <v>28.16901408</v>
      </c>
      <c r="L332" s="54"/>
      <c r="M332" s="54"/>
      <c r="N332" s="54"/>
      <c r="O332" s="54"/>
      <c r="R332" s="249"/>
      <c r="S332" s="54"/>
      <c r="T332" s="54"/>
      <c r="U332" s="54"/>
      <c r="V332" s="54"/>
      <c r="W332" s="54"/>
      <c r="X332" s="54"/>
      <c r="Y332" s="54"/>
      <c r="Z332" s="54"/>
      <c r="AA332" s="54"/>
      <c r="AB332" s="287"/>
      <c r="AC332" s="54"/>
      <c r="AD332" s="54"/>
      <c r="AE332" s="54"/>
    </row>
    <row r="333">
      <c r="A333" s="54"/>
      <c r="B333" s="110">
        <v>45849.0</v>
      </c>
      <c r="C333" s="321" t="s">
        <v>123</v>
      </c>
      <c r="D333" s="321" t="s">
        <v>161</v>
      </c>
      <c r="E333" s="100">
        <v>1533627.0</v>
      </c>
      <c r="F333" s="99">
        <f t="shared" si="52"/>
        <v>755</v>
      </c>
      <c r="G333" s="100">
        <v>544.0</v>
      </c>
      <c r="H333" s="101">
        <v>199.0</v>
      </c>
      <c r="I333" s="102">
        <f>140.31+69.28</f>
        <v>209.59</v>
      </c>
      <c r="J333" s="102">
        <f t="shared" si="50"/>
        <v>-10.59</v>
      </c>
      <c r="K333" s="103">
        <f t="shared" si="51"/>
        <v>27.7602649</v>
      </c>
      <c r="L333" s="54"/>
      <c r="M333" s="54"/>
      <c r="N333" s="54"/>
      <c r="O333" s="54"/>
      <c r="R333" s="249"/>
      <c r="S333" s="54"/>
      <c r="T333" s="54"/>
      <c r="U333" s="54"/>
      <c r="V333" s="54"/>
      <c r="W333" s="54"/>
      <c r="X333" s="54"/>
      <c r="Y333" s="54"/>
      <c r="Z333" s="54"/>
      <c r="AA333" s="54"/>
      <c r="AB333" s="287"/>
      <c r="AC333" s="54"/>
      <c r="AD333" s="54"/>
      <c r="AE333" s="54"/>
    </row>
    <row r="334">
      <c r="A334" s="54"/>
      <c r="B334" s="110">
        <v>45850.0</v>
      </c>
      <c r="C334" s="321" t="s">
        <v>123</v>
      </c>
      <c r="D334" s="321" t="s">
        <v>161</v>
      </c>
      <c r="E334" s="100">
        <v>1534407.0</v>
      </c>
      <c r="F334" s="99">
        <f t="shared" si="52"/>
        <v>780</v>
      </c>
      <c r="G334" s="100">
        <v>554.0</v>
      </c>
      <c r="H334" s="101">
        <v>209.0</v>
      </c>
      <c r="I334" s="101">
        <v>220.0</v>
      </c>
      <c r="J334" s="102">
        <f t="shared" si="50"/>
        <v>-11</v>
      </c>
      <c r="K334" s="103">
        <f t="shared" si="51"/>
        <v>28.20512821</v>
      </c>
      <c r="L334" s="54"/>
      <c r="M334" s="54"/>
      <c r="N334" s="54"/>
      <c r="O334" s="54"/>
      <c r="R334" s="249"/>
      <c r="S334" s="54"/>
      <c r="T334" s="54"/>
      <c r="U334" s="54"/>
      <c r="V334" s="54"/>
      <c r="W334" s="54"/>
      <c r="X334" s="54"/>
      <c r="Y334" s="54"/>
      <c r="Z334" s="54"/>
      <c r="AA334" s="54"/>
      <c r="AB334" s="287"/>
      <c r="AC334" s="54"/>
      <c r="AD334" s="54"/>
      <c r="AE334" s="54"/>
    </row>
    <row r="335">
      <c r="A335" s="54"/>
      <c r="B335" s="110">
        <v>45851.0</v>
      </c>
      <c r="C335" s="321" t="s">
        <v>123</v>
      </c>
      <c r="D335" s="321" t="s">
        <v>161</v>
      </c>
      <c r="E335" s="100">
        <v>1535163.0</v>
      </c>
      <c r="F335" s="99">
        <f t="shared" si="52"/>
        <v>756</v>
      </c>
      <c r="G335" s="100">
        <v>540.0</v>
      </c>
      <c r="H335" s="101">
        <v>189.0</v>
      </c>
      <c r="I335" s="101">
        <f>140.31+59.4</f>
        <v>199.71</v>
      </c>
      <c r="J335" s="102">
        <f t="shared" si="50"/>
        <v>-10.71</v>
      </c>
      <c r="K335" s="103">
        <f t="shared" si="51"/>
        <v>26.41666667</v>
      </c>
      <c r="L335" s="54"/>
      <c r="M335" s="54"/>
      <c r="N335" s="54"/>
      <c r="O335" s="54"/>
      <c r="R335" s="249"/>
      <c r="S335" s="54"/>
      <c r="T335" s="54"/>
      <c r="U335" s="54"/>
      <c r="V335" s="54"/>
      <c r="W335" s="54"/>
      <c r="X335" s="54"/>
      <c r="Y335" s="54"/>
      <c r="Z335" s="54"/>
      <c r="AA335" s="54"/>
      <c r="AB335" s="287"/>
      <c r="AC335" s="54"/>
      <c r="AD335" s="54"/>
      <c r="AE335" s="54"/>
    </row>
    <row r="336">
      <c r="A336" s="54"/>
      <c r="B336" s="110">
        <v>45853.0</v>
      </c>
      <c r="C336" s="321" t="s">
        <v>123</v>
      </c>
      <c r="D336" s="321" t="s">
        <v>161</v>
      </c>
      <c r="E336" s="100">
        <v>1535924.0</v>
      </c>
      <c r="F336" s="99">
        <f t="shared" si="52"/>
        <v>761</v>
      </c>
      <c r="G336" s="100">
        <v>546.0</v>
      </c>
      <c r="H336" s="101">
        <v>188.0</v>
      </c>
      <c r="I336" s="101">
        <v>200.0</v>
      </c>
      <c r="J336" s="102">
        <f t="shared" si="50"/>
        <v>-12</v>
      </c>
      <c r="K336" s="103">
        <f t="shared" si="51"/>
        <v>26.28120894</v>
      </c>
      <c r="L336" s="54"/>
      <c r="M336" s="54"/>
      <c r="N336" s="54"/>
      <c r="O336" s="54"/>
      <c r="R336" s="249"/>
      <c r="S336" s="54"/>
      <c r="T336" s="54"/>
      <c r="U336" s="54"/>
      <c r="V336" s="54"/>
      <c r="W336" s="54"/>
      <c r="X336" s="54"/>
      <c r="Y336" s="54"/>
      <c r="Z336" s="54"/>
      <c r="AA336" s="54"/>
      <c r="AB336" s="287"/>
      <c r="AC336" s="54"/>
      <c r="AD336" s="54"/>
      <c r="AE336" s="54"/>
    </row>
    <row r="337">
      <c r="A337" s="54"/>
      <c r="B337" s="110">
        <v>45854.0</v>
      </c>
      <c r="C337" s="321" t="s">
        <v>123</v>
      </c>
      <c r="D337" s="321" t="s">
        <v>161</v>
      </c>
      <c r="E337" s="100">
        <v>1536677.0</v>
      </c>
      <c r="F337" s="99">
        <f t="shared" si="52"/>
        <v>753</v>
      </c>
      <c r="G337" s="100">
        <v>544.0</v>
      </c>
      <c r="H337" s="101">
        <v>184.0</v>
      </c>
      <c r="I337" s="102">
        <f>140.31--52.7</f>
        <v>193.01</v>
      </c>
      <c r="J337" s="102">
        <f t="shared" si="50"/>
        <v>-9.01</v>
      </c>
      <c r="K337" s="103">
        <f t="shared" si="51"/>
        <v>25.63213811</v>
      </c>
      <c r="L337" s="54"/>
      <c r="M337" s="54"/>
      <c r="N337" s="54"/>
      <c r="O337" s="54"/>
      <c r="R337" s="249"/>
      <c r="S337" s="54"/>
      <c r="T337" s="54"/>
      <c r="U337" s="54"/>
      <c r="V337" s="54"/>
      <c r="W337" s="54"/>
      <c r="X337" s="54"/>
      <c r="Y337" s="54"/>
      <c r="Z337" s="54"/>
      <c r="AA337" s="54"/>
      <c r="AB337" s="287"/>
      <c r="AC337" s="54"/>
      <c r="AD337" s="54"/>
      <c r="AE337" s="54"/>
    </row>
    <row r="338">
      <c r="A338" s="54"/>
      <c r="B338" s="110">
        <v>45855.0</v>
      </c>
      <c r="C338" s="321" t="s">
        <v>123</v>
      </c>
      <c r="D338" s="321" t="s">
        <v>161</v>
      </c>
      <c r="E338" s="100">
        <v>1537452.0</v>
      </c>
      <c r="F338" s="99">
        <f t="shared" si="52"/>
        <v>775</v>
      </c>
      <c r="G338" s="100">
        <v>544.0</v>
      </c>
      <c r="H338" s="101">
        <v>199.0</v>
      </c>
      <c r="I338" s="101">
        <v>210.0</v>
      </c>
      <c r="J338" s="102">
        <f t="shared" si="50"/>
        <v>-11</v>
      </c>
      <c r="K338" s="103">
        <f t="shared" si="51"/>
        <v>27.09677419</v>
      </c>
      <c r="L338" s="54"/>
      <c r="M338" s="54"/>
      <c r="N338" s="54"/>
      <c r="O338" s="54"/>
      <c r="R338" s="249"/>
      <c r="S338" s="54"/>
      <c r="T338" s="54"/>
      <c r="U338" s="54"/>
      <c r="V338" s="54"/>
      <c r="W338" s="54"/>
      <c r="X338" s="54"/>
      <c r="Y338" s="54"/>
      <c r="Z338" s="54"/>
      <c r="AA338" s="54"/>
      <c r="AB338" s="287"/>
      <c r="AC338" s="54"/>
      <c r="AD338" s="54"/>
      <c r="AE338" s="54"/>
    </row>
    <row r="339">
      <c r="A339" s="54"/>
      <c r="B339" s="110">
        <v>45856.0</v>
      </c>
      <c r="C339" s="321" t="s">
        <v>123</v>
      </c>
      <c r="D339" s="321" t="s">
        <v>161</v>
      </c>
      <c r="E339" s="100">
        <v>1538207.0</v>
      </c>
      <c r="F339" s="99">
        <f t="shared" si="52"/>
        <v>755</v>
      </c>
      <c r="G339" s="100">
        <v>540.0</v>
      </c>
      <c r="H339" s="101">
        <v>189.0</v>
      </c>
      <c r="I339" s="102">
        <f>140.31--58.45</f>
        <v>198.76</v>
      </c>
      <c r="J339" s="102">
        <f t="shared" si="50"/>
        <v>-9.76</v>
      </c>
      <c r="K339" s="103">
        <f t="shared" si="51"/>
        <v>26.32582781</v>
      </c>
      <c r="L339" s="54"/>
      <c r="M339" s="54"/>
      <c r="N339" s="54"/>
      <c r="O339" s="54"/>
      <c r="R339" s="249"/>
      <c r="S339" s="54"/>
      <c r="T339" s="54"/>
      <c r="U339" s="54"/>
      <c r="V339" s="54"/>
      <c r="W339" s="54"/>
      <c r="X339" s="54"/>
      <c r="Y339" s="54"/>
      <c r="Z339" s="54"/>
      <c r="AA339" s="54"/>
      <c r="AB339" s="287"/>
      <c r="AC339" s="54"/>
      <c r="AD339" s="54"/>
      <c r="AE339" s="54"/>
    </row>
    <row r="340">
      <c r="A340" s="54"/>
      <c r="B340" s="110">
        <v>45857.0</v>
      </c>
      <c r="C340" s="321" t="s">
        <v>123</v>
      </c>
      <c r="D340" s="321" t="s">
        <v>161</v>
      </c>
      <c r="E340" s="100">
        <v>1538987.0</v>
      </c>
      <c r="F340" s="99">
        <f t="shared" si="52"/>
        <v>780</v>
      </c>
      <c r="G340" s="100">
        <v>547.0</v>
      </c>
      <c r="H340" s="101">
        <v>208.0</v>
      </c>
      <c r="I340" s="101">
        <v>220.0</v>
      </c>
      <c r="J340" s="102">
        <f t="shared" si="50"/>
        <v>-12</v>
      </c>
      <c r="K340" s="103">
        <f t="shared" si="51"/>
        <v>28.20512821</v>
      </c>
      <c r="L340" s="54"/>
      <c r="M340" s="54"/>
      <c r="N340" s="54"/>
      <c r="O340" s="54"/>
      <c r="R340" s="249"/>
      <c r="S340" s="54"/>
      <c r="T340" s="54"/>
      <c r="U340" s="54"/>
      <c r="V340" s="54"/>
      <c r="W340" s="54"/>
      <c r="X340" s="54"/>
      <c r="Y340" s="54"/>
      <c r="Z340" s="54"/>
      <c r="AA340" s="54"/>
      <c r="AB340" s="287"/>
      <c r="AC340" s="54"/>
      <c r="AD340" s="54"/>
      <c r="AE340" s="54"/>
    </row>
    <row r="341">
      <c r="A341" s="54"/>
      <c r="B341" s="110">
        <v>45858.0</v>
      </c>
      <c r="C341" s="321" t="s">
        <v>123</v>
      </c>
      <c r="D341" s="321" t="s">
        <v>161</v>
      </c>
      <c r="E341" s="100">
        <v>1539741.0</v>
      </c>
      <c r="F341" s="99">
        <f t="shared" si="52"/>
        <v>754</v>
      </c>
      <c r="G341" s="100">
        <v>545.0</v>
      </c>
      <c r="H341" s="101">
        <v>194.0</v>
      </c>
      <c r="I341" s="102">
        <f>140.31--64.31</f>
        <v>204.62</v>
      </c>
      <c r="J341" s="102">
        <f t="shared" si="50"/>
        <v>-10.62</v>
      </c>
      <c r="K341" s="103">
        <f t="shared" si="51"/>
        <v>27.13793103</v>
      </c>
      <c r="L341" s="54"/>
      <c r="M341" s="54"/>
      <c r="N341" s="54"/>
      <c r="O341" s="54"/>
      <c r="R341" s="249"/>
      <c r="S341" s="54"/>
      <c r="T341" s="54"/>
      <c r="U341" s="54"/>
      <c r="V341" s="54"/>
      <c r="W341" s="54"/>
      <c r="X341" s="54"/>
      <c r="Y341" s="54"/>
      <c r="Z341" s="54"/>
      <c r="AA341" s="54"/>
      <c r="AB341" s="287"/>
      <c r="AC341" s="54"/>
      <c r="AD341" s="54"/>
      <c r="AE341" s="54"/>
    </row>
    <row r="342">
      <c r="A342" s="54"/>
      <c r="B342" s="110">
        <v>45860.0</v>
      </c>
      <c r="C342" s="321" t="s">
        <v>123</v>
      </c>
      <c r="D342" s="321" t="s">
        <v>161</v>
      </c>
      <c r="E342" s="100">
        <v>1540502.0</v>
      </c>
      <c r="F342" s="99">
        <f t="shared" si="52"/>
        <v>761</v>
      </c>
      <c r="G342" s="100">
        <v>541.0</v>
      </c>
      <c r="H342" s="101">
        <v>188.0</v>
      </c>
      <c r="I342" s="101">
        <v>200.0</v>
      </c>
      <c r="J342" s="102">
        <f t="shared" si="50"/>
        <v>-12</v>
      </c>
      <c r="K342" s="103">
        <f t="shared" si="51"/>
        <v>26.28120894</v>
      </c>
      <c r="L342" s="54"/>
      <c r="M342" s="54"/>
      <c r="N342" s="54"/>
      <c r="O342" s="54"/>
      <c r="R342" s="249"/>
      <c r="S342" s="54"/>
      <c r="T342" s="54"/>
      <c r="U342" s="54"/>
      <c r="V342" s="54"/>
      <c r="W342" s="54"/>
      <c r="X342" s="54"/>
      <c r="Y342" s="54"/>
      <c r="Z342" s="54"/>
      <c r="AA342" s="54"/>
      <c r="AB342" s="287"/>
      <c r="AC342" s="54"/>
      <c r="AD342" s="54"/>
      <c r="AE342" s="54"/>
    </row>
    <row r="343">
      <c r="A343" s="54"/>
      <c r="B343" s="110">
        <v>45861.0</v>
      </c>
      <c r="C343" s="321" t="s">
        <v>123</v>
      </c>
      <c r="D343" s="321" t="s">
        <v>161</v>
      </c>
      <c r="E343" s="100">
        <v>1541255.0</v>
      </c>
      <c r="F343" s="99">
        <f t="shared" si="52"/>
        <v>753</v>
      </c>
      <c r="G343" s="100">
        <v>540.0</v>
      </c>
      <c r="H343" s="101">
        <v>191.0</v>
      </c>
      <c r="I343" s="102">
        <f>140.31--60.27</f>
        <v>200.58</v>
      </c>
      <c r="J343" s="102">
        <f t="shared" si="50"/>
        <v>-9.58</v>
      </c>
      <c r="K343" s="103">
        <f t="shared" si="51"/>
        <v>26.6374502</v>
      </c>
      <c r="L343" s="54"/>
      <c r="M343" s="54"/>
      <c r="N343" s="54"/>
      <c r="O343" s="54"/>
      <c r="R343" s="249"/>
      <c r="S343" s="54"/>
      <c r="T343" s="54"/>
      <c r="U343" s="54"/>
      <c r="V343" s="54"/>
      <c r="W343" s="54"/>
      <c r="X343" s="54"/>
      <c r="Y343" s="54"/>
      <c r="Z343" s="54"/>
      <c r="AA343" s="54"/>
      <c r="AB343" s="287"/>
      <c r="AC343" s="54"/>
      <c r="AD343" s="54"/>
      <c r="AE343" s="54"/>
    </row>
    <row r="344">
      <c r="A344" s="54"/>
      <c r="B344" s="110">
        <v>45862.0</v>
      </c>
      <c r="C344" s="321" t="s">
        <v>123</v>
      </c>
      <c r="D344" s="321" t="s">
        <v>161</v>
      </c>
      <c r="E344" s="100">
        <v>1542036.0</v>
      </c>
      <c r="F344" s="99">
        <f t="shared" si="52"/>
        <v>781</v>
      </c>
      <c r="G344" s="100">
        <v>532.0</v>
      </c>
      <c r="H344" s="101">
        <v>187.0</v>
      </c>
      <c r="I344" s="101">
        <v>200.0</v>
      </c>
      <c r="J344" s="102">
        <f t="shared" si="50"/>
        <v>-13</v>
      </c>
      <c r="K344" s="103">
        <f t="shared" si="51"/>
        <v>25.60819462</v>
      </c>
      <c r="L344" s="54"/>
      <c r="M344" s="54"/>
      <c r="N344" s="54"/>
      <c r="O344" s="54"/>
      <c r="R344" s="249"/>
      <c r="S344" s="54"/>
      <c r="T344" s="54"/>
      <c r="U344" s="54"/>
      <c r="V344" s="54"/>
      <c r="W344" s="54"/>
      <c r="X344" s="54"/>
      <c r="Y344" s="54"/>
      <c r="Z344" s="54"/>
      <c r="AA344" s="54"/>
      <c r="AB344" s="287"/>
      <c r="AC344" s="54"/>
      <c r="AD344" s="54"/>
      <c r="AE344" s="54"/>
    </row>
    <row r="345">
      <c r="A345" s="54"/>
      <c r="B345" s="110">
        <v>45863.0</v>
      </c>
      <c r="C345" s="321" t="s">
        <v>123</v>
      </c>
      <c r="D345" s="321" t="s">
        <v>161</v>
      </c>
      <c r="E345" s="100">
        <v>1542791.0</v>
      </c>
      <c r="F345" s="99">
        <f t="shared" si="52"/>
        <v>755</v>
      </c>
      <c r="G345" s="100">
        <v>545.0</v>
      </c>
      <c r="H345" s="101">
        <v>203.0</v>
      </c>
      <c r="I345" s="102">
        <f>140.31--71.57</f>
        <v>211.88</v>
      </c>
      <c r="J345" s="102">
        <f t="shared" si="50"/>
        <v>-8.88</v>
      </c>
      <c r="K345" s="103">
        <f t="shared" si="51"/>
        <v>28.06357616</v>
      </c>
      <c r="L345" s="54"/>
      <c r="M345" s="54"/>
      <c r="N345" s="54"/>
      <c r="O345" s="54"/>
      <c r="R345" s="249"/>
      <c r="S345" s="54"/>
      <c r="T345" s="54"/>
      <c r="U345" s="54"/>
      <c r="V345" s="54"/>
      <c r="W345" s="54"/>
      <c r="X345" s="54"/>
      <c r="Y345" s="54"/>
      <c r="Z345" s="54"/>
      <c r="AA345" s="54"/>
      <c r="AB345" s="287"/>
      <c r="AC345" s="54"/>
      <c r="AD345" s="54"/>
      <c r="AE345" s="54"/>
    </row>
    <row r="346">
      <c r="A346" s="54"/>
      <c r="B346" s="110">
        <v>45864.0</v>
      </c>
      <c r="C346" s="321" t="s">
        <v>123</v>
      </c>
      <c r="D346" s="321" t="s">
        <v>161</v>
      </c>
      <c r="E346" s="100">
        <v>1543571.0</v>
      </c>
      <c r="F346" s="99">
        <f t="shared" si="52"/>
        <v>780</v>
      </c>
      <c r="G346" s="100">
        <v>547.0</v>
      </c>
      <c r="H346" s="101">
        <v>202.0</v>
      </c>
      <c r="I346" s="101">
        <v>210.0</v>
      </c>
      <c r="J346" s="102">
        <f t="shared" si="50"/>
        <v>-8</v>
      </c>
      <c r="K346" s="103">
        <f t="shared" si="51"/>
        <v>26.92307692</v>
      </c>
      <c r="L346" s="54"/>
      <c r="M346" s="54"/>
      <c r="N346" s="54"/>
      <c r="O346" s="54"/>
      <c r="R346" s="249"/>
      <c r="S346" s="54"/>
      <c r="T346" s="54"/>
      <c r="U346" s="54"/>
      <c r="V346" s="54"/>
      <c r="W346" s="54"/>
      <c r="X346" s="54"/>
      <c r="Y346" s="54"/>
      <c r="Z346" s="54"/>
      <c r="AA346" s="54"/>
      <c r="AB346" s="287"/>
      <c r="AC346" s="54"/>
      <c r="AD346" s="54"/>
      <c r="AE346" s="54"/>
    </row>
    <row r="347">
      <c r="A347" s="54"/>
      <c r="B347" s="110">
        <v>45865.0</v>
      </c>
      <c r="C347" s="321" t="s">
        <v>123</v>
      </c>
      <c r="D347" s="321" t="s">
        <v>161</v>
      </c>
      <c r="E347" s="100">
        <v>1544326.0</v>
      </c>
      <c r="F347" s="99">
        <f t="shared" si="52"/>
        <v>755</v>
      </c>
      <c r="G347" s="100">
        <v>548.0</v>
      </c>
      <c r="H347" s="101">
        <v>196.0</v>
      </c>
      <c r="I347" s="102">
        <f>1.78--140.31--65.32</f>
        <v>207.41</v>
      </c>
      <c r="J347" s="102">
        <f t="shared" si="50"/>
        <v>-11.41</v>
      </c>
      <c r="K347" s="103">
        <f t="shared" si="51"/>
        <v>27.47152318</v>
      </c>
      <c r="L347" s="54"/>
      <c r="M347" s="54"/>
      <c r="N347" s="54"/>
      <c r="O347" s="54"/>
      <c r="R347" s="249"/>
      <c r="S347" s="54"/>
      <c r="T347" s="54"/>
      <c r="U347" s="54"/>
      <c r="V347" s="54"/>
      <c r="W347" s="54"/>
      <c r="X347" s="54"/>
      <c r="Y347" s="54"/>
      <c r="Z347" s="54"/>
      <c r="AA347" s="54"/>
      <c r="AB347" s="287"/>
      <c r="AC347" s="54"/>
      <c r="AD347" s="54"/>
      <c r="AE347" s="54"/>
    </row>
    <row r="348">
      <c r="A348" s="54"/>
      <c r="B348" s="110">
        <v>45867.0</v>
      </c>
      <c r="C348" s="321" t="s">
        <v>123</v>
      </c>
      <c r="D348" s="321" t="s">
        <v>161</v>
      </c>
      <c r="E348" s="100">
        <v>1545086.0</v>
      </c>
      <c r="F348" s="99">
        <f t="shared" si="52"/>
        <v>760</v>
      </c>
      <c r="G348" s="100">
        <v>556.0</v>
      </c>
      <c r="H348" s="101">
        <v>191.0</v>
      </c>
      <c r="I348" s="101">
        <v>200.0</v>
      </c>
      <c r="J348" s="102">
        <f t="shared" si="50"/>
        <v>-9</v>
      </c>
      <c r="K348" s="103">
        <f t="shared" si="51"/>
        <v>26.31578947</v>
      </c>
      <c r="L348" s="54"/>
      <c r="M348" s="54"/>
      <c r="N348" s="54"/>
      <c r="O348" s="54"/>
      <c r="R348" s="249"/>
      <c r="S348" s="54"/>
      <c r="T348" s="54"/>
      <c r="U348" s="54"/>
      <c r="V348" s="54"/>
      <c r="W348" s="54"/>
      <c r="X348" s="54"/>
      <c r="Y348" s="54"/>
      <c r="Z348" s="54"/>
      <c r="AA348" s="54"/>
      <c r="AB348" s="287"/>
      <c r="AC348" s="54"/>
      <c r="AD348" s="54"/>
      <c r="AE348" s="54"/>
    </row>
    <row r="349">
      <c r="A349" s="54"/>
      <c r="B349" s="110">
        <v>45868.0</v>
      </c>
      <c r="C349" s="321" t="s">
        <v>123</v>
      </c>
      <c r="D349" s="321" t="s">
        <v>161</v>
      </c>
      <c r="E349" s="100">
        <v>1545839.0</v>
      </c>
      <c r="F349" s="99">
        <f t="shared" si="52"/>
        <v>753</v>
      </c>
      <c r="G349" s="100">
        <v>541.0</v>
      </c>
      <c r="H349" s="101">
        <v>172.0</v>
      </c>
      <c r="I349" s="102">
        <f>140.31--40.27</f>
        <v>180.58</v>
      </c>
      <c r="J349" s="102">
        <f t="shared" si="50"/>
        <v>-8.58</v>
      </c>
      <c r="K349" s="103">
        <f t="shared" si="51"/>
        <v>23.9814077</v>
      </c>
      <c r="L349" s="54"/>
      <c r="M349" s="54"/>
      <c r="N349" s="54"/>
      <c r="O349" s="54"/>
      <c r="R349" s="249"/>
      <c r="S349" s="54"/>
      <c r="T349" s="54"/>
      <c r="U349" s="54"/>
      <c r="V349" s="54"/>
      <c r="W349" s="54"/>
      <c r="X349" s="54"/>
      <c r="Y349" s="54"/>
      <c r="Z349" s="54"/>
      <c r="AA349" s="54"/>
      <c r="AB349" s="287"/>
      <c r="AC349" s="54"/>
      <c r="AD349" s="54"/>
      <c r="AE349" s="54"/>
    </row>
    <row r="350">
      <c r="A350" s="54"/>
      <c r="B350" s="110">
        <v>45869.0</v>
      </c>
      <c r="C350" s="321" t="s">
        <v>123</v>
      </c>
      <c r="D350" s="321" t="s">
        <v>161</v>
      </c>
      <c r="E350" s="100">
        <v>1546620.0</v>
      </c>
      <c r="F350" s="99">
        <f t="shared" si="52"/>
        <v>781</v>
      </c>
      <c r="G350" s="100">
        <v>531.0</v>
      </c>
      <c r="H350" s="101">
        <v>187.0</v>
      </c>
      <c r="I350" s="101">
        <v>200.0</v>
      </c>
      <c r="J350" s="102">
        <f t="shared" si="50"/>
        <v>-13</v>
      </c>
      <c r="K350" s="103">
        <f t="shared" si="51"/>
        <v>25.60819462</v>
      </c>
      <c r="L350" s="54"/>
      <c r="M350" s="54"/>
      <c r="N350" s="54"/>
      <c r="O350" s="54"/>
      <c r="R350" s="249"/>
      <c r="S350" s="54"/>
      <c r="T350" s="54"/>
      <c r="U350" s="54"/>
      <c r="V350" s="54"/>
      <c r="W350" s="54"/>
      <c r="X350" s="54"/>
      <c r="Y350" s="54"/>
      <c r="Z350" s="54"/>
      <c r="AA350" s="54"/>
      <c r="AB350" s="287"/>
      <c r="AC350" s="54"/>
      <c r="AD350" s="54"/>
      <c r="AE350" s="54"/>
    </row>
    <row r="351">
      <c r="A351" s="89"/>
      <c r="B351" s="203" t="str">
        <f>IF(L351=4,"АПРЕЛЬ",IF(L351=5,"МАЙ",IF(L351=1,"ЯНВАРЬ",IF(L351=2,"ФЕВРАЛЬ",IF(L351=3,"МАРТ",IF(L351=6,"ИЮНЬ",IF(L351=7,"ИЮЛЬ",IF(L351=8,"АВГУСТ",IF(L351=9,"СЕНТЯБРЬ",IF(L351=10,"ОКТЯБРЬ",IF(L351=11,"НОЯБРЬ",IF(L351=12,"ДЕКАБРЬ"))))))))))))</f>
        <v>АВГУСТ</v>
      </c>
      <c r="J351" s="89"/>
      <c r="K351" s="90"/>
      <c r="L351" s="91">
        <f>MONTH(B352)</f>
        <v>8</v>
      </c>
      <c r="M351" s="89"/>
      <c r="N351" s="89"/>
      <c r="O351" s="89"/>
      <c r="P351" s="89"/>
      <c r="Q351" s="89"/>
      <c r="R351" s="241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301"/>
      <c r="AD351" s="56"/>
      <c r="AE351" s="56"/>
    </row>
    <row r="352">
      <c r="A352" s="54"/>
      <c r="B352" s="110">
        <v>45870.0</v>
      </c>
      <c r="C352" s="321" t="s">
        <v>123</v>
      </c>
      <c r="D352" s="321" t="s">
        <v>161</v>
      </c>
      <c r="E352" s="100">
        <v>1547373.0</v>
      </c>
      <c r="F352" s="99">
        <f>E352-E350</f>
        <v>753</v>
      </c>
      <c r="G352" s="100">
        <v>542.0</v>
      </c>
      <c r="H352" s="101">
        <v>200.0</v>
      </c>
      <c r="I352" s="102">
        <f>140.31--70.08</f>
        <v>210.39</v>
      </c>
      <c r="J352" s="102">
        <f t="shared" ref="J352:J373" si="53">H352-I352</f>
        <v>-10.39</v>
      </c>
      <c r="K352" s="103">
        <f t="shared" ref="K352:K373" si="54">I352/F352*100</f>
        <v>27.94023904</v>
      </c>
      <c r="L352" s="54"/>
      <c r="M352" s="82" t="str">
        <f>"тотал"&amp;" "&amp;B351&amp;" "&amp;RIGHT(YEAR(B352),2)</f>
        <v>тотал АВГУСТ 25</v>
      </c>
      <c r="N352" s="75"/>
      <c r="O352" s="75"/>
      <c r="P352" s="75"/>
      <c r="Q352" s="76"/>
      <c r="R352" s="249"/>
      <c r="S352" s="54"/>
      <c r="T352" s="54"/>
      <c r="U352" s="54"/>
      <c r="V352" s="54"/>
      <c r="W352" s="54"/>
      <c r="X352" s="54"/>
      <c r="Y352" s="54"/>
      <c r="Z352" s="54"/>
      <c r="AA352" s="54"/>
      <c r="AB352" s="287"/>
      <c r="AC352" s="54"/>
      <c r="AD352" s="54"/>
      <c r="AE352" s="54"/>
    </row>
    <row r="353">
      <c r="A353" s="54"/>
      <c r="B353" s="110">
        <v>45871.0</v>
      </c>
      <c r="C353" s="321" t="s">
        <v>123</v>
      </c>
      <c r="D353" s="321" t="s">
        <v>161</v>
      </c>
      <c r="E353" s="100">
        <v>1548154.0</v>
      </c>
      <c r="F353" s="99">
        <f t="shared" ref="F353:F373" si="55">E353-E352</f>
        <v>781</v>
      </c>
      <c r="G353" s="100">
        <v>550.0</v>
      </c>
      <c r="H353" s="101">
        <v>210.0</v>
      </c>
      <c r="I353" s="101">
        <v>220.0</v>
      </c>
      <c r="J353" s="102">
        <f t="shared" si="53"/>
        <v>-10</v>
      </c>
      <c r="K353" s="103">
        <f t="shared" si="54"/>
        <v>28.16901408</v>
      </c>
      <c r="L353" s="54"/>
      <c r="M353" s="83" t="s">
        <v>70</v>
      </c>
      <c r="N353" s="83" t="s">
        <v>71</v>
      </c>
      <c r="O353" s="83" t="s">
        <v>27</v>
      </c>
      <c r="P353" s="77" t="s">
        <v>28</v>
      </c>
      <c r="Q353" s="12" t="s">
        <v>78</v>
      </c>
      <c r="R353" s="249"/>
      <c r="S353" s="54"/>
      <c r="T353" s="54"/>
      <c r="U353" s="54"/>
      <c r="V353" s="54"/>
      <c r="W353" s="54"/>
      <c r="X353" s="54"/>
      <c r="Y353" s="54"/>
      <c r="Z353" s="54"/>
      <c r="AA353" s="54"/>
      <c r="AB353" s="287"/>
      <c r="AC353" s="54"/>
      <c r="AD353" s="54"/>
      <c r="AE353" s="54"/>
    </row>
    <row r="354">
      <c r="A354" s="54"/>
      <c r="B354" s="110">
        <v>45873.0</v>
      </c>
      <c r="C354" s="321" t="s">
        <v>123</v>
      </c>
      <c r="D354" s="321" t="s">
        <v>161</v>
      </c>
      <c r="E354" s="100">
        <v>1549355.0</v>
      </c>
      <c r="F354" s="99">
        <f t="shared" si="55"/>
        <v>1201</v>
      </c>
      <c r="G354" s="100">
        <v>388.0</v>
      </c>
      <c r="H354" s="101">
        <v>140.0</v>
      </c>
      <c r="I354" s="102">
        <f>200-48.05</f>
        <v>151.95</v>
      </c>
      <c r="J354" s="102">
        <f t="shared" si="53"/>
        <v>-11.95</v>
      </c>
      <c r="K354" s="103">
        <f t="shared" si="54"/>
        <v>12.6519567</v>
      </c>
      <c r="L354" s="54"/>
      <c r="M354" s="84">
        <f>SUM(F352:F373)</f>
        <v>17179</v>
      </c>
      <c r="N354" s="84">
        <f>SUM(I352:I373)</f>
        <v>4656.72</v>
      </c>
      <c r="O354" s="85">
        <f>N354/M354*100</f>
        <v>27.1070493</v>
      </c>
      <c r="P354" s="79">
        <f>(M354/100)*(O354-Q354)</f>
        <v>-153.4</v>
      </c>
      <c r="Q354" s="78">
        <v>28.0</v>
      </c>
      <c r="R354" s="249"/>
      <c r="S354" s="54"/>
      <c r="T354" s="54"/>
      <c r="U354" s="54"/>
      <c r="V354" s="54"/>
      <c r="W354" s="54"/>
      <c r="X354" s="54"/>
      <c r="Y354" s="54"/>
      <c r="Z354" s="54"/>
      <c r="AA354" s="54"/>
      <c r="AB354" s="287"/>
      <c r="AC354" s="54"/>
      <c r="AD354" s="54"/>
      <c r="AE354" s="54"/>
    </row>
    <row r="355">
      <c r="A355" s="54"/>
      <c r="B355" s="110">
        <v>45874.0</v>
      </c>
      <c r="C355" s="321" t="s">
        <v>123</v>
      </c>
      <c r="D355" s="321" t="s">
        <v>161</v>
      </c>
      <c r="E355" s="100">
        <v>1549669.0</v>
      </c>
      <c r="F355" s="99">
        <f t="shared" si="55"/>
        <v>314</v>
      </c>
      <c r="G355" s="100">
        <v>533.0</v>
      </c>
      <c r="H355" s="101">
        <v>214.0</v>
      </c>
      <c r="I355" s="101">
        <v>230.0</v>
      </c>
      <c r="J355" s="102">
        <f t="shared" si="53"/>
        <v>-16</v>
      </c>
      <c r="K355" s="103">
        <f t="shared" si="54"/>
        <v>73.24840764</v>
      </c>
      <c r="L355" s="54"/>
      <c r="M355" s="54"/>
      <c r="N355" s="54"/>
      <c r="O355" s="54"/>
      <c r="R355" s="249"/>
      <c r="S355" s="54"/>
      <c r="T355" s="54"/>
      <c r="U355" s="54"/>
      <c r="V355" s="54"/>
      <c r="W355" s="54"/>
      <c r="X355" s="54"/>
      <c r="Y355" s="54"/>
      <c r="Z355" s="54"/>
      <c r="AA355" s="54"/>
      <c r="AB355" s="287"/>
      <c r="AC355" s="54"/>
      <c r="AD355" s="54"/>
      <c r="AE355" s="54"/>
    </row>
    <row r="356">
      <c r="A356" s="54"/>
      <c r="B356" s="110">
        <v>45875.0</v>
      </c>
      <c r="C356" s="321" t="s">
        <v>123</v>
      </c>
      <c r="D356" s="321" t="s">
        <v>161</v>
      </c>
      <c r="E356" s="100">
        <v>1550422.0</v>
      </c>
      <c r="F356" s="99">
        <f t="shared" si="55"/>
        <v>753</v>
      </c>
      <c r="G356" s="100">
        <v>540.0</v>
      </c>
      <c r="H356" s="101">
        <v>194.0</v>
      </c>
      <c r="I356" s="102">
        <f>140.31--64.15</f>
        <v>204.46</v>
      </c>
      <c r="J356" s="102">
        <f t="shared" si="53"/>
        <v>-10.46</v>
      </c>
      <c r="K356" s="103">
        <f t="shared" si="54"/>
        <v>27.15272244</v>
      </c>
      <c r="L356" s="54"/>
      <c r="M356" s="54"/>
      <c r="N356" s="54"/>
      <c r="O356" s="54"/>
      <c r="R356" s="249"/>
      <c r="S356" s="54"/>
      <c r="T356" s="54"/>
      <c r="U356" s="54"/>
      <c r="V356" s="54"/>
      <c r="W356" s="54"/>
      <c r="X356" s="54"/>
      <c r="Y356" s="54"/>
      <c r="Z356" s="54"/>
      <c r="AA356" s="54"/>
      <c r="AB356" s="287"/>
      <c r="AC356" s="54"/>
      <c r="AD356" s="54"/>
      <c r="AE356" s="54"/>
    </row>
    <row r="357">
      <c r="A357" s="54"/>
      <c r="B357" s="110">
        <v>45876.0</v>
      </c>
      <c r="C357" s="321" t="s">
        <v>123</v>
      </c>
      <c r="D357" s="321" t="s">
        <v>161</v>
      </c>
      <c r="E357" s="100">
        <v>1551203.0</v>
      </c>
      <c r="F357" s="99">
        <f t="shared" si="55"/>
        <v>781</v>
      </c>
      <c r="G357" s="100">
        <v>549.0</v>
      </c>
      <c r="H357" s="101">
        <v>211.0</v>
      </c>
      <c r="I357" s="101">
        <v>220.0</v>
      </c>
      <c r="J357" s="102">
        <f t="shared" si="53"/>
        <v>-9</v>
      </c>
      <c r="K357" s="103">
        <f t="shared" si="54"/>
        <v>28.16901408</v>
      </c>
      <c r="L357" s="54"/>
      <c r="M357" s="54"/>
      <c r="N357" s="54"/>
      <c r="O357" s="54"/>
      <c r="R357" s="249"/>
      <c r="S357" s="54"/>
      <c r="T357" s="54"/>
      <c r="U357" s="54"/>
      <c r="V357" s="54"/>
      <c r="W357" s="54"/>
      <c r="X357" s="54"/>
      <c r="Y357" s="54"/>
      <c r="Z357" s="54"/>
      <c r="AA357" s="54"/>
      <c r="AB357" s="287"/>
      <c r="AC357" s="54"/>
      <c r="AD357" s="54"/>
      <c r="AE357" s="54"/>
    </row>
    <row r="358">
      <c r="A358" s="54"/>
      <c r="B358" s="110">
        <v>45877.0</v>
      </c>
      <c r="C358" s="321" t="s">
        <v>123</v>
      </c>
      <c r="D358" s="321" t="s">
        <v>161</v>
      </c>
      <c r="E358" s="100">
        <v>1551959.0</v>
      </c>
      <c r="F358" s="99">
        <f t="shared" si="55"/>
        <v>756</v>
      </c>
      <c r="G358" s="100">
        <v>533.0</v>
      </c>
      <c r="H358" s="101">
        <v>187.0</v>
      </c>
      <c r="I358" s="102">
        <f>140.31--58.78</f>
        <v>199.09</v>
      </c>
      <c r="J358" s="102">
        <f t="shared" si="53"/>
        <v>-12.09</v>
      </c>
      <c r="K358" s="103">
        <f t="shared" si="54"/>
        <v>26.33465608</v>
      </c>
      <c r="L358" s="54"/>
      <c r="M358" s="54"/>
      <c r="N358" s="54"/>
      <c r="O358" s="54"/>
      <c r="R358" s="249"/>
      <c r="S358" s="54"/>
      <c r="T358" s="54"/>
      <c r="U358" s="54"/>
      <c r="V358" s="54"/>
      <c r="W358" s="54"/>
      <c r="X358" s="54"/>
      <c r="Y358" s="54"/>
      <c r="Z358" s="54"/>
      <c r="AA358" s="54"/>
      <c r="AB358" s="287"/>
      <c r="AC358" s="54"/>
      <c r="AD358" s="54"/>
      <c r="AE358" s="54"/>
    </row>
    <row r="359">
      <c r="A359" s="54"/>
      <c r="B359" s="110">
        <v>45878.0</v>
      </c>
      <c r="C359" s="321" t="s">
        <v>123</v>
      </c>
      <c r="D359" s="321" t="s">
        <v>161</v>
      </c>
      <c r="E359" s="100">
        <v>1552738.0</v>
      </c>
      <c r="F359" s="99">
        <f t="shared" si="55"/>
        <v>779</v>
      </c>
      <c r="G359" s="100">
        <v>542.0</v>
      </c>
      <c r="H359" s="101">
        <v>209.0</v>
      </c>
      <c r="I359" s="101">
        <v>220.0</v>
      </c>
      <c r="J359" s="102">
        <f t="shared" si="53"/>
        <v>-11</v>
      </c>
      <c r="K359" s="103">
        <f t="shared" si="54"/>
        <v>28.24133504</v>
      </c>
      <c r="L359" s="54"/>
      <c r="M359" s="54"/>
      <c r="N359" s="54"/>
      <c r="O359" s="54"/>
      <c r="R359" s="249"/>
      <c r="S359" s="54"/>
      <c r="T359" s="54"/>
      <c r="U359" s="54"/>
      <c r="V359" s="54"/>
      <c r="W359" s="54"/>
      <c r="X359" s="54"/>
      <c r="Y359" s="54"/>
      <c r="Z359" s="54"/>
      <c r="AA359" s="54"/>
      <c r="AB359" s="287"/>
      <c r="AC359" s="54"/>
      <c r="AD359" s="54"/>
      <c r="AE359" s="54"/>
    </row>
    <row r="360">
      <c r="A360" s="54"/>
      <c r="B360" s="110">
        <v>45879.0</v>
      </c>
      <c r="C360" s="321" t="s">
        <v>123</v>
      </c>
      <c r="D360" s="321" t="s">
        <v>161</v>
      </c>
      <c r="E360" s="100">
        <v>1553495.0</v>
      </c>
      <c r="F360" s="99">
        <f t="shared" si="55"/>
        <v>757</v>
      </c>
      <c r="G360" s="100">
        <v>537.0</v>
      </c>
      <c r="H360" s="101">
        <v>199.0</v>
      </c>
      <c r="I360" s="102">
        <f>140.31--70.16</f>
        <v>210.47</v>
      </c>
      <c r="J360" s="102">
        <f t="shared" si="53"/>
        <v>-11.47</v>
      </c>
      <c r="K360" s="103">
        <f t="shared" si="54"/>
        <v>27.80317041</v>
      </c>
      <c r="L360" s="54"/>
      <c r="M360" s="54"/>
      <c r="N360" s="54"/>
      <c r="O360" s="54"/>
      <c r="R360" s="249"/>
      <c r="S360" s="54"/>
      <c r="T360" s="54"/>
      <c r="U360" s="54"/>
      <c r="V360" s="54"/>
      <c r="W360" s="54"/>
      <c r="X360" s="54"/>
      <c r="Y360" s="54"/>
      <c r="Z360" s="54"/>
      <c r="AA360" s="54"/>
      <c r="AB360" s="287"/>
      <c r="AC360" s="54"/>
      <c r="AD360" s="54"/>
      <c r="AE360" s="54"/>
    </row>
    <row r="361">
      <c r="A361" s="54"/>
      <c r="B361" s="110">
        <v>45886.0</v>
      </c>
      <c r="C361" s="321" t="s">
        <v>123</v>
      </c>
      <c r="D361" s="321" t="s">
        <v>161</v>
      </c>
      <c r="E361" s="100">
        <v>1554362.0</v>
      </c>
      <c r="F361" s="99">
        <f t="shared" si="55"/>
        <v>867</v>
      </c>
      <c r="G361" s="100">
        <v>547.0</v>
      </c>
      <c r="H361" s="101">
        <v>219.0</v>
      </c>
      <c r="I361" s="101">
        <v>230.0</v>
      </c>
      <c r="J361" s="102">
        <f t="shared" si="53"/>
        <v>-11</v>
      </c>
      <c r="K361" s="103">
        <f t="shared" si="54"/>
        <v>26.52825836</v>
      </c>
      <c r="L361" s="54"/>
      <c r="M361" s="54"/>
      <c r="N361" s="54"/>
      <c r="O361" s="54"/>
      <c r="R361" s="249"/>
      <c r="S361" s="54"/>
      <c r="T361" s="54"/>
      <c r="U361" s="54"/>
      <c r="V361" s="54"/>
      <c r="W361" s="54"/>
      <c r="X361" s="54"/>
      <c r="Y361" s="54"/>
      <c r="Z361" s="54"/>
      <c r="AA361" s="54"/>
      <c r="AB361" s="287"/>
      <c r="AC361" s="54"/>
      <c r="AD361" s="54"/>
      <c r="AE361" s="54"/>
    </row>
    <row r="362">
      <c r="A362" s="54"/>
      <c r="B362" s="110">
        <v>45887.0</v>
      </c>
      <c r="C362" s="321" t="s">
        <v>123</v>
      </c>
      <c r="D362" s="321" t="s">
        <v>161</v>
      </c>
      <c r="E362" s="100">
        <v>1555162.0</v>
      </c>
      <c r="F362" s="99">
        <f t="shared" si="55"/>
        <v>800</v>
      </c>
      <c r="G362" s="100">
        <v>545.0</v>
      </c>
      <c r="H362" s="101">
        <v>209.0</v>
      </c>
      <c r="I362" s="102">
        <f>140.31--80</f>
        <v>220.31</v>
      </c>
      <c r="J362" s="102">
        <f t="shared" si="53"/>
        <v>-11.31</v>
      </c>
      <c r="K362" s="103">
        <f t="shared" si="54"/>
        <v>27.53875</v>
      </c>
      <c r="L362" s="54"/>
      <c r="M362" s="54"/>
      <c r="N362" s="54"/>
      <c r="O362" s="54"/>
      <c r="R362" s="249"/>
      <c r="S362" s="54"/>
      <c r="T362" s="54"/>
      <c r="U362" s="54"/>
      <c r="V362" s="54"/>
      <c r="W362" s="54"/>
      <c r="X362" s="54"/>
      <c r="Y362" s="54"/>
      <c r="Z362" s="54"/>
      <c r="AA362" s="54"/>
      <c r="AB362" s="287"/>
      <c r="AC362" s="54"/>
      <c r="AD362" s="54"/>
      <c r="AE362" s="54"/>
    </row>
    <row r="363">
      <c r="A363" s="54"/>
      <c r="B363" s="110">
        <v>45888.0</v>
      </c>
      <c r="C363" s="321" t="s">
        <v>123</v>
      </c>
      <c r="D363" s="321" t="s">
        <v>161</v>
      </c>
      <c r="E363" s="100">
        <v>1555943.0</v>
      </c>
      <c r="F363" s="99">
        <f t="shared" si="55"/>
        <v>781</v>
      </c>
      <c r="G363" s="100">
        <v>552.0</v>
      </c>
      <c r="H363" s="101">
        <v>209.0</v>
      </c>
      <c r="I363" s="101">
        <v>220.0</v>
      </c>
      <c r="J363" s="102">
        <f t="shared" si="53"/>
        <v>-11</v>
      </c>
      <c r="K363" s="103">
        <f t="shared" si="54"/>
        <v>28.16901408</v>
      </c>
      <c r="L363" s="54"/>
      <c r="M363" s="54"/>
      <c r="N363" s="54"/>
      <c r="O363" s="54"/>
      <c r="R363" s="249"/>
      <c r="S363" s="54"/>
      <c r="T363" s="54"/>
      <c r="U363" s="54"/>
      <c r="V363" s="54"/>
      <c r="W363" s="54"/>
      <c r="X363" s="54"/>
      <c r="Y363" s="54"/>
      <c r="Z363" s="54"/>
      <c r="AA363" s="54"/>
      <c r="AB363" s="287"/>
      <c r="AC363" s="54"/>
      <c r="AD363" s="54"/>
      <c r="AE363" s="54"/>
    </row>
    <row r="364">
      <c r="A364" s="54"/>
      <c r="B364" s="110">
        <v>45889.0</v>
      </c>
      <c r="C364" s="321" t="s">
        <v>123</v>
      </c>
      <c r="D364" s="321" t="s">
        <v>161</v>
      </c>
      <c r="E364" s="100">
        <v>1556697.0</v>
      </c>
      <c r="F364" s="99">
        <f t="shared" si="55"/>
        <v>754</v>
      </c>
      <c r="G364" s="100">
        <v>539.0</v>
      </c>
      <c r="H364" s="101">
        <v>189.0</v>
      </c>
      <c r="I364" s="102">
        <f>140.31--59.49</f>
        <v>199.8</v>
      </c>
      <c r="J364" s="102">
        <f t="shared" si="53"/>
        <v>-10.8</v>
      </c>
      <c r="K364" s="103">
        <f t="shared" si="54"/>
        <v>26.49867374</v>
      </c>
      <c r="L364" s="54"/>
      <c r="M364" s="54"/>
      <c r="N364" s="54"/>
      <c r="O364" s="54"/>
      <c r="R364" s="249"/>
      <c r="S364" s="54"/>
      <c r="T364" s="54"/>
      <c r="U364" s="54"/>
      <c r="V364" s="54"/>
      <c r="W364" s="54"/>
      <c r="X364" s="54"/>
      <c r="Y364" s="54"/>
      <c r="Z364" s="54"/>
      <c r="AA364" s="54"/>
      <c r="AB364" s="287"/>
      <c r="AC364" s="54"/>
      <c r="AD364" s="54"/>
      <c r="AE364" s="54"/>
    </row>
    <row r="365">
      <c r="A365" s="54"/>
      <c r="B365" s="110">
        <v>45890.0</v>
      </c>
      <c r="C365" s="321" t="s">
        <v>123</v>
      </c>
      <c r="D365" s="321" t="s">
        <v>161</v>
      </c>
      <c r="E365" s="100">
        <v>1557479.0</v>
      </c>
      <c r="F365" s="99">
        <f t="shared" si="55"/>
        <v>782</v>
      </c>
      <c r="G365" s="100">
        <v>538.0</v>
      </c>
      <c r="H365" s="101">
        <v>206.0</v>
      </c>
      <c r="I365" s="101">
        <v>220.0</v>
      </c>
      <c r="J365" s="102">
        <f t="shared" si="53"/>
        <v>-14</v>
      </c>
      <c r="K365" s="103">
        <f t="shared" si="54"/>
        <v>28.13299233</v>
      </c>
      <c r="L365" s="54"/>
      <c r="M365" s="54"/>
      <c r="N365" s="54"/>
      <c r="O365" s="54"/>
      <c r="R365" s="249"/>
      <c r="S365" s="54"/>
      <c r="T365" s="54"/>
      <c r="U365" s="54"/>
      <c r="V365" s="54"/>
      <c r="W365" s="54"/>
      <c r="X365" s="54"/>
      <c r="Y365" s="54"/>
      <c r="Z365" s="54"/>
      <c r="AA365" s="54"/>
      <c r="AB365" s="287"/>
      <c r="AC365" s="54"/>
      <c r="AD365" s="54"/>
      <c r="AE365" s="54"/>
    </row>
    <row r="366">
      <c r="A366" s="54"/>
      <c r="B366" s="110">
        <v>45891.0</v>
      </c>
      <c r="C366" s="321" t="s">
        <v>123</v>
      </c>
      <c r="D366" s="321" t="s">
        <v>161</v>
      </c>
      <c r="E366" s="100">
        <v>1558233.0</v>
      </c>
      <c r="F366" s="99">
        <f t="shared" si="55"/>
        <v>754</v>
      </c>
      <c r="G366" s="100">
        <v>538.0</v>
      </c>
      <c r="H366" s="101">
        <v>189.0</v>
      </c>
      <c r="I366" s="102">
        <f>140.31--59.65</f>
        <v>199.96</v>
      </c>
      <c r="J366" s="102">
        <f t="shared" si="53"/>
        <v>-10.96</v>
      </c>
      <c r="K366" s="103">
        <f t="shared" si="54"/>
        <v>26.5198939</v>
      </c>
      <c r="L366" s="54"/>
      <c r="M366" s="54"/>
      <c r="N366" s="54"/>
      <c r="O366" s="54"/>
      <c r="R366" s="249"/>
      <c r="S366" s="54"/>
      <c r="T366" s="54"/>
      <c r="U366" s="54"/>
      <c r="V366" s="54"/>
      <c r="W366" s="54"/>
      <c r="X366" s="54"/>
      <c r="Y366" s="54"/>
      <c r="Z366" s="54"/>
      <c r="AA366" s="54"/>
      <c r="AB366" s="287"/>
      <c r="AC366" s="54"/>
      <c r="AD366" s="54"/>
      <c r="AE366" s="54"/>
    </row>
    <row r="367">
      <c r="A367" s="54"/>
      <c r="B367" s="110">
        <v>45893.0</v>
      </c>
      <c r="C367" s="321" t="s">
        <v>123</v>
      </c>
      <c r="D367" s="321" t="s">
        <v>161</v>
      </c>
      <c r="E367" s="100">
        <v>1559015.0</v>
      </c>
      <c r="F367" s="99">
        <f t="shared" si="55"/>
        <v>782</v>
      </c>
      <c r="G367" s="100">
        <v>540.0</v>
      </c>
      <c r="H367" s="101">
        <v>206.0</v>
      </c>
      <c r="I367" s="101">
        <v>220.0</v>
      </c>
      <c r="J367" s="102">
        <f t="shared" si="53"/>
        <v>-14</v>
      </c>
      <c r="K367" s="103">
        <f t="shared" si="54"/>
        <v>28.13299233</v>
      </c>
      <c r="L367" s="54"/>
      <c r="M367" s="54"/>
      <c r="N367" s="54"/>
      <c r="O367" s="54"/>
      <c r="R367" s="249"/>
      <c r="S367" s="54"/>
      <c r="T367" s="54"/>
      <c r="U367" s="54"/>
      <c r="V367" s="54"/>
      <c r="W367" s="54"/>
      <c r="X367" s="54"/>
      <c r="Y367" s="54"/>
      <c r="Z367" s="54"/>
      <c r="AA367" s="54"/>
      <c r="AB367" s="287"/>
      <c r="AC367" s="54"/>
      <c r="AD367" s="54"/>
      <c r="AE367" s="54"/>
    </row>
    <row r="368">
      <c r="A368" s="54"/>
      <c r="B368" s="110">
        <v>45894.0</v>
      </c>
      <c r="C368" s="321" t="s">
        <v>123</v>
      </c>
      <c r="D368" s="321" t="s">
        <v>161</v>
      </c>
      <c r="E368" s="100">
        <v>1559769.0</v>
      </c>
      <c r="F368" s="99">
        <f t="shared" si="55"/>
        <v>754</v>
      </c>
      <c r="G368" s="100">
        <v>541.0</v>
      </c>
      <c r="H368" s="101">
        <v>180.0</v>
      </c>
      <c r="I368" s="102">
        <f>140.31--50.21</f>
        <v>190.52</v>
      </c>
      <c r="J368" s="102">
        <f t="shared" si="53"/>
        <v>-10.52</v>
      </c>
      <c r="K368" s="103">
        <f t="shared" si="54"/>
        <v>25.26790451</v>
      </c>
      <c r="L368" s="54"/>
      <c r="M368" s="54"/>
      <c r="N368" s="54"/>
      <c r="O368" s="54"/>
      <c r="R368" s="249"/>
      <c r="S368" s="54"/>
      <c r="T368" s="54"/>
      <c r="U368" s="54"/>
      <c r="V368" s="54"/>
      <c r="W368" s="54"/>
      <c r="X368" s="54"/>
      <c r="Y368" s="54"/>
      <c r="Z368" s="54"/>
      <c r="AA368" s="54"/>
      <c r="AB368" s="287"/>
      <c r="AC368" s="54"/>
      <c r="AD368" s="54"/>
      <c r="AE368" s="54"/>
    </row>
    <row r="369">
      <c r="A369" s="54"/>
      <c r="B369" s="110">
        <v>45895.0</v>
      </c>
      <c r="C369" s="321" t="s">
        <v>123</v>
      </c>
      <c r="D369" s="321" t="s">
        <v>161</v>
      </c>
      <c r="E369" s="100">
        <v>1560554.0</v>
      </c>
      <c r="F369" s="99">
        <f t="shared" si="55"/>
        <v>785</v>
      </c>
      <c r="G369" s="100">
        <v>537.0</v>
      </c>
      <c r="H369" s="101">
        <v>206.0</v>
      </c>
      <c r="I369" s="101">
        <v>220.0</v>
      </c>
      <c r="J369" s="102">
        <f t="shared" si="53"/>
        <v>-14</v>
      </c>
      <c r="K369" s="103">
        <f t="shared" si="54"/>
        <v>28.02547771</v>
      </c>
      <c r="L369" s="54"/>
      <c r="M369" s="54"/>
      <c r="N369" s="54"/>
      <c r="O369" s="54"/>
      <c r="R369" s="249"/>
      <c r="S369" s="54"/>
      <c r="T369" s="54"/>
      <c r="U369" s="54"/>
      <c r="V369" s="54"/>
      <c r="W369" s="54"/>
      <c r="X369" s="54"/>
      <c r="Y369" s="54"/>
      <c r="Z369" s="54"/>
      <c r="AA369" s="54"/>
      <c r="AB369" s="287"/>
      <c r="AC369" s="54"/>
      <c r="AD369" s="54"/>
      <c r="AE369" s="54"/>
    </row>
    <row r="370">
      <c r="A370" s="54"/>
      <c r="B370" s="110">
        <v>45896.0</v>
      </c>
      <c r="C370" s="321" t="s">
        <v>123</v>
      </c>
      <c r="D370" s="321" t="s">
        <v>161</v>
      </c>
      <c r="E370" s="100">
        <v>1561310.0</v>
      </c>
      <c r="F370" s="99">
        <f t="shared" si="55"/>
        <v>756</v>
      </c>
      <c r="G370" s="100">
        <v>541.0</v>
      </c>
      <c r="H370" s="101">
        <v>198.0</v>
      </c>
      <c r="I370" s="102">
        <f>140.31--69.83</f>
        <v>210.14</v>
      </c>
      <c r="J370" s="102">
        <f t="shared" si="53"/>
        <v>-12.14</v>
      </c>
      <c r="K370" s="103">
        <f t="shared" si="54"/>
        <v>27.7962963</v>
      </c>
      <c r="L370" s="54"/>
      <c r="M370" s="54"/>
      <c r="N370" s="54"/>
      <c r="O370" s="54"/>
      <c r="R370" s="249"/>
      <c r="S370" s="54"/>
      <c r="T370" s="54"/>
      <c r="U370" s="54"/>
      <c r="V370" s="54"/>
      <c r="W370" s="54"/>
      <c r="X370" s="54"/>
      <c r="Y370" s="54"/>
      <c r="Z370" s="54"/>
      <c r="AA370" s="54"/>
      <c r="AB370" s="287"/>
      <c r="AC370" s="54"/>
      <c r="AD370" s="54"/>
      <c r="AE370" s="54"/>
    </row>
    <row r="371">
      <c r="A371" s="54"/>
      <c r="B371" s="110">
        <v>45897.0</v>
      </c>
      <c r="C371" s="321" t="s">
        <v>123</v>
      </c>
      <c r="D371" s="321" t="s">
        <v>161</v>
      </c>
      <c r="E371" s="100">
        <v>1562092.0</v>
      </c>
      <c r="F371" s="99">
        <f t="shared" si="55"/>
        <v>782</v>
      </c>
      <c r="G371" s="100">
        <v>541.0</v>
      </c>
      <c r="H371" s="101">
        <v>205.0</v>
      </c>
      <c r="I371" s="101">
        <v>220.0</v>
      </c>
      <c r="J371" s="102">
        <f t="shared" si="53"/>
        <v>-15</v>
      </c>
      <c r="K371" s="103">
        <f t="shared" si="54"/>
        <v>28.13299233</v>
      </c>
      <c r="L371" s="54"/>
      <c r="M371" s="54"/>
      <c r="N371" s="54"/>
      <c r="O371" s="54"/>
      <c r="R371" s="249"/>
      <c r="S371" s="54"/>
      <c r="T371" s="54"/>
      <c r="U371" s="54"/>
      <c r="V371" s="54"/>
      <c r="W371" s="54"/>
      <c r="X371" s="54"/>
      <c r="Y371" s="54"/>
      <c r="Z371" s="54"/>
      <c r="AA371" s="54"/>
      <c r="AB371" s="287"/>
      <c r="AC371" s="54"/>
      <c r="AD371" s="54"/>
      <c r="AE371" s="54"/>
    </row>
    <row r="372">
      <c r="A372" s="54"/>
      <c r="B372" s="110">
        <v>45898.0</v>
      </c>
      <c r="C372" s="321" t="s">
        <v>123</v>
      </c>
      <c r="D372" s="321" t="s">
        <v>161</v>
      </c>
      <c r="E372" s="100">
        <v>1562847.0</v>
      </c>
      <c r="F372" s="99">
        <f t="shared" si="55"/>
        <v>755</v>
      </c>
      <c r="G372" s="100">
        <v>537.0</v>
      </c>
      <c r="H372" s="101">
        <v>190.0</v>
      </c>
      <c r="I372" s="102">
        <f>140.31--59.32</f>
        <v>199.63</v>
      </c>
      <c r="J372" s="102">
        <f t="shared" si="53"/>
        <v>-9.63</v>
      </c>
      <c r="K372" s="103">
        <f t="shared" si="54"/>
        <v>26.4410596</v>
      </c>
      <c r="L372" s="54"/>
      <c r="M372" s="54"/>
      <c r="N372" s="54"/>
      <c r="O372" s="54"/>
      <c r="R372" s="249"/>
      <c r="S372" s="54"/>
      <c r="T372" s="54"/>
      <c r="U372" s="54"/>
      <c r="V372" s="54"/>
      <c r="W372" s="54"/>
      <c r="X372" s="54"/>
      <c r="Y372" s="54"/>
      <c r="Z372" s="54"/>
      <c r="AA372" s="54"/>
      <c r="AB372" s="287"/>
      <c r="AC372" s="54"/>
      <c r="AD372" s="54"/>
      <c r="AE372" s="54"/>
    </row>
    <row r="373">
      <c r="A373" s="54"/>
      <c r="B373" s="110">
        <v>45900.0</v>
      </c>
      <c r="C373" s="321" t="s">
        <v>123</v>
      </c>
      <c r="D373" s="321" t="s">
        <v>161</v>
      </c>
      <c r="E373" s="100">
        <v>1563799.0</v>
      </c>
      <c r="F373" s="99">
        <f t="shared" si="55"/>
        <v>952</v>
      </c>
      <c r="G373" s="100">
        <v>506.0</v>
      </c>
      <c r="H373" s="101">
        <v>222.0</v>
      </c>
      <c r="I373" s="101">
        <v>240.0</v>
      </c>
      <c r="J373" s="102">
        <f t="shared" si="53"/>
        <v>-18</v>
      </c>
      <c r="K373" s="103">
        <f t="shared" si="54"/>
        <v>25.21008403</v>
      </c>
      <c r="L373" s="54"/>
      <c r="M373" s="54"/>
      <c r="N373" s="54"/>
      <c r="O373" s="54"/>
      <c r="R373" s="249"/>
      <c r="S373" s="54"/>
      <c r="T373" s="54"/>
      <c r="U373" s="54"/>
      <c r="V373" s="54"/>
      <c r="W373" s="54"/>
      <c r="X373" s="54"/>
      <c r="Y373" s="54"/>
      <c r="Z373" s="54"/>
      <c r="AA373" s="54"/>
      <c r="AB373" s="287"/>
      <c r="AC373" s="54"/>
      <c r="AD373" s="54"/>
      <c r="AE373" s="54"/>
    </row>
    <row r="374">
      <c r="A374" s="89"/>
      <c r="B374" s="203" t="str">
        <f>IF(L374=4,"АПРЕЛЬ",IF(L374=5,"МАЙ",IF(L374=1,"ЯНВАРЬ",IF(L374=2,"ФЕВРАЛЬ",IF(L374=3,"МАРТ",IF(L374=6,"ИЮНЬ",IF(L374=7,"ИЮЛЬ",IF(L374=8,"АВГУСТ",IF(L374=9,"СЕНТЯБРЬ",IF(L374=10,"ОКТЯБРЬ",IF(L374=11,"НОЯБРЬ",IF(L374=12,"ДЕКАБРЬ"))))))))))))</f>
        <v>СЕНТЯБРЬ</v>
      </c>
      <c r="J374" s="89"/>
      <c r="K374" s="90"/>
      <c r="L374" s="91">
        <f>MONTH(B375)</f>
        <v>9</v>
      </c>
      <c r="M374" s="89"/>
      <c r="N374" s="89"/>
      <c r="O374" s="89"/>
      <c r="P374" s="89"/>
      <c r="Q374" s="89"/>
      <c r="R374" s="241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301"/>
      <c r="AD374" s="56"/>
      <c r="AE374" s="56"/>
    </row>
    <row r="375">
      <c r="A375" s="54"/>
      <c r="B375" s="110">
        <v>45901.0</v>
      </c>
      <c r="C375" s="321" t="s">
        <v>123</v>
      </c>
      <c r="D375" s="321" t="s">
        <v>161</v>
      </c>
      <c r="E375" s="100">
        <v>1564554.0</v>
      </c>
      <c r="F375" s="99">
        <f>E375-E373</f>
        <v>755</v>
      </c>
      <c r="G375" s="100">
        <v>544.0</v>
      </c>
      <c r="H375" s="101">
        <v>236.0</v>
      </c>
      <c r="I375" s="102">
        <f>140.31--110.1</f>
        <v>250.41</v>
      </c>
      <c r="J375" s="102">
        <f t="shared" ref="J375:J400" si="56">H375-I375</f>
        <v>-14.41</v>
      </c>
      <c r="K375" s="103">
        <f t="shared" ref="K375:K400" si="57">I375/F375*100</f>
        <v>33.16688742</v>
      </c>
      <c r="L375" s="54"/>
      <c r="M375" s="82" t="str">
        <f>"тотал"&amp;" "&amp;B374&amp;" "&amp;RIGHT(YEAR(B375),2)</f>
        <v>тотал СЕНТЯБРЬ 25</v>
      </c>
      <c r="N375" s="75"/>
      <c r="O375" s="75"/>
      <c r="P375" s="75"/>
      <c r="Q375" s="76"/>
      <c r="R375" s="249"/>
      <c r="S375" s="54"/>
      <c r="T375" s="54"/>
      <c r="U375" s="54"/>
      <c r="V375" s="54"/>
      <c r="W375" s="54"/>
      <c r="X375" s="54"/>
      <c r="Y375" s="54"/>
      <c r="Z375" s="54"/>
      <c r="AA375" s="54"/>
      <c r="AB375" s="287"/>
      <c r="AC375" s="54"/>
      <c r="AD375" s="54"/>
      <c r="AE375" s="54"/>
    </row>
    <row r="376">
      <c r="A376" s="54"/>
      <c r="B376" s="110">
        <v>45902.0</v>
      </c>
      <c r="C376" s="321" t="s">
        <v>123</v>
      </c>
      <c r="D376" s="321" t="s">
        <v>161</v>
      </c>
      <c r="E376" s="100">
        <v>1565335.0</v>
      </c>
      <c r="F376" s="99">
        <f t="shared" ref="F376:F400" si="58">E376-E375</f>
        <v>781</v>
      </c>
      <c r="G376" s="100">
        <v>557.0</v>
      </c>
      <c r="H376" s="101">
        <v>211.0</v>
      </c>
      <c r="I376" s="101">
        <v>220.0</v>
      </c>
      <c r="J376" s="102">
        <f t="shared" si="56"/>
        <v>-9</v>
      </c>
      <c r="K376" s="103">
        <f t="shared" si="57"/>
        <v>28.16901408</v>
      </c>
      <c r="L376" s="54"/>
      <c r="M376" s="83" t="s">
        <v>70</v>
      </c>
      <c r="N376" s="83" t="s">
        <v>71</v>
      </c>
      <c r="O376" s="83" t="s">
        <v>27</v>
      </c>
      <c r="P376" s="77" t="s">
        <v>28</v>
      </c>
      <c r="Q376" s="12" t="s">
        <v>78</v>
      </c>
      <c r="R376" s="249"/>
      <c r="S376" s="54"/>
      <c r="T376" s="54"/>
      <c r="U376" s="54"/>
      <c r="V376" s="54"/>
      <c r="W376" s="54"/>
      <c r="X376" s="54"/>
      <c r="Y376" s="54"/>
      <c r="Z376" s="54"/>
      <c r="AA376" s="54"/>
      <c r="AB376" s="287"/>
      <c r="AC376" s="54"/>
      <c r="AD376" s="54"/>
      <c r="AE376" s="54"/>
    </row>
    <row r="377">
      <c r="A377" s="54"/>
      <c r="B377" s="110">
        <v>45903.0</v>
      </c>
      <c r="C377" s="321" t="s">
        <v>123</v>
      </c>
      <c r="D377" s="321" t="s">
        <v>161</v>
      </c>
      <c r="E377" s="100">
        <v>1566091.0</v>
      </c>
      <c r="F377" s="99">
        <f t="shared" si="58"/>
        <v>756</v>
      </c>
      <c r="G377" s="100">
        <v>539.0</v>
      </c>
      <c r="H377" s="101">
        <v>191.0</v>
      </c>
      <c r="I377" s="102">
        <f>140.31--59.03</f>
        <v>199.34</v>
      </c>
      <c r="J377" s="102">
        <f t="shared" si="56"/>
        <v>-8.34</v>
      </c>
      <c r="K377" s="103">
        <f t="shared" si="57"/>
        <v>26.36772487</v>
      </c>
      <c r="L377" s="54"/>
      <c r="M377" s="84">
        <f>SUM(F375:F400)</f>
        <v>20329</v>
      </c>
      <c r="N377" s="84">
        <f>SUM(I375:I400)</f>
        <v>5692.77</v>
      </c>
      <c r="O377" s="85">
        <f>N377/M377*100</f>
        <v>28.0031974</v>
      </c>
      <c r="P377" s="79">
        <f>(M377/100)*(O377-Q377)</f>
        <v>0.65</v>
      </c>
      <c r="Q377" s="78">
        <v>28.0</v>
      </c>
      <c r="R377" s="249"/>
      <c r="S377" s="54"/>
      <c r="T377" s="54"/>
      <c r="U377" s="54"/>
      <c r="V377" s="54"/>
      <c r="W377" s="54"/>
      <c r="X377" s="54"/>
      <c r="Y377" s="54"/>
      <c r="Z377" s="54"/>
      <c r="AA377" s="54"/>
      <c r="AB377" s="287"/>
      <c r="AC377" s="54"/>
      <c r="AD377" s="54"/>
      <c r="AE377" s="54"/>
    </row>
    <row r="378">
      <c r="A378" s="54"/>
      <c r="B378" s="110">
        <v>45904.0</v>
      </c>
      <c r="C378" s="321" t="s">
        <v>123</v>
      </c>
      <c r="D378" s="321" t="s">
        <v>161</v>
      </c>
      <c r="E378" s="100">
        <v>1566872.0</v>
      </c>
      <c r="F378" s="99">
        <f t="shared" si="58"/>
        <v>781</v>
      </c>
      <c r="G378" s="100">
        <v>543.0</v>
      </c>
      <c r="H378" s="101">
        <v>207.0</v>
      </c>
      <c r="I378" s="101">
        <v>220.0</v>
      </c>
      <c r="J378" s="102">
        <f t="shared" si="56"/>
        <v>-13</v>
      </c>
      <c r="K378" s="103">
        <f t="shared" si="57"/>
        <v>28.16901408</v>
      </c>
      <c r="L378" s="54"/>
      <c r="M378" s="54"/>
      <c r="N378" s="54"/>
      <c r="O378" s="54"/>
      <c r="R378" s="249"/>
      <c r="S378" s="54"/>
      <c r="T378" s="54"/>
      <c r="U378" s="54"/>
      <c r="V378" s="54"/>
      <c r="W378" s="54"/>
      <c r="X378" s="54"/>
      <c r="Y378" s="54"/>
      <c r="Z378" s="54"/>
      <c r="AA378" s="54"/>
      <c r="AB378" s="287"/>
      <c r="AC378" s="54"/>
      <c r="AD378" s="54"/>
      <c r="AE378" s="54"/>
    </row>
    <row r="379">
      <c r="A379" s="54"/>
      <c r="B379" s="110">
        <v>45905.0</v>
      </c>
      <c r="C379" s="321" t="s">
        <v>123</v>
      </c>
      <c r="D379" s="321" t="s">
        <v>161</v>
      </c>
      <c r="E379" s="100">
        <v>1567627.0</v>
      </c>
      <c r="F379" s="99">
        <f t="shared" si="58"/>
        <v>755</v>
      </c>
      <c r="G379" s="100">
        <v>546.0</v>
      </c>
      <c r="H379" s="101">
        <v>198.0</v>
      </c>
      <c r="I379" s="102">
        <f>140.31--66.27</f>
        <v>206.58</v>
      </c>
      <c r="J379" s="102">
        <f t="shared" si="56"/>
        <v>-8.58</v>
      </c>
      <c r="K379" s="103">
        <f t="shared" si="57"/>
        <v>27.3615894</v>
      </c>
      <c r="L379" s="54"/>
      <c r="M379" s="54"/>
      <c r="N379" s="54"/>
      <c r="O379" s="54"/>
      <c r="R379" s="249"/>
      <c r="S379" s="54"/>
      <c r="T379" s="54"/>
      <c r="U379" s="54"/>
      <c r="V379" s="54"/>
      <c r="W379" s="54"/>
      <c r="X379" s="54"/>
      <c r="Y379" s="54"/>
      <c r="Z379" s="54"/>
      <c r="AA379" s="54"/>
      <c r="AB379" s="287"/>
      <c r="AC379" s="54"/>
      <c r="AD379" s="54"/>
      <c r="AE379" s="54"/>
    </row>
    <row r="380">
      <c r="A380" s="54"/>
      <c r="B380" s="110">
        <v>45907.0</v>
      </c>
      <c r="C380" s="321" t="s">
        <v>123</v>
      </c>
      <c r="D380" s="321" t="s">
        <v>161</v>
      </c>
      <c r="E380" s="100">
        <v>1568409.0</v>
      </c>
      <c r="F380" s="99">
        <f t="shared" si="58"/>
        <v>782</v>
      </c>
      <c r="G380" s="100">
        <v>540.0</v>
      </c>
      <c r="H380" s="101">
        <v>198.0</v>
      </c>
      <c r="I380" s="101">
        <v>210.0</v>
      </c>
      <c r="J380" s="102">
        <f t="shared" si="56"/>
        <v>-12</v>
      </c>
      <c r="K380" s="103">
        <f t="shared" si="57"/>
        <v>26.85421995</v>
      </c>
      <c r="L380" s="54"/>
      <c r="M380" s="54"/>
      <c r="N380" s="54"/>
      <c r="O380" s="54"/>
      <c r="R380" s="249"/>
      <c r="S380" s="54"/>
      <c r="T380" s="54"/>
      <c r="U380" s="54"/>
      <c r="V380" s="54"/>
      <c r="W380" s="54"/>
      <c r="X380" s="54"/>
      <c r="Y380" s="54"/>
      <c r="Z380" s="54"/>
      <c r="AA380" s="54"/>
      <c r="AB380" s="287"/>
      <c r="AC380" s="54"/>
      <c r="AD380" s="54"/>
      <c r="AE380" s="54"/>
    </row>
    <row r="381">
      <c r="A381" s="54"/>
      <c r="B381" s="110">
        <v>45908.0</v>
      </c>
      <c r="C381" s="321" t="s">
        <v>123</v>
      </c>
      <c r="D381" s="321" t="s">
        <v>161</v>
      </c>
      <c r="E381" s="100">
        <v>1569163.0</v>
      </c>
      <c r="F381" s="99">
        <f t="shared" si="58"/>
        <v>754</v>
      </c>
      <c r="G381" s="100">
        <v>537.0</v>
      </c>
      <c r="H381" s="101">
        <v>189.0</v>
      </c>
      <c r="I381" s="102">
        <f>140.31--59.34</f>
        <v>199.65</v>
      </c>
      <c r="J381" s="102">
        <f t="shared" si="56"/>
        <v>-10.65</v>
      </c>
      <c r="K381" s="103">
        <f t="shared" si="57"/>
        <v>26.47877984</v>
      </c>
      <c r="L381" s="54"/>
      <c r="M381" s="54"/>
      <c r="N381" s="54"/>
      <c r="O381" s="54"/>
      <c r="R381" s="249"/>
      <c r="S381" s="54"/>
      <c r="T381" s="54"/>
      <c r="U381" s="54"/>
      <c r="V381" s="54"/>
      <c r="W381" s="54"/>
      <c r="X381" s="54"/>
      <c r="Y381" s="54"/>
      <c r="Z381" s="54"/>
      <c r="AA381" s="54"/>
      <c r="AB381" s="287"/>
      <c r="AC381" s="54"/>
      <c r="AD381" s="54"/>
      <c r="AE381" s="54"/>
    </row>
    <row r="382">
      <c r="A382" s="54"/>
      <c r="B382" s="110">
        <v>45909.0</v>
      </c>
      <c r="C382" s="321" t="s">
        <v>123</v>
      </c>
      <c r="D382" s="321" t="s">
        <v>161</v>
      </c>
      <c r="E382" s="100">
        <v>1569944.0</v>
      </c>
      <c r="F382" s="99">
        <f t="shared" si="58"/>
        <v>781</v>
      </c>
      <c r="G382" s="100">
        <v>533.0</v>
      </c>
      <c r="H382" s="101">
        <v>195.0</v>
      </c>
      <c r="I382" s="101">
        <v>210.0</v>
      </c>
      <c r="J382" s="102">
        <f t="shared" si="56"/>
        <v>-15</v>
      </c>
      <c r="K382" s="103">
        <f t="shared" si="57"/>
        <v>26.88860435</v>
      </c>
      <c r="L382" s="54"/>
      <c r="M382" s="54"/>
      <c r="N382" s="54"/>
      <c r="O382" s="54"/>
      <c r="R382" s="249"/>
      <c r="S382" s="54"/>
      <c r="T382" s="54"/>
      <c r="U382" s="54"/>
      <c r="V382" s="54"/>
      <c r="W382" s="54"/>
      <c r="X382" s="54"/>
      <c r="Y382" s="54"/>
      <c r="Z382" s="54"/>
      <c r="AA382" s="54"/>
      <c r="AB382" s="287"/>
      <c r="AC382" s="54"/>
      <c r="AD382" s="54"/>
      <c r="AE382" s="54"/>
    </row>
    <row r="383">
      <c r="A383" s="54"/>
      <c r="B383" s="110">
        <v>45910.0</v>
      </c>
      <c r="C383" s="321" t="s">
        <v>123</v>
      </c>
      <c r="D383" s="321" t="s">
        <v>161</v>
      </c>
      <c r="E383" s="100">
        <v>1570700.0</v>
      </c>
      <c r="F383" s="99">
        <f t="shared" si="58"/>
        <v>756</v>
      </c>
      <c r="G383" s="100">
        <v>542.0</v>
      </c>
      <c r="H383" s="101">
        <v>201.0</v>
      </c>
      <c r="I383" s="102">
        <f>140.31--70.97</f>
        <v>211.28</v>
      </c>
      <c r="J383" s="102">
        <f t="shared" si="56"/>
        <v>-10.28</v>
      </c>
      <c r="K383" s="103">
        <f t="shared" si="57"/>
        <v>27.94708995</v>
      </c>
      <c r="L383" s="54"/>
      <c r="M383" s="54"/>
      <c r="N383" s="54"/>
      <c r="O383" s="54"/>
      <c r="R383" s="249"/>
      <c r="S383" s="54"/>
      <c r="T383" s="54"/>
      <c r="U383" s="54"/>
      <c r="V383" s="54"/>
      <c r="W383" s="54"/>
      <c r="X383" s="54"/>
      <c r="Y383" s="54"/>
      <c r="Z383" s="54"/>
      <c r="AA383" s="54"/>
      <c r="AB383" s="287"/>
      <c r="AC383" s="54"/>
      <c r="AD383" s="54"/>
      <c r="AE383" s="54"/>
    </row>
    <row r="384">
      <c r="A384" s="54"/>
      <c r="B384" s="110">
        <v>45911.0</v>
      </c>
      <c r="C384" s="321" t="s">
        <v>123</v>
      </c>
      <c r="D384" s="321" t="s">
        <v>161</v>
      </c>
      <c r="E384" s="100">
        <v>1571482.0</v>
      </c>
      <c r="F384" s="99">
        <f t="shared" si="58"/>
        <v>782</v>
      </c>
      <c r="G384" s="100">
        <v>541.0</v>
      </c>
      <c r="H384" s="101">
        <v>205.0</v>
      </c>
      <c r="I384" s="101">
        <v>220.0</v>
      </c>
      <c r="J384" s="102">
        <f t="shared" si="56"/>
        <v>-15</v>
      </c>
      <c r="K384" s="103">
        <f t="shared" si="57"/>
        <v>28.13299233</v>
      </c>
      <c r="L384" s="54"/>
      <c r="M384" s="54"/>
      <c r="N384" s="54"/>
      <c r="O384" s="54"/>
      <c r="R384" s="249"/>
      <c r="S384" s="54"/>
      <c r="T384" s="54"/>
      <c r="U384" s="54"/>
      <c r="V384" s="54"/>
      <c r="W384" s="54"/>
      <c r="X384" s="54"/>
      <c r="Y384" s="54"/>
      <c r="Z384" s="54"/>
      <c r="AA384" s="54"/>
      <c r="AB384" s="287"/>
      <c r="AC384" s="54"/>
      <c r="AD384" s="54"/>
      <c r="AE384" s="54"/>
    </row>
    <row r="385">
      <c r="A385" s="54"/>
      <c r="B385" s="110">
        <v>45912.0</v>
      </c>
      <c r="C385" s="321" t="s">
        <v>123</v>
      </c>
      <c r="D385" s="321" t="s">
        <v>161</v>
      </c>
      <c r="E385" s="100">
        <v>1572238.0</v>
      </c>
      <c r="F385" s="99">
        <f t="shared" si="58"/>
        <v>756</v>
      </c>
      <c r="G385" s="100">
        <v>543.0</v>
      </c>
      <c r="H385" s="101">
        <v>201.0</v>
      </c>
      <c r="I385" s="102">
        <f>140.31--69.83</f>
        <v>210.14</v>
      </c>
      <c r="J385" s="102">
        <f t="shared" si="56"/>
        <v>-9.14</v>
      </c>
      <c r="K385" s="103">
        <f t="shared" si="57"/>
        <v>27.7962963</v>
      </c>
      <c r="L385" s="54"/>
      <c r="M385" s="54"/>
      <c r="N385" s="54"/>
      <c r="O385" s="54"/>
      <c r="R385" s="249"/>
      <c r="S385" s="54"/>
      <c r="T385" s="54"/>
      <c r="U385" s="54"/>
      <c r="V385" s="54"/>
      <c r="W385" s="54"/>
      <c r="X385" s="54"/>
      <c r="Y385" s="54"/>
      <c r="Z385" s="54"/>
      <c r="AA385" s="54"/>
      <c r="AB385" s="287"/>
      <c r="AC385" s="54"/>
      <c r="AD385" s="54"/>
      <c r="AE385" s="54"/>
    </row>
    <row r="386">
      <c r="A386" s="54"/>
      <c r="B386" s="110">
        <v>45914.0</v>
      </c>
      <c r="C386" s="338" t="s">
        <v>126</v>
      </c>
      <c r="D386" s="321" t="s">
        <v>161</v>
      </c>
      <c r="E386" s="100">
        <v>1573191.0</v>
      </c>
      <c r="F386" s="99">
        <f t="shared" si="58"/>
        <v>953</v>
      </c>
      <c r="G386" s="100">
        <v>498.0</v>
      </c>
      <c r="H386" s="101">
        <v>221.0</v>
      </c>
      <c r="I386" s="101">
        <v>240.0</v>
      </c>
      <c r="J386" s="102">
        <f t="shared" si="56"/>
        <v>-19</v>
      </c>
      <c r="K386" s="103">
        <f t="shared" si="57"/>
        <v>25.18363064</v>
      </c>
      <c r="L386" s="54"/>
      <c r="M386" s="54"/>
      <c r="N386" s="54"/>
      <c r="O386" s="54"/>
      <c r="R386" s="249"/>
      <c r="S386" s="54"/>
      <c r="T386" s="54"/>
      <c r="U386" s="54"/>
      <c r="V386" s="54"/>
      <c r="W386" s="54"/>
      <c r="X386" s="54"/>
      <c r="Y386" s="54"/>
      <c r="Z386" s="54"/>
      <c r="AA386" s="54"/>
      <c r="AB386" s="287"/>
      <c r="AC386" s="54"/>
      <c r="AD386" s="54"/>
      <c r="AE386" s="54"/>
    </row>
    <row r="387">
      <c r="A387" s="54"/>
      <c r="B387" s="110">
        <v>45915.0</v>
      </c>
      <c r="C387" s="321" t="s">
        <v>123</v>
      </c>
      <c r="D387" s="321" t="s">
        <v>161</v>
      </c>
      <c r="E387" s="100">
        <v>1573946.0</v>
      </c>
      <c r="F387" s="99">
        <f t="shared" si="58"/>
        <v>755</v>
      </c>
      <c r="G387" s="100">
        <v>542.0</v>
      </c>
      <c r="H387" s="101">
        <v>226.0</v>
      </c>
      <c r="I387" s="102">
        <f>140.31--100.27</f>
        <v>240.58</v>
      </c>
      <c r="J387" s="102">
        <f t="shared" si="56"/>
        <v>-14.58</v>
      </c>
      <c r="K387" s="103">
        <f t="shared" si="57"/>
        <v>31.86490066</v>
      </c>
      <c r="L387" s="54"/>
      <c r="M387" s="54"/>
      <c r="N387" s="54"/>
      <c r="O387" s="54"/>
      <c r="R387" s="249"/>
      <c r="S387" s="54"/>
      <c r="T387" s="54"/>
      <c r="U387" s="54"/>
      <c r="V387" s="54"/>
      <c r="W387" s="54"/>
      <c r="X387" s="54"/>
      <c r="Y387" s="54"/>
      <c r="Z387" s="54"/>
      <c r="AA387" s="54"/>
      <c r="AB387" s="287"/>
      <c r="AC387" s="54"/>
      <c r="AD387" s="54"/>
      <c r="AE387" s="54"/>
    </row>
    <row r="388">
      <c r="A388" s="54"/>
      <c r="B388" s="110">
        <v>45916.0</v>
      </c>
      <c r="C388" s="321" t="s">
        <v>123</v>
      </c>
      <c r="D388" s="321" t="s">
        <v>161</v>
      </c>
      <c r="E388" s="100">
        <v>1574732.0</v>
      </c>
      <c r="F388" s="99">
        <f t="shared" si="58"/>
        <v>786</v>
      </c>
      <c r="G388" s="100">
        <v>553.0</v>
      </c>
      <c r="H388" s="101">
        <v>224.0</v>
      </c>
      <c r="I388" s="102">
        <f>240-1.29</f>
        <v>238.71</v>
      </c>
      <c r="J388" s="102">
        <f t="shared" si="56"/>
        <v>-14.71</v>
      </c>
      <c r="K388" s="103">
        <f t="shared" si="57"/>
        <v>30.37022901</v>
      </c>
      <c r="L388" s="54"/>
      <c r="M388" s="54"/>
      <c r="N388" s="54"/>
      <c r="O388" s="54"/>
      <c r="R388" s="249"/>
      <c r="S388" s="54"/>
      <c r="T388" s="54"/>
      <c r="U388" s="54"/>
      <c r="V388" s="54"/>
      <c r="W388" s="54"/>
      <c r="X388" s="54"/>
      <c r="Y388" s="54"/>
      <c r="Z388" s="54"/>
      <c r="AA388" s="54"/>
      <c r="AB388" s="287"/>
      <c r="AC388" s="54"/>
      <c r="AD388" s="54"/>
      <c r="AE388" s="54"/>
    </row>
    <row r="389">
      <c r="A389" s="54"/>
      <c r="B389" s="110">
        <v>45917.0</v>
      </c>
      <c r="C389" s="321" t="s">
        <v>123</v>
      </c>
      <c r="D389" s="321" t="s">
        <v>161</v>
      </c>
      <c r="E389" s="100">
        <v>1575487.0</v>
      </c>
      <c r="F389" s="99">
        <f t="shared" si="58"/>
        <v>755</v>
      </c>
      <c r="G389" s="100">
        <v>541.0</v>
      </c>
      <c r="H389" s="101">
        <v>187.0</v>
      </c>
      <c r="I389" s="102">
        <f>140.31--56.89</f>
        <v>197.2</v>
      </c>
      <c r="J389" s="102">
        <f t="shared" si="56"/>
        <v>-10.2</v>
      </c>
      <c r="K389" s="103">
        <f t="shared" si="57"/>
        <v>26.1192053</v>
      </c>
      <c r="L389" s="54"/>
      <c r="M389" s="54"/>
      <c r="N389" s="54"/>
      <c r="O389" s="54"/>
      <c r="R389" s="249"/>
      <c r="S389" s="54"/>
      <c r="T389" s="54"/>
      <c r="U389" s="54"/>
      <c r="V389" s="54"/>
      <c r="W389" s="54"/>
      <c r="X389" s="54"/>
      <c r="Y389" s="54"/>
      <c r="Z389" s="54"/>
      <c r="AA389" s="54"/>
      <c r="AB389" s="287"/>
      <c r="AC389" s="54"/>
      <c r="AD389" s="54"/>
      <c r="AE389" s="54"/>
    </row>
    <row r="390">
      <c r="A390" s="54"/>
      <c r="B390" s="110">
        <v>45918.0</v>
      </c>
      <c r="C390" s="321" t="s">
        <v>123</v>
      </c>
      <c r="D390" s="321" t="s">
        <v>161</v>
      </c>
      <c r="E390" s="100">
        <v>1576269.0</v>
      </c>
      <c r="F390" s="99">
        <f t="shared" si="58"/>
        <v>782</v>
      </c>
      <c r="G390" s="100">
        <v>547.0</v>
      </c>
      <c r="H390" s="101">
        <v>218.0</v>
      </c>
      <c r="I390" s="102">
        <f>240-9.98</f>
        <v>230.02</v>
      </c>
      <c r="J390" s="102">
        <f t="shared" si="56"/>
        <v>-12.02</v>
      </c>
      <c r="K390" s="103">
        <f t="shared" si="57"/>
        <v>29.41432225</v>
      </c>
      <c r="L390" s="54"/>
      <c r="M390" s="54"/>
      <c r="N390" s="54"/>
      <c r="O390" s="54"/>
      <c r="R390" s="249"/>
      <c r="S390" s="54"/>
      <c r="T390" s="54"/>
      <c r="U390" s="54"/>
      <c r="V390" s="54"/>
      <c r="W390" s="54"/>
      <c r="X390" s="54"/>
      <c r="Y390" s="54"/>
      <c r="Z390" s="54"/>
      <c r="AA390" s="54"/>
      <c r="AB390" s="287"/>
      <c r="AC390" s="54"/>
      <c r="AD390" s="54"/>
      <c r="AE390" s="54"/>
    </row>
    <row r="391">
      <c r="A391" s="54"/>
      <c r="B391" s="110">
        <v>45919.0</v>
      </c>
      <c r="C391" s="321" t="s">
        <v>123</v>
      </c>
      <c r="D391" s="321" t="s">
        <v>161</v>
      </c>
      <c r="E391" s="100">
        <v>1577025.0</v>
      </c>
      <c r="F391" s="99">
        <f t="shared" si="58"/>
        <v>756</v>
      </c>
      <c r="G391" s="100">
        <v>539.0</v>
      </c>
      <c r="H391" s="101">
        <v>191.0</v>
      </c>
      <c r="I391" s="102">
        <f>140.31--60.03</f>
        <v>200.34</v>
      </c>
      <c r="J391" s="102">
        <f t="shared" si="56"/>
        <v>-9.34</v>
      </c>
      <c r="K391" s="103">
        <f t="shared" si="57"/>
        <v>26.5</v>
      </c>
      <c r="L391" s="54"/>
      <c r="M391" s="54"/>
      <c r="N391" s="54"/>
      <c r="O391" s="54"/>
      <c r="R391" s="249"/>
      <c r="S391" s="54"/>
      <c r="T391" s="54"/>
      <c r="U391" s="54"/>
      <c r="V391" s="54"/>
      <c r="W391" s="54"/>
      <c r="X391" s="54"/>
      <c r="Y391" s="54"/>
      <c r="Z391" s="54"/>
      <c r="AA391" s="54"/>
      <c r="AB391" s="287"/>
      <c r="AC391" s="54"/>
      <c r="AD391" s="54"/>
      <c r="AE391" s="54"/>
    </row>
    <row r="392">
      <c r="A392" s="54"/>
      <c r="B392" s="110">
        <v>45921.0</v>
      </c>
      <c r="C392" s="321" t="s">
        <v>123</v>
      </c>
      <c r="D392" s="321" t="s">
        <v>161</v>
      </c>
      <c r="E392" s="100">
        <v>1578305.0</v>
      </c>
      <c r="F392" s="99">
        <f t="shared" si="58"/>
        <v>1280</v>
      </c>
      <c r="G392" s="100">
        <v>541.0</v>
      </c>
      <c r="H392" s="101">
        <v>327.0</v>
      </c>
      <c r="I392" s="101">
        <v>350.0</v>
      </c>
      <c r="J392" s="102">
        <f t="shared" si="56"/>
        <v>-23</v>
      </c>
      <c r="K392" s="103">
        <f t="shared" si="57"/>
        <v>27.34375</v>
      </c>
      <c r="L392" s="54"/>
      <c r="M392" s="54"/>
      <c r="N392" s="54"/>
      <c r="O392" s="54"/>
      <c r="R392" s="249"/>
      <c r="S392" s="54"/>
      <c r="T392" s="54"/>
      <c r="U392" s="54"/>
      <c r="V392" s="54"/>
      <c r="W392" s="54"/>
      <c r="X392" s="54"/>
      <c r="Y392" s="54"/>
      <c r="Z392" s="54"/>
      <c r="AA392" s="54"/>
      <c r="AB392" s="287"/>
      <c r="AC392" s="54"/>
      <c r="AD392" s="54"/>
      <c r="AE392" s="54"/>
    </row>
    <row r="393">
      <c r="A393" s="54"/>
      <c r="B393" s="110">
        <v>45922.0</v>
      </c>
      <c r="C393" s="321" t="s">
        <v>123</v>
      </c>
      <c r="D393" s="321" t="s">
        <v>161</v>
      </c>
      <c r="E393" s="100">
        <v>1578751.0</v>
      </c>
      <c r="F393" s="99">
        <f t="shared" si="58"/>
        <v>446</v>
      </c>
      <c r="G393" s="100">
        <v>547.0</v>
      </c>
      <c r="H393" s="101">
        <v>121.0</v>
      </c>
      <c r="I393" s="101">
        <v>123.13</v>
      </c>
      <c r="J393" s="102">
        <f t="shared" si="56"/>
        <v>-2.13</v>
      </c>
      <c r="K393" s="103">
        <f t="shared" si="57"/>
        <v>27.60762332</v>
      </c>
      <c r="L393" s="54"/>
      <c r="M393" s="54"/>
      <c r="N393" s="54"/>
      <c r="O393" s="54"/>
      <c r="R393" s="249"/>
      <c r="S393" s="54"/>
      <c r="T393" s="54"/>
      <c r="U393" s="54"/>
      <c r="V393" s="54"/>
      <c r="W393" s="54"/>
      <c r="X393" s="54"/>
      <c r="Y393" s="54"/>
      <c r="Z393" s="54"/>
      <c r="AA393" s="54"/>
      <c r="AB393" s="287"/>
      <c r="AC393" s="54"/>
      <c r="AD393" s="54"/>
      <c r="AE393" s="54"/>
    </row>
    <row r="394">
      <c r="A394" s="54"/>
      <c r="B394" s="110">
        <v>45923.0</v>
      </c>
      <c r="C394" s="321" t="s">
        <v>123</v>
      </c>
      <c r="D394" s="321" t="s">
        <v>161</v>
      </c>
      <c r="E394" s="100">
        <v>1579532.0</v>
      </c>
      <c r="F394" s="99">
        <f t="shared" si="58"/>
        <v>781</v>
      </c>
      <c r="G394" s="100">
        <v>554.0</v>
      </c>
      <c r="H394" s="101">
        <v>209.0</v>
      </c>
      <c r="I394" s="101">
        <f>220-0.87</f>
        <v>219.13</v>
      </c>
      <c r="J394" s="102">
        <f t="shared" si="56"/>
        <v>-10.13</v>
      </c>
      <c r="K394" s="103">
        <f t="shared" si="57"/>
        <v>28.05761844</v>
      </c>
      <c r="L394" s="54"/>
      <c r="M394" s="54"/>
      <c r="N394" s="54"/>
      <c r="O394" s="54"/>
      <c r="R394" s="249"/>
      <c r="S394" s="54"/>
      <c r="T394" s="54"/>
      <c r="U394" s="54"/>
      <c r="V394" s="54"/>
      <c r="W394" s="54"/>
      <c r="X394" s="54"/>
      <c r="Y394" s="54"/>
      <c r="Z394" s="54"/>
      <c r="AA394" s="54"/>
      <c r="AB394" s="287"/>
      <c r="AC394" s="54"/>
      <c r="AD394" s="54"/>
      <c r="AE394" s="54"/>
    </row>
    <row r="395">
      <c r="A395" s="54"/>
      <c r="B395" s="110">
        <v>45924.0</v>
      </c>
      <c r="C395" s="321" t="s">
        <v>123</v>
      </c>
      <c r="D395" s="321" t="s">
        <v>161</v>
      </c>
      <c r="E395" s="100">
        <v>1580289.0</v>
      </c>
      <c r="F395" s="99">
        <f t="shared" si="58"/>
        <v>757</v>
      </c>
      <c r="G395" s="100">
        <v>550.0</v>
      </c>
      <c r="H395" s="101">
        <v>203.0</v>
      </c>
      <c r="I395" s="102">
        <f>139.72--72.27</f>
        <v>211.99</v>
      </c>
      <c r="J395" s="102">
        <f t="shared" si="56"/>
        <v>-8.99</v>
      </c>
      <c r="K395" s="103">
        <f t="shared" si="57"/>
        <v>28.00396301</v>
      </c>
      <c r="L395" s="54"/>
      <c r="M395" s="54"/>
      <c r="N395" s="54"/>
      <c r="O395" s="54"/>
      <c r="R395" s="249"/>
      <c r="S395" s="54"/>
      <c r="T395" s="54"/>
      <c r="U395" s="54"/>
      <c r="V395" s="54"/>
      <c r="W395" s="54"/>
      <c r="X395" s="54"/>
      <c r="Y395" s="54"/>
      <c r="Z395" s="54"/>
      <c r="AA395" s="54"/>
      <c r="AB395" s="287"/>
      <c r="AC395" s="54"/>
      <c r="AD395" s="54"/>
      <c r="AE395" s="54"/>
    </row>
    <row r="396">
      <c r="A396" s="54"/>
      <c r="B396" s="110">
        <v>45925.0</v>
      </c>
      <c r="C396" s="321" t="s">
        <v>123</v>
      </c>
      <c r="D396" s="321" t="s">
        <v>161</v>
      </c>
      <c r="E396" s="100">
        <v>1581070.0</v>
      </c>
      <c r="F396" s="99">
        <f t="shared" si="58"/>
        <v>781</v>
      </c>
      <c r="G396" s="100">
        <v>552.0</v>
      </c>
      <c r="H396" s="101">
        <v>205.0</v>
      </c>
      <c r="I396" s="102">
        <f>230-14.9</f>
        <v>215.1</v>
      </c>
      <c r="J396" s="102">
        <f t="shared" si="56"/>
        <v>-10.1</v>
      </c>
      <c r="K396" s="103">
        <f t="shared" si="57"/>
        <v>27.54161332</v>
      </c>
      <c r="L396" s="54"/>
      <c r="M396" s="54"/>
      <c r="N396" s="54"/>
      <c r="O396" s="54"/>
      <c r="R396" s="249"/>
      <c r="S396" s="54"/>
      <c r="T396" s="54"/>
      <c r="U396" s="54"/>
      <c r="V396" s="54"/>
      <c r="W396" s="54"/>
      <c r="X396" s="54"/>
      <c r="Y396" s="54"/>
      <c r="Z396" s="54"/>
      <c r="AA396" s="54"/>
      <c r="AB396" s="287"/>
      <c r="AC396" s="54"/>
      <c r="AD396" s="54"/>
      <c r="AE396" s="54"/>
    </row>
    <row r="397">
      <c r="A397" s="54"/>
      <c r="B397" s="110">
        <v>45926.0</v>
      </c>
      <c r="C397" s="321" t="s">
        <v>123</v>
      </c>
      <c r="D397" s="321" t="s">
        <v>161</v>
      </c>
      <c r="E397" s="100">
        <v>1581826.0</v>
      </c>
      <c r="F397" s="99">
        <f t="shared" si="58"/>
        <v>756</v>
      </c>
      <c r="G397" s="100">
        <v>543.0</v>
      </c>
      <c r="H397" s="101">
        <v>198.0</v>
      </c>
      <c r="I397" s="102">
        <f>139.72--67.13</f>
        <v>206.85</v>
      </c>
      <c r="J397" s="102">
        <f t="shared" si="56"/>
        <v>-8.85</v>
      </c>
      <c r="K397" s="103">
        <f t="shared" si="57"/>
        <v>27.36111111</v>
      </c>
      <c r="L397" s="54"/>
      <c r="M397" s="54"/>
      <c r="N397" s="54"/>
      <c r="O397" s="54"/>
      <c r="R397" s="249"/>
      <c r="S397" s="54"/>
      <c r="T397" s="54"/>
      <c r="U397" s="54"/>
      <c r="V397" s="54"/>
      <c r="W397" s="54"/>
      <c r="X397" s="54"/>
      <c r="Y397" s="54"/>
      <c r="Z397" s="54"/>
      <c r="AA397" s="54"/>
      <c r="AB397" s="287"/>
      <c r="AC397" s="54"/>
      <c r="AD397" s="54"/>
      <c r="AE397" s="54"/>
    </row>
    <row r="398">
      <c r="A398" s="54"/>
      <c r="B398" s="110">
        <v>45928.0</v>
      </c>
      <c r="C398" s="338" t="s">
        <v>126</v>
      </c>
      <c r="D398" s="321" t="s">
        <v>161</v>
      </c>
      <c r="E398" s="100">
        <v>1582608.0</v>
      </c>
      <c r="F398" s="99">
        <f t="shared" si="58"/>
        <v>782</v>
      </c>
      <c r="G398" s="100">
        <v>556.0</v>
      </c>
      <c r="H398" s="101">
        <v>219.0</v>
      </c>
      <c r="I398" s="101">
        <v>230.0</v>
      </c>
      <c r="J398" s="102">
        <f t="shared" si="56"/>
        <v>-11</v>
      </c>
      <c r="K398" s="103">
        <f t="shared" si="57"/>
        <v>29.41176471</v>
      </c>
      <c r="L398" s="54"/>
      <c r="M398" s="54"/>
      <c r="N398" s="54"/>
      <c r="O398" s="54"/>
      <c r="R398" s="249"/>
      <c r="S398" s="54"/>
      <c r="T398" s="54"/>
      <c r="U398" s="54"/>
      <c r="V398" s="54"/>
      <c r="W398" s="54"/>
      <c r="X398" s="54"/>
      <c r="Y398" s="54"/>
      <c r="Z398" s="54"/>
      <c r="AA398" s="54"/>
      <c r="AB398" s="287"/>
      <c r="AC398" s="54"/>
      <c r="AD398" s="54"/>
      <c r="AE398" s="54"/>
    </row>
    <row r="399">
      <c r="A399" s="54"/>
      <c r="B399" s="110">
        <v>45929.0</v>
      </c>
      <c r="C399" s="321" t="s">
        <v>123</v>
      </c>
      <c r="D399" s="321" t="s">
        <v>161</v>
      </c>
      <c r="E399" s="100">
        <v>1583364.0</v>
      </c>
      <c r="F399" s="99">
        <f t="shared" si="58"/>
        <v>756</v>
      </c>
      <c r="G399" s="100">
        <v>542.0</v>
      </c>
      <c r="H399" s="101">
        <v>196.0</v>
      </c>
      <c r="I399" s="102">
        <f>139.14--65.85</f>
        <v>204.99</v>
      </c>
      <c r="J399" s="102">
        <f t="shared" si="56"/>
        <v>-8.99</v>
      </c>
      <c r="K399" s="103">
        <f t="shared" si="57"/>
        <v>27.11507937</v>
      </c>
      <c r="L399" s="54"/>
      <c r="M399" s="54"/>
      <c r="N399" s="54"/>
      <c r="O399" s="54"/>
      <c r="R399" s="249"/>
      <c r="S399" s="54"/>
      <c r="T399" s="54"/>
      <c r="U399" s="54"/>
      <c r="V399" s="54"/>
      <c r="W399" s="54"/>
      <c r="X399" s="54"/>
      <c r="Y399" s="54"/>
      <c r="Z399" s="54"/>
      <c r="AA399" s="54"/>
      <c r="AB399" s="287"/>
      <c r="AC399" s="54"/>
      <c r="AD399" s="54"/>
      <c r="AE399" s="54"/>
    </row>
    <row r="400">
      <c r="A400" s="54"/>
      <c r="B400" s="110">
        <v>45930.0</v>
      </c>
      <c r="C400" s="321" t="s">
        <v>123</v>
      </c>
      <c r="D400" s="321" t="s">
        <v>161</v>
      </c>
      <c r="E400" s="100">
        <v>1584128.0</v>
      </c>
      <c r="F400" s="99">
        <f t="shared" si="58"/>
        <v>764</v>
      </c>
      <c r="G400" s="100">
        <v>549.0</v>
      </c>
      <c r="H400" s="101">
        <v>214.0</v>
      </c>
      <c r="I400" s="102">
        <f>230-2.67</f>
        <v>227.33</v>
      </c>
      <c r="J400" s="102">
        <f t="shared" si="56"/>
        <v>-13.33</v>
      </c>
      <c r="K400" s="103">
        <f t="shared" si="57"/>
        <v>29.7552356</v>
      </c>
      <c r="L400" s="54"/>
      <c r="M400" s="54"/>
      <c r="N400" s="54"/>
      <c r="O400" s="54"/>
      <c r="R400" s="249"/>
      <c r="S400" s="54"/>
      <c r="T400" s="54"/>
      <c r="U400" s="54"/>
      <c r="V400" s="54"/>
      <c r="W400" s="54"/>
      <c r="X400" s="54"/>
      <c r="Y400" s="54"/>
      <c r="Z400" s="54"/>
      <c r="AA400" s="54"/>
      <c r="AB400" s="287"/>
      <c r="AC400" s="54"/>
      <c r="AD400" s="54"/>
      <c r="AE400" s="54"/>
    </row>
    <row r="401">
      <c r="A401" s="89"/>
      <c r="B401" s="203" t="str">
        <f>IF(L401=4,"АПРЕЛЬ",IF(L401=5,"МАЙ",IF(L401=1,"ЯНВАРЬ",IF(L401=2,"ФЕВРАЛЬ",IF(L401=3,"МАРТ",IF(L401=6,"ИЮНЬ",IF(L401=7,"ИЮЛЬ",IF(L401=8,"АВГУСТ",IF(L401=9,"СЕНТЯБРЬ",IF(L401=10,"ОКТЯБРЬ",IF(L401=11,"НОЯБРЬ",IF(L401=12,"ДЕКАБРЬ"))))))))))))</f>
        <v>ОКТЯБРЬ</v>
      </c>
      <c r="J401" s="89"/>
      <c r="K401" s="90"/>
      <c r="L401" s="91">
        <f>MONTH(B402)</f>
        <v>10</v>
      </c>
      <c r="M401" s="89"/>
      <c r="N401" s="89"/>
      <c r="O401" s="89"/>
      <c r="P401" s="89"/>
      <c r="Q401" s="89"/>
      <c r="R401" s="241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301"/>
      <c r="AD401" s="56"/>
      <c r="AE401" s="56"/>
    </row>
    <row r="402">
      <c r="A402" s="54"/>
      <c r="B402" s="110">
        <v>45931.0</v>
      </c>
      <c r="C402" s="321" t="s">
        <v>123</v>
      </c>
      <c r="D402" s="321" t="s">
        <v>161</v>
      </c>
      <c r="E402" s="100">
        <v>1584885.0</v>
      </c>
      <c r="F402" s="99">
        <f>E402-E400</f>
        <v>757</v>
      </c>
      <c r="G402" s="100">
        <v>546.0</v>
      </c>
      <c r="H402" s="101">
        <v>208.0</v>
      </c>
      <c r="I402" s="102">
        <f>139.14--80.12</f>
        <v>219.26</v>
      </c>
      <c r="J402" s="102">
        <f t="shared" ref="J402:J412" si="59">H402-I402</f>
        <v>-11.26</v>
      </c>
      <c r="K402" s="103">
        <f t="shared" ref="K402:K412" si="60">I402/F402*100</f>
        <v>28.96433289</v>
      </c>
      <c r="L402" s="54"/>
      <c r="M402" s="82" t="str">
        <f>"тотал"&amp;" "&amp;B401&amp;" "&amp;RIGHT(YEAR(B402),2)</f>
        <v>тотал ОКТЯБРЬ 25</v>
      </c>
      <c r="N402" s="75"/>
      <c r="O402" s="75"/>
      <c r="P402" s="75"/>
      <c r="Q402" s="76"/>
      <c r="R402" s="249"/>
      <c r="S402" s="54"/>
      <c r="T402" s="54"/>
      <c r="U402" s="54"/>
      <c r="V402" s="54"/>
      <c r="W402" s="54"/>
      <c r="X402" s="54"/>
      <c r="Y402" s="54"/>
      <c r="Z402" s="54"/>
      <c r="AA402" s="54"/>
      <c r="AB402" s="287"/>
      <c r="AC402" s="54"/>
      <c r="AD402" s="54"/>
      <c r="AE402" s="54"/>
    </row>
    <row r="403">
      <c r="A403" s="54"/>
      <c r="B403" s="110">
        <v>45932.0</v>
      </c>
      <c r="C403" s="321" t="s">
        <v>123</v>
      </c>
      <c r="D403" s="321" t="s">
        <v>161</v>
      </c>
      <c r="E403" s="100">
        <v>1585668.0</v>
      </c>
      <c r="F403" s="99">
        <f t="shared" ref="F403:F412" si="61">E403-E402</f>
        <v>783</v>
      </c>
      <c r="G403" s="100">
        <v>546.0</v>
      </c>
      <c r="H403" s="101">
        <v>214.0</v>
      </c>
      <c r="I403" s="102">
        <f>230-2.9</f>
        <v>227.1</v>
      </c>
      <c r="J403" s="102">
        <f t="shared" si="59"/>
        <v>-13.1</v>
      </c>
      <c r="K403" s="103">
        <f t="shared" si="60"/>
        <v>29.00383142</v>
      </c>
      <c r="L403" s="54"/>
      <c r="M403" s="83" t="s">
        <v>70</v>
      </c>
      <c r="N403" s="83" t="s">
        <v>71</v>
      </c>
      <c r="O403" s="83" t="s">
        <v>27</v>
      </c>
      <c r="P403" s="77" t="s">
        <v>28</v>
      </c>
      <c r="Q403" s="12" t="s">
        <v>78</v>
      </c>
      <c r="R403" s="249"/>
      <c r="S403" s="54"/>
      <c r="T403" s="54"/>
      <c r="U403" s="54"/>
      <c r="V403" s="54"/>
      <c r="W403" s="54"/>
      <c r="X403" s="54"/>
      <c r="Y403" s="54"/>
      <c r="Z403" s="54"/>
      <c r="AA403" s="54"/>
      <c r="AB403" s="287"/>
      <c r="AC403" s="54"/>
      <c r="AD403" s="54"/>
      <c r="AE403" s="54"/>
    </row>
    <row r="404">
      <c r="A404" s="54"/>
      <c r="B404" s="110">
        <v>45933.0</v>
      </c>
      <c r="C404" s="321" t="s">
        <v>123</v>
      </c>
      <c r="D404" s="321" t="s">
        <v>161</v>
      </c>
      <c r="E404" s="100">
        <v>1586423.0</v>
      </c>
      <c r="F404" s="99">
        <f t="shared" si="61"/>
        <v>755</v>
      </c>
      <c r="G404" s="100">
        <v>542.0</v>
      </c>
      <c r="H404" s="101">
        <v>197.0</v>
      </c>
      <c r="I404" s="102">
        <f>67.88--139.14</f>
        <v>207.02</v>
      </c>
      <c r="J404" s="102">
        <f t="shared" si="59"/>
        <v>-10.02</v>
      </c>
      <c r="K404" s="103">
        <f t="shared" si="60"/>
        <v>27.41986755</v>
      </c>
      <c r="L404" s="54"/>
      <c r="M404" s="84">
        <f>SUM(F402:F427)</f>
        <v>8874</v>
      </c>
      <c r="N404" s="84">
        <f>SUM(I402:I427)</f>
        <v>2488.05</v>
      </c>
      <c r="O404" s="85">
        <f>N404/M404*100</f>
        <v>28.03752535</v>
      </c>
      <c r="P404" s="79">
        <f>(M404/100)*(O404-Q404)</f>
        <v>3.33</v>
      </c>
      <c r="Q404" s="78">
        <v>28.0</v>
      </c>
      <c r="R404" s="249"/>
      <c r="S404" s="54"/>
      <c r="T404" s="54"/>
      <c r="U404" s="54"/>
      <c r="V404" s="54"/>
      <c r="W404" s="54"/>
      <c r="X404" s="54"/>
      <c r="Y404" s="54"/>
      <c r="Z404" s="54"/>
      <c r="AA404" s="54"/>
      <c r="AB404" s="287"/>
      <c r="AC404" s="54"/>
      <c r="AD404" s="54"/>
      <c r="AE404" s="54"/>
    </row>
    <row r="405">
      <c r="A405" s="54"/>
      <c r="B405" s="110">
        <v>45935.0</v>
      </c>
      <c r="C405" s="321" t="s">
        <v>123</v>
      </c>
      <c r="D405" s="321" t="s">
        <v>161</v>
      </c>
      <c r="E405" s="100">
        <v>1587377.0</v>
      </c>
      <c r="F405" s="99">
        <f t="shared" si="61"/>
        <v>954</v>
      </c>
      <c r="G405" s="100">
        <v>522.0</v>
      </c>
      <c r="H405" s="101">
        <v>235.0</v>
      </c>
      <c r="I405" s="101">
        <v>250.0</v>
      </c>
      <c r="J405" s="102">
        <f t="shared" si="59"/>
        <v>-15</v>
      </c>
      <c r="K405" s="103">
        <f t="shared" si="60"/>
        <v>26.20545073</v>
      </c>
      <c r="L405" s="54"/>
      <c r="M405" s="54"/>
      <c r="N405" s="54"/>
      <c r="O405" s="54"/>
      <c r="R405" s="249"/>
      <c r="S405" s="54"/>
      <c r="T405" s="54"/>
      <c r="U405" s="54"/>
      <c r="V405" s="54"/>
      <c r="W405" s="54"/>
      <c r="X405" s="54"/>
      <c r="Y405" s="54"/>
      <c r="Z405" s="54"/>
      <c r="AA405" s="54"/>
      <c r="AB405" s="287"/>
      <c r="AC405" s="54"/>
      <c r="AD405" s="54"/>
      <c r="AE405" s="54"/>
    </row>
    <row r="406">
      <c r="A406" s="54"/>
      <c r="B406" s="110">
        <v>45936.0</v>
      </c>
      <c r="C406" s="321" t="s">
        <v>123</v>
      </c>
      <c r="D406" s="321" t="s">
        <v>161</v>
      </c>
      <c r="E406" s="100">
        <v>1588133.0</v>
      </c>
      <c r="F406" s="99">
        <f t="shared" si="61"/>
        <v>756</v>
      </c>
      <c r="G406" s="100">
        <v>541.0</v>
      </c>
      <c r="H406" s="101">
        <v>211.0</v>
      </c>
      <c r="I406" s="101">
        <f>138.37--84.4</f>
        <v>222.77</v>
      </c>
      <c r="J406" s="102">
        <f t="shared" si="59"/>
        <v>-11.77</v>
      </c>
      <c r="K406" s="103">
        <f t="shared" si="60"/>
        <v>29.46693122</v>
      </c>
      <c r="L406" s="54"/>
      <c r="M406" s="54"/>
      <c r="N406" s="54"/>
      <c r="O406" s="54"/>
      <c r="R406" s="249"/>
      <c r="S406" s="54"/>
      <c r="T406" s="54"/>
      <c r="U406" s="54"/>
      <c r="V406" s="54"/>
      <c r="W406" s="54"/>
      <c r="X406" s="54"/>
      <c r="Y406" s="54"/>
      <c r="Z406" s="54"/>
      <c r="AA406" s="54"/>
      <c r="AB406" s="287"/>
      <c r="AC406" s="54"/>
      <c r="AD406" s="54"/>
      <c r="AE406" s="54"/>
    </row>
    <row r="407">
      <c r="A407" s="54"/>
      <c r="B407" s="110">
        <v>45937.0</v>
      </c>
      <c r="C407" s="321" t="s">
        <v>123</v>
      </c>
      <c r="D407" s="321" t="s">
        <v>161</v>
      </c>
      <c r="E407" s="100">
        <v>1588992.0</v>
      </c>
      <c r="F407" s="99">
        <f t="shared" si="61"/>
        <v>859</v>
      </c>
      <c r="G407" s="100">
        <v>549.0</v>
      </c>
      <c r="H407" s="101">
        <v>235.0</v>
      </c>
      <c r="I407" s="101">
        <v>250.0</v>
      </c>
      <c r="J407" s="102">
        <f t="shared" si="59"/>
        <v>-15</v>
      </c>
      <c r="K407" s="103">
        <f t="shared" si="60"/>
        <v>29.10360885</v>
      </c>
      <c r="L407" s="54"/>
      <c r="M407" s="54"/>
      <c r="N407" s="54"/>
      <c r="O407" s="54"/>
      <c r="R407" s="249"/>
      <c r="S407" s="54"/>
      <c r="T407" s="54"/>
      <c r="U407" s="54"/>
      <c r="V407" s="54"/>
      <c r="W407" s="54"/>
      <c r="X407" s="54"/>
      <c r="Y407" s="54"/>
      <c r="Z407" s="54"/>
      <c r="AA407" s="54"/>
      <c r="AB407" s="287"/>
      <c r="AC407" s="54"/>
      <c r="AD407" s="54"/>
      <c r="AE407" s="54"/>
    </row>
    <row r="408">
      <c r="A408" s="54"/>
      <c r="B408" s="110">
        <v>45938.0</v>
      </c>
      <c r="C408" s="321" t="s">
        <v>123</v>
      </c>
      <c r="D408" s="321" t="s">
        <v>161</v>
      </c>
      <c r="E408" s="100">
        <v>1589749.0</v>
      </c>
      <c r="F408" s="99">
        <f t="shared" si="61"/>
        <v>757</v>
      </c>
      <c r="G408" s="100">
        <v>546.0</v>
      </c>
      <c r="H408" s="101">
        <v>192.0</v>
      </c>
      <c r="I408" s="102">
        <f>138.37--62.38</f>
        <v>200.75</v>
      </c>
      <c r="J408" s="102">
        <f t="shared" si="59"/>
        <v>-8.75</v>
      </c>
      <c r="K408" s="103">
        <f t="shared" si="60"/>
        <v>26.51915456</v>
      </c>
      <c r="L408" s="54"/>
      <c r="M408" s="54"/>
      <c r="N408" s="54"/>
      <c r="O408" s="54"/>
      <c r="R408" s="249"/>
      <c r="S408" s="54"/>
      <c r="T408" s="54"/>
      <c r="U408" s="54"/>
      <c r="V408" s="54"/>
      <c r="W408" s="54"/>
      <c r="X408" s="54"/>
      <c r="Y408" s="54"/>
      <c r="Z408" s="54"/>
      <c r="AA408" s="54"/>
      <c r="AB408" s="287"/>
      <c r="AC408" s="54"/>
      <c r="AD408" s="54"/>
      <c r="AE408" s="54"/>
    </row>
    <row r="409">
      <c r="A409" s="54"/>
      <c r="B409" s="110">
        <v>45939.0</v>
      </c>
      <c r="C409" s="321" t="s">
        <v>123</v>
      </c>
      <c r="D409" s="321" t="s">
        <v>161</v>
      </c>
      <c r="E409" s="100">
        <v>1590531.0</v>
      </c>
      <c r="F409" s="99">
        <f t="shared" si="61"/>
        <v>782</v>
      </c>
      <c r="G409" s="100">
        <v>553.0</v>
      </c>
      <c r="H409" s="101">
        <v>212.0</v>
      </c>
      <c r="I409" s="102">
        <f>230-4.72</f>
        <v>225.28</v>
      </c>
      <c r="J409" s="102">
        <f t="shared" si="59"/>
        <v>-13.28</v>
      </c>
      <c r="K409" s="103">
        <f t="shared" si="60"/>
        <v>28.80818414</v>
      </c>
      <c r="L409" s="54"/>
      <c r="M409" s="54"/>
      <c r="N409" s="54"/>
      <c r="O409" s="54"/>
      <c r="R409" s="249"/>
      <c r="S409" s="54"/>
      <c r="T409" s="54"/>
      <c r="U409" s="54"/>
      <c r="V409" s="54"/>
      <c r="W409" s="54"/>
      <c r="X409" s="54"/>
      <c r="Y409" s="54"/>
      <c r="Z409" s="54"/>
      <c r="AA409" s="54"/>
      <c r="AB409" s="287"/>
      <c r="AC409" s="54"/>
      <c r="AD409" s="54"/>
      <c r="AE409" s="54"/>
    </row>
    <row r="410">
      <c r="A410" s="54"/>
      <c r="B410" s="110">
        <v>45940.0</v>
      </c>
      <c r="C410" s="321" t="s">
        <v>123</v>
      </c>
      <c r="D410" s="321" t="s">
        <v>161</v>
      </c>
      <c r="E410" s="100">
        <v>1591289.0</v>
      </c>
      <c r="F410" s="99">
        <f t="shared" si="61"/>
        <v>758</v>
      </c>
      <c r="G410" s="100">
        <v>547.0</v>
      </c>
      <c r="H410" s="101">
        <v>189.0</v>
      </c>
      <c r="I410" s="102">
        <f>138.37--60.09</f>
        <v>198.46</v>
      </c>
      <c r="J410" s="102">
        <f t="shared" si="59"/>
        <v>-9.46</v>
      </c>
      <c r="K410" s="103">
        <f t="shared" si="60"/>
        <v>26.18205805</v>
      </c>
      <c r="L410" s="54"/>
      <c r="M410" s="54"/>
      <c r="N410" s="54"/>
      <c r="O410" s="54"/>
      <c r="R410" s="249"/>
      <c r="S410" s="54"/>
      <c r="T410" s="54"/>
      <c r="U410" s="54"/>
      <c r="V410" s="54"/>
      <c r="W410" s="54"/>
      <c r="X410" s="54"/>
      <c r="Y410" s="54"/>
      <c r="Z410" s="54"/>
      <c r="AA410" s="54"/>
      <c r="AB410" s="287"/>
      <c r="AC410" s="54"/>
      <c r="AD410" s="54"/>
      <c r="AE410" s="54"/>
    </row>
    <row r="411">
      <c r="A411" s="54"/>
      <c r="B411" s="110">
        <v>45942.0</v>
      </c>
      <c r="C411" s="338" t="s">
        <v>126</v>
      </c>
      <c r="D411" s="321" t="s">
        <v>161</v>
      </c>
      <c r="E411" s="100">
        <v>1592243.0</v>
      </c>
      <c r="F411" s="99">
        <f t="shared" si="61"/>
        <v>954</v>
      </c>
      <c r="G411" s="100">
        <v>534.0</v>
      </c>
      <c r="H411" s="101">
        <v>235.0</v>
      </c>
      <c r="I411" s="101">
        <v>250.0</v>
      </c>
      <c r="J411" s="102">
        <f t="shared" si="59"/>
        <v>-15</v>
      </c>
      <c r="K411" s="103">
        <f t="shared" si="60"/>
        <v>26.20545073</v>
      </c>
      <c r="L411" s="54"/>
      <c r="M411" s="54"/>
      <c r="N411" s="54"/>
      <c r="O411" s="54"/>
      <c r="R411" s="249"/>
      <c r="S411" s="54"/>
      <c r="T411" s="54"/>
      <c r="U411" s="54"/>
      <c r="V411" s="54"/>
      <c r="W411" s="54"/>
      <c r="X411" s="54"/>
      <c r="Y411" s="54"/>
      <c r="Z411" s="54"/>
      <c r="AA411" s="54"/>
      <c r="AB411" s="287"/>
      <c r="AC411" s="54"/>
      <c r="AD411" s="54"/>
      <c r="AE411" s="54"/>
    </row>
    <row r="412">
      <c r="A412" s="54"/>
      <c r="B412" s="110">
        <v>45943.0</v>
      </c>
      <c r="C412" s="321" t="s">
        <v>123</v>
      </c>
      <c r="D412" s="321" t="s">
        <v>161</v>
      </c>
      <c r="E412" s="100">
        <v>1593002.0</v>
      </c>
      <c r="F412" s="99">
        <f t="shared" si="61"/>
        <v>759</v>
      </c>
      <c r="G412" s="100">
        <v>546.0</v>
      </c>
      <c r="H412" s="101">
        <v>225.0</v>
      </c>
      <c r="I412" s="101">
        <f>137.41--100</f>
        <v>237.41</v>
      </c>
      <c r="J412" s="102">
        <f t="shared" si="59"/>
        <v>-12.41</v>
      </c>
      <c r="K412" s="103">
        <f t="shared" si="60"/>
        <v>31.27931489</v>
      </c>
      <c r="L412" s="54"/>
      <c r="M412" s="54"/>
      <c r="N412" s="54"/>
      <c r="O412" s="54"/>
      <c r="R412" s="249"/>
      <c r="S412" s="54"/>
      <c r="T412" s="54"/>
      <c r="U412" s="54"/>
      <c r="V412" s="54"/>
      <c r="W412" s="54"/>
      <c r="X412" s="54"/>
      <c r="Y412" s="54"/>
      <c r="Z412" s="54"/>
      <c r="AA412" s="54"/>
      <c r="AB412" s="287"/>
      <c r="AC412" s="54"/>
      <c r="AD412" s="54"/>
      <c r="AE412" s="54"/>
    </row>
    <row r="413">
      <c r="A413" s="54"/>
      <c r="B413" s="102"/>
      <c r="C413" s="102"/>
      <c r="D413" s="102"/>
      <c r="E413" s="99"/>
      <c r="F413" s="99"/>
      <c r="G413" s="99"/>
      <c r="H413" s="102"/>
      <c r="I413" s="102"/>
      <c r="J413" s="102"/>
      <c r="K413" s="102"/>
      <c r="L413" s="54"/>
      <c r="M413" s="54"/>
      <c r="N413" s="54"/>
      <c r="O413" s="54"/>
      <c r="R413" s="249"/>
      <c r="S413" s="54"/>
      <c r="T413" s="54"/>
      <c r="U413" s="54"/>
      <c r="V413" s="54"/>
      <c r="W413" s="54"/>
      <c r="X413" s="54"/>
      <c r="Y413" s="54"/>
      <c r="Z413" s="54"/>
      <c r="AA413" s="54"/>
      <c r="AB413" s="287"/>
      <c r="AC413" s="54"/>
      <c r="AD413" s="54"/>
      <c r="AE413" s="54"/>
    </row>
    <row r="414">
      <c r="A414" s="54"/>
      <c r="B414" s="102"/>
      <c r="C414" s="102"/>
      <c r="D414" s="102"/>
      <c r="E414" s="99"/>
      <c r="F414" s="99"/>
      <c r="G414" s="99"/>
      <c r="H414" s="102"/>
      <c r="I414" s="102"/>
      <c r="J414" s="102"/>
      <c r="K414" s="102"/>
      <c r="L414" s="54"/>
      <c r="M414" s="54"/>
      <c r="N414" s="54"/>
      <c r="O414" s="54"/>
      <c r="R414" s="249"/>
      <c r="S414" s="54"/>
      <c r="T414" s="54"/>
      <c r="U414" s="54"/>
      <c r="V414" s="54"/>
      <c r="W414" s="54"/>
      <c r="X414" s="54"/>
      <c r="Y414" s="54"/>
      <c r="Z414" s="54"/>
      <c r="AA414" s="54"/>
      <c r="AB414" s="287"/>
      <c r="AC414" s="54"/>
      <c r="AD414" s="54"/>
      <c r="AE414" s="54"/>
    </row>
    <row r="415">
      <c r="A415" s="54"/>
      <c r="B415" s="102"/>
      <c r="C415" s="102"/>
      <c r="D415" s="102"/>
      <c r="E415" s="99"/>
      <c r="F415" s="99"/>
      <c r="G415" s="99"/>
      <c r="H415" s="102"/>
      <c r="I415" s="102"/>
      <c r="J415" s="102"/>
      <c r="K415" s="102"/>
      <c r="L415" s="54"/>
      <c r="M415" s="54"/>
      <c r="N415" s="54"/>
      <c r="O415" s="54"/>
      <c r="R415" s="249"/>
      <c r="S415" s="54"/>
      <c r="T415" s="54"/>
      <c r="U415" s="54"/>
      <c r="V415" s="54"/>
      <c r="W415" s="54"/>
      <c r="X415" s="54"/>
      <c r="Y415" s="54"/>
      <c r="Z415" s="54"/>
      <c r="AA415" s="54"/>
      <c r="AB415" s="287"/>
      <c r="AC415" s="54"/>
      <c r="AD415" s="54"/>
      <c r="AE415" s="54"/>
    </row>
    <row r="416">
      <c r="A416" s="54"/>
      <c r="B416" s="102"/>
      <c r="C416" s="102"/>
      <c r="D416" s="102"/>
      <c r="E416" s="99"/>
      <c r="F416" s="99"/>
      <c r="G416" s="99"/>
      <c r="H416" s="102"/>
      <c r="I416" s="102"/>
      <c r="J416" s="102"/>
      <c r="K416" s="102"/>
      <c r="L416" s="54"/>
      <c r="M416" s="54"/>
      <c r="N416" s="54"/>
      <c r="O416" s="54"/>
      <c r="R416" s="249"/>
      <c r="S416" s="54"/>
      <c r="T416" s="54"/>
      <c r="U416" s="54"/>
      <c r="V416" s="54"/>
      <c r="W416" s="54"/>
      <c r="X416" s="54"/>
      <c r="Y416" s="54"/>
      <c r="Z416" s="54"/>
      <c r="AA416" s="54"/>
      <c r="AB416" s="287"/>
      <c r="AC416" s="54"/>
      <c r="AD416" s="54"/>
      <c r="AE416" s="54"/>
    </row>
    <row r="417">
      <c r="A417" s="54"/>
      <c r="B417" s="102"/>
      <c r="C417" s="102"/>
      <c r="D417" s="102"/>
      <c r="E417" s="99"/>
      <c r="F417" s="99"/>
      <c r="G417" s="99"/>
      <c r="H417" s="102"/>
      <c r="I417" s="102"/>
      <c r="J417" s="102"/>
      <c r="K417" s="102"/>
      <c r="L417" s="54"/>
      <c r="M417" s="54"/>
      <c r="N417" s="54"/>
      <c r="O417" s="54"/>
      <c r="R417" s="249"/>
      <c r="S417" s="54"/>
      <c r="T417" s="54"/>
      <c r="U417" s="54"/>
      <c r="V417" s="54"/>
      <c r="W417" s="54"/>
      <c r="X417" s="54"/>
      <c r="Y417" s="54"/>
      <c r="Z417" s="54"/>
      <c r="AA417" s="54"/>
      <c r="AB417" s="287"/>
      <c r="AC417" s="54"/>
      <c r="AD417" s="54"/>
      <c r="AE417" s="54"/>
    </row>
    <row r="418">
      <c r="A418" s="54"/>
      <c r="B418" s="102"/>
      <c r="C418" s="102"/>
      <c r="D418" s="102"/>
      <c r="E418" s="99"/>
      <c r="F418" s="99"/>
      <c r="G418" s="99"/>
      <c r="H418" s="102"/>
      <c r="I418" s="102"/>
      <c r="J418" s="102"/>
      <c r="K418" s="102"/>
      <c r="L418" s="54"/>
      <c r="M418" s="54"/>
      <c r="N418" s="54"/>
      <c r="O418" s="54"/>
      <c r="R418" s="249"/>
      <c r="S418" s="54"/>
      <c r="T418" s="54"/>
      <c r="U418" s="54"/>
      <c r="V418" s="54"/>
      <c r="W418" s="54"/>
      <c r="X418" s="54"/>
      <c r="Y418" s="54"/>
      <c r="Z418" s="54"/>
      <c r="AA418" s="54"/>
      <c r="AB418" s="287"/>
      <c r="AC418" s="54"/>
      <c r="AD418" s="54"/>
      <c r="AE418" s="54"/>
    </row>
    <row r="419">
      <c r="A419" s="54"/>
      <c r="B419" s="102"/>
      <c r="C419" s="102"/>
      <c r="D419" s="102"/>
      <c r="E419" s="99"/>
      <c r="F419" s="99"/>
      <c r="G419" s="99"/>
      <c r="H419" s="102"/>
      <c r="I419" s="102"/>
      <c r="J419" s="102"/>
      <c r="K419" s="102"/>
      <c r="L419" s="54"/>
      <c r="M419" s="54"/>
      <c r="N419" s="54"/>
      <c r="O419" s="54"/>
      <c r="R419" s="249"/>
      <c r="S419" s="54"/>
      <c r="T419" s="54"/>
      <c r="U419" s="54"/>
      <c r="V419" s="54"/>
      <c r="W419" s="54"/>
      <c r="X419" s="54"/>
      <c r="Y419" s="54"/>
      <c r="Z419" s="54"/>
      <c r="AA419" s="54"/>
      <c r="AB419" s="287"/>
      <c r="AC419" s="54"/>
      <c r="AD419" s="54"/>
      <c r="AE419" s="54"/>
    </row>
    <row r="420">
      <c r="A420" s="54"/>
      <c r="B420" s="102"/>
      <c r="C420" s="102"/>
      <c r="D420" s="102"/>
      <c r="E420" s="99"/>
      <c r="F420" s="99"/>
      <c r="G420" s="99"/>
      <c r="H420" s="102"/>
      <c r="I420" s="102"/>
      <c r="J420" s="102"/>
      <c r="K420" s="102"/>
      <c r="L420" s="54"/>
      <c r="M420" s="54"/>
      <c r="N420" s="54"/>
      <c r="O420" s="54"/>
      <c r="R420" s="249"/>
      <c r="S420" s="54"/>
      <c r="T420" s="54"/>
      <c r="U420" s="54"/>
      <c r="V420" s="54"/>
      <c r="W420" s="54"/>
      <c r="X420" s="54"/>
      <c r="Y420" s="54"/>
      <c r="Z420" s="54"/>
      <c r="AA420" s="54"/>
      <c r="AB420" s="287"/>
      <c r="AC420" s="54"/>
      <c r="AD420" s="54"/>
      <c r="AE420" s="54"/>
    </row>
    <row r="421">
      <c r="A421" s="54"/>
      <c r="B421" s="102"/>
      <c r="C421" s="102"/>
      <c r="D421" s="102"/>
      <c r="E421" s="99"/>
      <c r="F421" s="99"/>
      <c r="G421" s="99"/>
      <c r="H421" s="102"/>
      <c r="I421" s="102"/>
      <c r="J421" s="102"/>
      <c r="K421" s="102"/>
      <c r="L421" s="54"/>
      <c r="M421" s="54"/>
      <c r="N421" s="54"/>
      <c r="O421" s="54"/>
      <c r="R421" s="249"/>
      <c r="S421" s="54"/>
      <c r="T421" s="54"/>
      <c r="U421" s="54"/>
      <c r="V421" s="54"/>
      <c r="W421" s="54"/>
      <c r="X421" s="54"/>
      <c r="Y421" s="54"/>
      <c r="Z421" s="54"/>
      <c r="AA421" s="54"/>
      <c r="AB421" s="287"/>
      <c r="AC421" s="54"/>
      <c r="AD421" s="54"/>
      <c r="AE421" s="54"/>
    </row>
    <row r="422">
      <c r="A422" s="54"/>
      <c r="B422" s="102"/>
      <c r="C422" s="102"/>
      <c r="D422" s="102"/>
      <c r="E422" s="99"/>
      <c r="F422" s="99"/>
      <c r="G422" s="99"/>
      <c r="H422" s="102"/>
      <c r="I422" s="102"/>
      <c r="J422" s="102"/>
      <c r="K422" s="102"/>
      <c r="L422" s="54"/>
      <c r="M422" s="54"/>
      <c r="N422" s="54"/>
      <c r="O422" s="54"/>
      <c r="R422" s="249"/>
      <c r="S422" s="54"/>
      <c r="T422" s="54"/>
      <c r="U422" s="54"/>
      <c r="V422" s="54"/>
      <c r="W422" s="54"/>
      <c r="X422" s="54"/>
      <c r="Y422" s="54"/>
      <c r="Z422" s="54"/>
      <c r="AA422" s="54"/>
      <c r="AB422" s="287"/>
      <c r="AC422" s="54"/>
      <c r="AD422" s="54"/>
      <c r="AE422" s="54"/>
    </row>
    <row r="423">
      <c r="A423" s="54"/>
      <c r="B423" s="102"/>
      <c r="C423" s="102"/>
      <c r="D423" s="102"/>
      <c r="E423" s="99"/>
      <c r="F423" s="99"/>
      <c r="G423" s="99"/>
      <c r="H423" s="102"/>
      <c r="I423" s="102"/>
      <c r="J423" s="102"/>
      <c r="K423" s="102"/>
      <c r="L423" s="54"/>
      <c r="M423" s="54"/>
      <c r="N423" s="54"/>
      <c r="O423" s="54"/>
      <c r="R423" s="249"/>
      <c r="S423" s="54"/>
      <c r="T423" s="54"/>
      <c r="U423" s="54"/>
      <c r="V423" s="54"/>
      <c r="W423" s="54"/>
      <c r="X423" s="54"/>
      <c r="Y423" s="54"/>
      <c r="Z423" s="54"/>
      <c r="AA423" s="54"/>
      <c r="AB423" s="287"/>
      <c r="AC423" s="54"/>
      <c r="AD423" s="54"/>
      <c r="AE423" s="54"/>
    </row>
    <row r="424">
      <c r="A424" s="54"/>
      <c r="B424" s="102"/>
      <c r="C424" s="102"/>
      <c r="D424" s="102"/>
      <c r="E424" s="99"/>
      <c r="F424" s="99"/>
      <c r="G424" s="99"/>
      <c r="H424" s="102"/>
      <c r="I424" s="102"/>
      <c r="J424" s="102"/>
      <c r="K424" s="102"/>
      <c r="L424" s="54"/>
      <c r="M424" s="54"/>
      <c r="N424" s="54"/>
      <c r="O424" s="54"/>
      <c r="R424" s="249"/>
      <c r="S424" s="54"/>
      <c r="T424" s="54"/>
      <c r="U424" s="54"/>
      <c r="V424" s="54"/>
      <c r="W424" s="54"/>
      <c r="X424" s="54"/>
      <c r="Y424" s="54"/>
      <c r="Z424" s="54"/>
      <c r="AA424" s="54"/>
      <c r="AB424" s="287"/>
      <c r="AC424" s="54"/>
      <c r="AD424" s="54"/>
      <c r="AE424" s="54"/>
    </row>
    <row r="425">
      <c r="A425" s="54"/>
      <c r="B425" s="102"/>
      <c r="C425" s="102"/>
      <c r="D425" s="102"/>
      <c r="E425" s="99"/>
      <c r="F425" s="99"/>
      <c r="G425" s="99"/>
      <c r="H425" s="102"/>
      <c r="I425" s="102"/>
      <c r="J425" s="102"/>
      <c r="K425" s="102"/>
      <c r="L425" s="54"/>
      <c r="M425" s="54"/>
      <c r="N425" s="54"/>
      <c r="O425" s="54"/>
      <c r="R425" s="249"/>
      <c r="S425" s="54"/>
      <c r="T425" s="54"/>
      <c r="U425" s="54"/>
      <c r="V425" s="54"/>
      <c r="W425" s="54"/>
      <c r="X425" s="54"/>
      <c r="Y425" s="54"/>
      <c r="Z425" s="54"/>
      <c r="AA425" s="54"/>
      <c r="AB425" s="287"/>
      <c r="AC425" s="54"/>
      <c r="AD425" s="54"/>
      <c r="AE425" s="54"/>
    </row>
    <row r="426">
      <c r="A426" s="54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54"/>
      <c r="M426" s="54"/>
      <c r="N426" s="54"/>
      <c r="O426" s="54"/>
      <c r="R426" s="249"/>
      <c r="S426" s="54"/>
      <c r="T426" s="54"/>
      <c r="U426" s="54"/>
      <c r="V426" s="54"/>
      <c r="W426" s="54"/>
      <c r="X426" s="54"/>
      <c r="Y426" s="54"/>
      <c r="Z426" s="54"/>
      <c r="AA426" s="54"/>
      <c r="AB426" s="287"/>
      <c r="AC426" s="54"/>
      <c r="AD426" s="54"/>
      <c r="AE426" s="54"/>
    </row>
    <row r="427">
      <c r="A427" s="54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54"/>
      <c r="M427" s="54"/>
      <c r="N427" s="54"/>
      <c r="O427" s="54"/>
      <c r="R427" s="249"/>
      <c r="S427" s="54"/>
      <c r="T427" s="54"/>
      <c r="U427" s="54"/>
      <c r="V427" s="54"/>
      <c r="W427" s="54"/>
      <c r="X427" s="54"/>
      <c r="Y427" s="54"/>
      <c r="Z427" s="54"/>
      <c r="AA427" s="54"/>
      <c r="AB427" s="287"/>
      <c r="AC427" s="54"/>
      <c r="AD427" s="54"/>
      <c r="AE427" s="54"/>
    </row>
    <row r="428">
      <c r="A428" s="54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54"/>
      <c r="M428" s="54"/>
      <c r="N428" s="54"/>
      <c r="O428" s="54"/>
      <c r="R428" s="249"/>
      <c r="S428" s="54"/>
      <c r="T428" s="54"/>
      <c r="U428" s="54"/>
      <c r="V428" s="54"/>
      <c r="W428" s="54"/>
      <c r="X428" s="54"/>
      <c r="Y428" s="54"/>
      <c r="Z428" s="54"/>
      <c r="AA428" s="54"/>
      <c r="AB428" s="287"/>
      <c r="AC428" s="54"/>
      <c r="AD428" s="54"/>
      <c r="AE428" s="54"/>
    </row>
    <row r="429">
      <c r="A429" s="54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54"/>
      <c r="M429" s="54"/>
      <c r="N429" s="54"/>
      <c r="O429" s="54"/>
      <c r="R429" s="249"/>
      <c r="S429" s="54"/>
      <c r="T429" s="54"/>
      <c r="U429" s="54"/>
      <c r="V429" s="54"/>
      <c r="W429" s="54"/>
      <c r="X429" s="54"/>
      <c r="Y429" s="54"/>
      <c r="Z429" s="54"/>
      <c r="AA429" s="54"/>
      <c r="AB429" s="287"/>
      <c r="AC429" s="54"/>
      <c r="AD429" s="54"/>
      <c r="AE429" s="54"/>
    </row>
    <row r="430">
      <c r="A430" s="54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54"/>
      <c r="M430" s="54"/>
      <c r="N430" s="54"/>
      <c r="O430" s="54"/>
      <c r="R430" s="249"/>
      <c r="S430" s="54"/>
      <c r="T430" s="54"/>
      <c r="U430" s="54"/>
      <c r="V430" s="54"/>
      <c r="W430" s="54"/>
      <c r="X430" s="54"/>
      <c r="Y430" s="54"/>
      <c r="Z430" s="54"/>
      <c r="AA430" s="54"/>
      <c r="AB430" s="287"/>
      <c r="AC430" s="54"/>
      <c r="AD430" s="54"/>
      <c r="AE430" s="54"/>
    </row>
    <row r="431">
      <c r="A431" s="54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54"/>
      <c r="M431" s="54"/>
      <c r="N431" s="54"/>
      <c r="O431" s="54"/>
      <c r="R431" s="249"/>
      <c r="S431" s="54"/>
      <c r="T431" s="54"/>
      <c r="U431" s="54"/>
      <c r="V431" s="54"/>
      <c r="W431" s="54"/>
      <c r="X431" s="54"/>
      <c r="Y431" s="54"/>
      <c r="Z431" s="54"/>
      <c r="AA431" s="54"/>
      <c r="AB431" s="287"/>
      <c r="AC431" s="54"/>
      <c r="AD431" s="54"/>
      <c r="AE431" s="54"/>
    </row>
    <row r="432">
      <c r="A432" s="54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54"/>
      <c r="M432" s="54"/>
      <c r="N432" s="54"/>
      <c r="O432" s="54"/>
      <c r="R432" s="249"/>
      <c r="S432" s="54"/>
      <c r="T432" s="54"/>
      <c r="U432" s="54"/>
      <c r="V432" s="54"/>
      <c r="W432" s="54"/>
      <c r="X432" s="54"/>
      <c r="Y432" s="54"/>
      <c r="Z432" s="54"/>
      <c r="AA432" s="54"/>
      <c r="AB432" s="287"/>
      <c r="AC432" s="54"/>
      <c r="AD432" s="54"/>
      <c r="AE432" s="54"/>
    </row>
    <row r="433">
      <c r="A433" s="54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54"/>
      <c r="M433" s="54"/>
      <c r="N433" s="54"/>
      <c r="O433" s="54"/>
      <c r="R433" s="249"/>
      <c r="S433" s="54"/>
      <c r="T433" s="54"/>
      <c r="U433" s="54"/>
      <c r="V433" s="54"/>
      <c r="W433" s="54"/>
      <c r="X433" s="54"/>
      <c r="Y433" s="54"/>
      <c r="Z433" s="54"/>
      <c r="AA433" s="54"/>
      <c r="AB433" s="287"/>
      <c r="AC433" s="54"/>
      <c r="AD433" s="54"/>
      <c r="AE433" s="54"/>
    </row>
    <row r="434">
      <c r="A434" s="54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54"/>
      <c r="M434" s="54"/>
      <c r="N434" s="54"/>
      <c r="O434" s="54"/>
      <c r="R434" s="249"/>
      <c r="S434" s="54"/>
      <c r="T434" s="54"/>
      <c r="U434" s="54"/>
      <c r="V434" s="54"/>
      <c r="W434" s="54"/>
      <c r="X434" s="54"/>
      <c r="Y434" s="54"/>
      <c r="Z434" s="54"/>
      <c r="AA434" s="54"/>
      <c r="AB434" s="287"/>
      <c r="AC434" s="54"/>
      <c r="AD434" s="54"/>
      <c r="AE434" s="54"/>
    </row>
    <row r="435">
      <c r="A435" s="54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54"/>
      <c r="M435" s="54"/>
      <c r="N435" s="54"/>
      <c r="O435" s="54"/>
      <c r="R435" s="249"/>
      <c r="S435" s="54"/>
      <c r="T435" s="54"/>
      <c r="U435" s="54"/>
      <c r="V435" s="54"/>
      <c r="W435" s="54"/>
      <c r="X435" s="54"/>
      <c r="Y435" s="54"/>
      <c r="Z435" s="54"/>
      <c r="AA435" s="54"/>
      <c r="AB435" s="287"/>
      <c r="AC435" s="54"/>
      <c r="AD435" s="54"/>
      <c r="AE435" s="54"/>
    </row>
    <row r="436">
      <c r="A436" s="54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54"/>
      <c r="M436" s="54"/>
      <c r="N436" s="54"/>
      <c r="O436" s="54"/>
      <c r="R436" s="249"/>
      <c r="S436" s="54"/>
      <c r="T436" s="54"/>
      <c r="U436" s="54"/>
      <c r="V436" s="54"/>
      <c r="W436" s="54"/>
      <c r="X436" s="54"/>
      <c r="Y436" s="54"/>
      <c r="Z436" s="54"/>
      <c r="AA436" s="54"/>
      <c r="AB436" s="287"/>
      <c r="AC436" s="54"/>
      <c r="AD436" s="54"/>
      <c r="AE436" s="54"/>
    </row>
    <row r="437">
      <c r="A437" s="54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54"/>
      <c r="M437" s="54"/>
      <c r="N437" s="54"/>
      <c r="O437" s="54"/>
      <c r="R437" s="249"/>
      <c r="S437" s="54"/>
      <c r="T437" s="54"/>
      <c r="U437" s="54"/>
      <c r="V437" s="54"/>
      <c r="W437" s="54"/>
      <c r="X437" s="54"/>
      <c r="Y437" s="54"/>
      <c r="Z437" s="54"/>
      <c r="AA437" s="54"/>
      <c r="AB437" s="287"/>
      <c r="AC437" s="54"/>
      <c r="AD437" s="54"/>
      <c r="AE437" s="54"/>
    </row>
    <row r="438">
      <c r="A438" s="54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54"/>
      <c r="M438" s="54"/>
      <c r="N438" s="54"/>
      <c r="O438" s="54"/>
      <c r="R438" s="249"/>
      <c r="S438" s="54"/>
      <c r="T438" s="54"/>
      <c r="U438" s="54"/>
      <c r="V438" s="54"/>
      <c r="W438" s="54"/>
      <c r="X438" s="54"/>
      <c r="Y438" s="54"/>
      <c r="Z438" s="54"/>
      <c r="AA438" s="54"/>
      <c r="AB438" s="287"/>
      <c r="AC438" s="54"/>
      <c r="AD438" s="54"/>
      <c r="AE438" s="54"/>
    </row>
    <row r="439">
      <c r="A439" s="54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54"/>
      <c r="M439" s="54"/>
      <c r="N439" s="54"/>
      <c r="O439" s="54"/>
      <c r="R439" s="249"/>
      <c r="S439" s="54"/>
      <c r="T439" s="54"/>
      <c r="U439" s="54"/>
      <c r="V439" s="54"/>
      <c r="W439" s="54"/>
      <c r="X439" s="54"/>
      <c r="Y439" s="54"/>
      <c r="Z439" s="54"/>
      <c r="AA439" s="54"/>
      <c r="AB439" s="287"/>
      <c r="AC439" s="54"/>
      <c r="AD439" s="54"/>
      <c r="AE439" s="54"/>
    </row>
    <row r="440">
      <c r="A440" s="54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54"/>
      <c r="M440" s="54"/>
      <c r="N440" s="54"/>
      <c r="O440" s="54"/>
      <c r="R440" s="249"/>
      <c r="S440" s="54"/>
      <c r="T440" s="54"/>
      <c r="U440" s="54"/>
      <c r="V440" s="54"/>
      <c r="W440" s="54"/>
      <c r="X440" s="54"/>
      <c r="Y440" s="54"/>
      <c r="Z440" s="54"/>
      <c r="AA440" s="54"/>
      <c r="AB440" s="287"/>
      <c r="AC440" s="54"/>
      <c r="AD440" s="54"/>
      <c r="AE440" s="54"/>
    </row>
    <row r="441">
      <c r="A441" s="54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54"/>
      <c r="M441" s="54"/>
      <c r="N441" s="54"/>
      <c r="O441" s="54"/>
      <c r="R441" s="249"/>
      <c r="S441" s="54"/>
      <c r="T441" s="54"/>
      <c r="U441" s="54"/>
      <c r="V441" s="54"/>
      <c r="W441" s="54"/>
      <c r="X441" s="54"/>
      <c r="Y441" s="54"/>
      <c r="Z441" s="54"/>
      <c r="AA441" s="54"/>
      <c r="AB441" s="287"/>
      <c r="AC441" s="54"/>
      <c r="AD441" s="54"/>
      <c r="AE441" s="54"/>
    </row>
    <row r="442">
      <c r="A442" s="54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54"/>
      <c r="M442" s="54"/>
      <c r="N442" s="54"/>
      <c r="O442" s="54"/>
      <c r="R442" s="249"/>
      <c r="S442" s="54"/>
      <c r="T442" s="54"/>
      <c r="U442" s="54"/>
      <c r="V442" s="54"/>
      <c r="W442" s="54"/>
      <c r="X442" s="54"/>
      <c r="Y442" s="54"/>
      <c r="Z442" s="54"/>
      <c r="AA442" s="54"/>
      <c r="AB442" s="287"/>
      <c r="AC442" s="54"/>
      <c r="AD442" s="54"/>
      <c r="AE442" s="54"/>
    </row>
    <row r="443">
      <c r="A443" s="54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54"/>
      <c r="M443" s="54"/>
      <c r="N443" s="54"/>
      <c r="O443" s="54"/>
      <c r="R443" s="249"/>
      <c r="S443" s="54"/>
      <c r="T443" s="54"/>
      <c r="U443" s="54"/>
      <c r="V443" s="54"/>
      <c r="W443" s="54"/>
      <c r="X443" s="54"/>
      <c r="Y443" s="54"/>
      <c r="Z443" s="54"/>
      <c r="AA443" s="54"/>
      <c r="AB443" s="287"/>
      <c r="AC443" s="54"/>
      <c r="AD443" s="54"/>
      <c r="AE443" s="54"/>
    </row>
    <row r="444">
      <c r="A444" s="54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54"/>
      <c r="M444" s="54"/>
      <c r="N444" s="54"/>
      <c r="O444" s="54"/>
      <c r="R444" s="249"/>
      <c r="S444" s="54"/>
      <c r="T444" s="54"/>
      <c r="U444" s="54"/>
      <c r="V444" s="54"/>
      <c r="W444" s="54"/>
      <c r="X444" s="54"/>
      <c r="Y444" s="54"/>
      <c r="Z444" s="54"/>
      <c r="AA444" s="54"/>
      <c r="AB444" s="287"/>
      <c r="AC444" s="54"/>
      <c r="AD444" s="54"/>
      <c r="AE444" s="54"/>
    </row>
    <row r="445">
      <c r="A445" s="54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54"/>
      <c r="M445" s="54"/>
      <c r="N445" s="54"/>
      <c r="O445" s="54"/>
      <c r="R445" s="249"/>
      <c r="S445" s="54"/>
      <c r="T445" s="54"/>
      <c r="U445" s="54"/>
      <c r="V445" s="54"/>
      <c r="W445" s="54"/>
      <c r="X445" s="54"/>
      <c r="Y445" s="54"/>
      <c r="Z445" s="54"/>
      <c r="AA445" s="54"/>
      <c r="AB445" s="287"/>
      <c r="AC445" s="54"/>
      <c r="AD445" s="54"/>
      <c r="AE445" s="54"/>
    </row>
    <row r="446">
      <c r="A446" s="54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54"/>
      <c r="M446" s="54"/>
      <c r="N446" s="54"/>
      <c r="O446" s="54"/>
      <c r="R446" s="249"/>
      <c r="S446" s="54"/>
      <c r="T446" s="54"/>
      <c r="U446" s="54"/>
      <c r="V446" s="54"/>
      <c r="W446" s="54"/>
      <c r="X446" s="54"/>
      <c r="Y446" s="54"/>
      <c r="Z446" s="54"/>
      <c r="AA446" s="54"/>
      <c r="AB446" s="287"/>
      <c r="AC446" s="54"/>
      <c r="AD446" s="54"/>
      <c r="AE446" s="54"/>
    </row>
    <row r="447">
      <c r="A447" s="54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54"/>
      <c r="M447" s="54"/>
      <c r="N447" s="54"/>
      <c r="O447" s="54"/>
      <c r="R447" s="249"/>
      <c r="S447" s="54"/>
      <c r="T447" s="54"/>
      <c r="U447" s="54"/>
      <c r="V447" s="54"/>
      <c r="W447" s="54"/>
      <c r="X447" s="54"/>
      <c r="Y447" s="54"/>
      <c r="Z447" s="54"/>
      <c r="AA447" s="54"/>
      <c r="AB447" s="287"/>
      <c r="AC447" s="54"/>
      <c r="AD447" s="54"/>
      <c r="AE447" s="54"/>
    </row>
    <row r="448">
      <c r="A448" s="54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54"/>
      <c r="M448" s="54"/>
      <c r="N448" s="54"/>
      <c r="O448" s="54"/>
      <c r="R448" s="249"/>
      <c r="S448" s="54"/>
      <c r="T448" s="54"/>
      <c r="U448" s="54"/>
      <c r="V448" s="54"/>
      <c r="W448" s="54"/>
      <c r="X448" s="54"/>
      <c r="Y448" s="54"/>
      <c r="Z448" s="54"/>
      <c r="AA448" s="54"/>
      <c r="AB448" s="287"/>
      <c r="AC448" s="54"/>
      <c r="AD448" s="54"/>
      <c r="AE448" s="54"/>
    </row>
    <row r="449">
      <c r="A449" s="54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54"/>
      <c r="M449" s="54"/>
      <c r="N449" s="54"/>
      <c r="O449" s="54"/>
      <c r="R449" s="249"/>
      <c r="S449" s="54"/>
      <c r="T449" s="54"/>
      <c r="U449" s="54"/>
      <c r="V449" s="54"/>
      <c r="W449" s="54"/>
      <c r="X449" s="54"/>
      <c r="Y449" s="54"/>
      <c r="Z449" s="54"/>
      <c r="AA449" s="54"/>
      <c r="AB449" s="287"/>
      <c r="AC449" s="54"/>
      <c r="AD449" s="54"/>
      <c r="AE449" s="54"/>
    </row>
    <row r="450">
      <c r="A450" s="54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54"/>
      <c r="M450" s="54"/>
      <c r="N450" s="54"/>
      <c r="O450" s="54"/>
      <c r="R450" s="249"/>
      <c r="S450" s="54"/>
      <c r="T450" s="54"/>
      <c r="U450" s="54"/>
      <c r="V450" s="54"/>
      <c r="W450" s="54"/>
      <c r="X450" s="54"/>
      <c r="Y450" s="54"/>
      <c r="Z450" s="54"/>
      <c r="AA450" s="54"/>
      <c r="AB450" s="287"/>
      <c r="AC450" s="54"/>
      <c r="AD450" s="54"/>
      <c r="AE450" s="54"/>
    </row>
    <row r="451">
      <c r="A451" s="54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54"/>
      <c r="M451" s="54"/>
      <c r="N451" s="54"/>
      <c r="O451" s="54"/>
      <c r="R451" s="249"/>
      <c r="S451" s="54"/>
      <c r="T451" s="54"/>
      <c r="U451" s="54"/>
      <c r="V451" s="54"/>
      <c r="W451" s="54"/>
      <c r="X451" s="54"/>
      <c r="Y451" s="54"/>
      <c r="Z451" s="54"/>
      <c r="AA451" s="54"/>
      <c r="AB451" s="287"/>
      <c r="AC451" s="54"/>
      <c r="AD451" s="54"/>
      <c r="AE451" s="54"/>
    </row>
    <row r="452">
      <c r="A452" s="54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54"/>
      <c r="M452" s="54"/>
      <c r="N452" s="54"/>
      <c r="O452" s="54"/>
      <c r="R452" s="249"/>
      <c r="S452" s="54"/>
      <c r="T452" s="54"/>
      <c r="U452" s="54"/>
      <c r="V452" s="54"/>
      <c r="W452" s="54"/>
      <c r="X452" s="54"/>
      <c r="Y452" s="54"/>
      <c r="Z452" s="54"/>
      <c r="AA452" s="54"/>
      <c r="AB452" s="287"/>
      <c r="AC452" s="54"/>
      <c r="AD452" s="54"/>
      <c r="AE452" s="54"/>
    </row>
    <row r="453">
      <c r="A453" s="54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54"/>
      <c r="M453" s="54"/>
      <c r="N453" s="54"/>
      <c r="O453" s="54"/>
      <c r="R453" s="249"/>
      <c r="S453" s="54"/>
      <c r="T453" s="54"/>
      <c r="U453" s="54"/>
      <c r="V453" s="54"/>
      <c r="W453" s="54"/>
      <c r="X453" s="54"/>
      <c r="Y453" s="54"/>
      <c r="Z453" s="54"/>
      <c r="AA453" s="54"/>
      <c r="AB453" s="287"/>
      <c r="AC453" s="54"/>
      <c r="AD453" s="54"/>
      <c r="AE453" s="54"/>
    </row>
    <row r="454">
      <c r="A454" s="54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54"/>
      <c r="M454" s="54"/>
      <c r="N454" s="54"/>
      <c r="O454" s="54"/>
      <c r="R454" s="249"/>
      <c r="S454" s="54"/>
      <c r="T454" s="54"/>
      <c r="U454" s="54"/>
      <c r="V454" s="54"/>
      <c r="W454" s="54"/>
      <c r="X454" s="54"/>
      <c r="Y454" s="54"/>
      <c r="Z454" s="54"/>
      <c r="AA454" s="54"/>
      <c r="AB454" s="287"/>
      <c r="AC454" s="54"/>
      <c r="AD454" s="54"/>
      <c r="AE454" s="54"/>
    </row>
    <row r="455">
      <c r="A455" s="54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54"/>
      <c r="M455" s="54"/>
      <c r="N455" s="54"/>
      <c r="O455" s="54"/>
      <c r="R455" s="249"/>
      <c r="S455" s="54"/>
      <c r="T455" s="54"/>
      <c r="U455" s="54"/>
      <c r="V455" s="54"/>
      <c r="W455" s="54"/>
      <c r="X455" s="54"/>
      <c r="Y455" s="54"/>
      <c r="Z455" s="54"/>
      <c r="AA455" s="54"/>
      <c r="AB455" s="287"/>
      <c r="AC455" s="54"/>
      <c r="AD455" s="54"/>
      <c r="AE455" s="54"/>
    </row>
    <row r="456">
      <c r="A456" s="54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54"/>
      <c r="M456" s="54"/>
      <c r="N456" s="54"/>
      <c r="O456" s="54"/>
      <c r="R456" s="249"/>
      <c r="S456" s="54"/>
      <c r="T456" s="54"/>
      <c r="U456" s="54"/>
      <c r="V456" s="54"/>
      <c r="W456" s="54"/>
      <c r="X456" s="54"/>
      <c r="Y456" s="54"/>
      <c r="Z456" s="54"/>
      <c r="AA456" s="54"/>
      <c r="AB456" s="287"/>
      <c r="AC456" s="54"/>
      <c r="AD456" s="54"/>
      <c r="AE456" s="54"/>
    </row>
    <row r="457">
      <c r="A457" s="54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54"/>
      <c r="M457" s="54"/>
      <c r="N457" s="54"/>
      <c r="O457" s="54"/>
      <c r="R457" s="249"/>
      <c r="S457" s="54"/>
      <c r="T457" s="54"/>
      <c r="U457" s="54"/>
      <c r="V457" s="54"/>
      <c r="W457" s="54"/>
      <c r="X457" s="54"/>
      <c r="Y457" s="54"/>
      <c r="Z457" s="54"/>
      <c r="AA457" s="54"/>
      <c r="AB457" s="287"/>
      <c r="AC457" s="54"/>
      <c r="AD457" s="54"/>
      <c r="AE457" s="54"/>
    </row>
    <row r="458">
      <c r="A458" s="54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54"/>
      <c r="M458" s="54"/>
      <c r="N458" s="54"/>
      <c r="O458" s="54"/>
      <c r="R458" s="249"/>
      <c r="S458" s="54"/>
      <c r="T458" s="54"/>
      <c r="U458" s="54"/>
      <c r="V458" s="54"/>
      <c r="W458" s="54"/>
      <c r="X458" s="54"/>
      <c r="Y458" s="54"/>
      <c r="Z458" s="54"/>
      <c r="AA458" s="54"/>
      <c r="AB458" s="287"/>
      <c r="AC458" s="54"/>
      <c r="AD458" s="54"/>
      <c r="AE458" s="54"/>
    </row>
    <row r="459">
      <c r="A459" s="54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54"/>
      <c r="M459" s="54"/>
      <c r="N459" s="54"/>
      <c r="O459" s="54"/>
      <c r="R459" s="249"/>
      <c r="S459" s="54"/>
      <c r="T459" s="54"/>
      <c r="U459" s="54"/>
      <c r="V459" s="54"/>
      <c r="W459" s="54"/>
      <c r="X459" s="54"/>
      <c r="Y459" s="54"/>
      <c r="Z459" s="54"/>
      <c r="AA459" s="54"/>
      <c r="AB459" s="287"/>
      <c r="AC459" s="54"/>
      <c r="AD459" s="54"/>
      <c r="AE459" s="54"/>
    </row>
    <row r="460">
      <c r="A460" s="54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54"/>
      <c r="M460" s="54"/>
      <c r="N460" s="54"/>
      <c r="O460" s="54"/>
      <c r="R460" s="249"/>
      <c r="S460" s="54"/>
      <c r="T460" s="54"/>
      <c r="U460" s="54"/>
      <c r="V460" s="54"/>
      <c r="W460" s="54"/>
      <c r="X460" s="54"/>
      <c r="Y460" s="54"/>
      <c r="Z460" s="54"/>
      <c r="AA460" s="54"/>
      <c r="AB460" s="287"/>
      <c r="AC460" s="54"/>
      <c r="AD460" s="54"/>
      <c r="AE460" s="54"/>
    </row>
    <row r="461">
      <c r="A461" s="54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54"/>
      <c r="M461" s="54"/>
      <c r="N461" s="54"/>
      <c r="O461" s="54"/>
      <c r="R461" s="249"/>
      <c r="S461" s="54"/>
      <c r="T461" s="54"/>
      <c r="U461" s="54"/>
      <c r="V461" s="54"/>
      <c r="W461" s="54"/>
      <c r="X461" s="54"/>
      <c r="Y461" s="54"/>
      <c r="Z461" s="54"/>
      <c r="AA461" s="54"/>
      <c r="AB461" s="287"/>
      <c r="AC461" s="54"/>
      <c r="AD461" s="54"/>
      <c r="AE461" s="54"/>
    </row>
    <row r="462">
      <c r="A462" s="54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54"/>
      <c r="M462" s="54"/>
      <c r="N462" s="54"/>
      <c r="O462" s="54"/>
      <c r="R462" s="249"/>
      <c r="S462" s="54"/>
      <c r="T462" s="54"/>
      <c r="U462" s="54"/>
      <c r="V462" s="54"/>
      <c r="W462" s="54"/>
      <c r="X462" s="54"/>
      <c r="Y462" s="54"/>
      <c r="Z462" s="54"/>
      <c r="AA462" s="54"/>
      <c r="AB462" s="287"/>
      <c r="AC462" s="54"/>
      <c r="AD462" s="54"/>
      <c r="AE462" s="54"/>
    </row>
    <row r="463">
      <c r="A463" s="54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54"/>
      <c r="M463" s="54"/>
      <c r="N463" s="54"/>
      <c r="O463" s="54"/>
      <c r="R463" s="249"/>
      <c r="S463" s="54"/>
      <c r="T463" s="54"/>
      <c r="U463" s="54"/>
      <c r="V463" s="54"/>
      <c r="W463" s="54"/>
      <c r="X463" s="54"/>
      <c r="Y463" s="54"/>
      <c r="Z463" s="54"/>
      <c r="AA463" s="54"/>
      <c r="AB463" s="287"/>
      <c r="AC463" s="54"/>
      <c r="AD463" s="54"/>
      <c r="AE463" s="54"/>
    </row>
    <row r="464">
      <c r="A464" s="54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54"/>
      <c r="M464" s="54"/>
      <c r="N464" s="54"/>
      <c r="O464" s="54"/>
      <c r="R464" s="249"/>
      <c r="S464" s="54"/>
      <c r="T464" s="54"/>
      <c r="U464" s="54"/>
      <c r="V464" s="54"/>
      <c r="W464" s="54"/>
      <c r="X464" s="54"/>
      <c r="Y464" s="54"/>
      <c r="Z464" s="54"/>
      <c r="AA464" s="54"/>
      <c r="AB464" s="287"/>
      <c r="AC464" s="54"/>
      <c r="AD464" s="54"/>
      <c r="AE464" s="54"/>
    </row>
    <row r="465">
      <c r="A465" s="54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54"/>
      <c r="M465" s="54"/>
      <c r="N465" s="54"/>
      <c r="O465" s="54"/>
      <c r="R465" s="249"/>
      <c r="S465" s="54"/>
      <c r="T465" s="54"/>
      <c r="U465" s="54"/>
      <c r="V465" s="54"/>
      <c r="W465" s="54"/>
      <c r="X465" s="54"/>
      <c r="Y465" s="54"/>
      <c r="Z465" s="54"/>
      <c r="AA465" s="54"/>
      <c r="AB465" s="287"/>
      <c r="AC465" s="54"/>
      <c r="AD465" s="54"/>
      <c r="AE465" s="54"/>
    </row>
    <row r="466">
      <c r="A466" s="54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54"/>
      <c r="M466" s="54"/>
      <c r="N466" s="54"/>
      <c r="O466" s="54"/>
      <c r="R466" s="249"/>
      <c r="S466" s="54"/>
      <c r="T466" s="54"/>
      <c r="U466" s="54"/>
      <c r="V466" s="54"/>
      <c r="W466" s="54"/>
      <c r="X466" s="54"/>
      <c r="Y466" s="54"/>
      <c r="Z466" s="54"/>
      <c r="AA466" s="54"/>
      <c r="AB466" s="287"/>
      <c r="AC466" s="54"/>
      <c r="AD466" s="54"/>
      <c r="AE466" s="54"/>
    </row>
    <row r="467">
      <c r="A467" s="54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54"/>
      <c r="M467" s="54"/>
      <c r="N467" s="54"/>
      <c r="O467" s="54"/>
      <c r="R467" s="249"/>
      <c r="S467" s="54"/>
      <c r="T467" s="54"/>
      <c r="U467" s="54"/>
      <c r="V467" s="54"/>
      <c r="W467" s="54"/>
      <c r="X467" s="54"/>
      <c r="Y467" s="54"/>
      <c r="Z467" s="54"/>
      <c r="AA467" s="54"/>
      <c r="AB467" s="287"/>
      <c r="AC467" s="54"/>
      <c r="AD467" s="54"/>
      <c r="AE467" s="54"/>
    </row>
    <row r="468">
      <c r="A468" s="54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54"/>
      <c r="M468" s="54"/>
      <c r="N468" s="54"/>
      <c r="O468" s="54"/>
      <c r="R468" s="249"/>
      <c r="S468" s="54"/>
      <c r="T468" s="54"/>
      <c r="U468" s="54"/>
      <c r="V468" s="54"/>
      <c r="W468" s="54"/>
      <c r="X468" s="54"/>
      <c r="Y468" s="54"/>
      <c r="Z468" s="54"/>
      <c r="AA468" s="54"/>
      <c r="AB468" s="287"/>
      <c r="AC468" s="54"/>
      <c r="AD468" s="54"/>
      <c r="AE468" s="54"/>
    </row>
    <row r="469">
      <c r="A469" s="54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54"/>
      <c r="M469" s="54"/>
      <c r="N469" s="54"/>
      <c r="O469" s="54"/>
      <c r="R469" s="249"/>
      <c r="S469" s="54"/>
      <c r="T469" s="54"/>
      <c r="U469" s="54"/>
      <c r="V469" s="54"/>
      <c r="W469" s="54"/>
      <c r="X469" s="54"/>
      <c r="Y469" s="54"/>
      <c r="Z469" s="54"/>
      <c r="AA469" s="54"/>
      <c r="AB469" s="287"/>
      <c r="AC469" s="54"/>
      <c r="AD469" s="54"/>
      <c r="AE469" s="54"/>
    </row>
    <row r="470">
      <c r="A470" s="54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54"/>
      <c r="M470" s="54"/>
      <c r="N470" s="54"/>
      <c r="O470" s="54"/>
      <c r="R470" s="249"/>
      <c r="S470" s="54"/>
      <c r="T470" s="54"/>
      <c r="U470" s="54"/>
      <c r="V470" s="54"/>
      <c r="W470" s="54"/>
      <c r="X470" s="54"/>
      <c r="Y470" s="54"/>
      <c r="Z470" s="54"/>
      <c r="AA470" s="54"/>
      <c r="AB470" s="287"/>
      <c r="AC470" s="54"/>
      <c r="AD470" s="54"/>
      <c r="AE470" s="54"/>
    </row>
    <row r="471">
      <c r="A471" s="54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54"/>
      <c r="M471" s="54"/>
      <c r="N471" s="54"/>
      <c r="O471" s="54"/>
      <c r="R471" s="249"/>
      <c r="S471" s="54"/>
      <c r="T471" s="54"/>
      <c r="U471" s="54"/>
      <c r="V471" s="54"/>
      <c r="W471" s="54"/>
      <c r="X471" s="54"/>
      <c r="Y471" s="54"/>
      <c r="Z471" s="54"/>
      <c r="AA471" s="54"/>
      <c r="AB471" s="287"/>
      <c r="AC471" s="54"/>
      <c r="AD471" s="54"/>
      <c r="AE471" s="54"/>
    </row>
    <row r="472">
      <c r="A472" s="54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54"/>
      <c r="M472" s="54"/>
      <c r="N472" s="54"/>
      <c r="O472" s="54"/>
      <c r="R472" s="249"/>
      <c r="S472" s="54"/>
      <c r="T472" s="54"/>
      <c r="U472" s="54"/>
      <c r="V472" s="54"/>
      <c r="W472" s="54"/>
      <c r="X472" s="54"/>
      <c r="Y472" s="54"/>
      <c r="Z472" s="54"/>
      <c r="AA472" s="54"/>
      <c r="AB472" s="287"/>
      <c r="AC472" s="54"/>
      <c r="AD472" s="54"/>
      <c r="AE472" s="54"/>
    </row>
    <row r="473">
      <c r="A473" s="54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54"/>
      <c r="M473" s="54"/>
      <c r="N473" s="54"/>
      <c r="O473" s="54"/>
      <c r="R473" s="249"/>
      <c r="S473" s="54"/>
      <c r="T473" s="54"/>
      <c r="U473" s="54"/>
      <c r="V473" s="54"/>
      <c r="W473" s="54"/>
      <c r="X473" s="54"/>
      <c r="Y473" s="54"/>
      <c r="Z473" s="54"/>
      <c r="AA473" s="54"/>
      <c r="AB473" s="287"/>
      <c r="AC473" s="54"/>
      <c r="AD473" s="54"/>
      <c r="AE473" s="54"/>
    </row>
    <row r="474">
      <c r="A474" s="54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54"/>
      <c r="M474" s="54"/>
      <c r="N474" s="54"/>
      <c r="O474" s="54"/>
      <c r="R474" s="249"/>
      <c r="S474" s="54"/>
      <c r="T474" s="54"/>
      <c r="U474" s="54"/>
      <c r="V474" s="54"/>
      <c r="W474" s="54"/>
      <c r="X474" s="54"/>
      <c r="Y474" s="54"/>
      <c r="Z474" s="54"/>
      <c r="AA474" s="54"/>
      <c r="AB474" s="287"/>
      <c r="AC474" s="54"/>
      <c r="AD474" s="54"/>
      <c r="AE474" s="54"/>
    </row>
    <row r="475">
      <c r="A475" s="54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54"/>
      <c r="M475" s="54"/>
      <c r="N475" s="54"/>
      <c r="O475" s="54"/>
      <c r="R475" s="249"/>
      <c r="S475" s="54"/>
      <c r="T475" s="54"/>
      <c r="U475" s="54"/>
      <c r="V475" s="54"/>
      <c r="W475" s="54"/>
      <c r="X475" s="54"/>
      <c r="Y475" s="54"/>
      <c r="Z475" s="54"/>
      <c r="AA475" s="54"/>
      <c r="AB475" s="287"/>
      <c r="AC475" s="54"/>
      <c r="AD475" s="54"/>
      <c r="AE475" s="54"/>
    </row>
    <row r="476">
      <c r="A476" s="54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54"/>
      <c r="M476" s="54"/>
      <c r="N476" s="54"/>
      <c r="O476" s="54"/>
      <c r="R476" s="249"/>
      <c r="S476" s="54"/>
      <c r="T476" s="54"/>
      <c r="U476" s="54"/>
      <c r="V476" s="54"/>
      <c r="W476" s="54"/>
      <c r="X476" s="54"/>
      <c r="Y476" s="54"/>
      <c r="Z476" s="54"/>
      <c r="AA476" s="54"/>
      <c r="AB476" s="287"/>
      <c r="AC476" s="54"/>
      <c r="AD476" s="54"/>
      <c r="AE476" s="54"/>
    </row>
    <row r="477">
      <c r="A477" s="54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54"/>
      <c r="M477" s="54"/>
      <c r="N477" s="54"/>
      <c r="O477" s="54"/>
      <c r="R477" s="249"/>
      <c r="S477" s="54"/>
      <c r="T477" s="54"/>
      <c r="U477" s="54"/>
      <c r="V477" s="54"/>
      <c r="W477" s="54"/>
      <c r="X477" s="54"/>
      <c r="Y477" s="54"/>
      <c r="Z477" s="54"/>
      <c r="AA477" s="54"/>
      <c r="AB477" s="287"/>
      <c r="AC477" s="54"/>
      <c r="AD477" s="54"/>
      <c r="AE477" s="54"/>
    </row>
    <row r="478">
      <c r="A478" s="54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54"/>
      <c r="M478" s="54"/>
      <c r="N478" s="54"/>
      <c r="O478" s="54"/>
      <c r="R478" s="249"/>
      <c r="S478" s="54"/>
      <c r="T478" s="54"/>
      <c r="U478" s="54"/>
      <c r="V478" s="54"/>
      <c r="W478" s="54"/>
      <c r="X478" s="54"/>
      <c r="Y478" s="54"/>
      <c r="Z478" s="54"/>
      <c r="AA478" s="54"/>
      <c r="AB478" s="287"/>
      <c r="AC478" s="54"/>
      <c r="AD478" s="54"/>
      <c r="AE478" s="54"/>
    </row>
    <row r="479">
      <c r="A479" s="54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54"/>
      <c r="M479" s="54"/>
      <c r="N479" s="54"/>
      <c r="O479" s="54"/>
      <c r="R479" s="249"/>
      <c r="S479" s="54"/>
      <c r="T479" s="54"/>
      <c r="U479" s="54"/>
      <c r="V479" s="54"/>
      <c r="W479" s="54"/>
      <c r="X479" s="54"/>
      <c r="Y479" s="54"/>
      <c r="Z479" s="54"/>
      <c r="AA479" s="54"/>
      <c r="AB479" s="287"/>
      <c r="AC479" s="54"/>
      <c r="AD479" s="54"/>
      <c r="AE479" s="54"/>
    </row>
    <row r="480">
      <c r="A480" s="54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54"/>
      <c r="M480" s="54"/>
      <c r="N480" s="54"/>
      <c r="O480" s="54"/>
      <c r="R480" s="249"/>
      <c r="S480" s="54"/>
      <c r="T480" s="54"/>
      <c r="U480" s="54"/>
      <c r="V480" s="54"/>
      <c r="W480" s="54"/>
      <c r="X480" s="54"/>
      <c r="Y480" s="54"/>
      <c r="Z480" s="54"/>
      <c r="AA480" s="54"/>
      <c r="AB480" s="287"/>
      <c r="AC480" s="54"/>
      <c r="AD480" s="54"/>
      <c r="AE480" s="54"/>
    </row>
    <row r="481">
      <c r="A481" s="54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54"/>
      <c r="M481" s="54"/>
      <c r="N481" s="54"/>
      <c r="O481" s="54"/>
      <c r="R481" s="249"/>
      <c r="S481" s="54"/>
      <c r="T481" s="54"/>
      <c r="U481" s="54"/>
      <c r="V481" s="54"/>
      <c r="W481" s="54"/>
      <c r="X481" s="54"/>
      <c r="Y481" s="54"/>
      <c r="Z481" s="54"/>
      <c r="AA481" s="54"/>
      <c r="AB481" s="287"/>
      <c r="AC481" s="54"/>
      <c r="AD481" s="54"/>
      <c r="AE481" s="54"/>
    </row>
    <row r="482">
      <c r="A482" s="54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54"/>
      <c r="M482" s="54"/>
      <c r="N482" s="54"/>
      <c r="O482" s="54"/>
      <c r="R482" s="249"/>
      <c r="S482" s="54"/>
      <c r="T482" s="54"/>
      <c r="U482" s="54"/>
      <c r="V482" s="54"/>
      <c r="W482" s="54"/>
      <c r="X482" s="54"/>
      <c r="Y482" s="54"/>
      <c r="Z482" s="54"/>
      <c r="AA482" s="54"/>
      <c r="AB482" s="287"/>
      <c r="AC482" s="54"/>
      <c r="AD482" s="54"/>
      <c r="AE482" s="54"/>
    </row>
    <row r="483">
      <c r="A483" s="54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54"/>
      <c r="M483" s="54"/>
      <c r="N483" s="54"/>
      <c r="O483" s="54"/>
      <c r="R483" s="249"/>
      <c r="S483" s="54"/>
      <c r="T483" s="54"/>
      <c r="U483" s="54"/>
      <c r="V483" s="54"/>
      <c r="W483" s="54"/>
      <c r="X483" s="54"/>
      <c r="Y483" s="54"/>
      <c r="Z483" s="54"/>
      <c r="AA483" s="54"/>
      <c r="AB483" s="287"/>
      <c r="AC483" s="54"/>
      <c r="AD483" s="54"/>
      <c r="AE483" s="54"/>
    </row>
    <row r="484">
      <c r="A484" s="54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54"/>
      <c r="M484" s="54"/>
      <c r="N484" s="54"/>
      <c r="O484" s="54"/>
      <c r="R484" s="249"/>
      <c r="S484" s="54"/>
      <c r="T484" s="54"/>
      <c r="U484" s="54"/>
      <c r="V484" s="54"/>
      <c r="W484" s="54"/>
      <c r="X484" s="54"/>
      <c r="Y484" s="54"/>
      <c r="Z484" s="54"/>
      <c r="AA484" s="54"/>
      <c r="AB484" s="287"/>
      <c r="AC484" s="54"/>
      <c r="AD484" s="54"/>
      <c r="AE484" s="54"/>
    </row>
    <row r="485">
      <c r="A485" s="54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54"/>
      <c r="M485" s="54"/>
      <c r="N485" s="54"/>
      <c r="O485" s="54"/>
      <c r="R485" s="249"/>
      <c r="S485" s="54"/>
      <c r="T485" s="54"/>
      <c r="U485" s="54"/>
      <c r="V485" s="54"/>
      <c r="W485" s="54"/>
      <c r="X485" s="54"/>
      <c r="Y485" s="54"/>
      <c r="Z485" s="54"/>
      <c r="AA485" s="54"/>
      <c r="AB485" s="287"/>
      <c r="AC485" s="54"/>
      <c r="AD485" s="54"/>
      <c r="AE485" s="54"/>
    </row>
    <row r="486">
      <c r="A486" s="54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54"/>
      <c r="M486" s="54"/>
      <c r="N486" s="54"/>
      <c r="O486" s="54"/>
      <c r="R486" s="249"/>
      <c r="S486" s="54"/>
      <c r="T486" s="54"/>
      <c r="U486" s="54"/>
      <c r="V486" s="54"/>
      <c r="W486" s="54"/>
      <c r="X486" s="54"/>
      <c r="Y486" s="54"/>
      <c r="Z486" s="54"/>
      <c r="AA486" s="54"/>
      <c r="AB486" s="287"/>
      <c r="AC486" s="54"/>
      <c r="AD486" s="54"/>
      <c r="AE486" s="54"/>
    </row>
    <row r="487">
      <c r="A487" s="54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54"/>
      <c r="M487" s="54"/>
      <c r="N487" s="54"/>
      <c r="O487" s="54"/>
      <c r="R487" s="249"/>
      <c r="S487" s="54"/>
      <c r="T487" s="54"/>
      <c r="U487" s="54"/>
      <c r="V487" s="54"/>
      <c r="W487" s="54"/>
      <c r="X487" s="54"/>
      <c r="Y487" s="54"/>
      <c r="Z487" s="54"/>
      <c r="AA487" s="54"/>
      <c r="AB487" s="287"/>
      <c r="AC487" s="54"/>
      <c r="AD487" s="54"/>
      <c r="AE487" s="54"/>
    </row>
    <row r="488">
      <c r="A488" s="54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54"/>
      <c r="M488" s="54"/>
      <c r="N488" s="54"/>
      <c r="O488" s="54"/>
      <c r="R488" s="249"/>
      <c r="S488" s="54"/>
      <c r="T488" s="54"/>
      <c r="U488" s="54"/>
      <c r="V488" s="54"/>
      <c r="W488" s="54"/>
      <c r="X488" s="54"/>
      <c r="Y488" s="54"/>
      <c r="Z488" s="54"/>
      <c r="AA488" s="54"/>
      <c r="AB488" s="287"/>
      <c r="AC488" s="54"/>
      <c r="AD488" s="54"/>
      <c r="AE488" s="54"/>
    </row>
    <row r="489">
      <c r="A489" s="54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54"/>
      <c r="M489" s="54"/>
      <c r="N489" s="54"/>
      <c r="O489" s="54"/>
      <c r="R489" s="249"/>
      <c r="S489" s="54"/>
      <c r="T489" s="54"/>
      <c r="U489" s="54"/>
      <c r="V489" s="54"/>
      <c r="W489" s="54"/>
      <c r="X489" s="54"/>
      <c r="Y489" s="54"/>
      <c r="Z489" s="54"/>
      <c r="AA489" s="54"/>
      <c r="AB489" s="287"/>
      <c r="AC489" s="54"/>
      <c r="AD489" s="54"/>
      <c r="AE489" s="54"/>
    </row>
    <row r="490">
      <c r="A490" s="54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54"/>
      <c r="M490" s="54"/>
      <c r="N490" s="54"/>
      <c r="O490" s="54"/>
      <c r="R490" s="249"/>
      <c r="S490" s="54"/>
      <c r="T490" s="54"/>
      <c r="U490" s="54"/>
      <c r="V490" s="54"/>
      <c r="W490" s="54"/>
      <c r="X490" s="54"/>
      <c r="Y490" s="54"/>
      <c r="Z490" s="54"/>
      <c r="AA490" s="54"/>
      <c r="AB490" s="287"/>
      <c r="AC490" s="54"/>
      <c r="AD490" s="54"/>
      <c r="AE490" s="54"/>
    </row>
    <row r="491">
      <c r="A491" s="54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54"/>
      <c r="M491" s="54"/>
      <c r="N491" s="54"/>
      <c r="O491" s="54"/>
      <c r="R491" s="249"/>
      <c r="S491" s="54"/>
      <c r="T491" s="54"/>
      <c r="U491" s="54"/>
      <c r="V491" s="54"/>
      <c r="W491" s="54"/>
      <c r="X491" s="54"/>
      <c r="Y491" s="54"/>
      <c r="Z491" s="54"/>
      <c r="AA491" s="54"/>
      <c r="AB491" s="287"/>
      <c r="AC491" s="54"/>
      <c r="AD491" s="54"/>
      <c r="AE491" s="54"/>
    </row>
    <row r="492">
      <c r="A492" s="54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54"/>
      <c r="M492" s="54"/>
      <c r="N492" s="54"/>
      <c r="O492" s="54"/>
      <c r="R492" s="249"/>
      <c r="S492" s="54"/>
      <c r="T492" s="54"/>
      <c r="U492" s="54"/>
      <c r="V492" s="54"/>
      <c r="W492" s="54"/>
      <c r="X492" s="54"/>
      <c r="Y492" s="54"/>
      <c r="Z492" s="54"/>
      <c r="AA492" s="54"/>
      <c r="AB492" s="287"/>
      <c r="AC492" s="54"/>
      <c r="AD492" s="54"/>
      <c r="AE492" s="54"/>
    </row>
    <row r="493">
      <c r="A493" s="54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54"/>
      <c r="M493" s="54"/>
      <c r="N493" s="54"/>
      <c r="O493" s="54"/>
      <c r="R493" s="249"/>
      <c r="S493" s="54"/>
      <c r="T493" s="54"/>
      <c r="U493" s="54"/>
      <c r="V493" s="54"/>
      <c r="W493" s="54"/>
      <c r="X493" s="54"/>
      <c r="Y493" s="54"/>
      <c r="Z493" s="54"/>
      <c r="AA493" s="54"/>
      <c r="AB493" s="287"/>
      <c r="AC493" s="54"/>
      <c r="AD493" s="54"/>
      <c r="AE493" s="54"/>
    </row>
    <row r="494">
      <c r="A494" s="54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54"/>
      <c r="M494" s="54"/>
      <c r="N494" s="54"/>
      <c r="O494" s="54"/>
      <c r="R494" s="249"/>
      <c r="S494" s="54"/>
      <c r="T494" s="54"/>
      <c r="U494" s="54"/>
      <c r="V494" s="54"/>
      <c r="W494" s="54"/>
      <c r="X494" s="54"/>
      <c r="Y494" s="54"/>
      <c r="Z494" s="54"/>
      <c r="AA494" s="54"/>
      <c r="AB494" s="287"/>
      <c r="AC494" s="54"/>
      <c r="AD494" s="54"/>
      <c r="AE494" s="54"/>
    </row>
    <row r="495">
      <c r="A495" s="54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54"/>
      <c r="M495" s="54"/>
      <c r="N495" s="54"/>
      <c r="O495" s="54"/>
      <c r="R495" s="249"/>
      <c r="S495" s="54"/>
      <c r="T495" s="54"/>
      <c r="U495" s="54"/>
      <c r="V495" s="54"/>
      <c r="W495" s="54"/>
      <c r="X495" s="54"/>
      <c r="Y495" s="54"/>
      <c r="Z495" s="54"/>
      <c r="AA495" s="54"/>
      <c r="AB495" s="287"/>
      <c r="AC495" s="54"/>
      <c r="AD495" s="54"/>
      <c r="AE495" s="54"/>
    </row>
    <row r="496">
      <c r="A496" s="54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54"/>
      <c r="M496" s="54"/>
      <c r="N496" s="54"/>
      <c r="O496" s="54"/>
      <c r="R496" s="249"/>
      <c r="S496" s="54"/>
      <c r="T496" s="54"/>
      <c r="U496" s="54"/>
      <c r="V496" s="54"/>
      <c r="W496" s="54"/>
      <c r="X496" s="54"/>
      <c r="Y496" s="54"/>
      <c r="Z496" s="54"/>
      <c r="AA496" s="54"/>
      <c r="AB496" s="287"/>
      <c r="AC496" s="54"/>
      <c r="AD496" s="54"/>
      <c r="AE496" s="54"/>
    </row>
    <row r="497">
      <c r="A497" s="54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54"/>
      <c r="M497" s="54"/>
      <c r="N497" s="54"/>
      <c r="O497" s="54"/>
      <c r="R497" s="249"/>
      <c r="S497" s="54"/>
      <c r="T497" s="54"/>
      <c r="U497" s="54"/>
      <c r="V497" s="54"/>
      <c r="W497" s="54"/>
      <c r="X497" s="54"/>
      <c r="Y497" s="54"/>
      <c r="Z497" s="54"/>
      <c r="AA497" s="54"/>
      <c r="AB497" s="287"/>
      <c r="AC497" s="54"/>
      <c r="AD497" s="54"/>
      <c r="AE497" s="54"/>
    </row>
    <row r="498">
      <c r="A498" s="54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54"/>
      <c r="M498" s="54"/>
      <c r="N498" s="54"/>
      <c r="O498" s="54"/>
      <c r="R498" s="249"/>
      <c r="S498" s="54"/>
      <c r="T498" s="54"/>
      <c r="U498" s="54"/>
      <c r="V498" s="54"/>
      <c r="W498" s="54"/>
      <c r="X498" s="54"/>
      <c r="Y498" s="54"/>
      <c r="Z498" s="54"/>
      <c r="AA498" s="54"/>
      <c r="AB498" s="287"/>
      <c r="AC498" s="54"/>
      <c r="AD498" s="54"/>
      <c r="AE498" s="54"/>
    </row>
    <row r="499">
      <c r="A499" s="54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54"/>
      <c r="M499" s="54"/>
      <c r="N499" s="54"/>
      <c r="O499" s="54"/>
      <c r="R499" s="249"/>
      <c r="S499" s="54"/>
      <c r="T499" s="54"/>
      <c r="U499" s="54"/>
      <c r="V499" s="54"/>
      <c r="W499" s="54"/>
      <c r="X499" s="54"/>
      <c r="Y499" s="54"/>
      <c r="Z499" s="54"/>
      <c r="AA499" s="54"/>
      <c r="AB499" s="287"/>
      <c r="AC499" s="54"/>
      <c r="AD499" s="54"/>
      <c r="AE499" s="54"/>
    </row>
    <row r="500">
      <c r="A500" s="54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54"/>
      <c r="M500" s="54"/>
      <c r="N500" s="54"/>
      <c r="O500" s="54"/>
      <c r="R500" s="249"/>
      <c r="S500" s="54"/>
      <c r="T500" s="54"/>
      <c r="U500" s="54"/>
      <c r="V500" s="54"/>
      <c r="W500" s="54"/>
      <c r="X500" s="54"/>
      <c r="Y500" s="54"/>
      <c r="Z500" s="54"/>
      <c r="AA500" s="54"/>
      <c r="AB500" s="287"/>
      <c r="AC500" s="54"/>
      <c r="AD500" s="54"/>
      <c r="AE500" s="54"/>
    </row>
    <row r="501">
      <c r="A501" s="54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54"/>
      <c r="M501" s="54"/>
      <c r="N501" s="54"/>
      <c r="O501" s="54"/>
      <c r="R501" s="249"/>
      <c r="S501" s="54"/>
      <c r="T501" s="54"/>
      <c r="U501" s="54"/>
      <c r="V501" s="54"/>
      <c r="W501" s="54"/>
      <c r="X501" s="54"/>
      <c r="Y501" s="54"/>
      <c r="Z501" s="54"/>
      <c r="AA501" s="54"/>
      <c r="AB501" s="287"/>
      <c r="AC501" s="54"/>
      <c r="AD501" s="54"/>
      <c r="AE501" s="54"/>
    </row>
    <row r="502">
      <c r="A502" s="54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54"/>
      <c r="M502" s="54"/>
      <c r="N502" s="54"/>
      <c r="O502" s="54"/>
      <c r="R502" s="249"/>
      <c r="S502" s="54"/>
      <c r="T502" s="54"/>
      <c r="U502" s="54"/>
      <c r="V502" s="54"/>
      <c r="W502" s="54"/>
      <c r="X502" s="54"/>
      <c r="Y502" s="54"/>
      <c r="Z502" s="54"/>
      <c r="AA502" s="54"/>
      <c r="AB502" s="287"/>
      <c r="AC502" s="54"/>
      <c r="AD502" s="54"/>
      <c r="AE502" s="54"/>
    </row>
    <row r="503">
      <c r="A503" s="54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54"/>
      <c r="M503" s="54"/>
      <c r="N503" s="54"/>
      <c r="O503" s="54"/>
      <c r="R503" s="249"/>
      <c r="S503" s="54"/>
      <c r="T503" s="54"/>
      <c r="U503" s="54"/>
      <c r="V503" s="54"/>
      <c r="W503" s="54"/>
      <c r="X503" s="54"/>
      <c r="Y503" s="54"/>
      <c r="Z503" s="54"/>
      <c r="AA503" s="54"/>
      <c r="AB503" s="287"/>
      <c r="AC503" s="54"/>
      <c r="AD503" s="54"/>
      <c r="AE503" s="54"/>
    </row>
    <row r="504">
      <c r="A504" s="54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54"/>
      <c r="M504" s="54"/>
      <c r="N504" s="54"/>
      <c r="O504" s="54"/>
      <c r="R504" s="249"/>
      <c r="S504" s="54"/>
      <c r="T504" s="54"/>
      <c r="U504" s="54"/>
      <c r="V504" s="54"/>
      <c r="W504" s="54"/>
      <c r="X504" s="54"/>
      <c r="Y504" s="54"/>
      <c r="Z504" s="54"/>
      <c r="AA504" s="54"/>
      <c r="AB504" s="287"/>
      <c r="AC504" s="54"/>
      <c r="AD504" s="54"/>
      <c r="AE504" s="54"/>
    </row>
    <row r="505">
      <c r="A505" s="54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54"/>
      <c r="M505" s="54"/>
      <c r="N505" s="54"/>
      <c r="O505" s="54"/>
      <c r="R505" s="249"/>
      <c r="S505" s="54"/>
      <c r="T505" s="54"/>
      <c r="U505" s="54"/>
      <c r="V505" s="54"/>
      <c r="W505" s="54"/>
      <c r="X505" s="54"/>
      <c r="Y505" s="54"/>
      <c r="Z505" s="54"/>
      <c r="AA505" s="54"/>
      <c r="AB505" s="287"/>
      <c r="AC505" s="54"/>
      <c r="AD505" s="54"/>
      <c r="AE505" s="54"/>
    </row>
    <row r="506">
      <c r="A506" s="54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54"/>
      <c r="M506" s="54"/>
      <c r="N506" s="54"/>
      <c r="O506" s="54"/>
      <c r="R506" s="249"/>
      <c r="S506" s="54"/>
      <c r="T506" s="54"/>
      <c r="U506" s="54"/>
      <c r="V506" s="54"/>
      <c r="W506" s="54"/>
      <c r="X506" s="54"/>
      <c r="Y506" s="54"/>
      <c r="Z506" s="54"/>
      <c r="AA506" s="54"/>
      <c r="AB506" s="287"/>
      <c r="AC506" s="54"/>
      <c r="AD506" s="54"/>
      <c r="AE506" s="54"/>
    </row>
    <row r="507">
      <c r="A507" s="54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54"/>
      <c r="M507" s="54"/>
      <c r="N507" s="54"/>
      <c r="O507" s="54"/>
      <c r="R507" s="249"/>
      <c r="S507" s="54"/>
      <c r="T507" s="54"/>
      <c r="U507" s="54"/>
      <c r="V507" s="54"/>
      <c r="W507" s="54"/>
      <c r="X507" s="54"/>
      <c r="Y507" s="54"/>
      <c r="Z507" s="54"/>
      <c r="AA507" s="54"/>
      <c r="AB507" s="287"/>
      <c r="AC507" s="54"/>
      <c r="AD507" s="54"/>
      <c r="AE507" s="54"/>
    </row>
    <row r="508">
      <c r="A508" s="54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54"/>
      <c r="M508" s="54"/>
      <c r="N508" s="54"/>
      <c r="O508" s="54"/>
      <c r="R508" s="249"/>
      <c r="S508" s="54"/>
      <c r="T508" s="54"/>
      <c r="U508" s="54"/>
      <c r="V508" s="54"/>
      <c r="W508" s="54"/>
      <c r="X508" s="54"/>
      <c r="Y508" s="54"/>
      <c r="Z508" s="54"/>
      <c r="AA508" s="54"/>
      <c r="AB508" s="287"/>
      <c r="AC508" s="54"/>
      <c r="AD508" s="54"/>
      <c r="AE508" s="54"/>
    </row>
    <row r="509">
      <c r="A509" s="54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54"/>
      <c r="M509" s="54"/>
      <c r="N509" s="54"/>
      <c r="O509" s="54"/>
      <c r="R509" s="249"/>
      <c r="S509" s="54"/>
      <c r="T509" s="54"/>
      <c r="U509" s="54"/>
      <c r="V509" s="54"/>
      <c r="W509" s="54"/>
      <c r="X509" s="54"/>
      <c r="Y509" s="54"/>
      <c r="Z509" s="54"/>
      <c r="AA509" s="54"/>
      <c r="AB509" s="287"/>
      <c r="AC509" s="54"/>
      <c r="AD509" s="54"/>
      <c r="AE509" s="54"/>
    </row>
    <row r="510">
      <c r="A510" s="54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54"/>
      <c r="M510" s="54"/>
      <c r="N510" s="54"/>
      <c r="O510" s="54"/>
      <c r="R510" s="249"/>
      <c r="S510" s="54"/>
      <c r="T510" s="54"/>
      <c r="U510" s="54"/>
      <c r="V510" s="54"/>
      <c r="W510" s="54"/>
      <c r="X510" s="54"/>
      <c r="Y510" s="54"/>
      <c r="Z510" s="54"/>
      <c r="AA510" s="54"/>
      <c r="AB510" s="287"/>
      <c r="AC510" s="54"/>
      <c r="AD510" s="54"/>
      <c r="AE510" s="54"/>
    </row>
    <row r="511">
      <c r="A511" s="54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54"/>
      <c r="M511" s="54"/>
      <c r="N511" s="54"/>
      <c r="O511" s="54"/>
      <c r="R511" s="249"/>
      <c r="S511" s="54"/>
      <c r="T511" s="54"/>
      <c r="U511" s="54"/>
      <c r="V511" s="54"/>
      <c r="W511" s="54"/>
      <c r="X511" s="54"/>
      <c r="Y511" s="54"/>
      <c r="Z511" s="54"/>
      <c r="AA511" s="54"/>
      <c r="AB511" s="287"/>
      <c r="AC511" s="54"/>
      <c r="AD511" s="54"/>
      <c r="AE511" s="54"/>
    </row>
    <row r="512">
      <c r="A512" s="54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54"/>
      <c r="M512" s="54"/>
      <c r="N512" s="54"/>
      <c r="O512" s="54"/>
      <c r="R512" s="249"/>
      <c r="S512" s="54"/>
      <c r="T512" s="54"/>
      <c r="U512" s="54"/>
      <c r="V512" s="54"/>
      <c r="W512" s="54"/>
      <c r="X512" s="54"/>
      <c r="Y512" s="54"/>
      <c r="Z512" s="54"/>
      <c r="AA512" s="54"/>
      <c r="AB512" s="287"/>
      <c r="AC512" s="54"/>
      <c r="AD512" s="54"/>
      <c r="AE512" s="54"/>
    </row>
    <row r="513">
      <c r="A513" s="54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54"/>
      <c r="M513" s="54"/>
      <c r="N513" s="54"/>
      <c r="O513" s="54"/>
      <c r="R513" s="249"/>
      <c r="S513" s="54"/>
      <c r="T513" s="54"/>
      <c r="U513" s="54"/>
      <c r="V513" s="54"/>
      <c r="W513" s="54"/>
      <c r="X513" s="54"/>
      <c r="Y513" s="54"/>
      <c r="Z513" s="54"/>
      <c r="AA513" s="54"/>
      <c r="AB513" s="287"/>
      <c r="AC513" s="54"/>
      <c r="AD513" s="54"/>
      <c r="AE513" s="54"/>
    </row>
    <row r="514">
      <c r="A514" s="54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54"/>
      <c r="M514" s="54"/>
      <c r="N514" s="54"/>
      <c r="O514" s="54"/>
      <c r="R514" s="249"/>
      <c r="S514" s="54"/>
      <c r="T514" s="54"/>
      <c r="U514" s="54"/>
      <c r="V514" s="54"/>
      <c r="W514" s="54"/>
      <c r="X514" s="54"/>
      <c r="Y514" s="54"/>
      <c r="Z514" s="54"/>
      <c r="AA514" s="54"/>
      <c r="AB514" s="287"/>
      <c r="AC514" s="54"/>
      <c r="AD514" s="54"/>
      <c r="AE514" s="54"/>
    </row>
    <row r="515">
      <c r="A515" s="54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54"/>
      <c r="M515" s="54"/>
      <c r="N515" s="54"/>
      <c r="O515" s="54"/>
      <c r="R515" s="249"/>
      <c r="S515" s="54"/>
      <c r="T515" s="54"/>
      <c r="U515" s="54"/>
      <c r="V515" s="54"/>
      <c r="W515" s="54"/>
      <c r="X515" s="54"/>
      <c r="Y515" s="54"/>
      <c r="Z515" s="54"/>
      <c r="AA515" s="54"/>
      <c r="AB515" s="287"/>
      <c r="AC515" s="54"/>
      <c r="AD515" s="54"/>
      <c r="AE515" s="54"/>
    </row>
    <row r="516">
      <c r="A516" s="54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54"/>
      <c r="M516" s="54"/>
      <c r="N516" s="54"/>
      <c r="O516" s="54"/>
      <c r="R516" s="249"/>
      <c r="S516" s="54"/>
      <c r="T516" s="54"/>
      <c r="U516" s="54"/>
      <c r="V516" s="54"/>
      <c r="W516" s="54"/>
      <c r="X516" s="54"/>
      <c r="Y516" s="54"/>
      <c r="Z516" s="54"/>
      <c r="AA516" s="54"/>
      <c r="AB516" s="287"/>
      <c r="AC516" s="54"/>
      <c r="AD516" s="54"/>
      <c r="AE516" s="54"/>
    </row>
    <row r="517">
      <c r="A517" s="54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54"/>
      <c r="M517" s="54"/>
      <c r="N517" s="54"/>
      <c r="O517" s="54"/>
      <c r="R517" s="249"/>
      <c r="S517" s="54"/>
      <c r="T517" s="54"/>
      <c r="U517" s="54"/>
      <c r="V517" s="54"/>
      <c r="W517" s="54"/>
      <c r="X517" s="54"/>
      <c r="Y517" s="54"/>
      <c r="Z517" s="54"/>
      <c r="AA517" s="54"/>
      <c r="AB517" s="287"/>
      <c r="AC517" s="54"/>
      <c r="AD517" s="54"/>
      <c r="AE517" s="54"/>
    </row>
    <row r="518">
      <c r="A518" s="54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54"/>
      <c r="M518" s="54"/>
      <c r="N518" s="54"/>
      <c r="O518" s="54"/>
      <c r="R518" s="249"/>
      <c r="S518" s="54"/>
      <c r="T518" s="54"/>
      <c r="U518" s="54"/>
      <c r="V518" s="54"/>
      <c r="W518" s="54"/>
      <c r="X518" s="54"/>
      <c r="Y518" s="54"/>
      <c r="Z518" s="54"/>
      <c r="AA518" s="54"/>
      <c r="AB518" s="287"/>
      <c r="AC518" s="54"/>
      <c r="AD518" s="54"/>
      <c r="AE518" s="54"/>
    </row>
    <row r="519">
      <c r="A519" s="54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54"/>
      <c r="M519" s="54"/>
      <c r="N519" s="54"/>
      <c r="O519" s="54"/>
      <c r="R519" s="249"/>
      <c r="S519" s="54"/>
      <c r="T519" s="54"/>
      <c r="U519" s="54"/>
      <c r="V519" s="54"/>
      <c r="W519" s="54"/>
      <c r="X519" s="54"/>
      <c r="Y519" s="54"/>
      <c r="Z519" s="54"/>
      <c r="AA519" s="54"/>
      <c r="AB519" s="287"/>
      <c r="AC519" s="54"/>
      <c r="AD519" s="54"/>
      <c r="AE519" s="54"/>
    </row>
    <row r="520">
      <c r="A520" s="54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54"/>
      <c r="M520" s="54"/>
      <c r="N520" s="54"/>
      <c r="O520" s="54"/>
      <c r="R520" s="249"/>
      <c r="S520" s="54"/>
      <c r="T520" s="54"/>
      <c r="U520" s="54"/>
      <c r="V520" s="54"/>
      <c r="W520" s="54"/>
      <c r="X520" s="54"/>
      <c r="Y520" s="54"/>
      <c r="Z520" s="54"/>
      <c r="AA520" s="54"/>
      <c r="AB520" s="287"/>
      <c r="AC520" s="54"/>
      <c r="AD520" s="54"/>
      <c r="AE520" s="54"/>
    </row>
    <row r="521">
      <c r="A521" s="54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54"/>
      <c r="M521" s="54"/>
      <c r="N521" s="54"/>
      <c r="O521" s="54"/>
      <c r="R521" s="249"/>
      <c r="S521" s="54"/>
      <c r="T521" s="54"/>
      <c r="U521" s="54"/>
      <c r="V521" s="54"/>
      <c r="W521" s="54"/>
      <c r="X521" s="54"/>
      <c r="Y521" s="54"/>
      <c r="Z521" s="54"/>
      <c r="AA521" s="54"/>
      <c r="AB521" s="287"/>
      <c r="AC521" s="54"/>
      <c r="AD521" s="54"/>
      <c r="AE521" s="54"/>
    </row>
    <row r="522">
      <c r="A522" s="54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54"/>
      <c r="M522" s="54"/>
      <c r="N522" s="54"/>
      <c r="O522" s="54"/>
      <c r="R522" s="249"/>
      <c r="S522" s="54"/>
      <c r="T522" s="54"/>
      <c r="U522" s="54"/>
      <c r="V522" s="54"/>
      <c r="W522" s="54"/>
      <c r="X522" s="54"/>
      <c r="Y522" s="54"/>
      <c r="Z522" s="54"/>
      <c r="AA522" s="54"/>
      <c r="AB522" s="287"/>
      <c r="AC522" s="54"/>
      <c r="AD522" s="54"/>
      <c r="AE522" s="54"/>
    </row>
    <row r="523">
      <c r="A523" s="54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54"/>
      <c r="M523" s="54"/>
      <c r="N523" s="54"/>
      <c r="O523" s="54"/>
      <c r="R523" s="249"/>
      <c r="S523" s="54"/>
      <c r="T523" s="54"/>
      <c r="U523" s="54"/>
      <c r="V523" s="54"/>
      <c r="W523" s="54"/>
      <c r="X523" s="54"/>
      <c r="Y523" s="54"/>
      <c r="Z523" s="54"/>
      <c r="AA523" s="54"/>
      <c r="AB523" s="287"/>
      <c r="AC523" s="54"/>
      <c r="AD523" s="54"/>
      <c r="AE523" s="54"/>
    </row>
    <row r="524">
      <c r="A524" s="54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54"/>
      <c r="M524" s="54"/>
      <c r="N524" s="54"/>
      <c r="O524" s="54"/>
      <c r="R524" s="249"/>
      <c r="S524" s="54"/>
      <c r="T524" s="54"/>
      <c r="U524" s="54"/>
      <c r="V524" s="54"/>
      <c r="W524" s="54"/>
      <c r="X524" s="54"/>
      <c r="Y524" s="54"/>
      <c r="Z524" s="54"/>
      <c r="AA524" s="54"/>
      <c r="AB524" s="287"/>
      <c r="AC524" s="54"/>
      <c r="AD524" s="54"/>
      <c r="AE524" s="54"/>
    </row>
    <row r="525">
      <c r="A525" s="54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54"/>
      <c r="M525" s="54"/>
      <c r="N525" s="54"/>
      <c r="O525" s="54"/>
      <c r="R525" s="249"/>
      <c r="S525" s="54"/>
      <c r="T525" s="54"/>
      <c r="U525" s="54"/>
      <c r="V525" s="54"/>
      <c r="W525" s="54"/>
      <c r="X525" s="54"/>
      <c r="Y525" s="54"/>
      <c r="Z525" s="54"/>
      <c r="AA525" s="54"/>
      <c r="AB525" s="287"/>
      <c r="AC525" s="54"/>
      <c r="AD525" s="54"/>
      <c r="AE525" s="54"/>
    </row>
    <row r="526">
      <c r="A526" s="54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54"/>
      <c r="M526" s="54"/>
      <c r="N526" s="54"/>
      <c r="O526" s="54"/>
      <c r="R526" s="249"/>
      <c r="S526" s="54"/>
      <c r="T526" s="54"/>
      <c r="U526" s="54"/>
      <c r="V526" s="54"/>
      <c r="W526" s="54"/>
      <c r="X526" s="54"/>
      <c r="Y526" s="54"/>
      <c r="Z526" s="54"/>
      <c r="AA526" s="54"/>
      <c r="AB526" s="287"/>
      <c r="AC526" s="54"/>
      <c r="AD526" s="54"/>
      <c r="AE526" s="54"/>
    </row>
    <row r="527">
      <c r="A527" s="54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54"/>
      <c r="M527" s="54"/>
      <c r="N527" s="54"/>
      <c r="O527" s="54"/>
      <c r="R527" s="249"/>
      <c r="S527" s="54"/>
      <c r="T527" s="54"/>
      <c r="U527" s="54"/>
      <c r="V527" s="54"/>
      <c r="W527" s="54"/>
      <c r="X527" s="54"/>
      <c r="Y527" s="54"/>
      <c r="Z527" s="54"/>
      <c r="AA527" s="54"/>
      <c r="AB527" s="287"/>
      <c r="AC527" s="54"/>
      <c r="AD527" s="54"/>
      <c r="AE527" s="54"/>
    </row>
    <row r="528">
      <c r="A528" s="54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54"/>
      <c r="M528" s="54"/>
      <c r="N528" s="54"/>
      <c r="O528" s="54"/>
      <c r="R528" s="249"/>
      <c r="S528" s="54"/>
      <c r="T528" s="54"/>
      <c r="U528" s="54"/>
      <c r="V528" s="54"/>
      <c r="W528" s="54"/>
      <c r="X528" s="54"/>
      <c r="Y528" s="54"/>
      <c r="Z528" s="54"/>
      <c r="AA528" s="54"/>
      <c r="AB528" s="287"/>
      <c r="AC528" s="54"/>
      <c r="AD528" s="54"/>
      <c r="AE528" s="54"/>
    </row>
    <row r="529">
      <c r="A529" s="54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54"/>
      <c r="M529" s="54"/>
      <c r="N529" s="54"/>
      <c r="O529" s="54"/>
      <c r="R529" s="249"/>
      <c r="S529" s="54"/>
      <c r="T529" s="54"/>
      <c r="U529" s="54"/>
      <c r="V529" s="54"/>
      <c r="W529" s="54"/>
      <c r="X529" s="54"/>
      <c r="Y529" s="54"/>
      <c r="Z529" s="54"/>
      <c r="AA529" s="54"/>
      <c r="AB529" s="287"/>
      <c r="AC529" s="54"/>
      <c r="AD529" s="54"/>
      <c r="AE529" s="54"/>
    </row>
    <row r="530">
      <c r="A530" s="54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54"/>
      <c r="M530" s="54"/>
      <c r="N530" s="54"/>
      <c r="O530" s="54"/>
      <c r="R530" s="249"/>
      <c r="S530" s="54"/>
      <c r="T530" s="54"/>
      <c r="U530" s="54"/>
      <c r="V530" s="54"/>
      <c r="W530" s="54"/>
      <c r="X530" s="54"/>
      <c r="Y530" s="54"/>
      <c r="Z530" s="54"/>
      <c r="AA530" s="54"/>
      <c r="AB530" s="287"/>
      <c r="AC530" s="54"/>
      <c r="AD530" s="54"/>
      <c r="AE530" s="54"/>
    </row>
    <row r="531">
      <c r="A531" s="54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54"/>
      <c r="M531" s="54"/>
      <c r="N531" s="54"/>
      <c r="O531" s="54"/>
      <c r="R531" s="249"/>
      <c r="S531" s="54"/>
      <c r="T531" s="54"/>
      <c r="U531" s="54"/>
      <c r="V531" s="54"/>
      <c r="W531" s="54"/>
      <c r="X531" s="54"/>
      <c r="Y531" s="54"/>
      <c r="Z531" s="54"/>
      <c r="AA531" s="54"/>
      <c r="AB531" s="287"/>
      <c r="AC531" s="54"/>
      <c r="AD531" s="54"/>
      <c r="AE531" s="54"/>
    </row>
    <row r="532">
      <c r="A532" s="54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54"/>
      <c r="M532" s="54"/>
      <c r="N532" s="54"/>
      <c r="O532" s="54"/>
      <c r="R532" s="249"/>
      <c r="S532" s="54"/>
      <c r="T532" s="54"/>
      <c r="U532" s="54"/>
      <c r="V532" s="54"/>
      <c r="W532" s="54"/>
      <c r="X532" s="54"/>
      <c r="Y532" s="54"/>
      <c r="Z532" s="54"/>
      <c r="AA532" s="54"/>
      <c r="AB532" s="287"/>
      <c r="AC532" s="54"/>
      <c r="AD532" s="54"/>
      <c r="AE532" s="54"/>
    </row>
    <row r="533">
      <c r="A533" s="54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54"/>
      <c r="M533" s="54"/>
      <c r="N533" s="54"/>
      <c r="O533" s="54"/>
      <c r="R533" s="249"/>
      <c r="S533" s="54"/>
      <c r="T533" s="54"/>
      <c r="U533" s="54"/>
      <c r="V533" s="54"/>
      <c r="W533" s="54"/>
      <c r="X533" s="54"/>
      <c r="Y533" s="54"/>
      <c r="Z533" s="54"/>
      <c r="AA533" s="54"/>
      <c r="AB533" s="287"/>
      <c r="AC533" s="54"/>
      <c r="AD533" s="54"/>
      <c r="AE533" s="54"/>
    </row>
    <row r="534">
      <c r="A534" s="54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54"/>
      <c r="M534" s="54"/>
      <c r="N534" s="54"/>
      <c r="O534" s="54"/>
      <c r="R534" s="249"/>
      <c r="S534" s="54"/>
      <c r="T534" s="54"/>
      <c r="U534" s="54"/>
      <c r="V534" s="54"/>
      <c r="W534" s="54"/>
      <c r="X534" s="54"/>
      <c r="Y534" s="54"/>
      <c r="Z534" s="54"/>
      <c r="AA534" s="54"/>
      <c r="AB534" s="287"/>
      <c r="AC534" s="54"/>
      <c r="AD534" s="54"/>
      <c r="AE534" s="54"/>
    </row>
    <row r="535">
      <c r="A535" s="54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54"/>
      <c r="M535" s="54"/>
      <c r="N535" s="54"/>
      <c r="O535" s="54"/>
      <c r="R535" s="249"/>
      <c r="S535" s="54"/>
      <c r="T535" s="54"/>
      <c r="U535" s="54"/>
      <c r="V535" s="54"/>
      <c r="W535" s="54"/>
      <c r="X535" s="54"/>
      <c r="Y535" s="54"/>
      <c r="Z535" s="54"/>
      <c r="AA535" s="54"/>
      <c r="AB535" s="287"/>
      <c r="AC535" s="54"/>
      <c r="AD535" s="54"/>
      <c r="AE535" s="54"/>
    </row>
    <row r="536">
      <c r="A536" s="54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54"/>
      <c r="M536" s="54"/>
      <c r="N536" s="54"/>
      <c r="O536" s="54"/>
      <c r="R536" s="249"/>
      <c r="S536" s="54"/>
      <c r="T536" s="54"/>
      <c r="U536" s="54"/>
      <c r="V536" s="54"/>
      <c r="W536" s="54"/>
      <c r="X536" s="54"/>
      <c r="Y536" s="54"/>
      <c r="Z536" s="54"/>
      <c r="AA536" s="54"/>
      <c r="AB536" s="287"/>
      <c r="AC536" s="54"/>
      <c r="AD536" s="54"/>
      <c r="AE536" s="54"/>
    </row>
    <row r="537">
      <c r="A537" s="54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54"/>
      <c r="M537" s="54"/>
      <c r="N537" s="54"/>
      <c r="O537" s="54"/>
      <c r="R537" s="249"/>
      <c r="S537" s="54"/>
      <c r="T537" s="54"/>
      <c r="U537" s="54"/>
      <c r="V537" s="54"/>
      <c r="W537" s="54"/>
      <c r="X537" s="54"/>
      <c r="Y537" s="54"/>
      <c r="Z537" s="54"/>
      <c r="AA537" s="54"/>
      <c r="AB537" s="287"/>
      <c r="AC537" s="54"/>
      <c r="AD537" s="54"/>
      <c r="AE537" s="54"/>
    </row>
    <row r="538">
      <c r="A538" s="54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54"/>
      <c r="M538" s="54"/>
      <c r="N538" s="54"/>
      <c r="O538" s="54"/>
      <c r="R538" s="249"/>
      <c r="S538" s="54"/>
      <c r="T538" s="54"/>
      <c r="U538" s="54"/>
      <c r="V538" s="54"/>
      <c r="W538" s="54"/>
      <c r="X538" s="54"/>
      <c r="Y538" s="54"/>
      <c r="Z538" s="54"/>
      <c r="AA538" s="54"/>
      <c r="AB538" s="287"/>
      <c r="AC538" s="54"/>
      <c r="AD538" s="54"/>
      <c r="AE538" s="54"/>
    </row>
    <row r="539">
      <c r="A539" s="54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54"/>
      <c r="M539" s="54"/>
      <c r="N539" s="54"/>
      <c r="O539" s="54"/>
      <c r="R539" s="249"/>
      <c r="S539" s="54"/>
      <c r="T539" s="54"/>
      <c r="U539" s="54"/>
      <c r="V539" s="54"/>
      <c r="W539" s="54"/>
      <c r="X539" s="54"/>
      <c r="Y539" s="54"/>
      <c r="Z539" s="54"/>
      <c r="AA539" s="54"/>
      <c r="AB539" s="287"/>
      <c r="AC539" s="54"/>
      <c r="AD539" s="54"/>
      <c r="AE539" s="54"/>
    </row>
    <row r="540">
      <c r="A540" s="54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54"/>
      <c r="M540" s="54"/>
      <c r="N540" s="54"/>
      <c r="O540" s="54"/>
      <c r="R540" s="249"/>
      <c r="S540" s="54"/>
      <c r="T540" s="54"/>
      <c r="U540" s="54"/>
      <c r="V540" s="54"/>
      <c r="W540" s="54"/>
      <c r="X540" s="54"/>
      <c r="Y540" s="54"/>
      <c r="Z540" s="54"/>
      <c r="AA540" s="54"/>
      <c r="AB540" s="287"/>
      <c r="AC540" s="54"/>
      <c r="AD540" s="54"/>
      <c r="AE540" s="54"/>
    </row>
    <row r="541">
      <c r="A541" s="54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54"/>
      <c r="M541" s="54"/>
      <c r="N541" s="54"/>
      <c r="O541" s="54"/>
      <c r="R541" s="249"/>
      <c r="S541" s="54"/>
      <c r="T541" s="54"/>
      <c r="U541" s="54"/>
      <c r="V541" s="54"/>
      <c r="W541" s="54"/>
      <c r="X541" s="54"/>
      <c r="Y541" s="54"/>
      <c r="Z541" s="54"/>
      <c r="AA541" s="54"/>
      <c r="AB541" s="287"/>
      <c r="AC541" s="54"/>
      <c r="AD541" s="54"/>
      <c r="AE541" s="54"/>
    </row>
    <row r="542">
      <c r="A542" s="54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54"/>
      <c r="M542" s="54"/>
      <c r="N542" s="54"/>
      <c r="O542" s="54"/>
      <c r="R542" s="249"/>
      <c r="S542" s="54"/>
      <c r="T542" s="54"/>
      <c r="U542" s="54"/>
      <c r="V542" s="54"/>
      <c r="W542" s="54"/>
      <c r="X542" s="54"/>
      <c r="Y542" s="54"/>
      <c r="Z542" s="54"/>
      <c r="AA542" s="54"/>
      <c r="AB542" s="287"/>
      <c r="AC542" s="54"/>
      <c r="AD542" s="54"/>
      <c r="AE542" s="54"/>
    </row>
    <row r="543">
      <c r="A543" s="54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54"/>
      <c r="M543" s="54"/>
      <c r="N543" s="54"/>
      <c r="O543" s="54"/>
      <c r="R543" s="249"/>
      <c r="S543" s="54"/>
      <c r="T543" s="54"/>
      <c r="U543" s="54"/>
      <c r="V543" s="54"/>
      <c r="W543" s="54"/>
      <c r="X543" s="54"/>
      <c r="Y543" s="54"/>
      <c r="Z543" s="54"/>
      <c r="AA543" s="54"/>
      <c r="AB543" s="287"/>
      <c r="AC543" s="54"/>
      <c r="AD543" s="54"/>
      <c r="AE543" s="54"/>
    </row>
    <row r="544">
      <c r="A544" s="54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54"/>
      <c r="M544" s="54"/>
      <c r="N544" s="54"/>
      <c r="O544" s="54"/>
      <c r="R544" s="249"/>
      <c r="S544" s="54"/>
      <c r="T544" s="54"/>
      <c r="U544" s="54"/>
      <c r="V544" s="54"/>
      <c r="W544" s="54"/>
      <c r="X544" s="54"/>
      <c r="Y544" s="54"/>
      <c r="Z544" s="54"/>
      <c r="AA544" s="54"/>
      <c r="AB544" s="287"/>
      <c r="AC544" s="54"/>
      <c r="AD544" s="54"/>
      <c r="AE544" s="54"/>
    </row>
    <row r="545">
      <c r="A545" s="54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54"/>
      <c r="M545" s="54"/>
      <c r="N545" s="54"/>
      <c r="O545" s="54"/>
      <c r="R545" s="249"/>
      <c r="S545" s="54"/>
      <c r="T545" s="54"/>
      <c r="U545" s="54"/>
      <c r="V545" s="54"/>
      <c r="W545" s="54"/>
      <c r="X545" s="54"/>
      <c r="Y545" s="54"/>
      <c r="Z545" s="54"/>
      <c r="AA545" s="54"/>
      <c r="AB545" s="287"/>
      <c r="AC545" s="54"/>
      <c r="AD545" s="54"/>
      <c r="AE545" s="54"/>
    </row>
    <row r="546">
      <c r="A546" s="54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54"/>
      <c r="M546" s="54"/>
      <c r="N546" s="54"/>
      <c r="O546" s="54"/>
      <c r="R546" s="249"/>
      <c r="S546" s="54"/>
      <c r="T546" s="54"/>
      <c r="U546" s="54"/>
      <c r="V546" s="54"/>
      <c r="W546" s="54"/>
      <c r="X546" s="54"/>
      <c r="Y546" s="54"/>
      <c r="Z546" s="54"/>
      <c r="AA546" s="54"/>
      <c r="AB546" s="287"/>
      <c r="AC546" s="54"/>
      <c r="AD546" s="54"/>
      <c r="AE546" s="54"/>
    </row>
    <row r="547">
      <c r="A547" s="54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54"/>
      <c r="M547" s="54"/>
      <c r="N547" s="54"/>
      <c r="O547" s="54"/>
      <c r="R547" s="249"/>
      <c r="S547" s="54"/>
      <c r="T547" s="54"/>
      <c r="U547" s="54"/>
      <c r="V547" s="54"/>
      <c r="W547" s="54"/>
      <c r="X547" s="54"/>
      <c r="Y547" s="54"/>
      <c r="Z547" s="54"/>
      <c r="AA547" s="54"/>
      <c r="AB547" s="287"/>
      <c r="AC547" s="54"/>
      <c r="AD547" s="54"/>
      <c r="AE547" s="54"/>
    </row>
    <row r="548">
      <c r="A548" s="54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54"/>
      <c r="M548" s="54"/>
      <c r="N548" s="54"/>
      <c r="O548" s="54"/>
      <c r="R548" s="249"/>
      <c r="S548" s="54"/>
      <c r="T548" s="54"/>
      <c r="U548" s="54"/>
      <c r="V548" s="54"/>
      <c r="W548" s="54"/>
      <c r="X548" s="54"/>
      <c r="Y548" s="54"/>
      <c r="Z548" s="54"/>
      <c r="AA548" s="54"/>
      <c r="AB548" s="287"/>
      <c r="AC548" s="54"/>
      <c r="AD548" s="54"/>
      <c r="AE548" s="54"/>
    </row>
    <row r="549">
      <c r="A549" s="54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54"/>
      <c r="M549" s="54"/>
      <c r="N549" s="54"/>
      <c r="O549" s="54"/>
      <c r="R549" s="249"/>
      <c r="S549" s="54"/>
      <c r="T549" s="54"/>
      <c r="U549" s="54"/>
      <c r="V549" s="54"/>
      <c r="W549" s="54"/>
      <c r="X549" s="54"/>
      <c r="Y549" s="54"/>
      <c r="Z549" s="54"/>
      <c r="AA549" s="54"/>
      <c r="AB549" s="287"/>
      <c r="AC549" s="54"/>
      <c r="AD549" s="54"/>
      <c r="AE549" s="54"/>
    </row>
    <row r="550">
      <c r="A550" s="54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54"/>
      <c r="M550" s="54"/>
      <c r="N550" s="54"/>
      <c r="O550" s="54"/>
      <c r="R550" s="249"/>
      <c r="S550" s="54"/>
      <c r="T550" s="54"/>
      <c r="U550" s="54"/>
      <c r="V550" s="54"/>
      <c r="W550" s="54"/>
      <c r="X550" s="54"/>
      <c r="Y550" s="54"/>
      <c r="Z550" s="54"/>
      <c r="AA550" s="54"/>
      <c r="AB550" s="287"/>
      <c r="AC550" s="54"/>
      <c r="AD550" s="54"/>
      <c r="AE550" s="54"/>
    </row>
    <row r="551">
      <c r="A551" s="54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54"/>
      <c r="M551" s="54"/>
      <c r="N551" s="54"/>
      <c r="O551" s="54"/>
      <c r="R551" s="249"/>
      <c r="S551" s="54"/>
      <c r="T551" s="54"/>
      <c r="U551" s="54"/>
      <c r="V551" s="54"/>
      <c r="W551" s="54"/>
      <c r="X551" s="54"/>
      <c r="Y551" s="54"/>
      <c r="Z551" s="54"/>
      <c r="AA551" s="54"/>
      <c r="AB551" s="287"/>
      <c r="AC551" s="54"/>
      <c r="AD551" s="54"/>
      <c r="AE551" s="54"/>
    </row>
    <row r="552">
      <c r="A552" s="54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54"/>
      <c r="M552" s="54"/>
      <c r="N552" s="54"/>
      <c r="O552" s="54"/>
      <c r="R552" s="249"/>
      <c r="S552" s="54"/>
      <c r="T552" s="54"/>
      <c r="U552" s="54"/>
      <c r="V552" s="54"/>
      <c r="W552" s="54"/>
      <c r="X552" s="54"/>
      <c r="Y552" s="54"/>
      <c r="Z552" s="54"/>
      <c r="AA552" s="54"/>
      <c r="AB552" s="287"/>
      <c r="AC552" s="54"/>
      <c r="AD552" s="54"/>
      <c r="AE552" s="54"/>
    </row>
    <row r="553">
      <c r="A553" s="54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54"/>
      <c r="M553" s="54"/>
      <c r="N553" s="54"/>
      <c r="O553" s="54"/>
      <c r="R553" s="249"/>
      <c r="S553" s="54"/>
      <c r="T553" s="54"/>
      <c r="U553" s="54"/>
      <c r="V553" s="54"/>
      <c r="W553" s="54"/>
      <c r="X553" s="54"/>
      <c r="Y553" s="54"/>
      <c r="Z553" s="54"/>
      <c r="AA553" s="54"/>
      <c r="AB553" s="287"/>
      <c r="AC553" s="54"/>
      <c r="AD553" s="54"/>
      <c r="AE553" s="54"/>
    </row>
    <row r="554">
      <c r="A554" s="54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54"/>
      <c r="M554" s="54"/>
      <c r="N554" s="54"/>
      <c r="O554" s="54"/>
      <c r="R554" s="249"/>
      <c r="S554" s="54"/>
      <c r="T554" s="54"/>
      <c r="U554" s="54"/>
      <c r="V554" s="54"/>
      <c r="W554" s="54"/>
      <c r="X554" s="54"/>
      <c r="Y554" s="54"/>
      <c r="Z554" s="54"/>
      <c r="AA554" s="54"/>
      <c r="AB554" s="287"/>
      <c r="AC554" s="54"/>
      <c r="AD554" s="54"/>
      <c r="AE554" s="54"/>
    </row>
    <row r="555">
      <c r="A555" s="54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54"/>
      <c r="M555" s="54"/>
      <c r="N555" s="54"/>
      <c r="O555" s="54"/>
      <c r="R555" s="249"/>
      <c r="S555" s="54"/>
      <c r="T555" s="54"/>
      <c r="U555" s="54"/>
      <c r="V555" s="54"/>
      <c r="W555" s="54"/>
      <c r="X555" s="54"/>
      <c r="Y555" s="54"/>
      <c r="Z555" s="54"/>
      <c r="AA555" s="54"/>
      <c r="AB555" s="287"/>
      <c r="AC555" s="54"/>
      <c r="AD555" s="54"/>
      <c r="AE555" s="54"/>
    </row>
    <row r="556">
      <c r="A556" s="54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54"/>
      <c r="M556" s="54"/>
      <c r="N556" s="54"/>
      <c r="O556" s="54"/>
      <c r="R556" s="249"/>
      <c r="S556" s="54"/>
      <c r="T556" s="54"/>
      <c r="U556" s="54"/>
      <c r="V556" s="54"/>
      <c r="W556" s="54"/>
      <c r="X556" s="54"/>
      <c r="Y556" s="54"/>
      <c r="Z556" s="54"/>
      <c r="AA556" s="54"/>
      <c r="AB556" s="287"/>
      <c r="AC556" s="54"/>
      <c r="AD556" s="54"/>
      <c r="AE556" s="54"/>
    </row>
    <row r="557">
      <c r="A557" s="54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54"/>
      <c r="M557" s="54"/>
      <c r="N557" s="54"/>
      <c r="O557" s="54"/>
      <c r="R557" s="249"/>
      <c r="S557" s="54"/>
      <c r="T557" s="54"/>
      <c r="U557" s="54"/>
      <c r="V557" s="54"/>
      <c r="W557" s="54"/>
      <c r="X557" s="54"/>
      <c r="Y557" s="54"/>
      <c r="Z557" s="54"/>
      <c r="AA557" s="54"/>
      <c r="AB557" s="287"/>
      <c r="AC557" s="54"/>
      <c r="AD557" s="54"/>
      <c r="AE557" s="54"/>
    </row>
    <row r="558">
      <c r="A558" s="54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54"/>
      <c r="M558" s="54"/>
      <c r="N558" s="54"/>
      <c r="O558" s="54"/>
      <c r="R558" s="249"/>
      <c r="S558" s="54"/>
      <c r="T558" s="54"/>
      <c r="U558" s="54"/>
      <c r="V558" s="54"/>
      <c r="W558" s="54"/>
      <c r="X558" s="54"/>
      <c r="Y558" s="54"/>
      <c r="Z558" s="54"/>
      <c r="AA558" s="54"/>
      <c r="AB558" s="287"/>
      <c r="AC558" s="54"/>
      <c r="AD558" s="54"/>
      <c r="AE558" s="54"/>
    </row>
    <row r="559">
      <c r="A559" s="54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54"/>
      <c r="M559" s="54"/>
      <c r="N559" s="54"/>
      <c r="O559" s="54"/>
      <c r="R559" s="249"/>
      <c r="S559" s="54"/>
      <c r="T559" s="54"/>
      <c r="U559" s="54"/>
      <c r="V559" s="54"/>
      <c r="W559" s="54"/>
      <c r="X559" s="54"/>
      <c r="Y559" s="54"/>
      <c r="Z559" s="54"/>
      <c r="AA559" s="54"/>
      <c r="AB559" s="287"/>
      <c r="AC559" s="54"/>
      <c r="AD559" s="54"/>
      <c r="AE559" s="54"/>
    </row>
    <row r="560">
      <c r="A560" s="54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54"/>
      <c r="M560" s="54"/>
      <c r="N560" s="54"/>
      <c r="O560" s="54"/>
      <c r="R560" s="249"/>
      <c r="S560" s="54"/>
      <c r="T560" s="54"/>
      <c r="U560" s="54"/>
      <c r="V560" s="54"/>
      <c r="W560" s="54"/>
      <c r="X560" s="54"/>
      <c r="Y560" s="54"/>
      <c r="Z560" s="54"/>
      <c r="AA560" s="54"/>
      <c r="AB560" s="287"/>
      <c r="AC560" s="54"/>
      <c r="AD560" s="54"/>
      <c r="AE560" s="54"/>
    </row>
    <row r="561">
      <c r="A561" s="54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54"/>
      <c r="M561" s="54"/>
      <c r="N561" s="54"/>
      <c r="O561" s="54"/>
      <c r="R561" s="249"/>
      <c r="S561" s="54"/>
      <c r="T561" s="54"/>
      <c r="U561" s="54"/>
      <c r="V561" s="54"/>
      <c r="W561" s="54"/>
      <c r="X561" s="54"/>
      <c r="Y561" s="54"/>
      <c r="Z561" s="54"/>
      <c r="AA561" s="54"/>
      <c r="AB561" s="287"/>
      <c r="AC561" s="54"/>
      <c r="AD561" s="54"/>
      <c r="AE561" s="54"/>
    </row>
    <row r="562">
      <c r="A562" s="54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54"/>
      <c r="M562" s="54"/>
      <c r="N562" s="54"/>
      <c r="O562" s="54"/>
      <c r="R562" s="249"/>
      <c r="S562" s="54"/>
      <c r="T562" s="54"/>
      <c r="U562" s="54"/>
      <c r="V562" s="54"/>
      <c r="W562" s="54"/>
      <c r="X562" s="54"/>
      <c r="Y562" s="54"/>
      <c r="Z562" s="54"/>
      <c r="AA562" s="54"/>
      <c r="AB562" s="287"/>
      <c r="AC562" s="54"/>
      <c r="AD562" s="54"/>
      <c r="AE562" s="54"/>
    </row>
    <row r="563">
      <c r="A563" s="54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54"/>
      <c r="M563" s="54"/>
      <c r="N563" s="54"/>
      <c r="O563" s="54"/>
      <c r="R563" s="249"/>
      <c r="S563" s="54"/>
      <c r="T563" s="54"/>
      <c r="U563" s="54"/>
      <c r="V563" s="54"/>
      <c r="W563" s="54"/>
      <c r="X563" s="54"/>
      <c r="Y563" s="54"/>
      <c r="Z563" s="54"/>
      <c r="AA563" s="54"/>
      <c r="AB563" s="287"/>
      <c r="AC563" s="54"/>
      <c r="AD563" s="54"/>
      <c r="AE563" s="54"/>
    </row>
    <row r="564">
      <c r="A564" s="54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54"/>
      <c r="M564" s="54"/>
      <c r="N564" s="54"/>
      <c r="O564" s="54"/>
      <c r="R564" s="249"/>
      <c r="S564" s="54"/>
      <c r="T564" s="54"/>
      <c r="U564" s="54"/>
      <c r="V564" s="54"/>
      <c r="W564" s="54"/>
      <c r="X564" s="54"/>
      <c r="Y564" s="54"/>
      <c r="Z564" s="54"/>
      <c r="AA564" s="54"/>
      <c r="AB564" s="287"/>
      <c r="AC564" s="54"/>
      <c r="AD564" s="54"/>
      <c r="AE564" s="54"/>
    </row>
    <row r="565">
      <c r="A565" s="54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54"/>
      <c r="M565" s="54"/>
      <c r="N565" s="54"/>
      <c r="O565" s="54"/>
      <c r="R565" s="249"/>
      <c r="S565" s="54"/>
      <c r="T565" s="54"/>
      <c r="U565" s="54"/>
      <c r="V565" s="54"/>
      <c r="W565" s="54"/>
      <c r="X565" s="54"/>
      <c r="Y565" s="54"/>
      <c r="Z565" s="54"/>
      <c r="AA565" s="54"/>
      <c r="AB565" s="287"/>
      <c r="AC565" s="54"/>
      <c r="AD565" s="54"/>
      <c r="AE565" s="54"/>
    </row>
    <row r="566">
      <c r="A566" s="54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54"/>
      <c r="M566" s="54"/>
      <c r="N566" s="54"/>
      <c r="O566" s="54"/>
      <c r="R566" s="249"/>
      <c r="S566" s="54"/>
      <c r="T566" s="54"/>
      <c r="U566" s="54"/>
      <c r="V566" s="54"/>
      <c r="W566" s="54"/>
      <c r="X566" s="54"/>
      <c r="Y566" s="54"/>
      <c r="Z566" s="54"/>
      <c r="AA566" s="54"/>
      <c r="AB566" s="287"/>
      <c r="AC566" s="54"/>
      <c r="AD566" s="54"/>
      <c r="AE566" s="54"/>
    </row>
    <row r="567">
      <c r="A567" s="54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54"/>
      <c r="M567" s="54"/>
      <c r="N567" s="54"/>
      <c r="O567" s="54"/>
      <c r="R567" s="249"/>
      <c r="S567" s="54"/>
      <c r="T567" s="54"/>
      <c r="U567" s="54"/>
      <c r="V567" s="54"/>
      <c r="W567" s="54"/>
      <c r="X567" s="54"/>
      <c r="Y567" s="54"/>
      <c r="Z567" s="54"/>
      <c r="AA567" s="54"/>
      <c r="AB567" s="287"/>
      <c r="AC567" s="54"/>
      <c r="AD567" s="54"/>
      <c r="AE567" s="54"/>
    </row>
    <row r="568">
      <c r="A568" s="54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54"/>
      <c r="M568" s="54"/>
      <c r="N568" s="54"/>
      <c r="O568" s="54"/>
      <c r="R568" s="249"/>
      <c r="S568" s="54"/>
      <c r="T568" s="54"/>
      <c r="U568" s="54"/>
      <c r="V568" s="54"/>
      <c r="W568" s="54"/>
      <c r="X568" s="54"/>
      <c r="Y568" s="54"/>
      <c r="Z568" s="54"/>
      <c r="AA568" s="54"/>
      <c r="AB568" s="287"/>
      <c r="AC568" s="54"/>
      <c r="AD568" s="54"/>
      <c r="AE568" s="54"/>
    </row>
    <row r="569">
      <c r="A569" s="54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54"/>
      <c r="M569" s="54"/>
      <c r="N569" s="54"/>
      <c r="O569" s="54"/>
      <c r="R569" s="249"/>
      <c r="S569" s="54"/>
      <c r="T569" s="54"/>
      <c r="U569" s="54"/>
      <c r="V569" s="54"/>
      <c r="W569" s="54"/>
      <c r="X569" s="54"/>
      <c r="Y569" s="54"/>
      <c r="Z569" s="54"/>
      <c r="AA569" s="54"/>
      <c r="AB569" s="287"/>
      <c r="AC569" s="54"/>
      <c r="AD569" s="54"/>
      <c r="AE569" s="54"/>
    </row>
    <row r="570">
      <c r="A570" s="54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54"/>
      <c r="M570" s="54"/>
      <c r="N570" s="54"/>
      <c r="O570" s="54"/>
      <c r="R570" s="249"/>
      <c r="S570" s="54"/>
      <c r="T570" s="54"/>
      <c r="U570" s="54"/>
      <c r="V570" s="54"/>
      <c r="W570" s="54"/>
      <c r="X570" s="54"/>
      <c r="Y570" s="54"/>
      <c r="Z570" s="54"/>
      <c r="AA570" s="54"/>
      <c r="AB570" s="287"/>
      <c r="AC570" s="54"/>
      <c r="AD570" s="54"/>
      <c r="AE570" s="54"/>
    </row>
    <row r="571">
      <c r="A571" s="54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54"/>
      <c r="M571" s="54"/>
      <c r="N571" s="54"/>
      <c r="O571" s="54"/>
      <c r="R571" s="249"/>
      <c r="S571" s="54"/>
      <c r="T571" s="54"/>
      <c r="U571" s="54"/>
      <c r="V571" s="54"/>
      <c r="W571" s="54"/>
      <c r="X571" s="54"/>
      <c r="Y571" s="54"/>
      <c r="Z571" s="54"/>
      <c r="AA571" s="54"/>
      <c r="AB571" s="287"/>
      <c r="AC571" s="54"/>
      <c r="AD571" s="54"/>
      <c r="AE571" s="54"/>
    </row>
    <row r="572">
      <c r="A572" s="54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54"/>
      <c r="M572" s="54"/>
      <c r="N572" s="54"/>
      <c r="O572" s="54"/>
      <c r="R572" s="249"/>
      <c r="S572" s="54"/>
      <c r="T572" s="54"/>
      <c r="U572" s="54"/>
      <c r="V572" s="54"/>
      <c r="W572" s="54"/>
      <c r="X572" s="54"/>
      <c r="Y572" s="54"/>
      <c r="Z572" s="54"/>
      <c r="AA572" s="54"/>
      <c r="AB572" s="287"/>
      <c r="AC572" s="54"/>
      <c r="AD572" s="54"/>
      <c r="AE572" s="54"/>
    </row>
    <row r="573">
      <c r="A573" s="54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54"/>
      <c r="M573" s="54"/>
      <c r="N573" s="54"/>
      <c r="O573" s="54"/>
      <c r="R573" s="249"/>
      <c r="S573" s="54"/>
      <c r="T573" s="54"/>
      <c r="U573" s="54"/>
      <c r="V573" s="54"/>
      <c r="W573" s="54"/>
      <c r="X573" s="54"/>
      <c r="Y573" s="54"/>
      <c r="Z573" s="54"/>
      <c r="AA573" s="54"/>
      <c r="AB573" s="287"/>
      <c r="AC573" s="54"/>
      <c r="AD573" s="54"/>
      <c r="AE573" s="54"/>
    </row>
    <row r="574">
      <c r="A574" s="54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54"/>
      <c r="M574" s="54"/>
      <c r="N574" s="54"/>
      <c r="O574" s="54"/>
      <c r="R574" s="249"/>
      <c r="S574" s="54"/>
      <c r="T574" s="54"/>
      <c r="U574" s="54"/>
      <c r="V574" s="54"/>
      <c r="W574" s="54"/>
      <c r="X574" s="54"/>
      <c r="Y574" s="54"/>
      <c r="Z574" s="54"/>
      <c r="AA574" s="54"/>
      <c r="AB574" s="287"/>
      <c r="AC574" s="54"/>
      <c r="AD574" s="54"/>
      <c r="AE574" s="54"/>
    </row>
    <row r="575">
      <c r="A575" s="54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54"/>
      <c r="M575" s="54"/>
      <c r="N575" s="54"/>
      <c r="O575" s="54"/>
      <c r="R575" s="249"/>
      <c r="S575" s="54"/>
      <c r="T575" s="54"/>
      <c r="U575" s="54"/>
      <c r="V575" s="54"/>
      <c r="W575" s="54"/>
      <c r="X575" s="54"/>
      <c r="Y575" s="54"/>
      <c r="Z575" s="54"/>
      <c r="AA575" s="54"/>
      <c r="AB575" s="287"/>
      <c r="AC575" s="54"/>
      <c r="AD575" s="54"/>
      <c r="AE575" s="54"/>
    </row>
    <row r="576">
      <c r="A576" s="54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54"/>
      <c r="M576" s="54"/>
      <c r="N576" s="54"/>
      <c r="O576" s="54"/>
      <c r="R576" s="249"/>
      <c r="S576" s="54"/>
      <c r="T576" s="54"/>
      <c r="U576" s="54"/>
      <c r="V576" s="54"/>
      <c r="W576" s="54"/>
      <c r="X576" s="54"/>
      <c r="Y576" s="54"/>
      <c r="Z576" s="54"/>
      <c r="AA576" s="54"/>
      <c r="AB576" s="287"/>
      <c r="AC576" s="54"/>
      <c r="AD576" s="54"/>
      <c r="AE576" s="54"/>
    </row>
    <row r="577">
      <c r="A577" s="54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54"/>
      <c r="M577" s="54"/>
      <c r="N577" s="54"/>
      <c r="O577" s="54"/>
      <c r="R577" s="249"/>
      <c r="S577" s="54"/>
      <c r="T577" s="54"/>
      <c r="U577" s="54"/>
      <c r="V577" s="54"/>
      <c r="W577" s="54"/>
      <c r="X577" s="54"/>
      <c r="Y577" s="54"/>
      <c r="Z577" s="54"/>
      <c r="AA577" s="54"/>
      <c r="AB577" s="287"/>
      <c r="AC577" s="54"/>
      <c r="AD577" s="54"/>
      <c r="AE577" s="54"/>
    </row>
    <row r="578">
      <c r="A578" s="54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54"/>
      <c r="M578" s="54"/>
      <c r="N578" s="54"/>
      <c r="O578" s="54"/>
      <c r="R578" s="249"/>
      <c r="S578" s="54"/>
      <c r="T578" s="54"/>
      <c r="U578" s="54"/>
      <c r="V578" s="54"/>
      <c r="W578" s="54"/>
      <c r="X578" s="54"/>
      <c r="Y578" s="54"/>
      <c r="Z578" s="54"/>
      <c r="AA578" s="54"/>
      <c r="AB578" s="287"/>
      <c r="AC578" s="54"/>
      <c r="AD578" s="54"/>
      <c r="AE578" s="54"/>
    </row>
    <row r="579">
      <c r="A579" s="54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54"/>
      <c r="M579" s="54"/>
      <c r="N579" s="54"/>
      <c r="O579" s="54"/>
      <c r="R579" s="249"/>
      <c r="S579" s="54"/>
      <c r="T579" s="54"/>
      <c r="U579" s="54"/>
      <c r="V579" s="54"/>
      <c r="W579" s="54"/>
      <c r="X579" s="54"/>
      <c r="Y579" s="54"/>
      <c r="Z579" s="54"/>
      <c r="AA579" s="54"/>
      <c r="AB579" s="287"/>
      <c r="AC579" s="54"/>
      <c r="AD579" s="54"/>
      <c r="AE579" s="54"/>
    </row>
    <row r="580">
      <c r="A580" s="54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54"/>
      <c r="M580" s="54"/>
      <c r="N580" s="54"/>
      <c r="O580" s="54"/>
      <c r="R580" s="249"/>
      <c r="S580" s="54"/>
      <c r="T580" s="54"/>
      <c r="U580" s="54"/>
      <c r="V580" s="54"/>
      <c r="W580" s="54"/>
      <c r="X580" s="54"/>
      <c r="Y580" s="54"/>
      <c r="Z580" s="54"/>
      <c r="AA580" s="54"/>
      <c r="AB580" s="287"/>
      <c r="AC580" s="54"/>
      <c r="AD580" s="54"/>
      <c r="AE580" s="54"/>
    </row>
    <row r="581">
      <c r="A581" s="54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54"/>
      <c r="M581" s="54"/>
      <c r="N581" s="54"/>
      <c r="O581" s="54"/>
      <c r="R581" s="249"/>
      <c r="S581" s="54"/>
      <c r="T581" s="54"/>
      <c r="U581" s="54"/>
      <c r="V581" s="54"/>
      <c r="W581" s="54"/>
      <c r="X581" s="54"/>
      <c r="Y581" s="54"/>
      <c r="Z581" s="54"/>
      <c r="AA581" s="54"/>
      <c r="AB581" s="287"/>
      <c r="AC581" s="54"/>
      <c r="AD581" s="54"/>
      <c r="AE581" s="54"/>
    </row>
    <row r="582">
      <c r="A582" s="54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54"/>
      <c r="M582" s="54"/>
      <c r="N582" s="54"/>
      <c r="O582" s="54"/>
      <c r="R582" s="249"/>
      <c r="S582" s="54"/>
      <c r="T582" s="54"/>
      <c r="U582" s="54"/>
      <c r="V582" s="54"/>
      <c r="W582" s="54"/>
      <c r="X582" s="54"/>
      <c r="Y582" s="54"/>
      <c r="Z582" s="54"/>
      <c r="AA582" s="54"/>
      <c r="AB582" s="287"/>
      <c r="AC582" s="54"/>
      <c r="AD582" s="54"/>
      <c r="AE582" s="54"/>
    </row>
    <row r="583">
      <c r="A583" s="54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54"/>
      <c r="M583" s="54"/>
      <c r="N583" s="54"/>
      <c r="O583" s="54"/>
      <c r="R583" s="249"/>
      <c r="S583" s="54"/>
      <c r="T583" s="54"/>
      <c r="U583" s="54"/>
      <c r="V583" s="54"/>
      <c r="W583" s="54"/>
      <c r="X583" s="54"/>
      <c r="Y583" s="54"/>
      <c r="Z583" s="54"/>
      <c r="AA583" s="54"/>
      <c r="AB583" s="287"/>
      <c r="AC583" s="54"/>
      <c r="AD583" s="54"/>
      <c r="AE583" s="54"/>
    </row>
    <row r="584">
      <c r="A584" s="54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54"/>
      <c r="M584" s="54"/>
      <c r="N584" s="54"/>
      <c r="O584" s="54"/>
      <c r="R584" s="249"/>
      <c r="S584" s="54"/>
      <c r="T584" s="54"/>
      <c r="U584" s="54"/>
      <c r="V584" s="54"/>
      <c r="W584" s="54"/>
      <c r="X584" s="54"/>
      <c r="Y584" s="54"/>
      <c r="Z584" s="54"/>
      <c r="AA584" s="54"/>
      <c r="AB584" s="287"/>
      <c r="AC584" s="54"/>
      <c r="AD584" s="54"/>
      <c r="AE584" s="54"/>
    </row>
    <row r="585">
      <c r="A585" s="54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54"/>
      <c r="M585" s="54"/>
      <c r="N585" s="54"/>
      <c r="O585" s="54"/>
      <c r="R585" s="249"/>
      <c r="S585" s="54"/>
      <c r="T585" s="54"/>
      <c r="U585" s="54"/>
      <c r="V585" s="54"/>
      <c r="W585" s="54"/>
      <c r="X585" s="54"/>
      <c r="Y585" s="54"/>
      <c r="Z585" s="54"/>
      <c r="AA585" s="54"/>
      <c r="AB585" s="287"/>
      <c r="AC585" s="54"/>
      <c r="AD585" s="54"/>
      <c r="AE585" s="54"/>
    </row>
    <row r="586">
      <c r="A586" s="54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54"/>
      <c r="M586" s="54"/>
      <c r="N586" s="54"/>
      <c r="O586" s="54"/>
      <c r="R586" s="249"/>
      <c r="S586" s="54"/>
      <c r="T586" s="54"/>
      <c r="U586" s="54"/>
      <c r="V586" s="54"/>
      <c r="W586" s="54"/>
      <c r="X586" s="54"/>
      <c r="Y586" s="54"/>
      <c r="Z586" s="54"/>
      <c r="AA586" s="54"/>
      <c r="AB586" s="287"/>
      <c r="AC586" s="54"/>
      <c r="AD586" s="54"/>
      <c r="AE586" s="54"/>
    </row>
    <row r="587">
      <c r="A587" s="54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54"/>
      <c r="M587" s="54"/>
      <c r="N587" s="54"/>
      <c r="O587" s="54"/>
      <c r="R587" s="249"/>
      <c r="S587" s="54"/>
      <c r="T587" s="54"/>
      <c r="U587" s="54"/>
      <c r="V587" s="54"/>
      <c r="W587" s="54"/>
      <c r="X587" s="54"/>
      <c r="Y587" s="54"/>
      <c r="Z587" s="54"/>
      <c r="AA587" s="54"/>
      <c r="AB587" s="287"/>
      <c r="AC587" s="54"/>
      <c r="AD587" s="54"/>
      <c r="AE587" s="54"/>
    </row>
    <row r="588">
      <c r="A588" s="54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54"/>
      <c r="M588" s="54"/>
      <c r="N588" s="54"/>
      <c r="O588" s="54"/>
      <c r="R588" s="249"/>
      <c r="S588" s="54"/>
      <c r="T588" s="54"/>
      <c r="U588" s="54"/>
      <c r="V588" s="54"/>
      <c r="W588" s="54"/>
      <c r="X588" s="54"/>
      <c r="Y588" s="54"/>
      <c r="Z588" s="54"/>
      <c r="AA588" s="54"/>
      <c r="AB588" s="287"/>
      <c r="AC588" s="54"/>
      <c r="AD588" s="54"/>
      <c r="AE588" s="54"/>
    </row>
    <row r="589">
      <c r="A589" s="54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54"/>
      <c r="M589" s="54"/>
      <c r="N589" s="54"/>
      <c r="O589" s="54"/>
      <c r="R589" s="249"/>
      <c r="S589" s="54"/>
      <c r="T589" s="54"/>
      <c r="U589" s="54"/>
      <c r="V589" s="54"/>
      <c r="W589" s="54"/>
      <c r="X589" s="54"/>
      <c r="Y589" s="54"/>
      <c r="Z589" s="54"/>
      <c r="AA589" s="54"/>
      <c r="AB589" s="287"/>
      <c r="AC589" s="54"/>
      <c r="AD589" s="54"/>
      <c r="AE589" s="54"/>
    </row>
    <row r="590">
      <c r="A590" s="54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54"/>
      <c r="M590" s="54"/>
      <c r="N590" s="54"/>
      <c r="O590" s="54"/>
      <c r="R590" s="249"/>
      <c r="S590" s="54"/>
      <c r="T590" s="54"/>
      <c r="U590" s="54"/>
      <c r="V590" s="54"/>
      <c r="W590" s="54"/>
      <c r="X590" s="54"/>
      <c r="Y590" s="54"/>
      <c r="Z590" s="54"/>
      <c r="AA590" s="54"/>
      <c r="AB590" s="287"/>
      <c r="AC590" s="54"/>
      <c r="AD590" s="54"/>
      <c r="AE590" s="54"/>
    </row>
    <row r="591">
      <c r="A591" s="54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54"/>
      <c r="M591" s="54"/>
      <c r="N591" s="54"/>
      <c r="O591" s="54"/>
      <c r="R591" s="249"/>
      <c r="S591" s="54"/>
      <c r="T591" s="54"/>
      <c r="U591" s="54"/>
      <c r="V591" s="54"/>
      <c r="W591" s="54"/>
      <c r="X591" s="54"/>
      <c r="Y591" s="54"/>
      <c r="Z591" s="54"/>
      <c r="AA591" s="54"/>
      <c r="AB591" s="287"/>
      <c r="AC591" s="54"/>
      <c r="AD591" s="54"/>
      <c r="AE591" s="54"/>
    </row>
    <row r="592">
      <c r="A592" s="54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54"/>
      <c r="M592" s="54"/>
      <c r="N592" s="54"/>
      <c r="O592" s="54"/>
      <c r="R592" s="249"/>
      <c r="S592" s="54"/>
      <c r="T592" s="54"/>
      <c r="U592" s="54"/>
      <c r="V592" s="54"/>
      <c r="W592" s="54"/>
      <c r="X592" s="54"/>
      <c r="Y592" s="54"/>
      <c r="Z592" s="54"/>
      <c r="AA592" s="54"/>
      <c r="AB592" s="287"/>
      <c r="AC592" s="54"/>
      <c r="AD592" s="54"/>
      <c r="AE592" s="54"/>
    </row>
    <row r="593">
      <c r="A593" s="54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54"/>
      <c r="M593" s="54"/>
      <c r="N593" s="54"/>
      <c r="O593" s="54"/>
      <c r="R593" s="249"/>
      <c r="S593" s="54"/>
      <c r="T593" s="54"/>
      <c r="U593" s="54"/>
      <c r="V593" s="54"/>
      <c r="W593" s="54"/>
      <c r="X593" s="54"/>
      <c r="Y593" s="54"/>
      <c r="Z593" s="54"/>
      <c r="AA593" s="54"/>
      <c r="AB593" s="287"/>
      <c r="AC593" s="54"/>
      <c r="AD593" s="54"/>
      <c r="AE593" s="54"/>
    </row>
    <row r="594">
      <c r="A594" s="54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54"/>
      <c r="M594" s="54"/>
      <c r="N594" s="54"/>
      <c r="O594" s="54"/>
      <c r="R594" s="249"/>
      <c r="S594" s="54"/>
      <c r="T594" s="54"/>
      <c r="U594" s="54"/>
      <c r="V594" s="54"/>
      <c r="W594" s="54"/>
      <c r="X594" s="54"/>
      <c r="Y594" s="54"/>
      <c r="Z594" s="54"/>
      <c r="AA594" s="54"/>
      <c r="AB594" s="287"/>
      <c r="AC594" s="54"/>
      <c r="AD594" s="54"/>
      <c r="AE594" s="54"/>
    </row>
    <row r="595">
      <c r="A595" s="54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54"/>
      <c r="M595" s="54"/>
      <c r="N595" s="54"/>
      <c r="O595" s="54"/>
      <c r="R595" s="249"/>
      <c r="S595" s="54"/>
      <c r="T595" s="54"/>
      <c r="U595" s="54"/>
      <c r="V595" s="54"/>
      <c r="W595" s="54"/>
      <c r="X595" s="54"/>
      <c r="Y595" s="54"/>
      <c r="Z595" s="54"/>
      <c r="AA595" s="54"/>
      <c r="AB595" s="287"/>
      <c r="AC595" s="54"/>
      <c r="AD595" s="54"/>
      <c r="AE595" s="54"/>
    </row>
    <row r="596">
      <c r="A596" s="54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54"/>
      <c r="M596" s="54"/>
      <c r="N596" s="54"/>
      <c r="O596" s="54"/>
      <c r="R596" s="249"/>
      <c r="S596" s="54"/>
      <c r="T596" s="54"/>
      <c r="U596" s="54"/>
      <c r="V596" s="54"/>
      <c r="W596" s="54"/>
      <c r="X596" s="54"/>
      <c r="Y596" s="54"/>
      <c r="Z596" s="54"/>
      <c r="AA596" s="54"/>
      <c r="AB596" s="287"/>
      <c r="AC596" s="54"/>
      <c r="AD596" s="54"/>
      <c r="AE596" s="54"/>
    </row>
    <row r="597">
      <c r="A597" s="54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54"/>
      <c r="M597" s="54"/>
      <c r="N597" s="54"/>
      <c r="O597" s="54"/>
      <c r="R597" s="249"/>
      <c r="S597" s="54"/>
      <c r="T597" s="54"/>
      <c r="U597" s="54"/>
      <c r="V597" s="54"/>
      <c r="W597" s="54"/>
      <c r="X597" s="54"/>
      <c r="Y597" s="54"/>
      <c r="Z597" s="54"/>
      <c r="AA597" s="54"/>
      <c r="AB597" s="287"/>
      <c r="AC597" s="54"/>
      <c r="AD597" s="54"/>
      <c r="AE597" s="54"/>
    </row>
    <row r="598">
      <c r="A598" s="54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54"/>
      <c r="M598" s="54"/>
      <c r="N598" s="54"/>
      <c r="O598" s="54"/>
      <c r="R598" s="249"/>
      <c r="S598" s="54"/>
      <c r="T598" s="54"/>
      <c r="U598" s="54"/>
      <c r="V598" s="54"/>
      <c r="W598" s="54"/>
      <c r="X598" s="54"/>
      <c r="Y598" s="54"/>
      <c r="Z598" s="54"/>
      <c r="AA598" s="54"/>
      <c r="AB598" s="287"/>
      <c r="AC598" s="54"/>
      <c r="AD598" s="54"/>
      <c r="AE598" s="54"/>
    </row>
    <row r="599">
      <c r="A599" s="54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54"/>
      <c r="M599" s="54"/>
      <c r="N599" s="54"/>
      <c r="O599" s="54"/>
      <c r="R599" s="249"/>
      <c r="S599" s="54"/>
      <c r="T599" s="54"/>
      <c r="U599" s="54"/>
      <c r="V599" s="54"/>
      <c r="W599" s="54"/>
      <c r="X599" s="54"/>
      <c r="Y599" s="54"/>
      <c r="Z599" s="54"/>
      <c r="AA599" s="54"/>
      <c r="AB599" s="287"/>
      <c r="AC599" s="54"/>
      <c r="AD599" s="54"/>
      <c r="AE599" s="54"/>
    </row>
    <row r="600">
      <c r="A600" s="54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54"/>
      <c r="M600" s="54"/>
      <c r="N600" s="54"/>
      <c r="O600" s="54"/>
      <c r="R600" s="249"/>
      <c r="S600" s="54"/>
      <c r="T600" s="54"/>
      <c r="U600" s="54"/>
      <c r="V600" s="54"/>
      <c r="W600" s="54"/>
      <c r="X600" s="54"/>
      <c r="Y600" s="54"/>
      <c r="Z600" s="54"/>
      <c r="AA600" s="54"/>
      <c r="AB600" s="287"/>
      <c r="AC600" s="54"/>
      <c r="AD600" s="54"/>
      <c r="AE600" s="54"/>
    </row>
    <row r="601">
      <c r="A601" s="54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54"/>
      <c r="M601" s="54"/>
      <c r="N601" s="54"/>
      <c r="O601" s="54"/>
      <c r="R601" s="249"/>
      <c r="S601" s="54"/>
      <c r="T601" s="54"/>
      <c r="U601" s="54"/>
      <c r="V601" s="54"/>
      <c r="W601" s="54"/>
      <c r="X601" s="54"/>
      <c r="Y601" s="54"/>
      <c r="Z601" s="54"/>
      <c r="AA601" s="54"/>
      <c r="AB601" s="287"/>
      <c r="AC601" s="54"/>
      <c r="AD601" s="54"/>
      <c r="AE601" s="54"/>
    </row>
    <row r="602">
      <c r="A602" s="54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54"/>
      <c r="M602" s="54"/>
      <c r="N602" s="54"/>
      <c r="O602" s="54"/>
      <c r="R602" s="249"/>
      <c r="S602" s="54"/>
      <c r="T602" s="54"/>
      <c r="U602" s="54"/>
      <c r="V602" s="54"/>
      <c r="W602" s="54"/>
      <c r="X602" s="54"/>
      <c r="Y602" s="54"/>
      <c r="Z602" s="54"/>
      <c r="AA602" s="54"/>
      <c r="AB602" s="287"/>
      <c r="AC602" s="54"/>
      <c r="AD602" s="54"/>
      <c r="AE602" s="54"/>
    </row>
    <row r="603">
      <c r="A603" s="54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54"/>
      <c r="M603" s="54"/>
      <c r="N603" s="54"/>
      <c r="O603" s="54"/>
      <c r="R603" s="249"/>
      <c r="S603" s="54"/>
      <c r="T603" s="54"/>
      <c r="U603" s="54"/>
      <c r="V603" s="54"/>
      <c r="W603" s="54"/>
      <c r="X603" s="54"/>
      <c r="Y603" s="54"/>
      <c r="Z603" s="54"/>
      <c r="AA603" s="54"/>
      <c r="AB603" s="287"/>
      <c r="AC603" s="54"/>
      <c r="AD603" s="54"/>
      <c r="AE603" s="54"/>
    </row>
    <row r="604">
      <c r="A604" s="54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54"/>
      <c r="M604" s="54"/>
      <c r="N604" s="54"/>
      <c r="O604" s="54"/>
      <c r="R604" s="249"/>
      <c r="S604" s="54"/>
      <c r="T604" s="54"/>
      <c r="U604" s="54"/>
      <c r="V604" s="54"/>
      <c r="W604" s="54"/>
      <c r="X604" s="54"/>
      <c r="Y604" s="54"/>
      <c r="Z604" s="54"/>
      <c r="AA604" s="54"/>
      <c r="AB604" s="287"/>
      <c r="AC604" s="54"/>
      <c r="AD604" s="54"/>
      <c r="AE604" s="54"/>
    </row>
    <row r="605">
      <c r="A605" s="54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54"/>
      <c r="M605" s="54"/>
      <c r="N605" s="54"/>
      <c r="O605" s="54"/>
      <c r="R605" s="249"/>
      <c r="S605" s="54"/>
      <c r="T605" s="54"/>
      <c r="U605" s="54"/>
      <c r="V605" s="54"/>
      <c r="W605" s="54"/>
      <c r="X605" s="54"/>
      <c r="Y605" s="54"/>
      <c r="Z605" s="54"/>
      <c r="AA605" s="54"/>
      <c r="AB605" s="287"/>
      <c r="AC605" s="54"/>
      <c r="AD605" s="54"/>
      <c r="AE605" s="54"/>
    </row>
    <row r="606">
      <c r="A606" s="54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54"/>
      <c r="M606" s="54"/>
      <c r="N606" s="54"/>
      <c r="O606" s="54"/>
      <c r="R606" s="249"/>
      <c r="S606" s="54"/>
      <c r="T606" s="54"/>
      <c r="U606" s="54"/>
      <c r="V606" s="54"/>
      <c r="W606" s="54"/>
      <c r="X606" s="54"/>
      <c r="Y606" s="54"/>
      <c r="Z606" s="54"/>
      <c r="AA606" s="54"/>
      <c r="AB606" s="287"/>
      <c r="AC606" s="54"/>
      <c r="AD606" s="54"/>
      <c r="AE606" s="54"/>
    </row>
    <row r="607">
      <c r="A607" s="54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54"/>
      <c r="M607" s="54"/>
      <c r="N607" s="54"/>
      <c r="O607" s="54"/>
      <c r="R607" s="249"/>
      <c r="S607" s="54"/>
      <c r="T607" s="54"/>
      <c r="U607" s="54"/>
      <c r="V607" s="54"/>
      <c r="W607" s="54"/>
      <c r="X607" s="54"/>
      <c r="Y607" s="54"/>
      <c r="Z607" s="54"/>
      <c r="AA607" s="54"/>
      <c r="AB607" s="287"/>
      <c r="AC607" s="54"/>
      <c r="AD607" s="54"/>
      <c r="AE607" s="54"/>
    </row>
    <row r="608">
      <c r="A608" s="54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54"/>
      <c r="M608" s="54"/>
      <c r="N608" s="54"/>
      <c r="O608" s="54"/>
      <c r="R608" s="249"/>
      <c r="S608" s="54"/>
      <c r="T608" s="54"/>
      <c r="U608" s="54"/>
      <c r="V608" s="54"/>
      <c r="W608" s="54"/>
      <c r="X608" s="54"/>
      <c r="Y608" s="54"/>
      <c r="Z608" s="54"/>
      <c r="AA608" s="54"/>
      <c r="AB608" s="287"/>
      <c r="AC608" s="54"/>
      <c r="AD608" s="54"/>
      <c r="AE608" s="54"/>
    </row>
    <row r="609">
      <c r="A609" s="54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54"/>
      <c r="M609" s="54"/>
      <c r="N609" s="54"/>
      <c r="O609" s="54"/>
      <c r="R609" s="249"/>
      <c r="S609" s="54"/>
      <c r="T609" s="54"/>
      <c r="U609" s="54"/>
      <c r="V609" s="54"/>
      <c r="W609" s="54"/>
      <c r="X609" s="54"/>
      <c r="Y609" s="54"/>
      <c r="Z609" s="54"/>
      <c r="AA609" s="54"/>
      <c r="AB609" s="287"/>
      <c r="AC609" s="54"/>
      <c r="AD609" s="54"/>
      <c r="AE609" s="54"/>
    </row>
    <row r="610">
      <c r="A610" s="54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54"/>
      <c r="M610" s="54"/>
      <c r="N610" s="54"/>
      <c r="O610" s="54"/>
      <c r="R610" s="249"/>
      <c r="S610" s="54"/>
      <c r="T610" s="54"/>
      <c r="U610" s="54"/>
      <c r="V610" s="54"/>
      <c r="W610" s="54"/>
      <c r="X610" s="54"/>
      <c r="Y610" s="54"/>
      <c r="Z610" s="54"/>
      <c r="AA610" s="54"/>
      <c r="AB610" s="287"/>
      <c r="AC610" s="54"/>
      <c r="AD610" s="54"/>
      <c r="AE610" s="54"/>
    </row>
    <row r="611">
      <c r="A611" s="54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54"/>
      <c r="M611" s="54"/>
      <c r="N611" s="54"/>
      <c r="O611" s="54"/>
      <c r="R611" s="249"/>
      <c r="S611" s="54"/>
      <c r="T611" s="54"/>
      <c r="U611" s="54"/>
      <c r="V611" s="54"/>
      <c r="W611" s="54"/>
      <c r="X611" s="54"/>
      <c r="Y611" s="54"/>
      <c r="Z611" s="54"/>
      <c r="AA611" s="54"/>
      <c r="AB611" s="287"/>
      <c r="AC611" s="54"/>
      <c r="AD611" s="54"/>
      <c r="AE611" s="54"/>
    </row>
    <row r="612">
      <c r="A612" s="54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54"/>
      <c r="M612" s="54"/>
      <c r="N612" s="54"/>
      <c r="O612" s="54"/>
      <c r="R612" s="249"/>
      <c r="S612" s="54"/>
      <c r="T612" s="54"/>
      <c r="U612" s="54"/>
      <c r="V612" s="54"/>
      <c r="W612" s="54"/>
      <c r="X612" s="54"/>
      <c r="Y612" s="54"/>
      <c r="Z612" s="54"/>
      <c r="AA612" s="54"/>
      <c r="AB612" s="287"/>
      <c r="AC612" s="54"/>
      <c r="AD612" s="54"/>
      <c r="AE612" s="54"/>
    </row>
    <row r="613">
      <c r="A613" s="54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54"/>
      <c r="M613" s="54"/>
      <c r="N613" s="54"/>
      <c r="O613" s="54"/>
      <c r="R613" s="249"/>
      <c r="S613" s="54"/>
      <c r="T613" s="54"/>
      <c r="U613" s="54"/>
      <c r="V613" s="54"/>
      <c r="W613" s="54"/>
      <c r="X613" s="54"/>
      <c r="Y613" s="54"/>
      <c r="Z613" s="54"/>
      <c r="AA613" s="54"/>
      <c r="AB613" s="287"/>
      <c r="AC613" s="54"/>
      <c r="AD613" s="54"/>
      <c r="AE613" s="54"/>
    </row>
    <row r="614">
      <c r="A614" s="54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54"/>
      <c r="M614" s="54"/>
      <c r="N614" s="54"/>
      <c r="O614" s="54"/>
      <c r="R614" s="249"/>
      <c r="S614" s="54"/>
      <c r="T614" s="54"/>
      <c r="U614" s="54"/>
      <c r="V614" s="54"/>
      <c r="W614" s="54"/>
      <c r="X614" s="54"/>
      <c r="Y614" s="54"/>
      <c r="Z614" s="54"/>
      <c r="AA614" s="54"/>
      <c r="AB614" s="287"/>
      <c r="AC614" s="54"/>
      <c r="AD614" s="54"/>
      <c r="AE614" s="54"/>
    </row>
    <row r="615">
      <c r="A615" s="54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54"/>
      <c r="M615" s="54"/>
      <c r="N615" s="54"/>
      <c r="O615" s="54"/>
      <c r="R615" s="249"/>
      <c r="S615" s="54"/>
      <c r="T615" s="54"/>
      <c r="U615" s="54"/>
      <c r="V615" s="54"/>
      <c r="W615" s="54"/>
      <c r="X615" s="54"/>
      <c r="Y615" s="54"/>
      <c r="Z615" s="54"/>
      <c r="AA615" s="54"/>
      <c r="AB615" s="287"/>
      <c r="AC615" s="54"/>
      <c r="AD615" s="54"/>
      <c r="AE615" s="54"/>
    </row>
    <row r="616">
      <c r="A616" s="54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54"/>
      <c r="M616" s="54"/>
      <c r="N616" s="54"/>
      <c r="O616" s="54"/>
      <c r="R616" s="249"/>
      <c r="S616" s="54"/>
      <c r="T616" s="54"/>
      <c r="U616" s="54"/>
      <c r="V616" s="54"/>
      <c r="W616" s="54"/>
      <c r="X616" s="54"/>
      <c r="Y616" s="54"/>
      <c r="Z616" s="54"/>
      <c r="AA616" s="54"/>
      <c r="AB616" s="287"/>
      <c r="AC616" s="54"/>
      <c r="AD616" s="54"/>
      <c r="AE616" s="54"/>
    </row>
    <row r="617">
      <c r="A617" s="54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54"/>
      <c r="M617" s="54"/>
      <c r="N617" s="54"/>
      <c r="O617" s="54"/>
      <c r="R617" s="249"/>
      <c r="S617" s="54"/>
      <c r="T617" s="54"/>
      <c r="U617" s="54"/>
      <c r="V617" s="54"/>
      <c r="W617" s="54"/>
      <c r="X617" s="54"/>
      <c r="Y617" s="54"/>
      <c r="Z617" s="54"/>
      <c r="AA617" s="54"/>
      <c r="AB617" s="287"/>
      <c r="AC617" s="54"/>
      <c r="AD617" s="54"/>
      <c r="AE617" s="54"/>
    </row>
    <row r="618">
      <c r="A618" s="54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54"/>
      <c r="M618" s="54"/>
      <c r="N618" s="54"/>
      <c r="O618" s="54"/>
      <c r="R618" s="249"/>
      <c r="S618" s="54"/>
      <c r="T618" s="54"/>
      <c r="U618" s="54"/>
      <c r="V618" s="54"/>
      <c r="W618" s="54"/>
      <c r="X618" s="54"/>
      <c r="Y618" s="54"/>
      <c r="Z618" s="54"/>
      <c r="AA618" s="54"/>
      <c r="AB618" s="287"/>
      <c r="AC618" s="54"/>
      <c r="AD618" s="54"/>
      <c r="AE618" s="54"/>
    </row>
    <row r="619">
      <c r="A619" s="54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54"/>
      <c r="M619" s="54"/>
      <c r="N619" s="54"/>
      <c r="O619" s="54"/>
      <c r="R619" s="249"/>
      <c r="S619" s="54"/>
      <c r="T619" s="54"/>
      <c r="U619" s="54"/>
      <c r="V619" s="54"/>
      <c r="W619" s="54"/>
      <c r="X619" s="54"/>
      <c r="Y619" s="54"/>
      <c r="Z619" s="54"/>
      <c r="AA619" s="54"/>
      <c r="AB619" s="287"/>
      <c r="AC619" s="54"/>
      <c r="AD619" s="54"/>
      <c r="AE619" s="54"/>
    </row>
    <row r="620">
      <c r="A620" s="54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54"/>
      <c r="M620" s="54"/>
      <c r="N620" s="54"/>
      <c r="O620" s="54"/>
      <c r="R620" s="249"/>
      <c r="S620" s="54"/>
      <c r="T620" s="54"/>
      <c r="U620" s="54"/>
      <c r="V620" s="54"/>
      <c r="W620" s="54"/>
      <c r="X620" s="54"/>
      <c r="Y620" s="54"/>
      <c r="Z620" s="54"/>
      <c r="AA620" s="54"/>
      <c r="AB620" s="287"/>
      <c r="AC620" s="54"/>
      <c r="AD620" s="54"/>
      <c r="AE620" s="54"/>
    </row>
    <row r="621">
      <c r="A621" s="54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54"/>
      <c r="M621" s="54"/>
      <c r="N621" s="54"/>
      <c r="O621" s="54"/>
      <c r="R621" s="249"/>
      <c r="S621" s="54"/>
      <c r="T621" s="54"/>
      <c r="U621" s="54"/>
      <c r="V621" s="54"/>
      <c r="W621" s="54"/>
      <c r="X621" s="54"/>
      <c r="Y621" s="54"/>
      <c r="Z621" s="54"/>
      <c r="AA621" s="54"/>
      <c r="AB621" s="287"/>
      <c r="AC621" s="54"/>
      <c r="AD621" s="54"/>
      <c r="AE621" s="54"/>
    </row>
    <row r="622">
      <c r="A622" s="54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54"/>
      <c r="M622" s="54"/>
      <c r="N622" s="54"/>
      <c r="O622" s="54"/>
      <c r="R622" s="249"/>
      <c r="S622" s="54"/>
      <c r="T622" s="54"/>
      <c r="U622" s="54"/>
      <c r="V622" s="54"/>
      <c r="W622" s="54"/>
      <c r="X622" s="54"/>
      <c r="Y622" s="54"/>
      <c r="Z622" s="54"/>
      <c r="AA622" s="54"/>
      <c r="AB622" s="287"/>
      <c r="AC622" s="54"/>
      <c r="AD622" s="54"/>
      <c r="AE622" s="54"/>
    </row>
    <row r="623">
      <c r="A623" s="54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54"/>
      <c r="M623" s="54"/>
      <c r="N623" s="54"/>
      <c r="O623" s="54"/>
      <c r="R623" s="249"/>
      <c r="S623" s="54"/>
      <c r="T623" s="54"/>
      <c r="U623" s="54"/>
      <c r="V623" s="54"/>
      <c r="W623" s="54"/>
      <c r="X623" s="54"/>
      <c r="Y623" s="54"/>
      <c r="Z623" s="54"/>
      <c r="AA623" s="54"/>
      <c r="AB623" s="287"/>
      <c r="AC623" s="54"/>
      <c r="AD623" s="54"/>
      <c r="AE623" s="54"/>
    </row>
    <row r="624">
      <c r="A624" s="54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54"/>
      <c r="M624" s="54"/>
      <c r="N624" s="54"/>
      <c r="O624" s="54"/>
      <c r="R624" s="249"/>
      <c r="S624" s="54"/>
      <c r="T624" s="54"/>
      <c r="U624" s="54"/>
      <c r="V624" s="54"/>
      <c r="W624" s="54"/>
      <c r="X624" s="54"/>
      <c r="Y624" s="54"/>
      <c r="Z624" s="54"/>
      <c r="AA624" s="54"/>
      <c r="AB624" s="287"/>
      <c r="AC624" s="54"/>
      <c r="AD624" s="54"/>
      <c r="AE624" s="54"/>
    </row>
    <row r="625">
      <c r="A625" s="54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54"/>
      <c r="M625" s="54"/>
      <c r="N625" s="54"/>
      <c r="O625" s="54"/>
      <c r="R625" s="249"/>
      <c r="S625" s="54"/>
      <c r="T625" s="54"/>
      <c r="U625" s="54"/>
      <c r="V625" s="54"/>
      <c r="W625" s="54"/>
      <c r="X625" s="54"/>
      <c r="Y625" s="54"/>
      <c r="Z625" s="54"/>
      <c r="AA625" s="54"/>
      <c r="AB625" s="287"/>
      <c r="AC625" s="54"/>
      <c r="AD625" s="54"/>
      <c r="AE625" s="54"/>
    </row>
    <row r="626">
      <c r="A626" s="54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54"/>
      <c r="M626" s="54"/>
      <c r="N626" s="54"/>
      <c r="O626" s="54"/>
      <c r="R626" s="249"/>
      <c r="S626" s="54"/>
      <c r="T626" s="54"/>
      <c r="U626" s="54"/>
      <c r="V626" s="54"/>
      <c r="W626" s="54"/>
      <c r="X626" s="54"/>
      <c r="Y626" s="54"/>
      <c r="Z626" s="54"/>
      <c r="AA626" s="54"/>
      <c r="AB626" s="287"/>
      <c r="AC626" s="54"/>
      <c r="AD626" s="54"/>
      <c r="AE626" s="54"/>
    </row>
    <row r="627">
      <c r="A627" s="54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54"/>
      <c r="M627" s="54"/>
      <c r="N627" s="54"/>
      <c r="O627" s="54"/>
      <c r="R627" s="249"/>
      <c r="S627" s="54"/>
      <c r="T627" s="54"/>
      <c r="U627" s="54"/>
      <c r="V627" s="54"/>
      <c r="W627" s="54"/>
      <c r="X627" s="54"/>
      <c r="Y627" s="54"/>
      <c r="Z627" s="54"/>
      <c r="AA627" s="54"/>
      <c r="AB627" s="287"/>
      <c r="AC627" s="54"/>
      <c r="AD627" s="54"/>
      <c r="AE627" s="54"/>
    </row>
    <row r="628">
      <c r="A628" s="54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54"/>
      <c r="M628" s="54"/>
      <c r="N628" s="54"/>
      <c r="O628" s="54"/>
      <c r="R628" s="249"/>
      <c r="S628" s="54"/>
      <c r="T628" s="54"/>
      <c r="U628" s="54"/>
      <c r="V628" s="54"/>
      <c r="W628" s="54"/>
      <c r="X628" s="54"/>
      <c r="Y628" s="54"/>
      <c r="Z628" s="54"/>
      <c r="AA628" s="54"/>
      <c r="AB628" s="287"/>
      <c r="AC628" s="54"/>
      <c r="AD628" s="54"/>
      <c r="AE628" s="54"/>
    </row>
    <row r="629">
      <c r="A629" s="54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54"/>
      <c r="M629" s="54"/>
      <c r="N629" s="54"/>
      <c r="O629" s="54"/>
      <c r="R629" s="249"/>
      <c r="S629" s="54"/>
      <c r="T629" s="54"/>
      <c r="U629" s="54"/>
      <c r="V629" s="54"/>
      <c r="W629" s="54"/>
      <c r="X629" s="54"/>
      <c r="Y629" s="54"/>
      <c r="Z629" s="54"/>
      <c r="AA629" s="54"/>
      <c r="AB629" s="287"/>
      <c r="AC629" s="54"/>
      <c r="AD629" s="54"/>
      <c r="AE629" s="54"/>
    </row>
    <row r="630">
      <c r="A630" s="54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54"/>
      <c r="M630" s="54"/>
      <c r="N630" s="54"/>
      <c r="O630" s="54"/>
      <c r="R630" s="249"/>
      <c r="S630" s="54"/>
      <c r="T630" s="54"/>
      <c r="U630" s="54"/>
      <c r="V630" s="54"/>
      <c r="W630" s="54"/>
      <c r="X630" s="54"/>
      <c r="Y630" s="54"/>
      <c r="Z630" s="54"/>
      <c r="AA630" s="54"/>
      <c r="AB630" s="287"/>
      <c r="AC630" s="54"/>
      <c r="AD630" s="54"/>
      <c r="AE630" s="54"/>
    </row>
    <row r="631">
      <c r="A631" s="54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54"/>
      <c r="M631" s="54"/>
      <c r="N631" s="54"/>
      <c r="O631" s="54"/>
      <c r="R631" s="249"/>
      <c r="S631" s="54"/>
      <c r="T631" s="54"/>
      <c r="U631" s="54"/>
      <c r="V631" s="54"/>
      <c r="W631" s="54"/>
      <c r="X631" s="54"/>
      <c r="Y631" s="54"/>
      <c r="Z631" s="54"/>
      <c r="AA631" s="54"/>
      <c r="AB631" s="287"/>
      <c r="AC631" s="54"/>
      <c r="AD631" s="54"/>
      <c r="AE631" s="54"/>
    </row>
    <row r="632">
      <c r="A632" s="54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54"/>
      <c r="M632" s="54"/>
      <c r="N632" s="54"/>
      <c r="O632" s="54"/>
      <c r="R632" s="249"/>
      <c r="S632" s="54"/>
      <c r="T632" s="54"/>
      <c r="U632" s="54"/>
      <c r="V632" s="54"/>
      <c r="W632" s="54"/>
      <c r="X632" s="54"/>
      <c r="Y632" s="54"/>
      <c r="Z632" s="54"/>
      <c r="AA632" s="54"/>
      <c r="AB632" s="287"/>
      <c r="AC632" s="54"/>
      <c r="AD632" s="54"/>
      <c r="AE632" s="54"/>
    </row>
    <row r="633">
      <c r="A633" s="54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54"/>
      <c r="M633" s="54"/>
      <c r="N633" s="54"/>
      <c r="O633" s="54"/>
      <c r="R633" s="249"/>
      <c r="S633" s="54"/>
      <c r="T633" s="54"/>
      <c r="U633" s="54"/>
      <c r="V633" s="54"/>
      <c r="W633" s="54"/>
      <c r="X633" s="54"/>
      <c r="Y633" s="54"/>
      <c r="Z633" s="54"/>
      <c r="AA633" s="54"/>
      <c r="AB633" s="287"/>
      <c r="AC633" s="54"/>
      <c r="AD633" s="54"/>
      <c r="AE633" s="54"/>
    </row>
    <row r="634">
      <c r="A634" s="54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54"/>
      <c r="M634" s="54"/>
      <c r="N634" s="54"/>
      <c r="O634" s="54"/>
      <c r="R634" s="249"/>
      <c r="S634" s="54"/>
      <c r="T634" s="54"/>
      <c r="U634" s="54"/>
      <c r="V634" s="54"/>
      <c r="W634" s="54"/>
      <c r="X634" s="54"/>
      <c r="Y634" s="54"/>
      <c r="Z634" s="54"/>
      <c r="AA634" s="54"/>
      <c r="AB634" s="287"/>
      <c r="AC634" s="54"/>
      <c r="AD634" s="54"/>
      <c r="AE634" s="54"/>
    </row>
    <row r="635">
      <c r="A635" s="54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54"/>
      <c r="M635" s="54"/>
      <c r="N635" s="54"/>
      <c r="O635" s="54"/>
      <c r="R635" s="249"/>
      <c r="S635" s="54"/>
      <c r="T635" s="54"/>
      <c r="U635" s="54"/>
      <c r="V635" s="54"/>
      <c r="W635" s="54"/>
      <c r="X635" s="54"/>
      <c r="Y635" s="54"/>
      <c r="Z635" s="54"/>
      <c r="AA635" s="54"/>
      <c r="AB635" s="287"/>
      <c r="AC635" s="54"/>
      <c r="AD635" s="54"/>
      <c r="AE635" s="54"/>
    </row>
    <row r="636">
      <c r="A636" s="54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54"/>
      <c r="M636" s="54"/>
      <c r="N636" s="54"/>
      <c r="O636" s="54"/>
      <c r="R636" s="249"/>
      <c r="S636" s="54"/>
      <c r="T636" s="54"/>
      <c r="U636" s="54"/>
      <c r="V636" s="54"/>
      <c r="W636" s="54"/>
      <c r="X636" s="54"/>
      <c r="Y636" s="54"/>
      <c r="Z636" s="54"/>
      <c r="AA636" s="54"/>
      <c r="AB636" s="287"/>
      <c r="AC636" s="54"/>
      <c r="AD636" s="54"/>
      <c r="AE636" s="54"/>
    </row>
    <row r="637">
      <c r="A637" s="54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54"/>
      <c r="M637" s="54"/>
      <c r="N637" s="54"/>
      <c r="O637" s="54"/>
      <c r="R637" s="249"/>
      <c r="S637" s="54"/>
      <c r="T637" s="54"/>
      <c r="U637" s="54"/>
      <c r="V637" s="54"/>
      <c r="W637" s="54"/>
      <c r="X637" s="54"/>
      <c r="Y637" s="54"/>
      <c r="Z637" s="54"/>
      <c r="AA637" s="54"/>
      <c r="AB637" s="287"/>
      <c r="AC637" s="54"/>
      <c r="AD637" s="54"/>
      <c r="AE637" s="54"/>
    </row>
    <row r="638">
      <c r="A638" s="54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54"/>
      <c r="M638" s="54"/>
      <c r="N638" s="54"/>
      <c r="O638" s="54"/>
      <c r="R638" s="249"/>
      <c r="S638" s="54"/>
      <c r="T638" s="54"/>
      <c r="U638" s="54"/>
      <c r="V638" s="54"/>
      <c r="W638" s="54"/>
      <c r="X638" s="54"/>
      <c r="Y638" s="54"/>
      <c r="Z638" s="54"/>
      <c r="AA638" s="54"/>
      <c r="AB638" s="287"/>
      <c r="AC638" s="54"/>
      <c r="AD638" s="54"/>
      <c r="AE638" s="54"/>
    </row>
    <row r="639">
      <c r="A639" s="54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54"/>
      <c r="M639" s="54"/>
      <c r="N639" s="54"/>
      <c r="O639" s="54"/>
      <c r="R639" s="249"/>
      <c r="S639" s="54"/>
      <c r="T639" s="54"/>
      <c r="U639" s="54"/>
      <c r="V639" s="54"/>
      <c r="W639" s="54"/>
      <c r="X639" s="54"/>
      <c r="Y639" s="54"/>
      <c r="Z639" s="54"/>
      <c r="AA639" s="54"/>
      <c r="AB639" s="287"/>
      <c r="AC639" s="54"/>
      <c r="AD639" s="54"/>
      <c r="AE639" s="54"/>
    </row>
    <row r="640">
      <c r="A640" s="54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54"/>
      <c r="M640" s="54"/>
      <c r="N640" s="54"/>
      <c r="O640" s="54"/>
      <c r="R640" s="249"/>
      <c r="S640" s="54"/>
      <c r="T640" s="54"/>
      <c r="U640" s="54"/>
      <c r="V640" s="54"/>
      <c r="W640" s="54"/>
      <c r="X640" s="54"/>
      <c r="Y640" s="54"/>
      <c r="Z640" s="54"/>
      <c r="AA640" s="54"/>
      <c r="AB640" s="287"/>
      <c r="AC640" s="54"/>
      <c r="AD640" s="54"/>
      <c r="AE640" s="54"/>
    </row>
    <row r="641">
      <c r="A641" s="54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54"/>
      <c r="M641" s="54"/>
      <c r="N641" s="54"/>
      <c r="O641" s="54"/>
      <c r="R641" s="249"/>
      <c r="S641" s="54"/>
      <c r="T641" s="54"/>
      <c r="U641" s="54"/>
      <c r="V641" s="54"/>
      <c r="W641" s="54"/>
      <c r="X641" s="54"/>
      <c r="Y641" s="54"/>
      <c r="Z641" s="54"/>
      <c r="AA641" s="54"/>
      <c r="AB641" s="287"/>
      <c r="AC641" s="54"/>
      <c r="AD641" s="54"/>
      <c r="AE641" s="54"/>
    </row>
    <row r="642">
      <c r="A642" s="54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54"/>
      <c r="M642" s="54"/>
      <c r="N642" s="54"/>
      <c r="O642" s="54"/>
      <c r="R642" s="249"/>
      <c r="S642" s="54"/>
      <c r="T642" s="54"/>
      <c r="U642" s="54"/>
      <c r="V642" s="54"/>
      <c r="W642" s="54"/>
      <c r="X642" s="54"/>
      <c r="Y642" s="54"/>
      <c r="Z642" s="54"/>
      <c r="AA642" s="54"/>
      <c r="AB642" s="287"/>
      <c r="AC642" s="54"/>
      <c r="AD642" s="54"/>
      <c r="AE642" s="54"/>
    </row>
    <row r="643">
      <c r="A643" s="54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54"/>
      <c r="M643" s="54"/>
      <c r="N643" s="54"/>
      <c r="O643" s="54"/>
      <c r="R643" s="249"/>
      <c r="S643" s="54"/>
      <c r="T643" s="54"/>
      <c r="U643" s="54"/>
      <c r="V643" s="54"/>
      <c r="W643" s="54"/>
      <c r="X643" s="54"/>
      <c r="Y643" s="54"/>
      <c r="Z643" s="54"/>
      <c r="AA643" s="54"/>
      <c r="AB643" s="287"/>
      <c r="AC643" s="54"/>
      <c r="AD643" s="54"/>
      <c r="AE643" s="54"/>
    </row>
    <row r="644">
      <c r="A644" s="54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54"/>
      <c r="M644" s="54"/>
      <c r="N644" s="54"/>
      <c r="O644" s="54"/>
      <c r="R644" s="249"/>
      <c r="S644" s="54"/>
      <c r="T644" s="54"/>
      <c r="U644" s="54"/>
      <c r="V644" s="54"/>
      <c r="W644" s="54"/>
      <c r="X644" s="54"/>
      <c r="Y644" s="54"/>
      <c r="Z644" s="54"/>
      <c r="AA644" s="54"/>
      <c r="AB644" s="287"/>
      <c r="AC644" s="54"/>
      <c r="AD644" s="54"/>
      <c r="AE644" s="54"/>
    </row>
    <row r="645">
      <c r="A645" s="54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54"/>
      <c r="M645" s="54"/>
      <c r="N645" s="54"/>
      <c r="O645" s="54"/>
      <c r="R645" s="249"/>
      <c r="S645" s="54"/>
      <c r="T645" s="54"/>
      <c r="U645" s="54"/>
      <c r="V645" s="54"/>
      <c r="W645" s="54"/>
      <c r="X645" s="54"/>
      <c r="Y645" s="54"/>
      <c r="Z645" s="54"/>
      <c r="AA645" s="54"/>
      <c r="AB645" s="287"/>
      <c r="AC645" s="54"/>
      <c r="AD645" s="54"/>
      <c r="AE645" s="54"/>
    </row>
    <row r="646">
      <c r="A646" s="54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54"/>
      <c r="M646" s="54"/>
      <c r="N646" s="54"/>
      <c r="O646" s="54"/>
      <c r="R646" s="249"/>
      <c r="S646" s="54"/>
      <c r="T646" s="54"/>
      <c r="U646" s="54"/>
      <c r="V646" s="54"/>
      <c r="W646" s="54"/>
      <c r="X646" s="54"/>
      <c r="Y646" s="54"/>
      <c r="Z646" s="54"/>
      <c r="AA646" s="54"/>
      <c r="AB646" s="287"/>
      <c r="AC646" s="54"/>
      <c r="AD646" s="54"/>
      <c r="AE646" s="54"/>
    </row>
    <row r="647">
      <c r="A647" s="54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54"/>
      <c r="M647" s="54"/>
      <c r="N647" s="54"/>
      <c r="O647" s="54"/>
      <c r="R647" s="249"/>
      <c r="S647" s="54"/>
      <c r="T647" s="54"/>
      <c r="U647" s="54"/>
      <c r="V647" s="54"/>
      <c r="W647" s="54"/>
      <c r="X647" s="54"/>
      <c r="Y647" s="54"/>
      <c r="Z647" s="54"/>
      <c r="AA647" s="54"/>
      <c r="AB647" s="287"/>
      <c r="AC647" s="54"/>
      <c r="AD647" s="54"/>
      <c r="AE647" s="54"/>
    </row>
    <row r="648">
      <c r="A648" s="54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54"/>
      <c r="M648" s="54"/>
      <c r="N648" s="54"/>
      <c r="O648" s="54"/>
      <c r="R648" s="249"/>
      <c r="S648" s="54"/>
      <c r="T648" s="54"/>
      <c r="U648" s="54"/>
      <c r="V648" s="54"/>
      <c r="W648" s="54"/>
      <c r="X648" s="54"/>
      <c r="Y648" s="54"/>
      <c r="Z648" s="54"/>
      <c r="AA648" s="54"/>
      <c r="AB648" s="287"/>
      <c r="AC648" s="54"/>
      <c r="AD648" s="54"/>
      <c r="AE648" s="54"/>
    </row>
    <row r="649">
      <c r="A649" s="54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54"/>
      <c r="M649" s="54"/>
      <c r="N649" s="54"/>
      <c r="O649" s="54"/>
      <c r="R649" s="249"/>
      <c r="S649" s="54"/>
      <c r="T649" s="54"/>
      <c r="U649" s="54"/>
      <c r="V649" s="54"/>
      <c r="W649" s="54"/>
      <c r="X649" s="54"/>
      <c r="Y649" s="54"/>
      <c r="Z649" s="54"/>
      <c r="AA649" s="54"/>
      <c r="AB649" s="287"/>
      <c r="AC649" s="54"/>
      <c r="AD649" s="54"/>
      <c r="AE649" s="54"/>
    </row>
    <row r="650">
      <c r="A650" s="54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54"/>
      <c r="M650" s="54"/>
      <c r="N650" s="54"/>
      <c r="O650" s="54"/>
      <c r="R650" s="249"/>
      <c r="S650" s="54"/>
      <c r="T650" s="54"/>
      <c r="U650" s="54"/>
      <c r="V650" s="54"/>
      <c r="W650" s="54"/>
      <c r="X650" s="54"/>
      <c r="Y650" s="54"/>
      <c r="Z650" s="54"/>
      <c r="AA650" s="54"/>
      <c r="AB650" s="287"/>
      <c r="AC650" s="54"/>
      <c r="AD650" s="54"/>
      <c r="AE650" s="54"/>
    </row>
    <row r="651">
      <c r="A651" s="54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54"/>
      <c r="M651" s="54"/>
      <c r="N651" s="54"/>
      <c r="O651" s="54"/>
      <c r="R651" s="249"/>
      <c r="S651" s="54"/>
      <c r="T651" s="54"/>
      <c r="U651" s="54"/>
      <c r="V651" s="54"/>
      <c r="W651" s="54"/>
      <c r="X651" s="54"/>
      <c r="Y651" s="54"/>
      <c r="Z651" s="54"/>
      <c r="AA651" s="54"/>
      <c r="AB651" s="287"/>
      <c r="AC651" s="54"/>
      <c r="AD651" s="54"/>
      <c r="AE651" s="54"/>
    </row>
    <row r="652">
      <c r="A652" s="54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54"/>
      <c r="M652" s="54"/>
      <c r="N652" s="54"/>
      <c r="O652" s="54"/>
      <c r="R652" s="249"/>
      <c r="S652" s="54"/>
      <c r="T652" s="54"/>
      <c r="U652" s="54"/>
      <c r="V652" s="54"/>
      <c r="W652" s="54"/>
      <c r="X652" s="54"/>
      <c r="Y652" s="54"/>
      <c r="Z652" s="54"/>
      <c r="AA652" s="54"/>
      <c r="AB652" s="287"/>
      <c r="AC652" s="54"/>
      <c r="AD652" s="54"/>
      <c r="AE652" s="54"/>
    </row>
    <row r="653">
      <c r="A653" s="54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54"/>
      <c r="M653" s="54"/>
      <c r="N653" s="54"/>
      <c r="O653" s="54"/>
      <c r="R653" s="249"/>
      <c r="S653" s="54"/>
      <c r="T653" s="54"/>
      <c r="U653" s="54"/>
      <c r="V653" s="54"/>
      <c r="W653" s="54"/>
      <c r="X653" s="54"/>
      <c r="Y653" s="54"/>
      <c r="Z653" s="54"/>
      <c r="AA653" s="54"/>
      <c r="AB653" s="287"/>
      <c r="AC653" s="54"/>
      <c r="AD653" s="54"/>
      <c r="AE653" s="54"/>
    </row>
    <row r="654">
      <c r="A654" s="54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54"/>
      <c r="M654" s="54"/>
      <c r="N654" s="54"/>
      <c r="O654" s="54"/>
      <c r="R654" s="249"/>
      <c r="S654" s="54"/>
      <c r="T654" s="54"/>
      <c r="U654" s="54"/>
      <c r="V654" s="54"/>
      <c r="W654" s="54"/>
      <c r="X654" s="54"/>
      <c r="Y654" s="54"/>
      <c r="Z654" s="54"/>
      <c r="AA654" s="54"/>
      <c r="AB654" s="287"/>
      <c r="AC654" s="54"/>
      <c r="AD654" s="54"/>
      <c r="AE654" s="54"/>
    </row>
    <row r="655">
      <c r="A655" s="54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54"/>
      <c r="M655" s="54"/>
      <c r="N655" s="54"/>
      <c r="O655" s="54"/>
      <c r="R655" s="249"/>
      <c r="S655" s="54"/>
      <c r="T655" s="54"/>
      <c r="U655" s="54"/>
      <c r="V655" s="54"/>
      <c r="W655" s="54"/>
      <c r="X655" s="54"/>
      <c r="Y655" s="54"/>
      <c r="Z655" s="54"/>
      <c r="AA655" s="54"/>
      <c r="AB655" s="287"/>
      <c r="AC655" s="54"/>
      <c r="AD655" s="54"/>
      <c r="AE655" s="54"/>
    </row>
    <row r="656">
      <c r="A656" s="54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54"/>
      <c r="M656" s="54"/>
      <c r="N656" s="54"/>
      <c r="O656" s="54"/>
      <c r="R656" s="249"/>
      <c r="S656" s="54"/>
      <c r="T656" s="54"/>
      <c r="U656" s="54"/>
      <c r="V656" s="54"/>
      <c r="W656" s="54"/>
      <c r="X656" s="54"/>
      <c r="Y656" s="54"/>
      <c r="Z656" s="54"/>
      <c r="AA656" s="54"/>
      <c r="AB656" s="287"/>
      <c r="AC656" s="54"/>
      <c r="AD656" s="54"/>
      <c r="AE656" s="54"/>
    </row>
    <row r="657">
      <c r="A657" s="54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54"/>
      <c r="M657" s="54"/>
      <c r="N657" s="54"/>
      <c r="O657" s="54"/>
      <c r="R657" s="249"/>
      <c r="S657" s="54"/>
      <c r="T657" s="54"/>
      <c r="U657" s="54"/>
      <c r="V657" s="54"/>
      <c r="W657" s="54"/>
      <c r="X657" s="54"/>
      <c r="Y657" s="54"/>
      <c r="Z657" s="54"/>
      <c r="AA657" s="54"/>
      <c r="AB657" s="287"/>
      <c r="AC657" s="54"/>
      <c r="AD657" s="54"/>
      <c r="AE657" s="54"/>
    </row>
    <row r="658">
      <c r="A658" s="54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54"/>
      <c r="M658" s="54"/>
      <c r="N658" s="54"/>
      <c r="O658" s="54"/>
      <c r="R658" s="249"/>
      <c r="S658" s="54"/>
      <c r="T658" s="54"/>
      <c r="U658" s="54"/>
      <c r="V658" s="54"/>
      <c r="W658" s="54"/>
      <c r="X658" s="54"/>
      <c r="Y658" s="54"/>
      <c r="Z658" s="54"/>
      <c r="AA658" s="54"/>
      <c r="AB658" s="287"/>
      <c r="AC658" s="54"/>
      <c r="AD658" s="54"/>
      <c r="AE658" s="54"/>
    </row>
    <row r="659">
      <c r="A659" s="54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54"/>
      <c r="M659" s="54"/>
      <c r="N659" s="54"/>
      <c r="O659" s="54"/>
      <c r="R659" s="249"/>
      <c r="S659" s="54"/>
      <c r="T659" s="54"/>
      <c r="U659" s="54"/>
      <c r="V659" s="54"/>
      <c r="W659" s="54"/>
      <c r="X659" s="54"/>
      <c r="Y659" s="54"/>
      <c r="Z659" s="54"/>
      <c r="AA659" s="54"/>
      <c r="AB659" s="287"/>
      <c r="AC659" s="54"/>
      <c r="AD659" s="54"/>
      <c r="AE659" s="54"/>
    </row>
    <row r="660">
      <c r="A660" s="54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54"/>
      <c r="M660" s="54"/>
      <c r="N660" s="54"/>
      <c r="O660" s="54"/>
      <c r="R660" s="249"/>
      <c r="S660" s="54"/>
      <c r="T660" s="54"/>
      <c r="U660" s="54"/>
      <c r="V660" s="54"/>
      <c r="W660" s="54"/>
      <c r="X660" s="54"/>
      <c r="Y660" s="54"/>
      <c r="Z660" s="54"/>
      <c r="AA660" s="54"/>
      <c r="AB660" s="287"/>
      <c r="AC660" s="54"/>
      <c r="AD660" s="54"/>
      <c r="AE660" s="54"/>
    </row>
    <row r="661">
      <c r="A661" s="54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54"/>
      <c r="M661" s="54"/>
      <c r="N661" s="54"/>
      <c r="O661" s="54"/>
      <c r="R661" s="249"/>
      <c r="S661" s="54"/>
      <c r="T661" s="54"/>
      <c r="U661" s="54"/>
      <c r="V661" s="54"/>
      <c r="W661" s="54"/>
      <c r="X661" s="54"/>
      <c r="Y661" s="54"/>
      <c r="Z661" s="54"/>
      <c r="AA661" s="54"/>
      <c r="AB661" s="287"/>
      <c r="AC661" s="54"/>
      <c r="AD661" s="54"/>
      <c r="AE661" s="54"/>
    </row>
    <row r="662">
      <c r="A662" s="54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54"/>
      <c r="M662" s="54"/>
      <c r="N662" s="54"/>
      <c r="O662" s="54"/>
      <c r="R662" s="249"/>
      <c r="S662" s="54"/>
      <c r="T662" s="54"/>
      <c r="U662" s="54"/>
      <c r="V662" s="54"/>
      <c r="W662" s="54"/>
      <c r="X662" s="54"/>
      <c r="Y662" s="54"/>
      <c r="Z662" s="54"/>
      <c r="AA662" s="54"/>
      <c r="AB662" s="287"/>
      <c r="AC662" s="54"/>
      <c r="AD662" s="54"/>
      <c r="AE662" s="54"/>
    </row>
    <row r="663">
      <c r="A663" s="54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54"/>
      <c r="M663" s="54"/>
      <c r="N663" s="54"/>
      <c r="O663" s="54"/>
      <c r="R663" s="249"/>
      <c r="S663" s="54"/>
      <c r="T663" s="54"/>
      <c r="U663" s="54"/>
      <c r="V663" s="54"/>
      <c r="W663" s="54"/>
      <c r="X663" s="54"/>
      <c r="Y663" s="54"/>
      <c r="Z663" s="54"/>
      <c r="AA663" s="54"/>
      <c r="AB663" s="287"/>
      <c r="AC663" s="54"/>
      <c r="AD663" s="54"/>
      <c r="AE663" s="54"/>
    </row>
    <row r="664">
      <c r="A664" s="54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54"/>
      <c r="M664" s="54"/>
      <c r="N664" s="54"/>
      <c r="O664" s="54"/>
      <c r="R664" s="249"/>
      <c r="S664" s="54"/>
      <c r="T664" s="54"/>
      <c r="U664" s="54"/>
      <c r="V664" s="54"/>
      <c r="W664" s="54"/>
      <c r="X664" s="54"/>
      <c r="Y664" s="54"/>
      <c r="Z664" s="54"/>
      <c r="AA664" s="54"/>
      <c r="AB664" s="287"/>
      <c r="AC664" s="54"/>
      <c r="AD664" s="54"/>
      <c r="AE664" s="54"/>
    </row>
    <row r="665">
      <c r="A665" s="54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54"/>
      <c r="M665" s="54"/>
      <c r="N665" s="54"/>
      <c r="O665" s="54"/>
      <c r="R665" s="249"/>
      <c r="S665" s="54"/>
      <c r="T665" s="54"/>
      <c r="U665" s="54"/>
      <c r="V665" s="54"/>
      <c r="W665" s="54"/>
      <c r="X665" s="54"/>
      <c r="Y665" s="54"/>
      <c r="Z665" s="54"/>
      <c r="AA665" s="54"/>
      <c r="AB665" s="287"/>
      <c r="AC665" s="54"/>
      <c r="AD665" s="54"/>
      <c r="AE665" s="54"/>
    </row>
    <row r="666">
      <c r="A666" s="54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54"/>
      <c r="M666" s="54"/>
      <c r="N666" s="54"/>
      <c r="O666" s="54"/>
      <c r="R666" s="249"/>
      <c r="S666" s="54"/>
      <c r="T666" s="54"/>
      <c r="U666" s="54"/>
      <c r="V666" s="54"/>
      <c r="W666" s="54"/>
      <c r="X666" s="54"/>
      <c r="Y666" s="54"/>
      <c r="Z666" s="54"/>
      <c r="AA666" s="54"/>
      <c r="AB666" s="287"/>
      <c r="AC666" s="54"/>
      <c r="AD666" s="54"/>
      <c r="AE666" s="54"/>
    </row>
    <row r="667">
      <c r="A667" s="54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54"/>
      <c r="M667" s="54"/>
      <c r="N667" s="54"/>
      <c r="O667" s="54"/>
      <c r="R667" s="249"/>
      <c r="S667" s="54"/>
      <c r="T667" s="54"/>
      <c r="U667" s="54"/>
      <c r="V667" s="54"/>
      <c r="W667" s="54"/>
      <c r="X667" s="54"/>
      <c r="Y667" s="54"/>
      <c r="Z667" s="54"/>
      <c r="AA667" s="54"/>
      <c r="AB667" s="287"/>
      <c r="AC667" s="54"/>
      <c r="AD667" s="54"/>
      <c r="AE667" s="54"/>
    </row>
    <row r="668">
      <c r="A668" s="54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54"/>
      <c r="M668" s="54"/>
      <c r="N668" s="54"/>
      <c r="O668" s="54"/>
      <c r="R668" s="249"/>
      <c r="S668" s="54"/>
      <c r="T668" s="54"/>
      <c r="U668" s="54"/>
      <c r="V668" s="54"/>
      <c r="W668" s="54"/>
      <c r="X668" s="54"/>
      <c r="Y668" s="54"/>
      <c r="Z668" s="54"/>
      <c r="AA668" s="54"/>
      <c r="AB668" s="287"/>
      <c r="AC668" s="54"/>
      <c r="AD668" s="54"/>
      <c r="AE668" s="54"/>
    </row>
    <row r="669">
      <c r="A669" s="54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54"/>
      <c r="M669" s="54"/>
      <c r="N669" s="54"/>
      <c r="O669" s="54"/>
      <c r="R669" s="249"/>
      <c r="S669" s="54"/>
      <c r="T669" s="54"/>
      <c r="U669" s="54"/>
      <c r="V669" s="54"/>
      <c r="W669" s="54"/>
      <c r="X669" s="54"/>
      <c r="Y669" s="54"/>
      <c r="Z669" s="54"/>
      <c r="AA669" s="54"/>
      <c r="AB669" s="287"/>
      <c r="AC669" s="54"/>
      <c r="AD669" s="54"/>
      <c r="AE669" s="54"/>
    </row>
    <row r="670">
      <c r="A670" s="54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54"/>
      <c r="M670" s="54"/>
      <c r="N670" s="54"/>
      <c r="O670" s="54"/>
      <c r="R670" s="249"/>
      <c r="S670" s="54"/>
      <c r="T670" s="54"/>
      <c r="U670" s="54"/>
      <c r="V670" s="54"/>
      <c r="W670" s="54"/>
      <c r="X670" s="54"/>
      <c r="Y670" s="54"/>
      <c r="Z670" s="54"/>
      <c r="AA670" s="54"/>
      <c r="AB670" s="287"/>
      <c r="AC670" s="54"/>
      <c r="AD670" s="54"/>
      <c r="AE670" s="54"/>
    </row>
    <row r="671">
      <c r="A671" s="54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54"/>
      <c r="M671" s="54"/>
      <c r="N671" s="54"/>
      <c r="O671" s="54"/>
      <c r="R671" s="249"/>
      <c r="S671" s="54"/>
      <c r="T671" s="54"/>
      <c r="U671" s="54"/>
      <c r="V671" s="54"/>
      <c r="W671" s="54"/>
      <c r="X671" s="54"/>
      <c r="Y671" s="54"/>
      <c r="Z671" s="54"/>
      <c r="AA671" s="54"/>
      <c r="AB671" s="287"/>
      <c r="AC671" s="54"/>
      <c r="AD671" s="54"/>
      <c r="AE671" s="54"/>
    </row>
    <row r="672">
      <c r="A672" s="54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54"/>
      <c r="M672" s="54"/>
      <c r="N672" s="54"/>
      <c r="O672" s="54"/>
      <c r="R672" s="249"/>
      <c r="S672" s="54"/>
      <c r="T672" s="54"/>
      <c r="U672" s="54"/>
      <c r="V672" s="54"/>
      <c r="W672" s="54"/>
      <c r="X672" s="54"/>
      <c r="Y672" s="54"/>
      <c r="Z672" s="54"/>
      <c r="AA672" s="54"/>
      <c r="AB672" s="287"/>
      <c r="AC672" s="54"/>
      <c r="AD672" s="54"/>
      <c r="AE672" s="54"/>
    </row>
    <row r="673">
      <c r="A673" s="54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54"/>
      <c r="M673" s="54"/>
      <c r="N673" s="54"/>
      <c r="O673" s="54"/>
      <c r="R673" s="249"/>
      <c r="S673" s="54"/>
      <c r="T673" s="54"/>
      <c r="U673" s="54"/>
      <c r="V673" s="54"/>
      <c r="W673" s="54"/>
      <c r="X673" s="54"/>
      <c r="Y673" s="54"/>
      <c r="Z673" s="54"/>
      <c r="AA673" s="54"/>
      <c r="AB673" s="287"/>
      <c r="AC673" s="54"/>
      <c r="AD673" s="54"/>
      <c r="AE673" s="54"/>
    </row>
    <row r="674">
      <c r="A674" s="54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54"/>
      <c r="M674" s="54"/>
      <c r="N674" s="54"/>
      <c r="O674" s="54"/>
      <c r="R674" s="249"/>
      <c r="S674" s="54"/>
      <c r="T674" s="54"/>
      <c r="U674" s="54"/>
      <c r="V674" s="54"/>
      <c r="W674" s="54"/>
      <c r="X674" s="54"/>
      <c r="Y674" s="54"/>
      <c r="Z674" s="54"/>
      <c r="AA674" s="54"/>
      <c r="AB674" s="287"/>
      <c r="AC674" s="54"/>
      <c r="AD674" s="54"/>
      <c r="AE674" s="54"/>
    </row>
    <row r="675">
      <c r="A675" s="54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54"/>
      <c r="M675" s="54"/>
      <c r="N675" s="54"/>
      <c r="O675" s="54"/>
      <c r="R675" s="249"/>
      <c r="S675" s="54"/>
      <c r="T675" s="54"/>
      <c r="U675" s="54"/>
      <c r="V675" s="54"/>
      <c r="W675" s="54"/>
      <c r="X675" s="54"/>
      <c r="Y675" s="54"/>
      <c r="Z675" s="54"/>
      <c r="AA675" s="54"/>
      <c r="AB675" s="287"/>
      <c r="AC675" s="54"/>
      <c r="AD675" s="54"/>
      <c r="AE675" s="54"/>
    </row>
    <row r="676">
      <c r="A676" s="54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54"/>
      <c r="M676" s="54"/>
      <c r="N676" s="54"/>
      <c r="O676" s="54"/>
      <c r="R676" s="249"/>
      <c r="S676" s="54"/>
      <c r="T676" s="54"/>
      <c r="U676" s="54"/>
      <c r="V676" s="54"/>
      <c r="W676" s="54"/>
      <c r="X676" s="54"/>
      <c r="Y676" s="54"/>
      <c r="Z676" s="54"/>
      <c r="AA676" s="54"/>
      <c r="AB676" s="287"/>
      <c r="AC676" s="54"/>
      <c r="AD676" s="54"/>
      <c r="AE676" s="54"/>
    </row>
    <row r="677">
      <c r="A677" s="54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54"/>
      <c r="M677" s="54"/>
      <c r="N677" s="54"/>
      <c r="O677" s="54"/>
      <c r="R677" s="249"/>
      <c r="S677" s="54"/>
      <c r="T677" s="54"/>
      <c r="U677" s="54"/>
      <c r="V677" s="54"/>
      <c r="W677" s="54"/>
      <c r="X677" s="54"/>
      <c r="Y677" s="54"/>
      <c r="Z677" s="54"/>
      <c r="AA677" s="54"/>
      <c r="AB677" s="287"/>
      <c r="AC677" s="54"/>
      <c r="AD677" s="54"/>
      <c r="AE677" s="54"/>
    </row>
    <row r="678">
      <c r="A678" s="54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54"/>
      <c r="M678" s="54"/>
      <c r="N678" s="54"/>
      <c r="O678" s="54"/>
      <c r="R678" s="249"/>
      <c r="S678" s="54"/>
      <c r="T678" s="54"/>
      <c r="U678" s="54"/>
      <c r="V678" s="54"/>
      <c r="W678" s="54"/>
      <c r="X678" s="54"/>
      <c r="Y678" s="54"/>
      <c r="Z678" s="54"/>
      <c r="AA678" s="54"/>
      <c r="AB678" s="287"/>
      <c r="AC678" s="54"/>
      <c r="AD678" s="54"/>
      <c r="AE678" s="54"/>
    </row>
    <row r="679">
      <c r="A679" s="54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54"/>
      <c r="M679" s="54"/>
      <c r="N679" s="54"/>
      <c r="O679" s="54"/>
      <c r="R679" s="249"/>
      <c r="S679" s="54"/>
      <c r="T679" s="54"/>
      <c r="U679" s="54"/>
      <c r="V679" s="54"/>
      <c r="W679" s="54"/>
      <c r="X679" s="54"/>
      <c r="Y679" s="54"/>
      <c r="Z679" s="54"/>
      <c r="AA679" s="54"/>
      <c r="AB679" s="287"/>
      <c r="AC679" s="54"/>
      <c r="AD679" s="54"/>
      <c r="AE679" s="54"/>
    </row>
    <row r="680">
      <c r="A680" s="54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54"/>
      <c r="M680" s="54"/>
      <c r="N680" s="54"/>
      <c r="O680" s="54"/>
      <c r="R680" s="249"/>
      <c r="S680" s="54"/>
      <c r="T680" s="54"/>
      <c r="U680" s="54"/>
      <c r="V680" s="54"/>
      <c r="W680" s="54"/>
      <c r="X680" s="54"/>
      <c r="Y680" s="54"/>
      <c r="Z680" s="54"/>
      <c r="AA680" s="54"/>
      <c r="AB680" s="287"/>
      <c r="AC680" s="54"/>
      <c r="AD680" s="54"/>
      <c r="AE680" s="54"/>
    </row>
    <row r="681">
      <c r="A681" s="54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54"/>
      <c r="M681" s="54"/>
      <c r="N681" s="54"/>
      <c r="O681" s="54"/>
      <c r="R681" s="249"/>
      <c r="S681" s="54"/>
      <c r="T681" s="54"/>
      <c r="U681" s="54"/>
      <c r="V681" s="54"/>
      <c r="W681" s="54"/>
      <c r="X681" s="54"/>
      <c r="Y681" s="54"/>
      <c r="Z681" s="54"/>
      <c r="AA681" s="54"/>
      <c r="AB681" s="287"/>
      <c r="AC681" s="54"/>
      <c r="AD681" s="54"/>
      <c r="AE681" s="54"/>
    </row>
    <row r="682">
      <c r="A682" s="54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54"/>
      <c r="M682" s="54"/>
      <c r="N682" s="54"/>
      <c r="O682" s="54"/>
      <c r="R682" s="249"/>
      <c r="S682" s="54"/>
      <c r="T682" s="54"/>
      <c r="U682" s="54"/>
      <c r="V682" s="54"/>
      <c r="W682" s="54"/>
      <c r="X682" s="54"/>
      <c r="Y682" s="54"/>
      <c r="Z682" s="54"/>
      <c r="AA682" s="54"/>
      <c r="AB682" s="287"/>
      <c r="AC682" s="54"/>
      <c r="AD682" s="54"/>
      <c r="AE682" s="54"/>
    </row>
    <row r="683">
      <c r="A683" s="54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54"/>
      <c r="M683" s="54"/>
      <c r="N683" s="54"/>
      <c r="O683" s="54"/>
      <c r="R683" s="249"/>
      <c r="S683" s="54"/>
      <c r="T683" s="54"/>
      <c r="U683" s="54"/>
      <c r="V683" s="54"/>
      <c r="W683" s="54"/>
      <c r="X683" s="54"/>
      <c r="Y683" s="54"/>
      <c r="Z683" s="54"/>
      <c r="AA683" s="54"/>
      <c r="AB683" s="287"/>
      <c r="AC683" s="54"/>
      <c r="AD683" s="54"/>
      <c r="AE683" s="54"/>
    </row>
    <row r="684">
      <c r="A684" s="54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54"/>
      <c r="M684" s="54"/>
      <c r="N684" s="54"/>
      <c r="O684" s="54"/>
      <c r="R684" s="249"/>
      <c r="S684" s="54"/>
      <c r="T684" s="54"/>
      <c r="U684" s="54"/>
      <c r="V684" s="54"/>
      <c r="W684" s="54"/>
      <c r="X684" s="54"/>
      <c r="Y684" s="54"/>
      <c r="Z684" s="54"/>
      <c r="AA684" s="54"/>
      <c r="AB684" s="287"/>
      <c r="AC684" s="54"/>
      <c r="AD684" s="54"/>
      <c r="AE684" s="54"/>
    </row>
    <row r="685">
      <c r="A685" s="54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54"/>
      <c r="M685" s="54"/>
      <c r="N685" s="54"/>
      <c r="O685" s="54"/>
      <c r="R685" s="249"/>
      <c r="S685" s="54"/>
      <c r="T685" s="54"/>
      <c r="U685" s="54"/>
      <c r="V685" s="54"/>
      <c r="W685" s="54"/>
      <c r="X685" s="54"/>
      <c r="Y685" s="54"/>
      <c r="Z685" s="54"/>
      <c r="AA685" s="54"/>
      <c r="AB685" s="287"/>
      <c r="AC685" s="54"/>
      <c r="AD685" s="54"/>
      <c r="AE685" s="54"/>
    </row>
    <row r="686">
      <c r="A686" s="54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54"/>
      <c r="M686" s="54"/>
      <c r="N686" s="54"/>
      <c r="O686" s="54"/>
      <c r="R686" s="249"/>
      <c r="S686" s="54"/>
      <c r="T686" s="54"/>
      <c r="U686" s="54"/>
      <c r="V686" s="54"/>
      <c r="W686" s="54"/>
      <c r="X686" s="54"/>
      <c r="Y686" s="54"/>
      <c r="Z686" s="54"/>
      <c r="AA686" s="54"/>
      <c r="AB686" s="287"/>
      <c r="AC686" s="54"/>
      <c r="AD686" s="54"/>
      <c r="AE686" s="54"/>
    </row>
    <row r="687">
      <c r="A687" s="54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54"/>
      <c r="M687" s="54"/>
      <c r="N687" s="54"/>
      <c r="O687" s="54"/>
      <c r="R687" s="249"/>
      <c r="S687" s="54"/>
      <c r="T687" s="54"/>
      <c r="U687" s="54"/>
      <c r="V687" s="54"/>
      <c r="W687" s="54"/>
      <c r="X687" s="54"/>
      <c r="Y687" s="54"/>
      <c r="Z687" s="54"/>
      <c r="AA687" s="54"/>
      <c r="AB687" s="287"/>
      <c r="AC687" s="54"/>
      <c r="AD687" s="54"/>
      <c r="AE687" s="54"/>
    </row>
    <row r="688">
      <c r="A688" s="54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54"/>
      <c r="M688" s="54"/>
      <c r="N688" s="54"/>
      <c r="O688" s="54"/>
      <c r="R688" s="249"/>
      <c r="S688" s="54"/>
      <c r="T688" s="54"/>
      <c r="U688" s="54"/>
      <c r="V688" s="54"/>
      <c r="W688" s="54"/>
      <c r="X688" s="54"/>
      <c r="Y688" s="54"/>
      <c r="Z688" s="54"/>
      <c r="AA688" s="54"/>
      <c r="AB688" s="287"/>
      <c r="AC688" s="54"/>
      <c r="AD688" s="54"/>
      <c r="AE688" s="54"/>
    </row>
    <row r="689">
      <c r="A689" s="54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54"/>
      <c r="M689" s="54"/>
      <c r="N689" s="54"/>
      <c r="O689" s="54"/>
      <c r="R689" s="249"/>
      <c r="S689" s="54"/>
      <c r="T689" s="54"/>
      <c r="U689" s="54"/>
      <c r="V689" s="54"/>
      <c r="W689" s="54"/>
      <c r="X689" s="54"/>
      <c r="Y689" s="54"/>
      <c r="Z689" s="54"/>
      <c r="AA689" s="54"/>
      <c r="AB689" s="287"/>
      <c r="AC689" s="54"/>
      <c r="AD689" s="54"/>
      <c r="AE689" s="54"/>
    </row>
    <row r="690">
      <c r="A690" s="54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54"/>
      <c r="M690" s="54"/>
      <c r="N690" s="54"/>
      <c r="O690" s="54"/>
      <c r="R690" s="249"/>
      <c r="S690" s="54"/>
      <c r="T690" s="54"/>
      <c r="U690" s="54"/>
      <c r="V690" s="54"/>
      <c r="W690" s="54"/>
      <c r="X690" s="54"/>
      <c r="Y690" s="54"/>
      <c r="Z690" s="54"/>
      <c r="AA690" s="54"/>
      <c r="AB690" s="287"/>
      <c r="AC690" s="54"/>
      <c r="AD690" s="54"/>
      <c r="AE690" s="54"/>
    </row>
    <row r="691">
      <c r="A691" s="54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54"/>
      <c r="M691" s="54"/>
      <c r="N691" s="54"/>
      <c r="O691" s="54"/>
      <c r="R691" s="249"/>
      <c r="S691" s="54"/>
      <c r="T691" s="54"/>
      <c r="U691" s="54"/>
      <c r="V691" s="54"/>
      <c r="W691" s="54"/>
      <c r="X691" s="54"/>
      <c r="Y691" s="54"/>
      <c r="Z691" s="54"/>
      <c r="AA691" s="54"/>
      <c r="AB691" s="287"/>
      <c r="AC691" s="54"/>
      <c r="AD691" s="54"/>
      <c r="AE691" s="54"/>
    </row>
    <row r="692">
      <c r="A692" s="54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54"/>
      <c r="M692" s="54"/>
      <c r="N692" s="54"/>
      <c r="O692" s="54"/>
      <c r="R692" s="249"/>
      <c r="S692" s="54"/>
      <c r="T692" s="54"/>
      <c r="U692" s="54"/>
      <c r="V692" s="54"/>
      <c r="W692" s="54"/>
      <c r="X692" s="54"/>
      <c r="Y692" s="54"/>
      <c r="Z692" s="54"/>
      <c r="AA692" s="54"/>
      <c r="AB692" s="287"/>
      <c r="AC692" s="54"/>
      <c r="AD692" s="54"/>
      <c r="AE692" s="54"/>
    </row>
    <row r="693">
      <c r="A693" s="54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54"/>
      <c r="M693" s="54"/>
      <c r="N693" s="54"/>
      <c r="O693" s="54"/>
      <c r="R693" s="249"/>
      <c r="S693" s="54"/>
      <c r="T693" s="54"/>
      <c r="U693" s="54"/>
      <c r="V693" s="54"/>
      <c r="W693" s="54"/>
      <c r="X693" s="54"/>
      <c r="Y693" s="54"/>
      <c r="Z693" s="54"/>
      <c r="AA693" s="54"/>
      <c r="AB693" s="287"/>
      <c r="AC693" s="54"/>
      <c r="AD693" s="54"/>
      <c r="AE693" s="54"/>
    </row>
    <row r="694">
      <c r="A694" s="54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54"/>
      <c r="M694" s="54"/>
      <c r="N694" s="54"/>
      <c r="O694" s="54"/>
      <c r="R694" s="249"/>
      <c r="S694" s="54"/>
      <c r="T694" s="54"/>
      <c r="U694" s="54"/>
      <c r="V694" s="54"/>
      <c r="W694" s="54"/>
      <c r="X694" s="54"/>
      <c r="Y694" s="54"/>
      <c r="Z694" s="54"/>
      <c r="AA694" s="54"/>
      <c r="AB694" s="287"/>
      <c r="AC694" s="54"/>
      <c r="AD694" s="54"/>
      <c r="AE694" s="54"/>
    </row>
    <row r="695">
      <c r="A695" s="54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54"/>
      <c r="M695" s="54"/>
      <c r="N695" s="54"/>
      <c r="O695" s="54"/>
      <c r="R695" s="249"/>
      <c r="S695" s="54"/>
      <c r="T695" s="54"/>
      <c r="U695" s="54"/>
      <c r="V695" s="54"/>
      <c r="W695" s="54"/>
      <c r="X695" s="54"/>
      <c r="Y695" s="54"/>
      <c r="Z695" s="54"/>
      <c r="AA695" s="54"/>
      <c r="AB695" s="287"/>
      <c r="AC695" s="54"/>
      <c r="AD695" s="54"/>
      <c r="AE695" s="54"/>
    </row>
    <row r="696">
      <c r="A696" s="54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54"/>
      <c r="M696" s="54"/>
      <c r="N696" s="54"/>
      <c r="O696" s="54"/>
      <c r="R696" s="249"/>
      <c r="S696" s="54"/>
      <c r="T696" s="54"/>
      <c r="U696" s="54"/>
      <c r="V696" s="54"/>
      <c r="W696" s="54"/>
      <c r="X696" s="54"/>
      <c r="Y696" s="54"/>
      <c r="Z696" s="54"/>
      <c r="AA696" s="54"/>
      <c r="AB696" s="287"/>
      <c r="AC696" s="54"/>
      <c r="AD696" s="54"/>
      <c r="AE696" s="54"/>
    </row>
    <row r="697">
      <c r="A697" s="54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54"/>
      <c r="M697" s="54"/>
      <c r="N697" s="54"/>
      <c r="O697" s="54"/>
      <c r="R697" s="249"/>
      <c r="S697" s="54"/>
      <c r="T697" s="54"/>
      <c r="U697" s="54"/>
      <c r="V697" s="54"/>
      <c r="W697" s="54"/>
      <c r="X697" s="54"/>
      <c r="Y697" s="54"/>
      <c r="Z697" s="54"/>
      <c r="AA697" s="54"/>
      <c r="AB697" s="287"/>
      <c r="AC697" s="54"/>
      <c r="AD697" s="54"/>
      <c r="AE697" s="54"/>
    </row>
    <row r="698">
      <c r="A698" s="54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54"/>
      <c r="M698" s="54"/>
      <c r="N698" s="54"/>
      <c r="O698" s="54"/>
      <c r="R698" s="249"/>
      <c r="S698" s="54"/>
      <c r="T698" s="54"/>
      <c r="U698" s="54"/>
      <c r="V698" s="54"/>
      <c r="W698" s="54"/>
      <c r="X698" s="54"/>
      <c r="Y698" s="54"/>
      <c r="Z698" s="54"/>
      <c r="AA698" s="54"/>
      <c r="AB698" s="287"/>
      <c r="AC698" s="54"/>
      <c r="AD698" s="54"/>
      <c r="AE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R699" s="249"/>
      <c r="S699" s="54"/>
      <c r="T699" s="54"/>
      <c r="U699" s="54"/>
      <c r="V699" s="54"/>
      <c r="W699" s="54"/>
      <c r="X699" s="54"/>
      <c r="Y699" s="54"/>
      <c r="Z699" s="54"/>
      <c r="AA699" s="54"/>
      <c r="AB699" s="287"/>
      <c r="AC699" s="54"/>
      <c r="AD699" s="54"/>
      <c r="AE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R700" s="249"/>
      <c r="S700" s="54"/>
      <c r="T700" s="54"/>
      <c r="U700" s="54"/>
      <c r="V700" s="54"/>
      <c r="W700" s="54"/>
      <c r="X700" s="54"/>
      <c r="Y700" s="54"/>
      <c r="Z700" s="54"/>
      <c r="AA700" s="54"/>
      <c r="AB700" s="287"/>
      <c r="AC700" s="54"/>
      <c r="AD700" s="54"/>
      <c r="AE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R701" s="249"/>
      <c r="S701" s="54"/>
      <c r="T701" s="54"/>
      <c r="U701" s="54"/>
      <c r="V701" s="54"/>
      <c r="W701" s="54"/>
      <c r="X701" s="54"/>
      <c r="Y701" s="54"/>
      <c r="Z701" s="54"/>
      <c r="AA701" s="54"/>
      <c r="AB701" s="287"/>
      <c r="AC701" s="54"/>
      <c r="AD701" s="54"/>
      <c r="AE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R702" s="249"/>
      <c r="S702" s="54"/>
      <c r="T702" s="54"/>
      <c r="U702" s="54"/>
      <c r="V702" s="54"/>
      <c r="W702" s="54"/>
      <c r="X702" s="54"/>
      <c r="Y702" s="54"/>
      <c r="Z702" s="54"/>
      <c r="AA702" s="54"/>
      <c r="AB702" s="287"/>
      <c r="AC702" s="54"/>
      <c r="AD702" s="54"/>
      <c r="AE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R703" s="249"/>
      <c r="S703" s="54"/>
      <c r="T703" s="54"/>
      <c r="U703" s="54"/>
      <c r="V703" s="54"/>
      <c r="W703" s="54"/>
      <c r="X703" s="54"/>
      <c r="Y703" s="54"/>
      <c r="Z703" s="54"/>
      <c r="AA703" s="54"/>
      <c r="AB703" s="287"/>
      <c r="AC703" s="54"/>
      <c r="AD703" s="54"/>
      <c r="AE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R704" s="249"/>
      <c r="S704" s="54"/>
      <c r="T704" s="54"/>
      <c r="U704" s="54"/>
      <c r="V704" s="54"/>
      <c r="W704" s="54"/>
      <c r="X704" s="54"/>
      <c r="Y704" s="54"/>
      <c r="Z704" s="54"/>
      <c r="AA704" s="54"/>
      <c r="AB704" s="287"/>
      <c r="AC704" s="54"/>
      <c r="AD704" s="54"/>
      <c r="AE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R705" s="249"/>
      <c r="S705" s="54"/>
      <c r="T705" s="54"/>
      <c r="U705" s="54"/>
      <c r="V705" s="54"/>
      <c r="W705" s="54"/>
      <c r="X705" s="54"/>
      <c r="Y705" s="54"/>
      <c r="Z705" s="54"/>
      <c r="AA705" s="54"/>
      <c r="AB705" s="287"/>
      <c r="AC705" s="54"/>
      <c r="AD705" s="54"/>
      <c r="AE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R706" s="249"/>
      <c r="S706" s="54"/>
      <c r="T706" s="54"/>
      <c r="U706" s="54"/>
      <c r="V706" s="54"/>
      <c r="W706" s="54"/>
      <c r="X706" s="54"/>
      <c r="Y706" s="54"/>
      <c r="Z706" s="54"/>
      <c r="AA706" s="54"/>
      <c r="AB706" s="287"/>
      <c r="AC706" s="54"/>
      <c r="AD706" s="54"/>
      <c r="AE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R707" s="249"/>
      <c r="S707" s="54"/>
      <c r="T707" s="54"/>
      <c r="U707" s="54"/>
      <c r="V707" s="54"/>
      <c r="W707" s="54"/>
      <c r="X707" s="54"/>
      <c r="Y707" s="54"/>
      <c r="Z707" s="54"/>
      <c r="AA707" s="54"/>
      <c r="AB707" s="287"/>
      <c r="AC707" s="54"/>
      <c r="AD707" s="54"/>
      <c r="AE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R708" s="249"/>
      <c r="S708" s="54"/>
      <c r="T708" s="54"/>
      <c r="U708" s="54"/>
      <c r="V708" s="54"/>
      <c r="W708" s="54"/>
      <c r="X708" s="54"/>
      <c r="Y708" s="54"/>
      <c r="Z708" s="54"/>
      <c r="AA708" s="54"/>
      <c r="AB708" s="287"/>
      <c r="AC708" s="54"/>
      <c r="AD708" s="54"/>
      <c r="AE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R709" s="249"/>
      <c r="S709" s="54"/>
      <c r="T709" s="54"/>
      <c r="U709" s="54"/>
      <c r="V709" s="54"/>
      <c r="W709" s="54"/>
      <c r="X709" s="54"/>
      <c r="Y709" s="54"/>
      <c r="Z709" s="54"/>
      <c r="AA709" s="54"/>
      <c r="AB709" s="287"/>
      <c r="AC709" s="54"/>
      <c r="AD709" s="54"/>
      <c r="AE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R710" s="249"/>
      <c r="S710" s="54"/>
      <c r="T710" s="54"/>
      <c r="U710" s="54"/>
      <c r="V710" s="54"/>
      <c r="W710" s="54"/>
      <c r="X710" s="54"/>
      <c r="Y710" s="54"/>
      <c r="Z710" s="54"/>
      <c r="AA710" s="54"/>
      <c r="AB710" s="287"/>
      <c r="AC710" s="54"/>
      <c r="AD710" s="54"/>
      <c r="AE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R711" s="249"/>
      <c r="S711" s="54"/>
      <c r="T711" s="54"/>
      <c r="U711" s="54"/>
      <c r="V711" s="54"/>
      <c r="W711" s="54"/>
      <c r="X711" s="54"/>
      <c r="Y711" s="54"/>
      <c r="Z711" s="54"/>
      <c r="AA711" s="54"/>
      <c r="AB711" s="287"/>
      <c r="AC711" s="54"/>
      <c r="AD711" s="54"/>
      <c r="AE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R712" s="249"/>
      <c r="S712" s="54"/>
      <c r="T712" s="54"/>
      <c r="U712" s="54"/>
      <c r="V712" s="54"/>
      <c r="W712" s="54"/>
      <c r="X712" s="54"/>
      <c r="Y712" s="54"/>
      <c r="Z712" s="54"/>
      <c r="AA712" s="54"/>
      <c r="AB712" s="287"/>
      <c r="AC712" s="54"/>
      <c r="AD712" s="54"/>
      <c r="AE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R713" s="249"/>
      <c r="S713" s="54"/>
      <c r="T713" s="54"/>
      <c r="U713" s="54"/>
      <c r="V713" s="54"/>
      <c r="W713" s="54"/>
      <c r="X713" s="54"/>
      <c r="Y713" s="54"/>
      <c r="Z713" s="54"/>
      <c r="AA713" s="54"/>
      <c r="AB713" s="287"/>
      <c r="AC713" s="54"/>
      <c r="AD713" s="54"/>
      <c r="AE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R714" s="249"/>
      <c r="S714" s="54"/>
      <c r="T714" s="54"/>
      <c r="U714" s="54"/>
      <c r="V714" s="54"/>
      <c r="W714" s="54"/>
      <c r="X714" s="54"/>
      <c r="Y714" s="54"/>
      <c r="Z714" s="54"/>
      <c r="AA714" s="54"/>
      <c r="AB714" s="287"/>
      <c r="AC714" s="54"/>
      <c r="AD714" s="54"/>
      <c r="AE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R715" s="249"/>
      <c r="S715" s="54"/>
      <c r="T715" s="54"/>
      <c r="U715" s="54"/>
      <c r="V715" s="54"/>
      <c r="W715" s="54"/>
      <c r="X715" s="54"/>
      <c r="Y715" s="54"/>
      <c r="Z715" s="54"/>
      <c r="AA715" s="54"/>
      <c r="AB715" s="287"/>
      <c r="AC715" s="54"/>
      <c r="AD715" s="54"/>
      <c r="AE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R716" s="249"/>
      <c r="S716" s="54"/>
      <c r="T716" s="54"/>
      <c r="U716" s="54"/>
      <c r="V716" s="54"/>
      <c r="W716" s="54"/>
      <c r="X716" s="54"/>
      <c r="Y716" s="54"/>
      <c r="Z716" s="54"/>
      <c r="AA716" s="54"/>
      <c r="AB716" s="287"/>
      <c r="AC716" s="54"/>
      <c r="AD716" s="54"/>
      <c r="AE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R717" s="249"/>
      <c r="S717" s="54"/>
      <c r="T717" s="54"/>
      <c r="U717" s="54"/>
      <c r="V717" s="54"/>
      <c r="W717" s="54"/>
      <c r="X717" s="54"/>
      <c r="Y717" s="54"/>
      <c r="Z717" s="54"/>
      <c r="AA717" s="54"/>
      <c r="AB717" s="287"/>
      <c r="AC717" s="54"/>
      <c r="AD717" s="54"/>
      <c r="AE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R718" s="249"/>
      <c r="S718" s="54"/>
      <c r="T718" s="54"/>
      <c r="U718" s="54"/>
      <c r="V718" s="54"/>
      <c r="W718" s="54"/>
      <c r="X718" s="54"/>
      <c r="Y718" s="54"/>
      <c r="Z718" s="54"/>
      <c r="AA718" s="54"/>
      <c r="AB718" s="287"/>
      <c r="AC718" s="54"/>
      <c r="AD718" s="54"/>
      <c r="AE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R719" s="249"/>
      <c r="S719" s="54"/>
      <c r="T719" s="54"/>
      <c r="U719" s="54"/>
      <c r="V719" s="54"/>
      <c r="W719" s="54"/>
      <c r="X719" s="54"/>
      <c r="Y719" s="54"/>
      <c r="Z719" s="54"/>
      <c r="AA719" s="54"/>
      <c r="AB719" s="287"/>
      <c r="AC719" s="54"/>
      <c r="AD719" s="54"/>
      <c r="AE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R720" s="249"/>
      <c r="S720" s="54"/>
      <c r="T720" s="54"/>
      <c r="U720" s="54"/>
      <c r="V720" s="54"/>
      <c r="W720" s="54"/>
      <c r="X720" s="54"/>
      <c r="Y720" s="54"/>
      <c r="Z720" s="54"/>
      <c r="AA720" s="54"/>
      <c r="AB720" s="287"/>
      <c r="AC720" s="54"/>
      <c r="AD720" s="54"/>
      <c r="AE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R721" s="249"/>
      <c r="S721" s="54"/>
      <c r="T721" s="54"/>
      <c r="U721" s="54"/>
      <c r="V721" s="54"/>
      <c r="W721" s="54"/>
      <c r="X721" s="54"/>
      <c r="Y721" s="54"/>
      <c r="Z721" s="54"/>
      <c r="AA721" s="54"/>
      <c r="AB721" s="287"/>
      <c r="AC721" s="54"/>
      <c r="AD721" s="54"/>
      <c r="AE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R722" s="249"/>
      <c r="S722" s="54"/>
      <c r="T722" s="54"/>
      <c r="U722" s="54"/>
      <c r="V722" s="54"/>
      <c r="W722" s="54"/>
      <c r="X722" s="54"/>
      <c r="Y722" s="54"/>
      <c r="Z722" s="54"/>
      <c r="AA722" s="54"/>
      <c r="AB722" s="287"/>
      <c r="AC722" s="54"/>
      <c r="AD722" s="54"/>
      <c r="AE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R723" s="249"/>
      <c r="S723" s="54"/>
      <c r="T723" s="54"/>
      <c r="U723" s="54"/>
      <c r="V723" s="54"/>
      <c r="W723" s="54"/>
      <c r="X723" s="54"/>
      <c r="Y723" s="54"/>
      <c r="Z723" s="54"/>
      <c r="AA723" s="54"/>
      <c r="AB723" s="287"/>
      <c r="AC723" s="54"/>
      <c r="AD723" s="54"/>
      <c r="AE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R724" s="249"/>
      <c r="S724" s="54"/>
      <c r="T724" s="54"/>
      <c r="U724" s="54"/>
      <c r="V724" s="54"/>
      <c r="W724" s="54"/>
      <c r="X724" s="54"/>
      <c r="Y724" s="54"/>
      <c r="Z724" s="54"/>
      <c r="AA724" s="54"/>
      <c r="AB724" s="287"/>
      <c r="AC724" s="54"/>
      <c r="AD724" s="54"/>
      <c r="AE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R725" s="249"/>
      <c r="S725" s="54"/>
      <c r="T725" s="54"/>
      <c r="U725" s="54"/>
      <c r="V725" s="54"/>
      <c r="W725" s="54"/>
      <c r="X725" s="54"/>
      <c r="Y725" s="54"/>
      <c r="Z725" s="54"/>
      <c r="AA725" s="54"/>
      <c r="AB725" s="287"/>
      <c r="AC725" s="54"/>
      <c r="AD725" s="54"/>
      <c r="AE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R726" s="249"/>
      <c r="S726" s="54"/>
      <c r="T726" s="54"/>
      <c r="U726" s="54"/>
      <c r="V726" s="54"/>
      <c r="W726" s="54"/>
      <c r="X726" s="54"/>
      <c r="Y726" s="54"/>
      <c r="Z726" s="54"/>
      <c r="AA726" s="54"/>
      <c r="AB726" s="287"/>
      <c r="AC726" s="54"/>
      <c r="AD726" s="54"/>
      <c r="AE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R727" s="249"/>
      <c r="S727" s="54"/>
      <c r="T727" s="54"/>
      <c r="U727" s="54"/>
      <c r="V727" s="54"/>
      <c r="W727" s="54"/>
      <c r="X727" s="54"/>
      <c r="Y727" s="54"/>
      <c r="Z727" s="54"/>
      <c r="AA727" s="54"/>
      <c r="AB727" s="287"/>
      <c r="AC727" s="54"/>
      <c r="AD727" s="54"/>
      <c r="AE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R728" s="249"/>
      <c r="S728" s="54"/>
      <c r="T728" s="54"/>
      <c r="U728" s="54"/>
      <c r="V728" s="54"/>
      <c r="W728" s="54"/>
      <c r="X728" s="54"/>
      <c r="Y728" s="54"/>
      <c r="Z728" s="54"/>
      <c r="AA728" s="54"/>
      <c r="AB728" s="287"/>
      <c r="AC728" s="54"/>
      <c r="AD728" s="54"/>
      <c r="AE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R729" s="249"/>
      <c r="S729" s="54"/>
      <c r="T729" s="54"/>
      <c r="U729" s="54"/>
      <c r="V729" s="54"/>
      <c r="W729" s="54"/>
      <c r="X729" s="54"/>
      <c r="Y729" s="54"/>
      <c r="Z729" s="54"/>
      <c r="AA729" s="54"/>
      <c r="AB729" s="287"/>
      <c r="AC729" s="54"/>
      <c r="AD729" s="54"/>
      <c r="AE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R730" s="249"/>
      <c r="S730" s="54"/>
      <c r="T730" s="54"/>
      <c r="U730" s="54"/>
      <c r="V730" s="54"/>
      <c r="W730" s="54"/>
      <c r="X730" s="54"/>
      <c r="Y730" s="54"/>
      <c r="Z730" s="54"/>
      <c r="AA730" s="54"/>
      <c r="AB730" s="287"/>
      <c r="AC730" s="54"/>
      <c r="AD730" s="54"/>
      <c r="AE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R731" s="249"/>
      <c r="S731" s="54"/>
      <c r="T731" s="54"/>
      <c r="U731" s="54"/>
      <c r="V731" s="54"/>
      <c r="W731" s="54"/>
      <c r="X731" s="54"/>
      <c r="Y731" s="54"/>
      <c r="Z731" s="54"/>
      <c r="AA731" s="54"/>
      <c r="AB731" s="287"/>
      <c r="AC731" s="54"/>
      <c r="AD731" s="54"/>
      <c r="AE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R732" s="249"/>
      <c r="S732" s="54"/>
      <c r="T732" s="54"/>
      <c r="U732" s="54"/>
      <c r="V732" s="54"/>
      <c r="W732" s="54"/>
      <c r="X732" s="54"/>
      <c r="Y732" s="54"/>
      <c r="Z732" s="54"/>
      <c r="AA732" s="54"/>
      <c r="AB732" s="287"/>
      <c r="AC732" s="54"/>
      <c r="AD732" s="54"/>
      <c r="AE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R733" s="249"/>
      <c r="S733" s="54"/>
      <c r="T733" s="54"/>
      <c r="U733" s="54"/>
      <c r="V733" s="54"/>
      <c r="W733" s="54"/>
      <c r="X733" s="54"/>
      <c r="Y733" s="54"/>
      <c r="Z733" s="54"/>
      <c r="AA733" s="54"/>
      <c r="AB733" s="287"/>
      <c r="AC733" s="54"/>
      <c r="AD733" s="54"/>
      <c r="AE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R734" s="249"/>
      <c r="S734" s="54"/>
      <c r="T734" s="54"/>
      <c r="U734" s="54"/>
      <c r="V734" s="54"/>
      <c r="W734" s="54"/>
      <c r="X734" s="54"/>
      <c r="Y734" s="54"/>
      <c r="Z734" s="54"/>
      <c r="AA734" s="54"/>
      <c r="AB734" s="287"/>
      <c r="AC734" s="54"/>
      <c r="AD734" s="54"/>
      <c r="AE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R735" s="249"/>
      <c r="S735" s="54"/>
      <c r="T735" s="54"/>
      <c r="U735" s="54"/>
      <c r="V735" s="54"/>
      <c r="W735" s="54"/>
      <c r="X735" s="54"/>
      <c r="Y735" s="54"/>
      <c r="Z735" s="54"/>
      <c r="AA735" s="54"/>
      <c r="AB735" s="287"/>
      <c r="AC735" s="54"/>
      <c r="AD735" s="54"/>
      <c r="AE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R736" s="249"/>
      <c r="S736" s="54"/>
      <c r="T736" s="54"/>
      <c r="U736" s="54"/>
      <c r="V736" s="54"/>
      <c r="W736" s="54"/>
      <c r="X736" s="54"/>
      <c r="Y736" s="54"/>
      <c r="Z736" s="54"/>
      <c r="AA736" s="54"/>
      <c r="AB736" s="287"/>
      <c r="AC736" s="54"/>
      <c r="AD736" s="54"/>
      <c r="AE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R737" s="249"/>
      <c r="S737" s="54"/>
      <c r="T737" s="54"/>
      <c r="U737" s="54"/>
      <c r="V737" s="54"/>
      <c r="W737" s="54"/>
      <c r="X737" s="54"/>
      <c r="Y737" s="54"/>
      <c r="Z737" s="54"/>
      <c r="AA737" s="54"/>
      <c r="AB737" s="287"/>
      <c r="AC737" s="54"/>
      <c r="AD737" s="54"/>
      <c r="AE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R738" s="249"/>
      <c r="S738" s="54"/>
      <c r="T738" s="54"/>
      <c r="U738" s="54"/>
      <c r="V738" s="54"/>
      <c r="W738" s="54"/>
      <c r="X738" s="54"/>
      <c r="Y738" s="54"/>
      <c r="Z738" s="54"/>
      <c r="AA738" s="54"/>
      <c r="AB738" s="287"/>
      <c r="AC738" s="54"/>
      <c r="AD738" s="54"/>
      <c r="AE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R739" s="249"/>
      <c r="S739" s="54"/>
      <c r="T739" s="54"/>
      <c r="U739" s="54"/>
      <c r="V739" s="54"/>
      <c r="W739" s="54"/>
      <c r="X739" s="54"/>
      <c r="Y739" s="54"/>
      <c r="Z739" s="54"/>
      <c r="AA739" s="54"/>
      <c r="AB739" s="287"/>
      <c r="AC739" s="54"/>
      <c r="AD739" s="54"/>
      <c r="AE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R740" s="249"/>
      <c r="S740" s="54"/>
      <c r="T740" s="54"/>
      <c r="U740" s="54"/>
      <c r="V740" s="54"/>
      <c r="W740" s="54"/>
      <c r="X740" s="54"/>
      <c r="Y740" s="54"/>
      <c r="Z740" s="54"/>
      <c r="AA740" s="54"/>
      <c r="AB740" s="287"/>
      <c r="AC740" s="54"/>
      <c r="AD740" s="54"/>
      <c r="AE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R741" s="249"/>
      <c r="S741" s="54"/>
      <c r="T741" s="54"/>
      <c r="U741" s="54"/>
      <c r="V741" s="54"/>
      <c r="W741" s="54"/>
      <c r="X741" s="54"/>
      <c r="Y741" s="54"/>
      <c r="Z741" s="54"/>
      <c r="AA741" s="54"/>
      <c r="AB741" s="287"/>
      <c r="AC741" s="54"/>
      <c r="AD741" s="54"/>
      <c r="AE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R742" s="249"/>
      <c r="S742" s="54"/>
      <c r="T742" s="54"/>
      <c r="U742" s="54"/>
      <c r="V742" s="54"/>
      <c r="W742" s="54"/>
      <c r="X742" s="54"/>
      <c r="Y742" s="54"/>
      <c r="Z742" s="54"/>
      <c r="AA742" s="54"/>
      <c r="AB742" s="287"/>
      <c r="AC742" s="54"/>
      <c r="AD742" s="54"/>
      <c r="AE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R743" s="249"/>
      <c r="S743" s="54"/>
      <c r="T743" s="54"/>
      <c r="U743" s="54"/>
      <c r="V743" s="54"/>
      <c r="W743" s="54"/>
      <c r="X743" s="54"/>
      <c r="Y743" s="54"/>
      <c r="Z743" s="54"/>
      <c r="AA743" s="54"/>
      <c r="AB743" s="287"/>
      <c r="AC743" s="54"/>
      <c r="AD743" s="54"/>
      <c r="AE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R744" s="249"/>
      <c r="S744" s="54"/>
      <c r="T744" s="54"/>
      <c r="U744" s="54"/>
      <c r="V744" s="54"/>
      <c r="W744" s="54"/>
      <c r="X744" s="54"/>
      <c r="Y744" s="54"/>
      <c r="Z744" s="54"/>
      <c r="AA744" s="54"/>
      <c r="AB744" s="287"/>
      <c r="AC744" s="54"/>
      <c r="AD744" s="54"/>
      <c r="AE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R745" s="249"/>
      <c r="S745" s="54"/>
      <c r="T745" s="54"/>
      <c r="U745" s="54"/>
      <c r="V745" s="54"/>
      <c r="W745" s="54"/>
      <c r="X745" s="54"/>
      <c r="Y745" s="54"/>
      <c r="Z745" s="54"/>
      <c r="AA745" s="54"/>
      <c r="AB745" s="287"/>
      <c r="AC745" s="54"/>
      <c r="AD745" s="54"/>
      <c r="AE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R746" s="249"/>
      <c r="S746" s="54"/>
      <c r="T746" s="54"/>
      <c r="U746" s="54"/>
      <c r="V746" s="54"/>
      <c r="W746" s="54"/>
      <c r="X746" s="54"/>
      <c r="Y746" s="54"/>
      <c r="Z746" s="54"/>
      <c r="AA746" s="54"/>
      <c r="AB746" s="287"/>
      <c r="AC746" s="54"/>
      <c r="AD746" s="54"/>
      <c r="AE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R747" s="249"/>
      <c r="S747" s="54"/>
      <c r="T747" s="54"/>
      <c r="U747" s="54"/>
      <c r="V747" s="54"/>
      <c r="W747" s="54"/>
      <c r="X747" s="54"/>
      <c r="Y747" s="54"/>
      <c r="Z747" s="54"/>
      <c r="AA747" s="54"/>
      <c r="AB747" s="287"/>
      <c r="AC747" s="54"/>
      <c r="AD747" s="54"/>
      <c r="AE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R748" s="249"/>
      <c r="S748" s="54"/>
      <c r="T748" s="54"/>
      <c r="U748" s="54"/>
      <c r="V748" s="54"/>
      <c r="W748" s="54"/>
      <c r="X748" s="54"/>
      <c r="Y748" s="54"/>
      <c r="Z748" s="54"/>
      <c r="AA748" s="54"/>
      <c r="AB748" s="287"/>
      <c r="AC748" s="54"/>
      <c r="AD748" s="54"/>
      <c r="AE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R749" s="249"/>
      <c r="S749" s="54"/>
      <c r="T749" s="54"/>
      <c r="U749" s="54"/>
      <c r="V749" s="54"/>
      <c r="W749" s="54"/>
      <c r="X749" s="54"/>
      <c r="Y749" s="54"/>
      <c r="Z749" s="54"/>
      <c r="AA749" s="54"/>
      <c r="AB749" s="287"/>
      <c r="AC749" s="54"/>
      <c r="AD749" s="54"/>
      <c r="AE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R750" s="249"/>
      <c r="S750" s="54"/>
      <c r="T750" s="54"/>
      <c r="U750" s="54"/>
      <c r="V750" s="54"/>
      <c r="W750" s="54"/>
      <c r="X750" s="54"/>
      <c r="Y750" s="54"/>
      <c r="Z750" s="54"/>
      <c r="AA750" s="54"/>
      <c r="AB750" s="287"/>
      <c r="AC750" s="54"/>
      <c r="AD750" s="54"/>
      <c r="AE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R751" s="249"/>
      <c r="S751" s="54"/>
      <c r="T751" s="54"/>
      <c r="U751" s="54"/>
      <c r="V751" s="54"/>
      <c r="W751" s="54"/>
      <c r="X751" s="54"/>
      <c r="Y751" s="54"/>
      <c r="Z751" s="54"/>
      <c r="AA751" s="54"/>
      <c r="AB751" s="287"/>
      <c r="AC751" s="54"/>
      <c r="AD751" s="54"/>
      <c r="AE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R752" s="249"/>
      <c r="S752" s="54"/>
      <c r="T752" s="54"/>
      <c r="U752" s="54"/>
      <c r="V752" s="54"/>
      <c r="W752" s="54"/>
      <c r="X752" s="54"/>
      <c r="Y752" s="54"/>
      <c r="Z752" s="54"/>
      <c r="AA752" s="54"/>
      <c r="AB752" s="287"/>
      <c r="AC752" s="54"/>
      <c r="AD752" s="54"/>
      <c r="AE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R753" s="249"/>
      <c r="S753" s="54"/>
      <c r="T753" s="54"/>
      <c r="U753" s="54"/>
      <c r="V753" s="54"/>
      <c r="W753" s="54"/>
      <c r="X753" s="54"/>
      <c r="Y753" s="54"/>
      <c r="Z753" s="54"/>
      <c r="AA753" s="54"/>
      <c r="AB753" s="287"/>
      <c r="AC753" s="54"/>
      <c r="AD753" s="54"/>
      <c r="AE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R754" s="249"/>
      <c r="S754" s="54"/>
      <c r="T754" s="54"/>
      <c r="U754" s="54"/>
      <c r="V754" s="54"/>
      <c r="W754" s="54"/>
      <c r="X754" s="54"/>
      <c r="Y754" s="54"/>
      <c r="Z754" s="54"/>
      <c r="AA754" s="54"/>
      <c r="AB754" s="287"/>
      <c r="AC754" s="54"/>
      <c r="AD754" s="54"/>
      <c r="AE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R755" s="249"/>
      <c r="S755" s="54"/>
      <c r="T755" s="54"/>
      <c r="U755" s="54"/>
      <c r="V755" s="54"/>
      <c r="W755" s="54"/>
      <c r="X755" s="54"/>
      <c r="Y755" s="54"/>
      <c r="Z755" s="54"/>
      <c r="AA755" s="54"/>
      <c r="AB755" s="287"/>
      <c r="AC755" s="54"/>
      <c r="AD755" s="54"/>
      <c r="AE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R756" s="249"/>
      <c r="S756" s="54"/>
      <c r="T756" s="54"/>
      <c r="U756" s="54"/>
      <c r="V756" s="54"/>
      <c r="W756" s="54"/>
      <c r="X756" s="54"/>
      <c r="Y756" s="54"/>
      <c r="Z756" s="54"/>
      <c r="AA756" s="54"/>
      <c r="AB756" s="287"/>
      <c r="AC756" s="54"/>
      <c r="AD756" s="54"/>
      <c r="AE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R757" s="249"/>
      <c r="S757" s="54"/>
      <c r="T757" s="54"/>
      <c r="U757" s="54"/>
      <c r="V757" s="54"/>
      <c r="W757" s="54"/>
      <c r="X757" s="54"/>
      <c r="Y757" s="54"/>
      <c r="Z757" s="54"/>
      <c r="AA757" s="54"/>
      <c r="AB757" s="287"/>
      <c r="AC757" s="54"/>
      <c r="AD757" s="54"/>
      <c r="AE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R758" s="249"/>
      <c r="S758" s="54"/>
      <c r="T758" s="54"/>
      <c r="U758" s="54"/>
      <c r="V758" s="54"/>
      <c r="W758" s="54"/>
      <c r="X758" s="54"/>
      <c r="Y758" s="54"/>
      <c r="Z758" s="54"/>
      <c r="AA758" s="54"/>
      <c r="AB758" s="287"/>
      <c r="AC758" s="54"/>
      <c r="AD758" s="54"/>
      <c r="AE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R759" s="249"/>
      <c r="S759" s="54"/>
      <c r="T759" s="54"/>
      <c r="U759" s="54"/>
      <c r="V759" s="54"/>
      <c r="W759" s="54"/>
      <c r="X759" s="54"/>
      <c r="Y759" s="54"/>
      <c r="Z759" s="54"/>
      <c r="AA759" s="54"/>
      <c r="AB759" s="287"/>
      <c r="AC759" s="54"/>
      <c r="AD759" s="54"/>
      <c r="AE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R760" s="249"/>
      <c r="S760" s="54"/>
      <c r="T760" s="54"/>
      <c r="U760" s="54"/>
      <c r="V760" s="54"/>
      <c r="W760" s="54"/>
      <c r="X760" s="54"/>
      <c r="Y760" s="54"/>
      <c r="Z760" s="54"/>
      <c r="AA760" s="54"/>
      <c r="AB760" s="287"/>
      <c r="AC760" s="54"/>
      <c r="AD760" s="54"/>
      <c r="AE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R761" s="249"/>
      <c r="S761" s="54"/>
      <c r="T761" s="54"/>
      <c r="U761" s="54"/>
      <c r="V761" s="54"/>
      <c r="W761" s="54"/>
      <c r="X761" s="54"/>
      <c r="Y761" s="54"/>
      <c r="Z761" s="54"/>
      <c r="AA761" s="54"/>
      <c r="AB761" s="287"/>
      <c r="AC761" s="54"/>
      <c r="AD761" s="54"/>
      <c r="AE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R762" s="249"/>
      <c r="S762" s="54"/>
      <c r="T762" s="54"/>
      <c r="U762" s="54"/>
      <c r="V762" s="54"/>
      <c r="W762" s="54"/>
      <c r="X762" s="54"/>
      <c r="Y762" s="54"/>
      <c r="Z762" s="54"/>
      <c r="AA762" s="54"/>
      <c r="AB762" s="287"/>
      <c r="AC762" s="54"/>
      <c r="AD762" s="54"/>
      <c r="AE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R763" s="249"/>
      <c r="S763" s="54"/>
      <c r="T763" s="54"/>
      <c r="U763" s="54"/>
      <c r="V763" s="54"/>
      <c r="W763" s="54"/>
      <c r="X763" s="54"/>
      <c r="Y763" s="54"/>
      <c r="Z763" s="54"/>
      <c r="AA763" s="54"/>
      <c r="AB763" s="287"/>
      <c r="AC763" s="54"/>
      <c r="AD763" s="54"/>
      <c r="AE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R764" s="249"/>
      <c r="S764" s="54"/>
      <c r="T764" s="54"/>
      <c r="U764" s="54"/>
      <c r="V764" s="54"/>
      <c r="W764" s="54"/>
      <c r="X764" s="54"/>
      <c r="Y764" s="54"/>
      <c r="Z764" s="54"/>
      <c r="AA764" s="54"/>
      <c r="AB764" s="287"/>
      <c r="AC764" s="54"/>
      <c r="AD764" s="54"/>
      <c r="AE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R765" s="249"/>
      <c r="S765" s="54"/>
      <c r="T765" s="54"/>
      <c r="U765" s="54"/>
      <c r="V765" s="54"/>
      <c r="W765" s="54"/>
      <c r="X765" s="54"/>
      <c r="Y765" s="54"/>
      <c r="Z765" s="54"/>
      <c r="AA765" s="54"/>
      <c r="AB765" s="287"/>
      <c r="AC765" s="54"/>
      <c r="AD765" s="54"/>
      <c r="AE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R766" s="249"/>
      <c r="S766" s="54"/>
      <c r="T766" s="54"/>
      <c r="U766" s="54"/>
      <c r="V766" s="54"/>
      <c r="W766" s="54"/>
      <c r="X766" s="54"/>
      <c r="Y766" s="54"/>
      <c r="Z766" s="54"/>
      <c r="AA766" s="54"/>
      <c r="AB766" s="287"/>
      <c r="AC766" s="54"/>
      <c r="AD766" s="54"/>
      <c r="AE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R767" s="249"/>
      <c r="S767" s="54"/>
      <c r="T767" s="54"/>
      <c r="U767" s="54"/>
      <c r="V767" s="54"/>
      <c r="W767" s="54"/>
      <c r="X767" s="54"/>
      <c r="Y767" s="54"/>
      <c r="Z767" s="54"/>
      <c r="AA767" s="54"/>
      <c r="AB767" s="287"/>
      <c r="AC767" s="54"/>
      <c r="AD767" s="54"/>
      <c r="AE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R768" s="249"/>
      <c r="S768" s="54"/>
      <c r="T768" s="54"/>
      <c r="U768" s="54"/>
      <c r="V768" s="54"/>
      <c r="W768" s="54"/>
      <c r="X768" s="54"/>
      <c r="Y768" s="54"/>
      <c r="Z768" s="54"/>
      <c r="AA768" s="54"/>
      <c r="AB768" s="287"/>
      <c r="AC768" s="54"/>
      <c r="AD768" s="54"/>
      <c r="AE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R769" s="249"/>
      <c r="S769" s="54"/>
      <c r="T769" s="54"/>
      <c r="U769" s="54"/>
      <c r="V769" s="54"/>
      <c r="W769" s="54"/>
      <c r="X769" s="54"/>
      <c r="Y769" s="54"/>
      <c r="Z769" s="54"/>
      <c r="AA769" s="54"/>
      <c r="AB769" s="287"/>
      <c r="AC769" s="54"/>
      <c r="AD769" s="54"/>
      <c r="AE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R770" s="249"/>
      <c r="S770" s="54"/>
      <c r="T770" s="54"/>
      <c r="U770" s="54"/>
      <c r="V770" s="54"/>
      <c r="W770" s="54"/>
      <c r="X770" s="54"/>
      <c r="Y770" s="54"/>
      <c r="Z770" s="54"/>
      <c r="AA770" s="54"/>
      <c r="AB770" s="287"/>
      <c r="AC770" s="54"/>
      <c r="AD770" s="54"/>
      <c r="AE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R771" s="249"/>
      <c r="S771" s="54"/>
      <c r="T771" s="54"/>
      <c r="U771" s="54"/>
      <c r="V771" s="54"/>
      <c r="W771" s="54"/>
      <c r="X771" s="54"/>
      <c r="Y771" s="54"/>
      <c r="Z771" s="54"/>
      <c r="AA771" s="54"/>
      <c r="AB771" s="287"/>
      <c r="AC771" s="54"/>
      <c r="AD771" s="54"/>
      <c r="AE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R772" s="249"/>
      <c r="S772" s="54"/>
      <c r="T772" s="54"/>
      <c r="U772" s="54"/>
      <c r="V772" s="54"/>
      <c r="W772" s="54"/>
      <c r="X772" s="54"/>
      <c r="Y772" s="54"/>
      <c r="Z772" s="54"/>
      <c r="AA772" s="54"/>
      <c r="AB772" s="287"/>
      <c r="AC772" s="54"/>
      <c r="AD772" s="54"/>
      <c r="AE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R773" s="249"/>
      <c r="S773" s="54"/>
      <c r="T773" s="54"/>
      <c r="U773" s="54"/>
      <c r="V773" s="54"/>
      <c r="W773" s="54"/>
      <c r="X773" s="54"/>
      <c r="Y773" s="54"/>
      <c r="Z773" s="54"/>
      <c r="AA773" s="54"/>
      <c r="AB773" s="287"/>
      <c r="AC773" s="54"/>
      <c r="AD773" s="54"/>
      <c r="AE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R774" s="249"/>
      <c r="S774" s="54"/>
      <c r="T774" s="54"/>
      <c r="U774" s="54"/>
      <c r="V774" s="54"/>
      <c r="W774" s="54"/>
      <c r="X774" s="54"/>
      <c r="Y774" s="54"/>
      <c r="Z774" s="54"/>
      <c r="AA774" s="54"/>
      <c r="AB774" s="287"/>
      <c r="AC774" s="54"/>
      <c r="AD774" s="54"/>
      <c r="AE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R775" s="249"/>
      <c r="S775" s="54"/>
      <c r="T775" s="54"/>
      <c r="U775" s="54"/>
      <c r="V775" s="54"/>
      <c r="W775" s="54"/>
      <c r="X775" s="54"/>
      <c r="Y775" s="54"/>
      <c r="Z775" s="54"/>
      <c r="AA775" s="54"/>
      <c r="AB775" s="287"/>
      <c r="AC775" s="54"/>
      <c r="AD775" s="54"/>
      <c r="AE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R776" s="249"/>
      <c r="S776" s="54"/>
      <c r="T776" s="54"/>
      <c r="U776" s="54"/>
      <c r="V776" s="54"/>
      <c r="W776" s="54"/>
      <c r="X776" s="54"/>
      <c r="Y776" s="54"/>
      <c r="Z776" s="54"/>
      <c r="AA776" s="54"/>
      <c r="AB776" s="287"/>
      <c r="AC776" s="54"/>
      <c r="AD776" s="54"/>
      <c r="AE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R777" s="249"/>
      <c r="S777" s="54"/>
      <c r="T777" s="54"/>
      <c r="U777" s="54"/>
      <c r="V777" s="54"/>
      <c r="W777" s="54"/>
      <c r="X777" s="54"/>
      <c r="Y777" s="54"/>
      <c r="Z777" s="54"/>
      <c r="AA777" s="54"/>
      <c r="AB777" s="287"/>
      <c r="AC777" s="54"/>
      <c r="AD777" s="54"/>
      <c r="AE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R778" s="249"/>
      <c r="S778" s="54"/>
      <c r="T778" s="54"/>
      <c r="U778" s="54"/>
      <c r="V778" s="54"/>
      <c r="W778" s="54"/>
      <c r="X778" s="54"/>
      <c r="Y778" s="54"/>
      <c r="Z778" s="54"/>
      <c r="AA778" s="54"/>
      <c r="AB778" s="287"/>
      <c r="AC778" s="54"/>
      <c r="AD778" s="54"/>
      <c r="AE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R779" s="249"/>
      <c r="S779" s="54"/>
      <c r="T779" s="54"/>
      <c r="U779" s="54"/>
      <c r="V779" s="54"/>
      <c r="W779" s="54"/>
      <c r="X779" s="54"/>
      <c r="Y779" s="54"/>
      <c r="Z779" s="54"/>
      <c r="AA779" s="54"/>
      <c r="AB779" s="287"/>
      <c r="AC779" s="54"/>
      <c r="AD779" s="54"/>
      <c r="AE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R780" s="249"/>
      <c r="S780" s="54"/>
      <c r="T780" s="54"/>
      <c r="U780" s="54"/>
      <c r="V780" s="54"/>
      <c r="W780" s="54"/>
      <c r="X780" s="54"/>
      <c r="Y780" s="54"/>
      <c r="Z780" s="54"/>
      <c r="AA780" s="54"/>
      <c r="AB780" s="287"/>
      <c r="AC780" s="54"/>
      <c r="AD780" s="54"/>
      <c r="AE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R781" s="249"/>
      <c r="S781" s="54"/>
      <c r="T781" s="54"/>
      <c r="U781" s="54"/>
      <c r="V781" s="54"/>
      <c r="W781" s="54"/>
      <c r="X781" s="54"/>
      <c r="Y781" s="54"/>
      <c r="Z781" s="54"/>
      <c r="AA781" s="54"/>
      <c r="AB781" s="287"/>
      <c r="AC781" s="54"/>
      <c r="AD781" s="54"/>
      <c r="AE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R782" s="249"/>
      <c r="S782" s="54"/>
      <c r="T782" s="54"/>
      <c r="U782" s="54"/>
      <c r="V782" s="54"/>
      <c r="W782" s="54"/>
      <c r="X782" s="54"/>
      <c r="Y782" s="54"/>
      <c r="Z782" s="54"/>
      <c r="AA782" s="54"/>
      <c r="AB782" s="287"/>
      <c r="AC782" s="54"/>
      <c r="AD782" s="54"/>
      <c r="AE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R783" s="249"/>
      <c r="S783" s="54"/>
      <c r="T783" s="54"/>
      <c r="U783" s="54"/>
      <c r="V783" s="54"/>
      <c r="W783" s="54"/>
      <c r="X783" s="54"/>
      <c r="Y783" s="54"/>
      <c r="Z783" s="54"/>
      <c r="AA783" s="54"/>
      <c r="AB783" s="287"/>
      <c r="AC783" s="54"/>
      <c r="AD783" s="54"/>
      <c r="AE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R784" s="249"/>
      <c r="S784" s="54"/>
      <c r="T784" s="54"/>
      <c r="U784" s="54"/>
      <c r="V784" s="54"/>
      <c r="W784" s="54"/>
      <c r="X784" s="54"/>
      <c r="Y784" s="54"/>
      <c r="Z784" s="54"/>
      <c r="AA784" s="54"/>
      <c r="AB784" s="287"/>
      <c r="AC784" s="54"/>
      <c r="AD784" s="54"/>
      <c r="AE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R785" s="249"/>
      <c r="S785" s="54"/>
      <c r="T785" s="54"/>
      <c r="U785" s="54"/>
      <c r="V785" s="54"/>
      <c r="W785" s="54"/>
      <c r="X785" s="54"/>
      <c r="Y785" s="54"/>
      <c r="Z785" s="54"/>
      <c r="AA785" s="54"/>
      <c r="AB785" s="287"/>
      <c r="AC785" s="54"/>
      <c r="AD785" s="54"/>
      <c r="AE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R786" s="249"/>
      <c r="S786" s="54"/>
      <c r="T786" s="54"/>
      <c r="U786" s="54"/>
      <c r="V786" s="54"/>
      <c r="W786" s="54"/>
      <c r="X786" s="54"/>
      <c r="Y786" s="54"/>
      <c r="Z786" s="54"/>
      <c r="AA786" s="54"/>
      <c r="AB786" s="287"/>
      <c r="AC786" s="54"/>
      <c r="AD786" s="54"/>
      <c r="AE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R787" s="249"/>
      <c r="S787" s="54"/>
      <c r="T787" s="54"/>
      <c r="U787" s="54"/>
      <c r="V787" s="54"/>
      <c r="W787" s="54"/>
      <c r="X787" s="54"/>
      <c r="Y787" s="54"/>
      <c r="Z787" s="54"/>
      <c r="AA787" s="54"/>
      <c r="AB787" s="287"/>
      <c r="AC787" s="54"/>
      <c r="AD787" s="54"/>
      <c r="AE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R788" s="249"/>
      <c r="S788" s="54"/>
      <c r="T788" s="54"/>
      <c r="U788" s="54"/>
      <c r="V788" s="54"/>
      <c r="W788" s="54"/>
      <c r="X788" s="54"/>
      <c r="Y788" s="54"/>
      <c r="Z788" s="54"/>
      <c r="AA788" s="54"/>
      <c r="AB788" s="287"/>
      <c r="AC788" s="54"/>
      <c r="AD788" s="54"/>
      <c r="AE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R789" s="249"/>
      <c r="S789" s="54"/>
      <c r="T789" s="54"/>
      <c r="U789" s="54"/>
      <c r="V789" s="54"/>
      <c r="W789" s="54"/>
      <c r="X789" s="54"/>
      <c r="Y789" s="54"/>
      <c r="Z789" s="54"/>
      <c r="AA789" s="54"/>
      <c r="AB789" s="287"/>
      <c r="AC789" s="54"/>
      <c r="AD789" s="54"/>
      <c r="AE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R790" s="249"/>
      <c r="S790" s="54"/>
      <c r="T790" s="54"/>
      <c r="U790" s="54"/>
      <c r="V790" s="54"/>
      <c r="W790" s="54"/>
      <c r="X790" s="54"/>
      <c r="Y790" s="54"/>
      <c r="Z790" s="54"/>
      <c r="AA790" s="54"/>
      <c r="AB790" s="287"/>
      <c r="AC790" s="54"/>
      <c r="AD790" s="54"/>
      <c r="AE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R791" s="249"/>
      <c r="S791" s="54"/>
      <c r="T791" s="54"/>
      <c r="U791" s="54"/>
      <c r="V791" s="54"/>
      <c r="W791" s="54"/>
      <c r="X791" s="54"/>
      <c r="Y791" s="54"/>
      <c r="Z791" s="54"/>
      <c r="AA791" s="54"/>
      <c r="AB791" s="287"/>
      <c r="AC791" s="54"/>
      <c r="AD791" s="54"/>
      <c r="AE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R792" s="249"/>
      <c r="S792" s="54"/>
      <c r="T792" s="54"/>
      <c r="U792" s="54"/>
      <c r="V792" s="54"/>
      <c r="W792" s="54"/>
      <c r="X792" s="54"/>
      <c r="Y792" s="54"/>
      <c r="Z792" s="54"/>
      <c r="AA792" s="54"/>
      <c r="AB792" s="287"/>
      <c r="AC792" s="54"/>
      <c r="AD792" s="54"/>
      <c r="AE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R793" s="249"/>
      <c r="S793" s="54"/>
      <c r="T793" s="54"/>
      <c r="U793" s="54"/>
      <c r="V793" s="54"/>
      <c r="W793" s="54"/>
      <c r="X793" s="54"/>
      <c r="Y793" s="54"/>
      <c r="Z793" s="54"/>
      <c r="AA793" s="54"/>
      <c r="AB793" s="287"/>
      <c r="AC793" s="54"/>
      <c r="AD793" s="54"/>
      <c r="AE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R794" s="249"/>
      <c r="S794" s="54"/>
      <c r="T794" s="54"/>
      <c r="U794" s="54"/>
      <c r="V794" s="54"/>
      <c r="W794" s="54"/>
      <c r="X794" s="54"/>
      <c r="Y794" s="54"/>
      <c r="Z794" s="54"/>
      <c r="AA794" s="54"/>
      <c r="AB794" s="287"/>
      <c r="AC794" s="54"/>
      <c r="AD794" s="54"/>
      <c r="AE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R795" s="249"/>
      <c r="S795" s="54"/>
      <c r="T795" s="54"/>
      <c r="U795" s="54"/>
      <c r="V795" s="54"/>
      <c r="W795" s="54"/>
      <c r="X795" s="54"/>
      <c r="Y795" s="54"/>
      <c r="Z795" s="54"/>
      <c r="AA795" s="54"/>
      <c r="AB795" s="287"/>
      <c r="AC795" s="54"/>
      <c r="AD795" s="54"/>
      <c r="AE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R796" s="249"/>
      <c r="S796" s="54"/>
      <c r="T796" s="54"/>
      <c r="U796" s="54"/>
      <c r="V796" s="54"/>
      <c r="W796" s="54"/>
      <c r="X796" s="54"/>
      <c r="Y796" s="54"/>
      <c r="Z796" s="54"/>
      <c r="AA796" s="54"/>
      <c r="AB796" s="287"/>
      <c r="AC796" s="54"/>
      <c r="AD796" s="54"/>
      <c r="AE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R797" s="249"/>
      <c r="S797" s="54"/>
      <c r="T797" s="54"/>
      <c r="U797" s="54"/>
      <c r="V797" s="54"/>
      <c r="W797" s="54"/>
      <c r="X797" s="54"/>
      <c r="Y797" s="54"/>
      <c r="Z797" s="54"/>
      <c r="AA797" s="54"/>
      <c r="AB797" s="287"/>
      <c r="AC797" s="54"/>
      <c r="AD797" s="54"/>
      <c r="AE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R798" s="249"/>
      <c r="S798" s="54"/>
      <c r="T798" s="54"/>
      <c r="U798" s="54"/>
      <c r="V798" s="54"/>
      <c r="W798" s="54"/>
      <c r="X798" s="54"/>
      <c r="Y798" s="54"/>
      <c r="Z798" s="54"/>
      <c r="AA798" s="54"/>
      <c r="AB798" s="287"/>
      <c r="AC798" s="54"/>
      <c r="AD798" s="54"/>
      <c r="AE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R799" s="249"/>
      <c r="S799" s="54"/>
      <c r="T799" s="54"/>
      <c r="U799" s="54"/>
      <c r="V799" s="54"/>
      <c r="W799" s="54"/>
      <c r="X799" s="54"/>
      <c r="Y799" s="54"/>
      <c r="Z799" s="54"/>
      <c r="AA799" s="54"/>
      <c r="AB799" s="287"/>
      <c r="AC799" s="54"/>
      <c r="AD799" s="54"/>
      <c r="AE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R800" s="249"/>
      <c r="S800" s="54"/>
      <c r="T800" s="54"/>
      <c r="U800" s="54"/>
      <c r="V800" s="54"/>
      <c r="W800" s="54"/>
      <c r="X800" s="54"/>
      <c r="Y800" s="54"/>
      <c r="Z800" s="54"/>
      <c r="AA800" s="54"/>
      <c r="AB800" s="287"/>
      <c r="AC800" s="54"/>
      <c r="AD800" s="54"/>
      <c r="AE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R801" s="249"/>
      <c r="S801" s="54"/>
      <c r="T801" s="54"/>
      <c r="U801" s="54"/>
      <c r="V801" s="54"/>
      <c r="W801" s="54"/>
      <c r="X801" s="54"/>
      <c r="Y801" s="54"/>
      <c r="Z801" s="54"/>
      <c r="AA801" s="54"/>
      <c r="AB801" s="287"/>
      <c r="AC801" s="54"/>
      <c r="AD801" s="54"/>
      <c r="AE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R802" s="249"/>
      <c r="S802" s="54"/>
      <c r="T802" s="54"/>
      <c r="U802" s="54"/>
      <c r="V802" s="54"/>
      <c r="W802" s="54"/>
      <c r="X802" s="54"/>
      <c r="Y802" s="54"/>
      <c r="Z802" s="54"/>
      <c r="AA802" s="54"/>
      <c r="AB802" s="287"/>
      <c r="AC802" s="54"/>
      <c r="AD802" s="54"/>
      <c r="AE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R803" s="249"/>
      <c r="S803" s="54"/>
      <c r="T803" s="54"/>
      <c r="U803" s="54"/>
      <c r="V803" s="54"/>
      <c r="W803" s="54"/>
      <c r="X803" s="54"/>
      <c r="Y803" s="54"/>
      <c r="Z803" s="54"/>
      <c r="AA803" s="54"/>
      <c r="AB803" s="287"/>
      <c r="AC803" s="54"/>
      <c r="AD803" s="54"/>
      <c r="AE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R804" s="249"/>
      <c r="S804" s="54"/>
      <c r="T804" s="54"/>
      <c r="U804" s="54"/>
      <c r="V804" s="54"/>
      <c r="W804" s="54"/>
      <c r="X804" s="54"/>
      <c r="Y804" s="54"/>
      <c r="Z804" s="54"/>
      <c r="AA804" s="54"/>
      <c r="AB804" s="287"/>
      <c r="AC804" s="54"/>
      <c r="AD804" s="54"/>
      <c r="AE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R805" s="249"/>
      <c r="S805" s="54"/>
      <c r="T805" s="54"/>
      <c r="U805" s="54"/>
      <c r="V805" s="54"/>
      <c r="W805" s="54"/>
      <c r="X805" s="54"/>
      <c r="Y805" s="54"/>
      <c r="Z805" s="54"/>
      <c r="AA805" s="54"/>
      <c r="AB805" s="287"/>
      <c r="AC805" s="54"/>
      <c r="AD805" s="54"/>
      <c r="AE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R806" s="249"/>
      <c r="S806" s="54"/>
      <c r="T806" s="54"/>
      <c r="U806" s="54"/>
      <c r="V806" s="54"/>
      <c r="W806" s="54"/>
      <c r="X806" s="54"/>
      <c r="Y806" s="54"/>
      <c r="Z806" s="54"/>
      <c r="AA806" s="54"/>
      <c r="AB806" s="287"/>
      <c r="AC806" s="54"/>
      <c r="AD806" s="54"/>
      <c r="AE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R807" s="249"/>
      <c r="S807" s="54"/>
      <c r="T807" s="54"/>
      <c r="U807" s="54"/>
      <c r="V807" s="54"/>
      <c r="W807" s="54"/>
      <c r="X807" s="54"/>
      <c r="Y807" s="54"/>
      <c r="Z807" s="54"/>
      <c r="AA807" s="54"/>
      <c r="AB807" s="287"/>
      <c r="AC807" s="54"/>
      <c r="AD807" s="54"/>
      <c r="AE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R808" s="249"/>
      <c r="S808" s="54"/>
      <c r="T808" s="54"/>
      <c r="U808" s="54"/>
      <c r="V808" s="54"/>
      <c r="W808" s="54"/>
      <c r="X808" s="54"/>
      <c r="Y808" s="54"/>
      <c r="Z808" s="54"/>
      <c r="AA808" s="54"/>
      <c r="AB808" s="287"/>
      <c r="AC808" s="54"/>
      <c r="AD808" s="54"/>
      <c r="AE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R809" s="249"/>
      <c r="S809" s="54"/>
      <c r="T809" s="54"/>
      <c r="U809" s="54"/>
      <c r="V809" s="54"/>
      <c r="W809" s="54"/>
      <c r="X809" s="54"/>
      <c r="Y809" s="54"/>
      <c r="Z809" s="54"/>
      <c r="AA809" s="54"/>
      <c r="AB809" s="287"/>
      <c r="AC809" s="54"/>
      <c r="AD809" s="54"/>
      <c r="AE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R810" s="249"/>
      <c r="S810" s="54"/>
      <c r="T810" s="54"/>
      <c r="U810" s="54"/>
      <c r="V810" s="54"/>
      <c r="W810" s="54"/>
      <c r="X810" s="54"/>
      <c r="Y810" s="54"/>
      <c r="Z810" s="54"/>
      <c r="AA810" s="54"/>
      <c r="AB810" s="287"/>
      <c r="AC810" s="54"/>
      <c r="AD810" s="54"/>
      <c r="AE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R811" s="249"/>
      <c r="S811" s="54"/>
      <c r="T811" s="54"/>
      <c r="U811" s="54"/>
      <c r="V811" s="54"/>
      <c r="W811" s="54"/>
      <c r="X811" s="54"/>
      <c r="Y811" s="54"/>
      <c r="Z811" s="54"/>
      <c r="AA811" s="54"/>
      <c r="AB811" s="287"/>
      <c r="AC811" s="54"/>
      <c r="AD811" s="54"/>
      <c r="AE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R812" s="249"/>
      <c r="S812" s="54"/>
      <c r="T812" s="54"/>
      <c r="U812" s="54"/>
      <c r="V812" s="54"/>
      <c r="W812" s="54"/>
      <c r="X812" s="54"/>
      <c r="Y812" s="54"/>
      <c r="Z812" s="54"/>
      <c r="AA812" s="54"/>
      <c r="AB812" s="287"/>
      <c r="AC812" s="54"/>
      <c r="AD812" s="54"/>
      <c r="AE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R813" s="249"/>
      <c r="S813" s="54"/>
      <c r="T813" s="54"/>
      <c r="U813" s="54"/>
      <c r="V813" s="54"/>
      <c r="W813" s="54"/>
      <c r="X813" s="54"/>
      <c r="Y813" s="54"/>
      <c r="Z813" s="54"/>
      <c r="AA813" s="54"/>
      <c r="AB813" s="287"/>
      <c r="AC813" s="54"/>
      <c r="AD813" s="54"/>
      <c r="AE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R814" s="249"/>
      <c r="S814" s="54"/>
      <c r="T814" s="54"/>
      <c r="U814" s="54"/>
      <c r="V814" s="54"/>
      <c r="W814" s="54"/>
      <c r="X814" s="54"/>
      <c r="Y814" s="54"/>
      <c r="Z814" s="54"/>
      <c r="AA814" s="54"/>
      <c r="AB814" s="287"/>
      <c r="AC814" s="54"/>
      <c r="AD814" s="54"/>
      <c r="AE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R815" s="249"/>
      <c r="S815" s="54"/>
      <c r="T815" s="54"/>
      <c r="U815" s="54"/>
      <c r="V815" s="54"/>
      <c r="W815" s="54"/>
      <c r="X815" s="54"/>
      <c r="Y815" s="54"/>
      <c r="Z815" s="54"/>
      <c r="AA815" s="54"/>
      <c r="AB815" s="287"/>
      <c r="AC815" s="54"/>
      <c r="AD815" s="54"/>
      <c r="AE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R816" s="249"/>
      <c r="S816" s="54"/>
      <c r="T816" s="54"/>
      <c r="U816" s="54"/>
      <c r="V816" s="54"/>
      <c r="W816" s="54"/>
      <c r="X816" s="54"/>
      <c r="Y816" s="54"/>
      <c r="Z816" s="54"/>
      <c r="AA816" s="54"/>
      <c r="AB816" s="287"/>
      <c r="AC816" s="54"/>
      <c r="AD816" s="54"/>
      <c r="AE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R817" s="249"/>
      <c r="S817" s="54"/>
      <c r="T817" s="54"/>
      <c r="U817" s="54"/>
      <c r="V817" s="54"/>
      <c r="W817" s="54"/>
      <c r="X817" s="54"/>
      <c r="Y817" s="54"/>
      <c r="Z817" s="54"/>
      <c r="AA817" s="54"/>
      <c r="AB817" s="287"/>
      <c r="AC817" s="54"/>
      <c r="AD817" s="54"/>
      <c r="AE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R818" s="249"/>
      <c r="S818" s="54"/>
      <c r="T818" s="54"/>
      <c r="U818" s="54"/>
      <c r="V818" s="54"/>
      <c r="W818" s="54"/>
      <c r="X818" s="54"/>
      <c r="Y818" s="54"/>
      <c r="Z818" s="54"/>
      <c r="AA818" s="54"/>
      <c r="AB818" s="287"/>
      <c r="AC818" s="54"/>
      <c r="AD818" s="54"/>
      <c r="AE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R819" s="249"/>
      <c r="S819" s="54"/>
      <c r="T819" s="54"/>
      <c r="U819" s="54"/>
      <c r="V819" s="54"/>
      <c r="W819" s="54"/>
      <c r="X819" s="54"/>
      <c r="Y819" s="54"/>
      <c r="Z819" s="54"/>
      <c r="AA819" s="54"/>
      <c r="AB819" s="287"/>
      <c r="AC819" s="54"/>
      <c r="AD819" s="54"/>
      <c r="AE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R820" s="249"/>
      <c r="S820" s="54"/>
      <c r="T820" s="54"/>
      <c r="U820" s="54"/>
      <c r="V820" s="54"/>
      <c r="W820" s="54"/>
      <c r="X820" s="54"/>
      <c r="Y820" s="54"/>
      <c r="Z820" s="54"/>
      <c r="AA820" s="54"/>
      <c r="AB820" s="287"/>
      <c r="AC820" s="54"/>
      <c r="AD820" s="54"/>
      <c r="AE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R821" s="249"/>
      <c r="S821" s="54"/>
      <c r="T821" s="54"/>
      <c r="U821" s="54"/>
      <c r="V821" s="54"/>
      <c r="W821" s="54"/>
      <c r="X821" s="54"/>
      <c r="Y821" s="54"/>
      <c r="Z821" s="54"/>
      <c r="AA821" s="54"/>
      <c r="AB821" s="287"/>
      <c r="AC821" s="54"/>
      <c r="AD821" s="54"/>
      <c r="AE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R822" s="249"/>
      <c r="S822" s="54"/>
      <c r="T822" s="54"/>
      <c r="U822" s="54"/>
      <c r="V822" s="54"/>
      <c r="W822" s="54"/>
      <c r="X822" s="54"/>
      <c r="Y822" s="54"/>
      <c r="Z822" s="54"/>
      <c r="AA822" s="54"/>
      <c r="AB822" s="287"/>
      <c r="AC822" s="54"/>
      <c r="AD822" s="54"/>
      <c r="AE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R823" s="249"/>
      <c r="S823" s="54"/>
      <c r="T823" s="54"/>
      <c r="U823" s="54"/>
      <c r="V823" s="54"/>
      <c r="W823" s="54"/>
      <c r="X823" s="54"/>
      <c r="Y823" s="54"/>
      <c r="Z823" s="54"/>
      <c r="AA823" s="54"/>
      <c r="AB823" s="287"/>
      <c r="AC823" s="54"/>
      <c r="AD823" s="54"/>
      <c r="AE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R824" s="249"/>
      <c r="S824" s="54"/>
      <c r="T824" s="54"/>
      <c r="U824" s="54"/>
      <c r="V824" s="54"/>
      <c r="W824" s="54"/>
      <c r="X824" s="54"/>
      <c r="Y824" s="54"/>
      <c r="Z824" s="54"/>
      <c r="AA824" s="54"/>
      <c r="AB824" s="287"/>
      <c r="AC824" s="54"/>
      <c r="AD824" s="54"/>
      <c r="AE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R825" s="249"/>
      <c r="S825" s="54"/>
      <c r="T825" s="54"/>
      <c r="U825" s="54"/>
      <c r="V825" s="54"/>
      <c r="W825" s="54"/>
      <c r="X825" s="54"/>
      <c r="Y825" s="54"/>
      <c r="Z825" s="54"/>
      <c r="AA825" s="54"/>
      <c r="AB825" s="287"/>
      <c r="AC825" s="54"/>
      <c r="AD825" s="54"/>
      <c r="AE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R826" s="249"/>
      <c r="S826" s="54"/>
      <c r="T826" s="54"/>
      <c r="U826" s="54"/>
      <c r="V826" s="54"/>
      <c r="W826" s="54"/>
      <c r="X826" s="54"/>
      <c r="Y826" s="54"/>
      <c r="Z826" s="54"/>
      <c r="AA826" s="54"/>
      <c r="AB826" s="287"/>
      <c r="AC826" s="54"/>
      <c r="AD826" s="54"/>
      <c r="AE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R827" s="249"/>
      <c r="S827" s="54"/>
      <c r="T827" s="54"/>
      <c r="U827" s="54"/>
      <c r="V827" s="54"/>
      <c r="W827" s="54"/>
      <c r="X827" s="54"/>
      <c r="Y827" s="54"/>
      <c r="Z827" s="54"/>
      <c r="AA827" s="54"/>
      <c r="AB827" s="287"/>
      <c r="AC827" s="54"/>
      <c r="AD827" s="54"/>
      <c r="AE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R828" s="249"/>
      <c r="S828" s="54"/>
      <c r="T828" s="54"/>
      <c r="U828" s="54"/>
      <c r="V828" s="54"/>
      <c r="W828" s="54"/>
      <c r="X828" s="54"/>
      <c r="Y828" s="54"/>
      <c r="Z828" s="54"/>
      <c r="AA828" s="54"/>
      <c r="AB828" s="287"/>
      <c r="AC828" s="54"/>
      <c r="AD828" s="54"/>
      <c r="AE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R829" s="249"/>
      <c r="S829" s="54"/>
      <c r="T829" s="54"/>
      <c r="U829" s="54"/>
      <c r="V829" s="54"/>
      <c r="W829" s="54"/>
      <c r="X829" s="54"/>
      <c r="Y829" s="54"/>
      <c r="Z829" s="54"/>
      <c r="AA829" s="54"/>
      <c r="AB829" s="287"/>
      <c r="AC829" s="54"/>
      <c r="AD829" s="54"/>
      <c r="AE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R830" s="249"/>
      <c r="S830" s="54"/>
      <c r="T830" s="54"/>
      <c r="U830" s="54"/>
      <c r="V830" s="54"/>
      <c r="W830" s="54"/>
      <c r="X830" s="54"/>
      <c r="Y830" s="54"/>
      <c r="Z830" s="54"/>
      <c r="AA830" s="54"/>
      <c r="AB830" s="287"/>
      <c r="AC830" s="54"/>
      <c r="AD830" s="54"/>
      <c r="AE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R831" s="249"/>
      <c r="S831" s="54"/>
      <c r="T831" s="54"/>
      <c r="U831" s="54"/>
      <c r="V831" s="54"/>
      <c r="W831" s="54"/>
      <c r="X831" s="54"/>
      <c r="Y831" s="54"/>
      <c r="Z831" s="54"/>
      <c r="AA831" s="54"/>
      <c r="AB831" s="287"/>
      <c r="AC831" s="54"/>
      <c r="AD831" s="54"/>
      <c r="AE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R832" s="249"/>
      <c r="S832" s="54"/>
      <c r="T832" s="54"/>
      <c r="U832" s="54"/>
      <c r="V832" s="54"/>
      <c r="W832" s="54"/>
      <c r="X832" s="54"/>
      <c r="Y832" s="54"/>
      <c r="Z832" s="54"/>
      <c r="AA832" s="54"/>
      <c r="AB832" s="287"/>
      <c r="AC832" s="54"/>
      <c r="AD832" s="54"/>
      <c r="AE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R833" s="249"/>
      <c r="S833" s="54"/>
      <c r="T833" s="54"/>
      <c r="U833" s="54"/>
      <c r="V833" s="54"/>
      <c r="W833" s="54"/>
      <c r="X833" s="54"/>
      <c r="Y833" s="54"/>
      <c r="Z833" s="54"/>
      <c r="AA833" s="54"/>
      <c r="AB833" s="287"/>
      <c r="AC833" s="54"/>
      <c r="AD833" s="54"/>
      <c r="AE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R834" s="249"/>
      <c r="S834" s="54"/>
      <c r="T834" s="54"/>
      <c r="U834" s="54"/>
      <c r="V834" s="54"/>
      <c r="W834" s="54"/>
      <c r="X834" s="54"/>
      <c r="Y834" s="54"/>
      <c r="Z834" s="54"/>
      <c r="AA834" s="54"/>
      <c r="AB834" s="287"/>
      <c r="AC834" s="54"/>
      <c r="AD834" s="54"/>
      <c r="AE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R835" s="249"/>
      <c r="S835" s="54"/>
      <c r="T835" s="54"/>
      <c r="U835" s="54"/>
      <c r="V835" s="54"/>
      <c r="W835" s="54"/>
      <c r="X835" s="54"/>
      <c r="Y835" s="54"/>
      <c r="Z835" s="54"/>
      <c r="AA835" s="54"/>
      <c r="AB835" s="287"/>
      <c r="AC835" s="54"/>
      <c r="AD835" s="54"/>
      <c r="AE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R836" s="249"/>
      <c r="S836" s="54"/>
      <c r="T836" s="54"/>
      <c r="U836" s="54"/>
      <c r="V836" s="54"/>
      <c r="W836" s="54"/>
      <c r="X836" s="54"/>
      <c r="Y836" s="54"/>
      <c r="Z836" s="54"/>
      <c r="AA836" s="54"/>
      <c r="AB836" s="287"/>
      <c r="AC836" s="54"/>
      <c r="AD836" s="54"/>
      <c r="AE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R837" s="249"/>
      <c r="S837" s="54"/>
      <c r="T837" s="54"/>
      <c r="U837" s="54"/>
      <c r="V837" s="54"/>
      <c r="W837" s="54"/>
      <c r="X837" s="54"/>
      <c r="Y837" s="54"/>
      <c r="Z837" s="54"/>
      <c r="AA837" s="54"/>
      <c r="AB837" s="287"/>
      <c r="AC837" s="54"/>
      <c r="AD837" s="54"/>
      <c r="AE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R838" s="249"/>
      <c r="S838" s="54"/>
      <c r="T838" s="54"/>
      <c r="U838" s="54"/>
      <c r="V838" s="54"/>
      <c r="W838" s="54"/>
      <c r="X838" s="54"/>
      <c r="Y838" s="54"/>
      <c r="Z838" s="54"/>
      <c r="AA838" s="54"/>
      <c r="AB838" s="287"/>
      <c r="AC838" s="54"/>
      <c r="AD838" s="54"/>
      <c r="AE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R839" s="249"/>
      <c r="S839" s="54"/>
      <c r="T839" s="54"/>
      <c r="U839" s="54"/>
      <c r="V839" s="54"/>
      <c r="W839" s="54"/>
      <c r="X839" s="54"/>
      <c r="Y839" s="54"/>
      <c r="Z839" s="54"/>
      <c r="AA839" s="54"/>
      <c r="AB839" s="287"/>
      <c r="AC839" s="54"/>
      <c r="AD839" s="54"/>
      <c r="AE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R840" s="249"/>
      <c r="S840" s="54"/>
      <c r="T840" s="54"/>
      <c r="U840" s="54"/>
      <c r="V840" s="54"/>
      <c r="W840" s="54"/>
      <c r="X840" s="54"/>
      <c r="Y840" s="54"/>
      <c r="Z840" s="54"/>
      <c r="AA840" s="54"/>
      <c r="AB840" s="287"/>
      <c r="AC840" s="54"/>
      <c r="AD840" s="54"/>
      <c r="AE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R841" s="249"/>
      <c r="S841" s="54"/>
      <c r="T841" s="54"/>
      <c r="U841" s="54"/>
      <c r="V841" s="54"/>
      <c r="W841" s="54"/>
      <c r="X841" s="54"/>
      <c r="Y841" s="54"/>
      <c r="Z841" s="54"/>
      <c r="AA841" s="54"/>
      <c r="AB841" s="287"/>
      <c r="AC841" s="54"/>
      <c r="AD841" s="54"/>
      <c r="AE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R842" s="249"/>
      <c r="S842" s="54"/>
      <c r="T842" s="54"/>
      <c r="U842" s="54"/>
      <c r="V842" s="54"/>
      <c r="W842" s="54"/>
      <c r="X842" s="54"/>
      <c r="Y842" s="54"/>
      <c r="Z842" s="54"/>
      <c r="AA842" s="54"/>
      <c r="AB842" s="287"/>
      <c r="AC842" s="54"/>
      <c r="AD842" s="54"/>
      <c r="AE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R843" s="249"/>
      <c r="S843" s="54"/>
      <c r="T843" s="54"/>
      <c r="U843" s="54"/>
      <c r="V843" s="54"/>
      <c r="W843" s="54"/>
      <c r="X843" s="54"/>
      <c r="Y843" s="54"/>
      <c r="Z843" s="54"/>
      <c r="AA843" s="54"/>
      <c r="AB843" s="287"/>
      <c r="AC843" s="54"/>
      <c r="AD843" s="54"/>
      <c r="AE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R844" s="249"/>
      <c r="S844" s="54"/>
      <c r="T844" s="54"/>
      <c r="U844" s="54"/>
      <c r="V844" s="54"/>
      <c r="W844" s="54"/>
      <c r="X844" s="54"/>
      <c r="Y844" s="54"/>
      <c r="Z844" s="54"/>
      <c r="AA844" s="54"/>
      <c r="AB844" s="287"/>
      <c r="AC844" s="54"/>
      <c r="AD844" s="54"/>
      <c r="AE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R845" s="249"/>
      <c r="S845" s="54"/>
      <c r="T845" s="54"/>
      <c r="U845" s="54"/>
      <c r="V845" s="54"/>
      <c r="W845" s="54"/>
      <c r="X845" s="54"/>
      <c r="Y845" s="54"/>
      <c r="Z845" s="54"/>
      <c r="AA845" s="54"/>
      <c r="AB845" s="287"/>
      <c r="AC845" s="54"/>
      <c r="AD845" s="54"/>
      <c r="AE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R846" s="249"/>
      <c r="S846" s="54"/>
      <c r="T846" s="54"/>
      <c r="U846" s="54"/>
      <c r="V846" s="54"/>
      <c r="W846" s="54"/>
      <c r="X846" s="54"/>
      <c r="Y846" s="54"/>
      <c r="Z846" s="54"/>
      <c r="AA846" s="54"/>
      <c r="AB846" s="287"/>
      <c r="AC846" s="54"/>
      <c r="AD846" s="54"/>
      <c r="AE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R847" s="249"/>
      <c r="S847" s="54"/>
      <c r="T847" s="54"/>
      <c r="U847" s="54"/>
      <c r="V847" s="54"/>
      <c r="W847" s="54"/>
      <c r="X847" s="54"/>
      <c r="Y847" s="54"/>
      <c r="Z847" s="54"/>
      <c r="AA847" s="54"/>
      <c r="AB847" s="287"/>
      <c r="AC847" s="54"/>
      <c r="AD847" s="54"/>
      <c r="AE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R848" s="249"/>
      <c r="S848" s="54"/>
      <c r="T848" s="54"/>
      <c r="U848" s="54"/>
      <c r="V848" s="54"/>
      <c r="W848" s="54"/>
      <c r="X848" s="54"/>
      <c r="Y848" s="54"/>
      <c r="Z848" s="54"/>
      <c r="AA848" s="54"/>
      <c r="AB848" s="287"/>
      <c r="AC848" s="54"/>
      <c r="AD848" s="54"/>
      <c r="AE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R849" s="249"/>
      <c r="S849" s="54"/>
      <c r="T849" s="54"/>
      <c r="U849" s="54"/>
      <c r="V849" s="54"/>
      <c r="W849" s="54"/>
      <c r="X849" s="54"/>
      <c r="Y849" s="54"/>
      <c r="Z849" s="54"/>
      <c r="AA849" s="54"/>
      <c r="AB849" s="287"/>
      <c r="AC849" s="54"/>
      <c r="AD849" s="54"/>
      <c r="AE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R850" s="249"/>
      <c r="S850" s="54"/>
      <c r="T850" s="54"/>
      <c r="U850" s="54"/>
      <c r="V850" s="54"/>
      <c r="W850" s="54"/>
      <c r="X850" s="54"/>
      <c r="Y850" s="54"/>
      <c r="Z850" s="54"/>
      <c r="AA850" s="54"/>
      <c r="AB850" s="287"/>
      <c r="AC850" s="54"/>
      <c r="AD850" s="54"/>
      <c r="AE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R851" s="249"/>
      <c r="S851" s="54"/>
      <c r="T851" s="54"/>
      <c r="U851" s="54"/>
      <c r="V851" s="54"/>
      <c r="W851" s="54"/>
      <c r="X851" s="54"/>
      <c r="Y851" s="54"/>
      <c r="Z851" s="54"/>
      <c r="AA851" s="54"/>
      <c r="AB851" s="287"/>
      <c r="AC851" s="54"/>
      <c r="AD851" s="54"/>
      <c r="AE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R852" s="249"/>
      <c r="S852" s="54"/>
      <c r="T852" s="54"/>
      <c r="U852" s="54"/>
      <c r="V852" s="54"/>
      <c r="W852" s="54"/>
      <c r="X852" s="54"/>
      <c r="Y852" s="54"/>
      <c r="Z852" s="54"/>
      <c r="AA852" s="54"/>
      <c r="AB852" s="287"/>
      <c r="AC852" s="54"/>
      <c r="AD852" s="54"/>
      <c r="AE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R853" s="249"/>
      <c r="S853" s="54"/>
      <c r="T853" s="54"/>
      <c r="U853" s="54"/>
      <c r="V853" s="54"/>
      <c r="W853" s="54"/>
      <c r="X853" s="54"/>
      <c r="Y853" s="54"/>
      <c r="Z853" s="54"/>
      <c r="AA853" s="54"/>
      <c r="AB853" s="287"/>
      <c r="AC853" s="54"/>
      <c r="AD853" s="54"/>
      <c r="AE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R854" s="249"/>
      <c r="S854" s="54"/>
      <c r="T854" s="54"/>
      <c r="U854" s="54"/>
      <c r="V854" s="54"/>
      <c r="W854" s="54"/>
      <c r="X854" s="54"/>
      <c r="Y854" s="54"/>
      <c r="Z854" s="54"/>
      <c r="AA854" s="54"/>
      <c r="AB854" s="287"/>
      <c r="AC854" s="54"/>
      <c r="AD854" s="54"/>
      <c r="AE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R855" s="249"/>
      <c r="S855" s="54"/>
      <c r="T855" s="54"/>
      <c r="U855" s="54"/>
      <c r="V855" s="54"/>
      <c r="W855" s="54"/>
      <c r="X855" s="54"/>
      <c r="Y855" s="54"/>
      <c r="Z855" s="54"/>
      <c r="AA855" s="54"/>
      <c r="AB855" s="287"/>
      <c r="AC855" s="54"/>
      <c r="AD855" s="54"/>
      <c r="AE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R856" s="249"/>
      <c r="S856" s="54"/>
      <c r="T856" s="54"/>
      <c r="U856" s="54"/>
      <c r="V856" s="54"/>
      <c r="W856" s="54"/>
      <c r="X856" s="54"/>
      <c r="Y856" s="54"/>
      <c r="Z856" s="54"/>
      <c r="AA856" s="54"/>
      <c r="AB856" s="287"/>
      <c r="AC856" s="54"/>
      <c r="AD856" s="54"/>
      <c r="AE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R857" s="249"/>
      <c r="S857" s="54"/>
      <c r="T857" s="54"/>
      <c r="U857" s="54"/>
      <c r="V857" s="54"/>
      <c r="W857" s="54"/>
      <c r="X857" s="54"/>
      <c r="Y857" s="54"/>
      <c r="Z857" s="54"/>
      <c r="AA857" s="54"/>
      <c r="AB857" s="287"/>
      <c r="AC857" s="54"/>
      <c r="AD857" s="54"/>
      <c r="AE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R858" s="249"/>
      <c r="S858" s="54"/>
      <c r="T858" s="54"/>
      <c r="U858" s="54"/>
      <c r="V858" s="54"/>
      <c r="W858" s="54"/>
      <c r="X858" s="54"/>
      <c r="Y858" s="54"/>
      <c r="Z858" s="54"/>
      <c r="AA858" s="54"/>
      <c r="AB858" s="287"/>
      <c r="AC858" s="54"/>
      <c r="AD858" s="54"/>
      <c r="AE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R859" s="249"/>
      <c r="S859" s="54"/>
      <c r="T859" s="54"/>
      <c r="U859" s="54"/>
      <c r="V859" s="54"/>
      <c r="W859" s="54"/>
      <c r="X859" s="54"/>
      <c r="Y859" s="54"/>
      <c r="Z859" s="54"/>
      <c r="AA859" s="54"/>
      <c r="AB859" s="287"/>
      <c r="AC859" s="54"/>
      <c r="AD859" s="54"/>
      <c r="AE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R860" s="249"/>
      <c r="S860" s="54"/>
      <c r="T860" s="54"/>
      <c r="U860" s="54"/>
      <c r="V860" s="54"/>
      <c r="W860" s="54"/>
      <c r="X860" s="54"/>
      <c r="Y860" s="54"/>
      <c r="Z860" s="54"/>
      <c r="AA860" s="54"/>
      <c r="AB860" s="287"/>
      <c r="AC860" s="54"/>
      <c r="AD860" s="54"/>
      <c r="AE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R861" s="249"/>
      <c r="S861" s="54"/>
      <c r="T861" s="54"/>
      <c r="U861" s="54"/>
      <c r="V861" s="54"/>
      <c r="W861" s="54"/>
      <c r="X861" s="54"/>
      <c r="Y861" s="54"/>
      <c r="Z861" s="54"/>
      <c r="AA861" s="54"/>
      <c r="AB861" s="287"/>
      <c r="AC861" s="54"/>
      <c r="AD861" s="54"/>
      <c r="AE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R862" s="249"/>
      <c r="S862" s="54"/>
      <c r="T862" s="54"/>
      <c r="U862" s="54"/>
      <c r="V862" s="54"/>
      <c r="W862" s="54"/>
      <c r="X862" s="54"/>
      <c r="Y862" s="54"/>
      <c r="Z862" s="54"/>
      <c r="AA862" s="54"/>
      <c r="AB862" s="287"/>
      <c r="AC862" s="54"/>
      <c r="AD862" s="54"/>
      <c r="AE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R863" s="249"/>
      <c r="S863" s="54"/>
      <c r="T863" s="54"/>
      <c r="U863" s="54"/>
      <c r="V863" s="54"/>
      <c r="W863" s="54"/>
      <c r="X863" s="54"/>
      <c r="Y863" s="54"/>
      <c r="Z863" s="54"/>
      <c r="AA863" s="54"/>
      <c r="AB863" s="287"/>
      <c r="AC863" s="54"/>
      <c r="AD863" s="54"/>
      <c r="AE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R864" s="249"/>
      <c r="S864" s="54"/>
      <c r="T864" s="54"/>
      <c r="U864" s="54"/>
      <c r="V864" s="54"/>
      <c r="W864" s="54"/>
      <c r="X864" s="54"/>
      <c r="Y864" s="54"/>
      <c r="Z864" s="54"/>
      <c r="AA864" s="54"/>
      <c r="AB864" s="287"/>
      <c r="AC864" s="54"/>
      <c r="AD864" s="54"/>
      <c r="AE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R865" s="249"/>
      <c r="S865" s="54"/>
      <c r="T865" s="54"/>
      <c r="U865" s="54"/>
      <c r="V865" s="54"/>
      <c r="W865" s="54"/>
      <c r="X865" s="54"/>
      <c r="Y865" s="54"/>
      <c r="Z865" s="54"/>
      <c r="AA865" s="54"/>
      <c r="AB865" s="287"/>
      <c r="AC865" s="54"/>
      <c r="AD865" s="54"/>
      <c r="AE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R866" s="249"/>
      <c r="S866" s="54"/>
      <c r="T866" s="54"/>
      <c r="U866" s="54"/>
      <c r="V866" s="54"/>
      <c r="W866" s="54"/>
      <c r="X866" s="54"/>
      <c r="Y866" s="54"/>
      <c r="Z866" s="54"/>
      <c r="AA866" s="54"/>
      <c r="AB866" s="287"/>
      <c r="AC866" s="54"/>
      <c r="AD866" s="54"/>
      <c r="AE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R867" s="249"/>
      <c r="S867" s="54"/>
      <c r="T867" s="54"/>
      <c r="U867" s="54"/>
      <c r="V867" s="54"/>
      <c r="W867" s="54"/>
      <c r="X867" s="54"/>
      <c r="Y867" s="54"/>
      <c r="Z867" s="54"/>
      <c r="AA867" s="54"/>
      <c r="AB867" s="287"/>
      <c r="AC867" s="54"/>
      <c r="AD867" s="54"/>
      <c r="AE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R868" s="249"/>
      <c r="S868" s="54"/>
      <c r="T868" s="54"/>
      <c r="U868" s="54"/>
      <c r="V868" s="54"/>
      <c r="W868" s="54"/>
      <c r="X868" s="54"/>
      <c r="Y868" s="54"/>
      <c r="Z868" s="54"/>
      <c r="AA868" s="54"/>
      <c r="AB868" s="287"/>
      <c r="AC868" s="54"/>
      <c r="AD868" s="54"/>
      <c r="AE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R869" s="249"/>
      <c r="S869" s="54"/>
      <c r="T869" s="54"/>
      <c r="U869" s="54"/>
      <c r="V869" s="54"/>
      <c r="W869" s="54"/>
      <c r="X869" s="54"/>
      <c r="Y869" s="54"/>
      <c r="Z869" s="54"/>
      <c r="AA869" s="54"/>
      <c r="AB869" s="287"/>
      <c r="AC869" s="54"/>
      <c r="AD869" s="54"/>
      <c r="AE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R870" s="249"/>
      <c r="S870" s="54"/>
      <c r="T870" s="54"/>
      <c r="U870" s="54"/>
      <c r="V870" s="54"/>
      <c r="W870" s="54"/>
      <c r="X870" s="54"/>
      <c r="Y870" s="54"/>
      <c r="Z870" s="54"/>
      <c r="AA870" s="54"/>
      <c r="AB870" s="287"/>
      <c r="AC870" s="54"/>
      <c r="AD870" s="54"/>
      <c r="AE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R871" s="249"/>
      <c r="S871" s="54"/>
      <c r="T871" s="54"/>
      <c r="U871" s="54"/>
      <c r="V871" s="54"/>
      <c r="W871" s="54"/>
      <c r="X871" s="54"/>
      <c r="Y871" s="54"/>
      <c r="Z871" s="54"/>
      <c r="AA871" s="54"/>
      <c r="AB871" s="287"/>
      <c r="AC871" s="54"/>
      <c r="AD871" s="54"/>
      <c r="AE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R872" s="249"/>
      <c r="S872" s="54"/>
      <c r="T872" s="54"/>
      <c r="U872" s="54"/>
      <c r="V872" s="54"/>
      <c r="W872" s="54"/>
      <c r="X872" s="54"/>
      <c r="Y872" s="54"/>
      <c r="Z872" s="54"/>
      <c r="AA872" s="54"/>
      <c r="AB872" s="287"/>
      <c r="AC872" s="54"/>
      <c r="AD872" s="54"/>
      <c r="AE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R873" s="249"/>
      <c r="S873" s="54"/>
      <c r="T873" s="54"/>
      <c r="U873" s="54"/>
      <c r="V873" s="54"/>
      <c r="W873" s="54"/>
      <c r="X873" s="54"/>
      <c r="Y873" s="54"/>
      <c r="Z873" s="54"/>
      <c r="AA873" s="54"/>
      <c r="AB873" s="287"/>
      <c r="AC873" s="54"/>
      <c r="AD873" s="54"/>
      <c r="AE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R874" s="249"/>
      <c r="S874" s="54"/>
      <c r="T874" s="54"/>
      <c r="U874" s="54"/>
      <c r="V874" s="54"/>
      <c r="W874" s="54"/>
      <c r="X874" s="54"/>
      <c r="Y874" s="54"/>
      <c r="Z874" s="54"/>
      <c r="AA874" s="54"/>
      <c r="AB874" s="287"/>
      <c r="AC874" s="54"/>
      <c r="AD874" s="54"/>
      <c r="AE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R875" s="249"/>
      <c r="S875" s="54"/>
      <c r="T875" s="54"/>
      <c r="U875" s="54"/>
      <c r="V875" s="54"/>
      <c r="W875" s="54"/>
      <c r="X875" s="54"/>
      <c r="Y875" s="54"/>
      <c r="Z875" s="54"/>
      <c r="AA875" s="54"/>
      <c r="AB875" s="287"/>
      <c r="AC875" s="54"/>
      <c r="AD875" s="54"/>
      <c r="AE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R876" s="249"/>
      <c r="S876" s="54"/>
      <c r="T876" s="54"/>
      <c r="U876" s="54"/>
      <c r="V876" s="54"/>
      <c r="W876" s="54"/>
      <c r="X876" s="54"/>
      <c r="Y876" s="54"/>
      <c r="Z876" s="54"/>
      <c r="AA876" s="54"/>
      <c r="AB876" s="287"/>
      <c r="AC876" s="54"/>
      <c r="AD876" s="54"/>
      <c r="AE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R877" s="249"/>
      <c r="S877" s="54"/>
      <c r="T877" s="54"/>
      <c r="U877" s="54"/>
      <c r="V877" s="54"/>
      <c r="W877" s="54"/>
      <c r="X877" s="54"/>
      <c r="Y877" s="54"/>
      <c r="Z877" s="54"/>
      <c r="AA877" s="54"/>
      <c r="AB877" s="287"/>
      <c r="AC877" s="54"/>
      <c r="AD877" s="54"/>
      <c r="AE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R878" s="249"/>
      <c r="S878" s="54"/>
      <c r="T878" s="54"/>
      <c r="U878" s="54"/>
      <c r="V878" s="54"/>
      <c r="W878" s="54"/>
      <c r="X878" s="54"/>
      <c r="Y878" s="54"/>
      <c r="Z878" s="54"/>
      <c r="AA878" s="54"/>
      <c r="AB878" s="287"/>
      <c r="AC878" s="54"/>
      <c r="AD878" s="54"/>
      <c r="AE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R879" s="249"/>
      <c r="S879" s="54"/>
      <c r="T879" s="54"/>
      <c r="U879" s="54"/>
      <c r="V879" s="54"/>
      <c r="W879" s="54"/>
      <c r="X879" s="54"/>
      <c r="Y879" s="54"/>
      <c r="Z879" s="54"/>
      <c r="AA879" s="54"/>
      <c r="AB879" s="287"/>
      <c r="AC879" s="54"/>
      <c r="AD879" s="54"/>
      <c r="AE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R880" s="249"/>
      <c r="S880" s="54"/>
      <c r="T880" s="54"/>
      <c r="U880" s="54"/>
      <c r="V880" s="54"/>
      <c r="W880" s="54"/>
      <c r="X880" s="54"/>
      <c r="Y880" s="54"/>
      <c r="Z880" s="54"/>
      <c r="AA880" s="54"/>
      <c r="AB880" s="287"/>
      <c r="AC880" s="54"/>
      <c r="AD880" s="54"/>
      <c r="AE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R881" s="249"/>
      <c r="S881" s="54"/>
      <c r="T881" s="54"/>
      <c r="U881" s="54"/>
      <c r="V881" s="54"/>
      <c r="W881" s="54"/>
      <c r="X881" s="54"/>
      <c r="Y881" s="54"/>
      <c r="Z881" s="54"/>
      <c r="AA881" s="54"/>
      <c r="AB881" s="287"/>
      <c r="AC881" s="54"/>
      <c r="AD881" s="54"/>
      <c r="AE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R882" s="249"/>
      <c r="S882" s="54"/>
      <c r="T882" s="54"/>
      <c r="U882" s="54"/>
      <c r="V882" s="54"/>
      <c r="W882" s="54"/>
      <c r="X882" s="54"/>
      <c r="Y882" s="54"/>
      <c r="Z882" s="54"/>
      <c r="AA882" s="54"/>
      <c r="AB882" s="287"/>
      <c r="AC882" s="54"/>
      <c r="AD882" s="54"/>
      <c r="AE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R883" s="249"/>
      <c r="S883" s="54"/>
      <c r="T883" s="54"/>
      <c r="U883" s="54"/>
      <c r="V883" s="54"/>
      <c r="W883" s="54"/>
      <c r="X883" s="54"/>
      <c r="Y883" s="54"/>
      <c r="Z883" s="54"/>
      <c r="AA883" s="54"/>
      <c r="AB883" s="287"/>
      <c r="AC883" s="54"/>
      <c r="AD883" s="54"/>
      <c r="AE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R884" s="249"/>
      <c r="S884" s="54"/>
      <c r="T884" s="54"/>
      <c r="U884" s="54"/>
      <c r="V884" s="54"/>
      <c r="W884" s="54"/>
      <c r="X884" s="54"/>
      <c r="Y884" s="54"/>
      <c r="Z884" s="54"/>
      <c r="AA884" s="54"/>
      <c r="AB884" s="287"/>
      <c r="AC884" s="54"/>
      <c r="AD884" s="54"/>
      <c r="AE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R885" s="249"/>
      <c r="S885" s="54"/>
      <c r="T885" s="54"/>
      <c r="U885" s="54"/>
      <c r="V885" s="54"/>
      <c r="W885" s="54"/>
      <c r="X885" s="54"/>
      <c r="Y885" s="54"/>
      <c r="Z885" s="54"/>
      <c r="AA885" s="54"/>
      <c r="AB885" s="287"/>
      <c r="AC885" s="54"/>
      <c r="AD885" s="54"/>
      <c r="AE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R886" s="249"/>
      <c r="S886" s="54"/>
      <c r="T886" s="54"/>
      <c r="U886" s="54"/>
      <c r="V886" s="54"/>
      <c r="W886" s="54"/>
      <c r="X886" s="54"/>
      <c r="Y886" s="54"/>
      <c r="Z886" s="54"/>
      <c r="AA886" s="54"/>
      <c r="AB886" s="287"/>
      <c r="AC886" s="54"/>
      <c r="AD886" s="54"/>
      <c r="AE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R887" s="249"/>
      <c r="S887" s="54"/>
      <c r="T887" s="54"/>
      <c r="U887" s="54"/>
      <c r="V887" s="54"/>
      <c r="W887" s="54"/>
      <c r="X887" s="54"/>
      <c r="Y887" s="54"/>
      <c r="Z887" s="54"/>
      <c r="AA887" s="54"/>
      <c r="AB887" s="287"/>
      <c r="AC887" s="54"/>
      <c r="AD887" s="54"/>
      <c r="AE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R888" s="249"/>
      <c r="S888" s="54"/>
      <c r="T888" s="54"/>
      <c r="U888" s="54"/>
      <c r="V888" s="54"/>
      <c r="W888" s="54"/>
      <c r="X888" s="54"/>
      <c r="Y888" s="54"/>
      <c r="Z888" s="54"/>
      <c r="AA888" s="54"/>
      <c r="AB888" s="287"/>
      <c r="AC888" s="54"/>
      <c r="AD888" s="54"/>
      <c r="AE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R889" s="249"/>
      <c r="S889" s="54"/>
      <c r="T889" s="54"/>
      <c r="U889" s="54"/>
      <c r="V889" s="54"/>
      <c r="W889" s="54"/>
      <c r="X889" s="54"/>
      <c r="Y889" s="54"/>
      <c r="Z889" s="54"/>
      <c r="AA889" s="54"/>
      <c r="AB889" s="287"/>
      <c r="AC889" s="54"/>
      <c r="AD889" s="54"/>
      <c r="AE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R890" s="249"/>
      <c r="S890" s="54"/>
      <c r="T890" s="54"/>
      <c r="U890" s="54"/>
      <c r="V890" s="54"/>
      <c r="W890" s="54"/>
      <c r="X890" s="54"/>
      <c r="Y890" s="54"/>
      <c r="Z890" s="54"/>
      <c r="AA890" s="54"/>
      <c r="AB890" s="287"/>
      <c r="AC890" s="54"/>
      <c r="AD890" s="54"/>
      <c r="AE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R891" s="249"/>
      <c r="S891" s="54"/>
      <c r="T891" s="54"/>
      <c r="U891" s="54"/>
      <c r="V891" s="54"/>
      <c r="W891" s="54"/>
      <c r="X891" s="54"/>
      <c r="Y891" s="54"/>
      <c r="Z891" s="54"/>
      <c r="AA891" s="54"/>
      <c r="AB891" s="287"/>
      <c r="AC891" s="54"/>
      <c r="AD891" s="54"/>
      <c r="AE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R892" s="249"/>
      <c r="S892" s="54"/>
      <c r="T892" s="54"/>
      <c r="U892" s="54"/>
      <c r="V892" s="54"/>
      <c r="W892" s="54"/>
      <c r="X892" s="54"/>
      <c r="Y892" s="54"/>
      <c r="Z892" s="54"/>
      <c r="AA892" s="54"/>
      <c r="AB892" s="287"/>
      <c r="AC892" s="54"/>
      <c r="AD892" s="54"/>
      <c r="AE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R893" s="249"/>
      <c r="S893" s="54"/>
      <c r="T893" s="54"/>
      <c r="U893" s="54"/>
      <c r="V893" s="54"/>
      <c r="W893" s="54"/>
      <c r="X893" s="54"/>
      <c r="Y893" s="54"/>
      <c r="Z893" s="54"/>
      <c r="AA893" s="54"/>
      <c r="AB893" s="287"/>
      <c r="AC893" s="54"/>
      <c r="AD893" s="54"/>
      <c r="AE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R894" s="249"/>
      <c r="S894" s="54"/>
      <c r="T894" s="54"/>
      <c r="U894" s="54"/>
      <c r="V894" s="54"/>
      <c r="W894" s="54"/>
      <c r="X894" s="54"/>
      <c r="Y894" s="54"/>
      <c r="Z894" s="54"/>
      <c r="AA894" s="54"/>
      <c r="AB894" s="287"/>
      <c r="AC894" s="54"/>
      <c r="AD894" s="54"/>
      <c r="AE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R895" s="249"/>
      <c r="S895" s="54"/>
      <c r="T895" s="54"/>
      <c r="U895" s="54"/>
      <c r="V895" s="54"/>
      <c r="W895" s="54"/>
      <c r="X895" s="54"/>
      <c r="Y895" s="54"/>
      <c r="Z895" s="54"/>
      <c r="AA895" s="54"/>
      <c r="AB895" s="287"/>
      <c r="AC895" s="54"/>
      <c r="AD895" s="54"/>
      <c r="AE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R896" s="249"/>
      <c r="S896" s="54"/>
      <c r="T896" s="54"/>
      <c r="U896" s="54"/>
      <c r="V896" s="54"/>
      <c r="W896" s="54"/>
      <c r="X896" s="54"/>
      <c r="Y896" s="54"/>
      <c r="Z896" s="54"/>
      <c r="AA896" s="54"/>
      <c r="AB896" s="287"/>
      <c r="AC896" s="54"/>
      <c r="AD896" s="54"/>
      <c r="AE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R897" s="249"/>
      <c r="S897" s="54"/>
      <c r="T897" s="54"/>
      <c r="U897" s="54"/>
      <c r="V897" s="54"/>
      <c r="W897" s="54"/>
      <c r="X897" s="54"/>
      <c r="Y897" s="54"/>
      <c r="Z897" s="54"/>
      <c r="AA897" s="54"/>
      <c r="AB897" s="287"/>
      <c r="AC897" s="54"/>
      <c r="AD897" s="54"/>
      <c r="AE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R898" s="249"/>
      <c r="S898" s="54"/>
      <c r="T898" s="54"/>
      <c r="U898" s="54"/>
      <c r="V898" s="54"/>
      <c r="W898" s="54"/>
      <c r="X898" s="54"/>
      <c r="Y898" s="54"/>
      <c r="Z898" s="54"/>
      <c r="AA898" s="54"/>
      <c r="AB898" s="287"/>
      <c r="AC898" s="54"/>
      <c r="AD898" s="54"/>
      <c r="AE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R899" s="249"/>
      <c r="S899" s="54"/>
      <c r="T899" s="54"/>
      <c r="U899" s="54"/>
      <c r="V899" s="54"/>
      <c r="W899" s="54"/>
      <c r="X899" s="54"/>
      <c r="Y899" s="54"/>
      <c r="Z899" s="54"/>
      <c r="AA899" s="54"/>
      <c r="AB899" s="287"/>
      <c r="AC899" s="54"/>
      <c r="AD899" s="54"/>
      <c r="AE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R900" s="249"/>
      <c r="S900" s="54"/>
      <c r="T900" s="54"/>
      <c r="U900" s="54"/>
      <c r="V900" s="54"/>
      <c r="W900" s="54"/>
      <c r="X900" s="54"/>
      <c r="Y900" s="54"/>
      <c r="Z900" s="54"/>
      <c r="AA900" s="54"/>
      <c r="AB900" s="287"/>
      <c r="AC900" s="54"/>
      <c r="AD900" s="54"/>
      <c r="AE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R901" s="249"/>
      <c r="S901" s="54"/>
      <c r="T901" s="54"/>
      <c r="U901" s="54"/>
      <c r="V901" s="54"/>
      <c r="W901" s="54"/>
      <c r="X901" s="54"/>
      <c r="Y901" s="54"/>
      <c r="Z901" s="54"/>
      <c r="AA901" s="54"/>
      <c r="AB901" s="287"/>
      <c r="AC901" s="54"/>
      <c r="AD901" s="54"/>
      <c r="AE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R902" s="249"/>
      <c r="S902" s="54"/>
      <c r="T902" s="54"/>
      <c r="U902" s="54"/>
      <c r="V902" s="54"/>
      <c r="W902" s="54"/>
      <c r="X902" s="54"/>
      <c r="Y902" s="54"/>
      <c r="Z902" s="54"/>
      <c r="AA902" s="54"/>
      <c r="AB902" s="287"/>
      <c r="AC902" s="54"/>
      <c r="AD902" s="54"/>
      <c r="AE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R903" s="249"/>
      <c r="S903" s="54"/>
      <c r="T903" s="54"/>
      <c r="U903" s="54"/>
      <c r="V903" s="54"/>
      <c r="W903" s="54"/>
      <c r="X903" s="54"/>
      <c r="Y903" s="54"/>
      <c r="Z903" s="54"/>
      <c r="AA903" s="54"/>
      <c r="AB903" s="287"/>
      <c r="AC903" s="54"/>
      <c r="AD903" s="54"/>
      <c r="AE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R904" s="249"/>
      <c r="S904" s="54"/>
      <c r="T904" s="54"/>
      <c r="U904" s="54"/>
      <c r="V904" s="54"/>
      <c r="W904" s="54"/>
      <c r="X904" s="54"/>
      <c r="Y904" s="54"/>
      <c r="Z904" s="54"/>
      <c r="AA904" s="54"/>
      <c r="AB904" s="287"/>
      <c r="AC904" s="54"/>
      <c r="AD904" s="54"/>
      <c r="AE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R905" s="249"/>
      <c r="S905" s="54"/>
      <c r="T905" s="54"/>
      <c r="U905" s="54"/>
      <c r="V905" s="54"/>
      <c r="W905" s="54"/>
      <c r="X905" s="54"/>
      <c r="Y905" s="54"/>
      <c r="Z905" s="54"/>
      <c r="AA905" s="54"/>
      <c r="AB905" s="287"/>
      <c r="AC905" s="54"/>
      <c r="AD905" s="54"/>
      <c r="AE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R906" s="249"/>
      <c r="S906" s="54"/>
      <c r="T906" s="54"/>
      <c r="U906" s="54"/>
      <c r="V906" s="54"/>
      <c r="W906" s="54"/>
      <c r="X906" s="54"/>
      <c r="Y906" s="54"/>
      <c r="Z906" s="54"/>
      <c r="AA906" s="54"/>
      <c r="AB906" s="287"/>
      <c r="AC906" s="54"/>
      <c r="AD906" s="54"/>
      <c r="AE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R907" s="249"/>
      <c r="S907" s="54"/>
      <c r="T907" s="54"/>
      <c r="U907" s="54"/>
      <c r="V907" s="54"/>
      <c r="W907" s="54"/>
      <c r="X907" s="54"/>
      <c r="Y907" s="54"/>
      <c r="Z907" s="54"/>
      <c r="AA907" s="54"/>
      <c r="AB907" s="287"/>
      <c r="AC907" s="54"/>
      <c r="AD907" s="54"/>
      <c r="AE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R908" s="249"/>
      <c r="S908" s="54"/>
      <c r="T908" s="54"/>
      <c r="U908" s="54"/>
      <c r="V908" s="54"/>
      <c r="W908" s="54"/>
      <c r="X908" s="54"/>
      <c r="Y908" s="54"/>
      <c r="Z908" s="54"/>
      <c r="AA908" s="54"/>
      <c r="AB908" s="287"/>
      <c r="AC908" s="54"/>
      <c r="AD908" s="54"/>
      <c r="AE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R909" s="249"/>
      <c r="S909" s="54"/>
      <c r="T909" s="54"/>
      <c r="U909" s="54"/>
      <c r="V909" s="54"/>
      <c r="W909" s="54"/>
      <c r="X909" s="54"/>
      <c r="Y909" s="54"/>
      <c r="Z909" s="54"/>
      <c r="AA909" s="54"/>
      <c r="AB909" s="287"/>
      <c r="AC909" s="54"/>
      <c r="AD909" s="54"/>
      <c r="AE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R910" s="249"/>
      <c r="S910" s="54"/>
      <c r="T910" s="54"/>
      <c r="U910" s="54"/>
      <c r="V910" s="54"/>
      <c r="W910" s="54"/>
      <c r="X910" s="54"/>
      <c r="Y910" s="54"/>
      <c r="Z910" s="54"/>
      <c r="AA910" s="54"/>
      <c r="AB910" s="287"/>
      <c r="AC910" s="54"/>
      <c r="AD910" s="54"/>
      <c r="AE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R911" s="249"/>
      <c r="S911" s="54"/>
      <c r="T911" s="54"/>
      <c r="U911" s="54"/>
      <c r="V911" s="54"/>
      <c r="W911" s="54"/>
      <c r="X911" s="54"/>
      <c r="Y911" s="54"/>
      <c r="Z911" s="54"/>
      <c r="AA911" s="54"/>
      <c r="AB911" s="287"/>
      <c r="AC911" s="54"/>
      <c r="AD911" s="54"/>
      <c r="AE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R912" s="249"/>
      <c r="S912" s="54"/>
      <c r="T912" s="54"/>
      <c r="U912" s="54"/>
      <c r="V912" s="54"/>
      <c r="W912" s="54"/>
      <c r="X912" s="54"/>
      <c r="Y912" s="54"/>
      <c r="Z912" s="54"/>
      <c r="AA912" s="54"/>
      <c r="AB912" s="287"/>
      <c r="AC912" s="54"/>
      <c r="AD912" s="54"/>
      <c r="AE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R913" s="249"/>
      <c r="S913" s="54"/>
      <c r="T913" s="54"/>
      <c r="U913" s="54"/>
      <c r="V913" s="54"/>
      <c r="W913" s="54"/>
      <c r="X913" s="54"/>
      <c r="Y913" s="54"/>
      <c r="Z913" s="54"/>
      <c r="AA913" s="54"/>
      <c r="AB913" s="287"/>
      <c r="AC913" s="54"/>
      <c r="AD913" s="54"/>
      <c r="AE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R914" s="249"/>
      <c r="S914" s="54"/>
      <c r="T914" s="54"/>
      <c r="U914" s="54"/>
      <c r="V914" s="54"/>
      <c r="W914" s="54"/>
      <c r="X914" s="54"/>
      <c r="Y914" s="54"/>
      <c r="Z914" s="54"/>
      <c r="AA914" s="54"/>
      <c r="AB914" s="287"/>
      <c r="AC914" s="54"/>
      <c r="AD914" s="54"/>
      <c r="AE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R915" s="249"/>
      <c r="S915" s="54"/>
      <c r="T915" s="54"/>
      <c r="U915" s="54"/>
      <c r="V915" s="54"/>
      <c r="W915" s="54"/>
      <c r="X915" s="54"/>
      <c r="Y915" s="54"/>
      <c r="Z915" s="54"/>
      <c r="AA915" s="54"/>
      <c r="AB915" s="287"/>
      <c r="AC915" s="54"/>
      <c r="AD915" s="54"/>
      <c r="AE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R916" s="249"/>
      <c r="S916" s="54"/>
      <c r="T916" s="54"/>
      <c r="U916" s="54"/>
      <c r="V916" s="54"/>
      <c r="W916" s="54"/>
      <c r="X916" s="54"/>
      <c r="Y916" s="54"/>
      <c r="Z916" s="54"/>
      <c r="AA916" s="54"/>
      <c r="AB916" s="287"/>
      <c r="AC916" s="54"/>
      <c r="AD916" s="54"/>
      <c r="AE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R917" s="249"/>
      <c r="S917" s="54"/>
      <c r="T917" s="54"/>
      <c r="U917" s="54"/>
      <c r="V917" s="54"/>
      <c r="W917" s="54"/>
      <c r="X917" s="54"/>
      <c r="Y917" s="54"/>
      <c r="Z917" s="54"/>
      <c r="AA917" s="54"/>
      <c r="AB917" s="287"/>
      <c r="AC917" s="54"/>
      <c r="AD917" s="54"/>
      <c r="AE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R918" s="249"/>
      <c r="S918" s="54"/>
      <c r="T918" s="54"/>
      <c r="U918" s="54"/>
      <c r="V918" s="54"/>
      <c r="W918" s="54"/>
      <c r="X918" s="54"/>
      <c r="Y918" s="54"/>
      <c r="Z918" s="54"/>
      <c r="AA918" s="54"/>
      <c r="AB918" s="287"/>
      <c r="AC918" s="54"/>
      <c r="AD918" s="54"/>
      <c r="AE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R919" s="249"/>
      <c r="S919" s="54"/>
      <c r="T919" s="54"/>
      <c r="U919" s="54"/>
      <c r="V919" s="54"/>
      <c r="W919" s="54"/>
      <c r="X919" s="54"/>
      <c r="Y919" s="54"/>
      <c r="Z919" s="54"/>
      <c r="AA919" s="54"/>
      <c r="AB919" s="287"/>
      <c r="AC919" s="54"/>
      <c r="AD919" s="54"/>
      <c r="AE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R920" s="249"/>
      <c r="S920" s="54"/>
      <c r="T920" s="54"/>
      <c r="U920" s="54"/>
      <c r="V920" s="54"/>
      <c r="W920" s="54"/>
      <c r="X920" s="54"/>
      <c r="Y920" s="54"/>
      <c r="Z920" s="54"/>
      <c r="AA920" s="54"/>
      <c r="AB920" s="287"/>
      <c r="AC920" s="54"/>
      <c r="AD920" s="54"/>
      <c r="AE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R921" s="249"/>
      <c r="S921" s="54"/>
      <c r="T921" s="54"/>
      <c r="U921" s="54"/>
      <c r="V921" s="54"/>
      <c r="W921" s="54"/>
      <c r="X921" s="54"/>
      <c r="Y921" s="54"/>
      <c r="Z921" s="54"/>
      <c r="AA921" s="54"/>
      <c r="AB921" s="287"/>
      <c r="AC921" s="54"/>
      <c r="AD921" s="54"/>
      <c r="AE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R922" s="249"/>
      <c r="S922" s="54"/>
      <c r="T922" s="54"/>
      <c r="U922" s="54"/>
      <c r="V922" s="54"/>
      <c r="W922" s="54"/>
      <c r="X922" s="54"/>
      <c r="Y922" s="54"/>
      <c r="Z922" s="54"/>
      <c r="AA922" s="54"/>
      <c r="AB922" s="287"/>
      <c r="AC922" s="54"/>
      <c r="AD922" s="54"/>
      <c r="AE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R923" s="249"/>
      <c r="S923" s="54"/>
      <c r="T923" s="54"/>
      <c r="U923" s="54"/>
      <c r="V923" s="54"/>
      <c r="W923" s="54"/>
      <c r="X923" s="54"/>
      <c r="Y923" s="54"/>
      <c r="Z923" s="54"/>
      <c r="AA923" s="54"/>
      <c r="AB923" s="287"/>
      <c r="AC923" s="54"/>
      <c r="AD923" s="54"/>
      <c r="AE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R924" s="249"/>
      <c r="S924" s="54"/>
      <c r="T924" s="54"/>
      <c r="U924" s="54"/>
      <c r="V924" s="54"/>
      <c r="W924" s="54"/>
      <c r="X924" s="54"/>
      <c r="Y924" s="54"/>
      <c r="Z924" s="54"/>
      <c r="AA924" s="54"/>
      <c r="AB924" s="287"/>
      <c r="AC924" s="54"/>
      <c r="AD924" s="54"/>
      <c r="AE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R925" s="249"/>
      <c r="S925" s="54"/>
      <c r="T925" s="54"/>
      <c r="U925" s="54"/>
      <c r="V925" s="54"/>
      <c r="W925" s="54"/>
      <c r="X925" s="54"/>
      <c r="Y925" s="54"/>
      <c r="Z925" s="54"/>
      <c r="AA925" s="54"/>
      <c r="AB925" s="287"/>
      <c r="AC925" s="54"/>
      <c r="AD925" s="54"/>
      <c r="AE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R926" s="249"/>
      <c r="S926" s="54"/>
      <c r="T926" s="54"/>
      <c r="U926" s="54"/>
      <c r="V926" s="54"/>
      <c r="W926" s="54"/>
      <c r="X926" s="54"/>
      <c r="Y926" s="54"/>
      <c r="Z926" s="54"/>
      <c r="AA926" s="54"/>
      <c r="AB926" s="287"/>
      <c r="AC926" s="54"/>
      <c r="AD926" s="54"/>
      <c r="AE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R927" s="249"/>
      <c r="S927" s="54"/>
      <c r="T927" s="54"/>
      <c r="U927" s="54"/>
      <c r="V927" s="54"/>
      <c r="W927" s="54"/>
      <c r="X927" s="54"/>
      <c r="Y927" s="54"/>
      <c r="Z927" s="54"/>
      <c r="AA927" s="54"/>
      <c r="AB927" s="287"/>
      <c r="AC927" s="54"/>
      <c r="AD927" s="54"/>
      <c r="AE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R928" s="249"/>
      <c r="S928" s="54"/>
      <c r="T928" s="54"/>
      <c r="U928" s="54"/>
      <c r="V928" s="54"/>
      <c r="W928" s="54"/>
      <c r="X928" s="54"/>
      <c r="Y928" s="54"/>
      <c r="Z928" s="54"/>
      <c r="AA928" s="54"/>
      <c r="AB928" s="287"/>
      <c r="AC928" s="54"/>
      <c r="AD928" s="54"/>
      <c r="AE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R929" s="249"/>
      <c r="S929" s="54"/>
      <c r="T929" s="54"/>
      <c r="U929" s="54"/>
      <c r="V929" s="54"/>
      <c r="W929" s="54"/>
      <c r="X929" s="54"/>
      <c r="Y929" s="54"/>
      <c r="Z929" s="54"/>
      <c r="AA929" s="54"/>
      <c r="AB929" s="287"/>
      <c r="AC929" s="54"/>
      <c r="AD929" s="54"/>
      <c r="AE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R930" s="249"/>
      <c r="S930" s="54"/>
      <c r="T930" s="54"/>
      <c r="U930" s="54"/>
      <c r="V930" s="54"/>
      <c r="W930" s="54"/>
      <c r="X930" s="54"/>
      <c r="Y930" s="54"/>
      <c r="Z930" s="54"/>
      <c r="AA930" s="54"/>
      <c r="AB930" s="287"/>
      <c r="AC930" s="54"/>
      <c r="AD930" s="54"/>
      <c r="AE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R931" s="249"/>
      <c r="S931" s="54"/>
      <c r="T931" s="54"/>
      <c r="U931" s="54"/>
      <c r="V931" s="54"/>
      <c r="W931" s="54"/>
      <c r="X931" s="54"/>
      <c r="Y931" s="54"/>
      <c r="Z931" s="54"/>
      <c r="AA931" s="54"/>
      <c r="AB931" s="287"/>
      <c r="AC931" s="54"/>
      <c r="AD931" s="54"/>
      <c r="AE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R932" s="249"/>
      <c r="S932" s="54"/>
      <c r="T932" s="54"/>
      <c r="U932" s="54"/>
      <c r="V932" s="54"/>
      <c r="W932" s="54"/>
      <c r="X932" s="54"/>
      <c r="Y932" s="54"/>
      <c r="Z932" s="54"/>
      <c r="AA932" s="54"/>
      <c r="AB932" s="287"/>
      <c r="AC932" s="54"/>
      <c r="AD932" s="54"/>
      <c r="AE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R933" s="249"/>
      <c r="S933" s="54"/>
      <c r="T933" s="54"/>
      <c r="U933" s="54"/>
      <c r="V933" s="54"/>
      <c r="W933" s="54"/>
      <c r="X933" s="54"/>
      <c r="Y933" s="54"/>
      <c r="Z933" s="54"/>
      <c r="AA933" s="54"/>
      <c r="AB933" s="287"/>
      <c r="AC933" s="54"/>
      <c r="AD933" s="54"/>
      <c r="AE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R934" s="249"/>
      <c r="S934" s="54"/>
      <c r="T934" s="54"/>
      <c r="U934" s="54"/>
      <c r="V934" s="54"/>
      <c r="W934" s="54"/>
      <c r="X934" s="54"/>
      <c r="Y934" s="54"/>
      <c r="Z934" s="54"/>
      <c r="AA934" s="54"/>
      <c r="AB934" s="287"/>
      <c r="AC934" s="54"/>
      <c r="AD934" s="54"/>
      <c r="AE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R935" s="249"/>
      <c r="S935" s="54"/>
      <c r="T935" s="54"/>
      <c r="U935" s="54"/>
      <c r="V935" s="54"/>
      <c r="W935" s="54"/>
      <c r="X935" s="54"/>
      <c r="Y935" s="54"/>
      <c r="Z935" s="54"/>
      <c r="AA935" s="54"/>
      <c r="AB935" s="287"/>
      <c r="AC935" s="54"/>
      <c r="AD935" s="54"/>
      <c r="AE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R936" s="249"/>
      <c r="S936" s="54"/>
      <c r="T936" s="54"/>
      <c r="U936" s="54"/>
      <c r="V936" s="54"/>
      <c r="W936" s="54"/>
      <c r="X936" s="54"/>
      <c r="Y936" s="54"/>
      <c r="Z936" s="54"/>
      <c r="AA936" s="54"/>
      <c r="AB936" s="287"/>
      <c r="AC936" s="54"/>
      <c r="AD936" s="54"/>
      <c r="AE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R937" s="249"/>
      <c r="S937" s="54"/>
      <c r="T937" s="54"/>
      <c r="U937" s="54"/>
      <c r="V937" s="54"/>
      <c r="W937" s="54"/>
      <c r="X937" s="54"/>
      <c r="Y937" s="54"/>
      <c r="Z937" s="54"/>
      <c r="AA937" s="54"/>
      <c r="AB937" s="287"/>
      <c r="AC937" s="54"/>
      <c r="AD937" s="54"/>
      <c r="AE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R938" s="249"/>
      <c r="S938" s="54"/>
      <c r="T938" s="54"/>
      <c r="U938" s="54"/>
      <c r="V938" s="54"/>
      <c r="W938" s="54"/>
      <c r="X938" s="54"/>
      <c r="Y938" s="54"/>
      <c r="Z938" s="54"/>
      <c r="AA938" s="54"/>
      <c r="AB938" s="287"/>
      <c r="AC938" s="54"/>
      <c r="AD938" s="54"/>
      <c r="AE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R939" s="249"/>
      <c r="S939" s="54"/>
      <c r="T939" s="54"/>
      <c r="U939" s="54"/>
      <c r="V939" s="54"/>
      <c r="W939" s="54"/>
      <c r="X939" s="54"/>
      <c r="Y939" s="54"/>
      <c r="Z939" s="54"/>
      <c r="AA939" s="54"/>
      <c r="AB939" s="287"/>
      <c r="AC939" s="54"/>
      <c r="AD939" s="54"/>
      <c r="AE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R940" s="249"/>
      <c r="S940" s="54"/>
      <c r="T940" s="54"/>
      <c r="U940" s="54"/>
      <c r="V940" s="54"/>
      <c r="W940" s="54"/>
      <c r="X940" s="54"/>
      <c r="Y940" s="54"/>
      <c r="Z940" s="54"/>
      <c r="AA940" s="54"/>
      <c r="AB940" s="287"/>
      <c r="AC940" s="54"/>
      <c r="AD940" s="54"/>
      <c r="AE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R941" s="249"/>
      <c r="S941" s="54"/>
      <c r="T941" s="54"/>
      <c r="U941" s="54"/>
      <c r="V941" s="54"/>
      <c r="W941" s="54"/>
      <c r="X941" s="54"/>
      <c r="Y941" s="54"/>
      <c r="Z941" s="54"/>
      <c r="AA941" s="54"/>
      <c r="AB941" s="287"/>
      <c r="AC941" s="54"/>
      <c r="AD941" s="54"/>
      <c r="AE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R942" s="249"/>
      <c r="S942" s="54"/>
      <c r="T942" s="54"/>
      <c r="U942" s="54"/>
      <c r="V942" s="54"/>
      <c r="W942" s="54"/>
      <c r="X942" s="54"/>
      <c r="Y942" s="54"/>
      <c r="Z942" s="54"/>
      <c r="AA942" s="54"/>
      <c r="AB942" s="287"/>
      <c r="AC942" s="54"/>
      <c r="AD942" s="54"/>
      <c r="AE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R943" s="249"/>
      <c r="S943" s="54"/>
      <c r="T943" s="54"/>
      <c r="U943" s="54"/>
      <c r="V943" s="54"/>
      <c r="W943" s="54"/>
      <c r="X943" s="54"/>
      <c r="Y943" s="54"/>
      <c r="Z943" s="54"/>
      <c r="AA943" s="54"/>
      <c r="AB943" s="287"/>
      <c r="AC943" s="54"/>
      <c r="AD943" s="54"/>
      <c r="AE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R944" s="249"/>
      <c r="S944" s="54"/>
      <c r="T944" s="54"/>
      <c r="U944" s="54"/>
      <c r="V944" s="54"/>
      <c r="W944" s="54"/>
      <c r="X944" s="54"/>
      <c r="Y944" s="54"/>
      <c r="Z944" s="54"/>
      <c r="AA944" s="54"/>
      <c r="AB944" s="287"/>
      <c r="AC944" s="54"/>
      <c r="AD944" s="54"/>
      <c r="AE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R945" s="249"/>
      <c r="S945" s="54"/>
      <c r="T945" s="54"/>
      <c r="U945" s="54"/>
      <c r="V945" s="54"/>
      <c r="W945" s="54"/>
      <c r="X945" s="54"/>
      <c r="Y945" s="54"/>
      <c r="Z945" s="54"/>
      <c r="AA945" s="54"/>
      <c r="AB945" s="287"/>
      <c r="AC945" s="54"/>
      <c r="AD945" s="54"/>
      <c r="AE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R946" s="249"/>
      <c r="S946" s="54"/>
      <c r="T946" s="54"/>
      <c r="U946" s="54"/>
      <c r="V946" s="54"/>
      <c r="W946" s="54"/>
      <c r="X946" s="54"/>
      <c r="Y946" s="54"/>
      <c r="Z946" s="54"/>
      <c r="AA946" s="54"/>
      <c r="AB946" s="287"/>
      <c r="AC946" s="54"/>
      <c r="AD946" s="54"/>
      <c r="AE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R947" s="249"/>
      <c r="S947" s="54"/>
      <c r="T947" s="54"/>
      <c r="U947" s="54"/>
      <c r="V947" s="54"/>
      <c r="W947" s="54"/>
      <c r="X947" s="54"/>
      <c r="Y947" s="54"/>
      <c r="Z947" s="54"/>
      <c r="AA947" s="54"/>
      <c r="AB947" s="287"/>
      <c r="AC947" s="54"/>
      <c r="AD947" s="54"/>
      <c r="AE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R948" s="249"/>
      <c r="S948" s="54"/>
      <c r="T948" s="54"/>
      <c r="U948" s="54"/>
      <c r="V948" s="54"/>
      <c r="W948" s="54"/>
      <c r="X948" s="54"/>
      <c r="Y948" s="54"/>
      <c r="Z948" s="54"/>
      <c r="AA948" s="54"/>
      <c r="AB948" s="287"/>
      <c r="AC948" s="54"/>
      <c r="AD948" s="54"/>
      <c r="AE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R949" s="249"/>
      <c r="S949" s="54"/>
      <c r="T949" s="54"/>
      <c r="U949" s="54"/>
      <c r="V949" s="54"/>
      <c r="W949" s="54"/>
      <c r="X949" s="54"/>
      <c r="Y949" s="54"/>
      <c r="Z949" s="54"/>
      <c r="AA949" s="54"/>
      <c r="AB949" s="287"/>
      <c r="AC949" s="54"/>
      <c r="AD949" s="54"/>
      <c r="AE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R950" s="249"/>
      <c r="S950" s="54"/>
      <c r="T950" s="54"/>
      <c r="U950" s="54"/>
      <c r="V950" s="54"/>
      <c r="W950" s="54"/>
      <c r="X950" s="54"/>
      <c r="Y950" s="54"/>
      <c r="Z950" s="54"/>
      <c r="AA950" s="54"/>
      <c r="AB950" s="287"/>
      <c r="AC950" s="54"/>
      <c r="AD950" s="54"/>
      <c r="AE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R951" s="249"/>
      <c r="S951" s="54"/>
      <c r="T951" s="54"/>
      <c r="U951" s="54"/>
      <c r="V951" s="54"/>
      <c r="W951" s="54"/>
      <c r="X951" s="54"/>
      <c r="Y951" s="54"/>
      <c r="Z951" s="54"/>
      <c r="AA951" s="54"/>
      <c r="AB951" s="287"/>
      <c r="AC951" s="54"/>
      <c r="AD951" s="54"/>
      <c r="AE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R952" s="249"/>
      <c r="S952" s="54"/>
      <c r="T952" s="54"/>
      <c r="U952" s="54"/>
      <c r="V952" s="54"/>
      <c r="W952" s="54"/>
      <c r="X952" s="54"/>
      <c r="Y952" s="54"/>
      <c r="Z952" s="54"/>
      <c r="AA952" s="54"/>
      <c r="AB952" s="287"/>
      <c r="AC952" s="54"/>
      <c r="AD952" s="54"/>
      <c r="AE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R953" s="249"/>
      <c r="S953" s="54"/>
      <c r="T953" s="54"/>
      <c r="U953" s="54"/>
      <c r="V953" s="54"/>
      <c r="W953" s="54"/>
      <c r="X953" s="54"/>
      <c r="Y953" s="54"/>
      <c r="Z953" s="54"/>
      <c r="AA953" s="54"/>
      <c r="AB953" s="287"/>
      <c r="AC953" s="54"/>
      <c r="AD953" s="54"/>
      <c r="AE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R954" s="249"/>
      <c r="S954" s="54"/>
      <c r="T954" s="54"/>
      <c r="U954" s="54"/>
      <c r="V954" s="54"/>
      <c r="W954" s="54"/>
      <c r="X954" s="54"/>
      <c r="Y954" s="54"/>
      <c r="Z954" s="54"/>
      <c r="AA954" s="54"/>
      <c r="AB954" s="287"/>
      <c r="AC954" s="54"/>
      <c r="AD954" s="54"/>
      <c r="AE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R955" s="249"/>
      <c r="S955" s="54"/>
      <c r="T955" s="54"/>
      <c r="U955" s="54"/>
      <c r="V955" s="54"/>
      <c r="W955" s="54"/>
      <c r="X955" s="54"/>
      <c r="Y955" s="54"/>
      <c r="Z955" s="54"/>
      <c r="AA955" s="54"/>
      <c r="AB955" s="287"/>
      <c r="AC955" s="54"/>
      <c r="AD955" s="54"/>
      <c r="AE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R956" s="249"/>
      <c r="S956" s="54"/>
      <c r="T956" s="54"/>
      <c r="U956" s="54"/>
      <c r="V956" s="54"/>
      <c r="W956" s="54"/>
      <c r="X956" s="54"/>
      <c r="Y956" s="54"/>
      <c r="Z956" s="54"/>
      <c r="AA956" s="54"/>
      <c r="AB956" s="287"/>
      <c r="AC956" s="54"/>
      <c r="AD956" s="54"/>
      <c r="AE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R957" s="249"/>
      <c r="S957" s="54"/>
      <c r="T957" s="54"/>
      <c r="U957" s="54"/>
      <c r="V957" s="54"/>
      <c r="W957" s="54"/>
      <c r="X957" s="54"/>
      <c r="Y957" s="54"/>
      <c r="Z957" s="54"/>
      <c r="AA957" s="54"/>
      <c r="AB957" s="287"/>
      <c r="AC957" s="54"/>
      <c r="AD957" s="54"/>
      <c r="AE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R958" s="249"/>
      <c r="S958" s="54"/>
      <c r="T958" s="54"/>
      <c r="U958" s="54"/>
      <c r="V958" s="54"/>
      <c r="W958" s="54"/>
      <c r="X958" s="54"/>
      <c r="Y958" s="54"/>
      <c r="Z958" s="54"/>
      <c r="AA958" s="54"/>
      <c r="AB958" s="287"/>
      <c r="AC958" s="54"/>
      <c r="AD958" s="54"/>
      <c r="AE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R959" s="249"/>
      <c r="S959" s="54"/>
      <c r="T959" s="54"/>
      <c r="U959" s="54"/>
      <c r="V959" s="54"/>
      <c r="W959" s="54"/>
      <c r="X959" s="54"/>
      <c r="Y959" s="54"/>
      <c r="Z959" s="54"/>
      <c r="AA959" s="54"/>
      <c r="AB959" s="287"/>
      <c r="AC959" s="54"/>
      <c r="AD959" s="54"/>
      <c r="AE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R960" s="249"/>
      <c r="S960" s="54"/>
      <c r="T960" s="54"/>
      <c r="U960" s="54"/>
      <c r="V960" s="54"/>
      <c r="W960" s="54"/>
      <c r="X960" s="54"/>
      <c r="Y960" s="54"/>
      <c r="Z960" s="54"/>
      <c r="AA960" s="54"/>
      <c r="AB960" s="287"/>
      <c r="AC960" s="54"/>
      <c r="AD960" s="54"/>
      <c r="AE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R961" s="249"/>
      <c r="S961" s="54"/>
      <c r="T961" s="54"/>
      <c r="U961" s="54"/>
      <c r="V961" s="54"/>
      <c r="W961" s="54"/>
      <c r="X961" s="54"/>
      <c r="Y961" s="54"/>
      <c r="Z961" s="54"/>
      <c r="AA961" s="54"/>
      <c r="AB961" s="287"/>
      <c r="AC961" s="54"/>
      <c r="AD961" s="54"/>
      <c r="AE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R962" s="249"/>
      <c r="S962" s="54"/>
      <c r="T962" s="54"/>
      <c r="U962" s="54"/>
      <c r="V962" s="54"/>
      <c r="W962" s="54"/>
      <c r="X962" s="54"/>
      <c r="Y962" s="54"/>
      <c r="Z962" s="54"/>
      <c r="AA962" s="54"/>
      <c r="AB962" s="287"/>
      <c r="AC962" s="54"/>
      <c r="AD962" s="54"/>
      <c r="AE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R963" s="249"/>
      <c r="S963" s="54"/>
      <c r="T963" s="54"/>
      <c r="U963" s="54"/>
      <c r="V963" s="54"/>
      <c r="W963" s="54"/>
      <c r="X963" s="54"/>
      <c r="Y963" s="54"/>
      <c r="Z963" s="54"/>
      <c r="AA963" s="54"/>
      <c r="AB963" s="287"/>
      <c r="AC963" s="54"/>
      <c r="AD963" s="54"/>
      <c r="AE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R964" s="249"/>
      <c r="S964" s="54"/>
      <c r="T964" s="54"/>
      <c r="U964" s="54"/>
      <c r="V964" s="54"/>
      <c r="W964" s="54"/>
      <c r="X964" s="54"/>
      <c r="Y964" s="54"/>
      <c r="Z964" s="54"/>
      <c r="AA964" s="54"/>
      <c r="AB964" s="287"/>
      <c r="AC964" s="54"/>
      <c r="AD964" s="54"/>
      <c r="AE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R965" s="249"/>
      <c r="S965" s="54"/>
      <c r="T965" s="54"/>
      <c r="U965" s="54"/>
      <c r="V965" s="54"/>
      <c r="W965" s="54"/>
      <c r="X965" s="54"/>
      <c r="Y965" s="54"/>
      <c r="Z965" s="54"/>
      <c r="AA965" s="54"/>
      <c r="AB965" s="287"/>
      <c r="AC965" s="54"/>
      <c r="AD965" s="54"/>
      <c r="AE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R966" s="249"/>
      <c r="S966" s="54"/>
      <c r="T966" s="54"/>
      <c r="U966" s="54"/>
      <c r="V966" s="54"/>
      <c r="W966" s="54"/>
      <c r="X966" s="54"/>
      <c r="Y966" s="54"/>
      <c r="Z966" s="54"/>
      <c r="AA966" s="54"/>
      <c r="AB966" s="287"/>
      <c r="AC966" s="54"/>
      <c r="AD966" s="54"/>
      <c r="AE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R967" s="249"/>
      <c r="S967" s="54"/>
      <c r="T967" s="54"/>
      <c r="U967" s="54"/>
      <c r="V967" s="54"/>
      <c r="W967" s="54"/>
      <c r="X967" s="54"/>
      <c r="Y967" s="54"/>
      <c r="Z967" s="54"/>
      <c r="AA967" s="54"/>
      <c r="AB967" s="287"/>
      <c r="AC967" s="54"/>
      <c r="AD967" s="54"/>
      <c r="AE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R968" s="249"/>
      <c r="S968" s="54"/>
      <c r="T968" s="54"/>
      <c r="U968" s="54"/>
      <c r="V968" s="54"/>
      <c r="W968" s="54"/>
      <c r="X968" s="54"/>
      <c r="Y968" s="54"/>
      <c r="Z968" s="54"/>
      <c r="AA968" s="54"/>
      <c r="AB968" s="287"/>
      <c r="AC968" s="54"/>
      <c r="AD968" s="54"/>
      <c r="AE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R969" s="249"/>
      <c r="S969" s="54"/>
      <c r="T969" s="54"/>
      <c r="U969" s="54"/>
      <c r="V969" s="54"/>
      <c r="W969" s="54"/>
      <c r="X969" s="54"/>
      <c r="Y969" s="54"/>
      <c r="Z969" s="54"/>
      <c r="AA969" s="54"/>
      <c r="AB969" s="287"/>
      <c r="AC969" s="54"/>
      <c r="AD969" s="54"/>
      <c r="AE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R970" s="249"/>
      <c r="S970" s="54"/>
      <c r="T970" s="54"/>
      <c r="U970" s="54"/>
      <c r="V970" s="54"/>
      <c r="W970" s="54"/>
      <c r="X970" s="54"/>
      <c r="Y970" s="54"/>
      <c r="Z970" s="54"/>
      <c r="AA970" s="54"/>
      <c r="AB970" s="287"/>
      <c r="AC970" s="54"/>
      <c r="AD970" s="54"/>
      <c r="AE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R971" s="249"/>
      <c r="S971" s="54"/>
      <c r="T971" s="54"/>
      <c r="U971" s="54"/>
      <c r="V971" s="54"/>
      <c r="W971" s="54"/>
      <c r="X971" s="54"/>
      <c r="Y971" s="54"/>
      <c r="Z971" s="54"/>
      <c r="AA971" s="54"/>
      <c r="AB971" s="287"/>
      <c r="AC971" s="54"/>
      <c r="AD971" s="54"/>
      <c r="AE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R972" s="249"/>
      <c r="S972" s="54"/>
      <c r="T972" s="54"/>
      <c r="U972" s="54"/>
      <c r="V972" s="54"/>
      <c r="W972" s="54"/>
      <c r="X972" s="54"/>
      <c r="Y972" s="54"/>
      <c r="Z972" s="54"/>
      <c r="AA972" s="54"/>
      <c r="AB972" s="287"/>
      <c r="AC972" s="54"/>
      <c r="AD972" s="54"/>
      <c r="AE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R973" s="249"/>
      <c r="S973" s="54"/>
      <c r="T973" s="54"/>
      <c r="U973" s="54"/>
      <c r="V973" s="54"/>
      <c r="W973" s="54"/>
      <c r="X973" s="54"/>
      <c r="Y973" s="54"/>
      <c r="Z973" s="54"/>
      <c r="AA973" s="54"/>
      <c r="AB973" s="287"/>
      <c r="AC973" s="54"/>
      <c r="AD973" s="54"/>
      <c r="AE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R974" s="249"/>
      <c r="S974" s="54"/>
      <c r="T974" s="54"/>
      <c r="U974" s="54"/>
      <c r="V974" s="54"/>
      <c r="W974" s="54"/>
      <c r="X974" s="54"/>
      <c r="Y974" s="54"/>
      <c r="Z974" s="54"/>
      <c r="AA974" s="54"/>
      <c r="AB974" s="287"/>
      <c r="AC974" s="54"/>
      <c r="AD974" s="54"/>
      <c r="AE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R975" s="249"/>
      <c r="S975" s="54"/>
      <c r="T975" s="54"/>
      <c r="U975" s="54"/>
      <c r="V975" s="54"/>
      <c r="W975" s="54"/>
      <c r="X975" s="54"/>
      <c r="Y975" s="54"/>
      <c r="Z975" s="54"/>
      <c r="AA975" s="54"/>
      <c r="AB975" s="287"/>
      <c r="AC975" s="54"/>
      <c r="AD975" s="54"/>
      <c r="AE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R976" s="249"/>
      <c r="S976" s="54"/>
      <c r="T976" s="54"/>
      <c r="U976" s="54"/>
      <c r="V976" s="54"/>
      <c r="W976" s="54"/>
      <c r="X976" s="54"/>
      <c r="Y976" s="54"/>
      <c r="Z976" s="54"/>
      <c r="AA976" s="54"/>
      <c r="AB976" s="287"/>
      <c r="AC976" s="54"/>
      <c r="AD976" s="54"/>
      <c r="AE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R977" s="249"/>
      <c r="S977" s="54"/>
      <c r="T977" s="54"/>
      <c r="U977" s="54"/>
      <c r="V977" s="54"/>
      <c r="W977" s="54"/>
      <c r="X977" s="54"/>
      <c r="Y977" s="54"/>
      <c r="Z977" s="54"/>
      <c r="AA977" s="54"/>
      <c r="AB977" s="287"/>
      <c r="AC977" s="54"/>
      <c r="AD977" s="54"/>
      <c r="AE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R978" s="249"/>
      <c r="S978" s="54"/>
      <c r="T978" s="54"/>
      <c r="U978" s="54"/>
      <c r="V978" s="54"/>
      <c r="W978" s="54"/>
      <c r="X978" s="54"/>
      <c r="Y978" s="54"/>
      <c r="Z978" s="54"/>
      <c r="AA978" s="54"/>
      <c r="AB978" s="287"/>
      <c r="AC978" s="54"/>
      <c r="AD978" s="54"/>
      <c r="AE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R979" s="249"/>
      <c r="S979" s="54"/>
      <c r="T979" s="54"/>
      <c r="U979" s="54"/>
      <c r="V979" s="54"/>
      <c r="W979" s="54"/>
      <c r="X979" s="54"/>
      <c r="Y979" s="54"/>
      <c r="Z979" s="54"/>
      <c r="AA979" s="54"/>
      <c r="AB979" s="287"/>
      <c r="AC979" s="54"/>
      <c r="AD979" s="54"/>
      <c r="AE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R980" s="249"/>
      <c r="S980" s="54"/>
      <c r="T980" s="54"/>
      <c r="U980" s="54"/>
      <c r="V980" s="54"/>
      <c r="W980" s="54"/>
      <c r="X980" s="54"/>
      <c r="Y980" s="54"/>
      <c r="Z980" s="54"/>
      <c r="AA980" s="54"/>
      <c r="AB980" s="287"/>
      <c r="AC980" s="54"/>
      <c r="AD980" s="54"/>
      <c r="AE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R981" s="249"/>
      <c r="S981" s="54"/>
      <c r="T981" s="54"/>
      <c r="U981" s="54"/>
      <c r="V981" s="54"/>
      <c r="W981" s="54"/>
      <c r="X981" s="54"/>
      <c r="Y981" s="54"/>
      <c r="Z981" s="54"/>
      <c r="AA981" s="54"/>
      <c r="AB981" s="287"/>
      <c r="AC981" s="54"/>
      <c r="AD981" s="54"/>
      <c r="AE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R982" s="249"/>
      <c r="S982" s="54"/>
      <c r="T982" s="54"/>
      <c r="U982" s="54"/>
      <c r="V982" s="54"/>
      <c r="W982" s="54"/>
      <c r="X982" s="54"/>
      <c r="Y982" s="54"/>
      <c r="Z982" s="54"/>
      <c r="AA982" s="54"/>
      <c r="AB982" s="287"/>
      <c r="AC982" s="54"/>
      <c r="AD982" s="54"/>
      <c r="AE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R983" s="249"/>
      <c r="S983" s="54"/>
      <c r="T983" s="54"/>
      <c r="U983" s="54"/>
      <c r="V983" s="54"/>
      <c r="W983" s="54"/>
      <c r="X983" s="54"/>
      <c r="Y983" s="54"/>
      <c r="Z983" s="54"/>
      <c r="AA983" s="54"/>
      <c r="AB983" s="287"/>
      <c r="AC983" s="54"/>
      <c r="AD983" s="54"/>
      <c r="AE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R984" s="249"/>
      <c r="S984" s="54"/>
      <c r="T984" s="54"/>
      <c r="U984" s="54"/>
      <c r="V984" s="54"/>
      <c r="W984" s="54"/>
      <c r="X984" s="54"/>
      <c r="Y984" s="54"/>
      <c r="Z984" s="54"/>
      <c r="AA984" s="54"/>
      <c r="AB984" s="287"/>
      <c r="AC984" s="54"/>
      <c r="AD984" s="54"/>
      <c r="AE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R985" s="249"/>
      <c r="S985" s="54"/>
      <c r="T985" s="54"/>
      <c r="U985" s="54"/>
      <c r="V985" s="54"/>
      <c r="W985" s="54"/>
      <c r="X985" s="54"/>
      <c r="Y985" s="54"/>
      <c r="Z985" s="54"/>
      <c r="AA985" s="54"/>
      <c r="AB985" s="287"/>
      <c r="AC985" s="54"/>
      <c r="AD985" s="54"/>
      <c r="AE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R986" s="249"/>
      <c r="S986" s="54"/>
      <c r="T986" s="54"/>
      <c r="U986" s="54"/>
      <c r="V986" s="54"/>
      <c r="W986" s="54"/>
      <c r="X986" s="54"/>
      <c r="Y986" s="54"/>
      <c r="Z986" s="54"/>
      <c r="AA986" s="54"/>
      <c r="AB986" s="287"/>
      <c r="AC986" s="54"/>
      <c r="AD986" s="54"/>
      <c r="AE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R987" s="249"/>
      <c r="S987" s="54"/>
      <c r="T987" s="54"/>
      <c r="U987" s="54"/>
      <c r="V987" s="54"/>
      <c r="W987" s="54"/>
      <c r="X987" s="54"/>
      <c r="Y987" s="54"/>
      <c r="Z987" s="54"/>
      <c r="AA987" s="54"/>
      <c r="AB987" s="287"/>
      <c r="AC987" s="54"/>
      <c r="AD987" s="54"/>
      <c r="AE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R988" s="249"/>
      <c r="S988" s="54"/>
      <c r="T988" s="54"/>
      <c r="U988" s="54"/>
      <c r="V988" s="54"/>
      <c r="W988" s="54"/>
      <c r="X988" s="54"/>
      <c r="Y988" s="54"/>
      <c r="Z988" s="54"/>
      <c r="AA988" s="54"/>
      <c r="AB988" s="287"/>
      <c r="AC988" s="54"/>
      <c r="AD988" s="54"/>
      <c r="AE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R989" s="249"/>
      <c r="S989" s="54"/>
      <c r="T989" s="54"/>
      <c r="U989" s="54"/>
      <c r="V989" s="54"/>
      <c r="W989" s="54"/>
      <c r="X989" s="54"/>
      <c r="Y989" s="54"/>
      <c r="Z989" s="54"/>
      <c r="AA989" s="54"/>
      <c r="AB989" s="287"/>
      <c r="AC989" s="54"/>
      <c r="AD989" s="54"/>
      <c r="AE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R990" s="249"/>
      <c r="S990" s="54"/>
      <c r="T990" s="54"/>
      <c r="U990" s="54"/>
      <c r="V990" s="54"/>
      <c r="W990" s="54"/>
      <c r="X990" s="54"/>
      <c r="Y990" s="54"/>
      <c r="Z990" s="54"/>
      <c r="AA990" s="54"/>
      <c r="AB990" s="287"/>
      <c r="AC990" s="54"/>
      <c r="AD990" s="54"/>
      <c r="AE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R991" s="249"/>
      <c r="S991" s="54"/>
      <c r="T991" s="54"/>
      <c r="U991" s="54"/>
      <c r="V991" s="54"/>
      <c r="W991" s="54"/>
      <c r="X991" s="54"/>
      <c r="Y991" s="54"/>
      <c r="Z991" s="54"/>
      <c r="AA991" s="54"/>
      <c r="AB991" s="287"/>
      <c r="AC991" s="54"/>
      <c r="AD991" s="54"/>
      <c r="AE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R992" s="249"/>
      <c r="S992" s="54"/>
      <c r="T992" s="54"/>
      <c r="U992" s="54"/>
      <c r="V992" s="54"/>
      <c r="W992" s="54"/>
      <c r="X992" s="54"/>
      <c r="Y992" s="54"/>
      <c r="Z992" s="54"/>
      <c r="AA992" s="54"/>
      <c r="AB992" s="287"/>
      <c r="AC992" s="54"/>
      <c r="AD992" s="54"/>
      <c r="AE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R993" s="249"/>
      <c r="S993" s="54"/>
      <c r="T993" s="54"/>
      <c r="U993" s="54"/>
      <c r="V993" s="54"/>
      <c r="W993" s="54"/>
      <c r="X993" s="54"/>
      <c r="Y993" s="54"/>
      <c r="Z993" s="54"/>
      <c r="AA993" s="54"/>
      <c r="AB993" s="287"/>
      <c r="AC993" s="54"/>
      <c r="AD993" s="54"/>
      <c r="AE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R994" s="249"/>
      <c r="S994" s="54"/>
      <c r="T994" s="54"/>
      <c r="U994" s="54"/>
      <c r="V994" s="54"/>
      <c r="W994" s="54"/>
      <c r="X994" s="54"/>
      <c r="Y994" s="54"/>
      <c r="Z994" s="54"/>
      <c r="AA994" s="54"/>
      <c r="AB994" s="287"/>
      <c r="AC994" s="54"/>
      <c r="AD994" s="54"/>
      <c r="AE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R995" s="249"/>
      <c r="S995" s="54"/>
      <c r="T995" s="54"/>
      <c r="U995" s="54"/>
      <c r="V995" s="54"/>
      <c r="W995" s="54"/>
      <c r="X995" s="54"/>
      <c r="Y995" s="54"/>
      <c r="Z995" s="54"/>
      <c r="AA995" s="54"/>
      <c r="AB995" s="287"/>
      <c r="AC995" s="54"/>
      <c r="AD995" s="54"/>
      <c r="AE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R996" s="249"/>
      <c r="S996" s="54"/>
      <c r="T996" s="54"/>
      <c r="U996" s="54"/>
      <c r="V996" s="54"/>
      <c r="W996" s="54"/>
      <c r="X996" s="54"/>
      <c r="Y996" s="54"/>
      <c r="Z996" s="54"/>
      <c r="AA996" s="54"/>
      <c r="AB996" s="287"/>
      <c r="AC996" s="54"/>
      <c r="AD996" s="54"/>
      <c r="AE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R997" s="249"/>
      <c r="S997" s="54"/>
      <c r="T997" s="54"/>
      <c r="U997" s="54"/>
      <c r="V997" s="54"/>
      <c r="W997" s="54"/>
      <c r="X997" s="54"/>
      <c r="Y997" s="54"/>
      <c r="Z997" s="54"/>
      <c r="AA997" s="54"/>
      <c r="AB997" s="287"/>
      <c r="AC997" s="54"/>
      <c r="AD997" s="54"/>
      <c r="AE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R998" s="249"/>
      <c r="S998" s="54"/>
      <c r="T998" s="54"/>
      <c r="U998" s="54"/>
      <c r="V998" s="54"/>
      <c r="W998" s="54"/>
      <c r="X998" s="54"/>
      <c r="Y998" s="54"/>
      <c r="Z998" s="54"/>
      <c r="AA998" s="54"/>
      <c r="AB998" s="287"/>
      <c r="AC998" s="54"/>
      <c r="AD998" s="54"/>
      <c r="AE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R999" s="249"/>
      <c r="S999" s="54"/>
      <c r="T999" s="54"/>
      <c r="U999" s="54"/>
      <c r="V999" s="54"/>
      <c r="W999" s="54"/>
      <c r="X999" s="54"/>
      <c r="Y999" s="54"/>
      <c r="Z999" s="54"/>
      <c r="AA999" s="54"/>
      <c r="AB999" s="287"/>
      <c r="AC999" s="54"/>
      <c r="AD999" s="54"/>
      <c r="AE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R1000" s="249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287"/>
      <c r="AC1000" s="54"/>
      <c r="AD1000" s="54"/>
      <c r="AE1000" s="54"/>
    </row>
    <row r="100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287"/>
      <c r="AC1001" s="54"/>
      <c r="AD1001" s="54"/>
      <c r="AE1001" s="54"/>
    </row>
  </sheetData>
  <mergeCells count="60">
    <mergeCell ref="B202:I202"/>
    <mergeCell ref="M203:Q203"/>
    <mergeCell ref="B225:I225"/>
    <mergeCell ref="M226:Q226"/>
    <mergeCell ref="B252:I252"/>
    <mergeCell ref="M253:Q253"/>
    <mergeCell ref="M280:Q280"/>
    <mergeCell ref="B279:I279"/>
    <mergeCell ref="B302:I302"/>
    <mergeCell ref="M303:P303"/>
    <mergeCell ref="B323:I323"/>
    <mergeCell ref="M324:Q324"/>
    <mergeCell ref="B351:I351"/>
    <mergeCell ref="M352:Q352"/>
    <mergeCell ref="R1:R2"/>
    <mergeCell ref="B3:I3"/>
    <mergeCell ref="T3:Z3"/>
    <mergeCell ref="B4:I4"/>
    <mergeCell ref="T4:Z4"/>
    <mergeCell ref="M5:O5"/>
    <mergeCell ref="T14:Z14"/>
    <mergeCell ref="B15:I15"/>
    <mergeCell ref="M16:O16"/>
    <mergeCell ref="T28:Z28"/>
    <mergeCell ref="B29:I29"/>
    <mergeCell ref="M32:O32"/>
    <mergeCell ref="T44:Z44"/>
    <mergeCell ref="M45:O45"/>
    <mergeCell ref="B44:I44"/>
    <mergeCell ref="B58:I58"/>
    <mergeCell ref="M59:O59"/>
    <mergeCell ref="T62:Z62"/>
    <mergeCell ref="B74:I74"/>
    <mergeCell ref="M75:O75"/>
    <mergeCell ref="T81:Z81"/>
    <mergeCell ref="B87:I87"/>
    <mergeCell ref="M88:O88"/>
    <mergeCell ref="T96:Z96"/>
    <mergeCell ref="B97:I97"/>
    <mergeCell ref="M98:O98"/>
    <mergeCell ref="B112:I112"/>
    <mergeCell ref="M113:O113"/>
    <mergeCell ref="T110:Z110"/>
    <mergeCell ref="T124:Z124"/>
    <mergeCell ref="B125:I125"/>
    <mergeCell ref="M126:Q126"/>
    <mergeCell ref="T136:Z136"/>
    <mergeCell ref="M139:Q139"/>
    <mergeCell ref="T149:Z149"/>
    <mergeCell ref="B138:I138"/>
    <mergeCell ref="B155:I155"/>
    <mergeCell ref="M156:Q156"/>
    <mergeCell ref="T163:Z163"/>
    <mergeCell ref="B182:I182"/>
    <mergeCell ref="B183:I183"/>
    <mergeCell ref="M184:Q184"/>
    <mergeCell ref="B374:I374"/>
    <mergeCell ref="M375:Q375"/>
    <mergeCell ref="B401:I401"/>
    <mergeCell ref="M402:Q402"/>
  </mergeCells>
  <conditionalFormatting sqref="J225 J252 J279 J302 J323 J351 J374 J401">
    <cfRule type="expression" dxfId="0" priority="1">
      <formula>ABS(J225:J1222)&gt;5</formula>
    </cfRule>
  </conditionalFormatting>
  <conditionalFormatting sqref="AC225 AC252 AC279 AC302 AC323 AC351 AC374 AC401">
    <cfRule type="cellIs" dxfId="1" priority="2" operator="greaterThanOrEqual">
      <formula>30</formula>
    </cfRule>
  </conditionalFormatting>
  <conditionalFormatting sqref="AC225 AC252 AC279 AC302 AC323 AC351 AC374 AC401">
    <cfRule type="cellIs" dxfId="2" priority="3" operator="greaterThanOrEqual">
      <formula>28</formula>
    </cfRule>
  </conditionalFormatting>
  <conditionalFormatting sqref="K225 K252 K279 K302 K323 K351 K374 K401">
    <cfRule type="cellIs" dxfId="5" priority="4" operator="greaterThan">
      <formula>33</formula>
    </cfRule>
  </conditionalFormatting>
  <conditionalFormatting sqref="K225 K252 K279 K302 K323 K351 K374 K401">
    <cfRule type="cellIs" dxfId="6" priority="5" operator="greaterThan">
      <formula>31</formula>
    </cfRule>
  </conditionalFormatting>
  <conditionalFormatting sqref="J2 AA2">
    <cfRule type="expression" dxfId="0" priority="6">
      <formula>ABS(J2:J1002)&gt;5</formula>
    </cfRule>
  </conditionalFormatting>
  <conditionalFormatting sqref="K2 AB2">
    <cfRule type="cellIs" dxfId="1" priority="7" operator="greaterThanOrEqual">
      <formula>35</formula>
    </cfRule>
  </conditionalFormatting>
  <conditionalFormatting sqref="K2 AB2">
    <cfRule type="cellIs" dxfId="2" priority="8" operator="greaterThanOrEqual">
      <formula>33</formula>
    </cfRule>
  </conditionalFormatting>
  <conditionalFormatting sqref="K1:K1001 AB1:AB1001">
    <cfRule type="cellIs" dxfId="3" priority="9" operator="greaterThanOrEqual">
      <formula>30</formula>
    </cfRule>
  </conditionalFormatting>
  <conditionalFormatting sqref="K1:K1001 AB1:AB1001">
    <cfRule type="cellIs" dxfId="4" priority="10" operator="greaterThanOrEqual">
      <formula>28</formula>
    </cfRule>
  </conditionalFormatting>
  <conditionalFormatting sqref="J1:J1001 AA1:AA2">
    <cfRule type="expression" dxfId="0" priority="11">
      <formula>ABS(J:J)&gt;5</formula>
    </cfRule>
  </conditionalFormatting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4" max="14" width="13.5"/>
  </cols>
  <sheetData>
    <row r="1">
      <c r="A1" s="58" t="s">
        <v>54</v>
      </c>
      <c r="B1" s="59" t="s">
        <v>55</v>
      </c>
      <c r="C1" s="60" t="s">
        <v>313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54"/>
      <c r="M1" s="54"/>
      <c r="N1" s="54"/>
      <c r="O1" s="54"/>
      <c r="P1" s="361"/>
      <c r="Q1" s="361"/>
      <c r="R1" s="362" t="s">
        <v>156</v>
      </c>
      <c r="S1" s="363" t="s">
        <v>54</v>
      </c>
      <c r="T1" s="364" t="s">
        <v>55</v>
      </c>
      <c r="U1" s="365" t="s">
        <v>57</v>
      </c>
      <c r="V1" s="365" t="s">
        <v>58</v>
      </c>
      <c r="W1" s="365" t="s">
        <v>59</v>
      </c>
      <c r="X1" s="365" t="s">
        <v>60</v>
      </c>
      <c r="Y1" s="365" t="s">
        <v>61</v>
      </c>
      <c r="Z1" s="365" t="s">
        <v>62</v>
      </c>
      <c r="AA1" s="365" t="s">
        <v>63</v>
      </c>
      <c r="AB1" s="366" t="s">
        <v>64</v>
      </c>
      <c r="AC1" s="195" t="s">
        <v>157</v>
      </c>
      <c r="AD1" s="54"/>
    </row>
    <row r="2">
      <c r="A2" s="121" t="s">
        <v>314</v>
      </c>
      <c r="B2" s="54"/>
      <c r="C2" s="54"/>
      <c r="D2" s="60" t="s">
        <v>315</v>
      </c>
      <c r="E2" s="54"/>
      <c r="F2" s="54">
        <f>SUM(F5:F1005)</f>
        <v>231965</v>
      </c>
      <c r="G2" s="54">
        <f>MAX(G4:G1005)</f>
        <v>1051</v>
      </c>
      <c r="H2" s="54">
        <f t="shared" ref="H2:I2" si="1">SUM(H5:H1005)</f>
        <v>63053</v>
      </c>
      <c r="I2" s="54">
        <f t="shared" si="1"/>
        <v>66381.61</v>
      </c>
      <c r="J2" s="54">
        <f>H2-I2</f>
        <v>-3328.61</v>
      </c>
      <c r="K2" s="63">
        <f>I2/F2*100</f>
        <v>28.61708016</v>
      </c>
      <c r="L2" s="64" t="s">
        <v>65</v>
      </c>
      <c r="M2" s="65"/>
      <c r="N2" s="54"/>
      <c r="O2" s="54"/>
      <c r="P2" s="361"/>
      <c r="Q2" s="361"/>
      <c r="S2" s="367" t="s">
        <v>316</v>
      </c>
      <c r="T2" s="365"/>
      <c r="U2" s="365"/>
      <c r="V2" s="365"/>
      <c r="W2" s="368">
        <f>SUM(W5:W151)</f>
        <v>151341</v>
      </c>
      <c r="X2" s="365">
        <f>MAX(X5:X151)</f>
        <v>1070</v>
      </c>
      <c r="Y2" s="368">
        <f t="shared" ref="Y2:Z2" si="2">SUM(Y5:Y151)</f>
        <v>43388.2</v>
      </c>
      <c r="Z2" s="368">
        <f t="shared" si="2"/>
        <v>44210.84</v>
      </c>
      <c r="AA2" s="369">
        <f>Y2-Z2</f>
        <v>-822.64</v>
      </c>
      <c r="AB2" s="370">
        <f>Z2/W2*100</f>
        <v>29.21273151</v>
      </c>
      <c r="AC2" s="64" t="s">
        <v>295</v>
      </c>
      <c r="AD2" s="65"/>
    </row>
    <row r="3">
      <c r="A3" s="66"/>
      <c r="B3" s="67">
        <v>2024.0</v>
      </c>
      <c r="J3" s="66"/>
      <c r="K3" s="66"/>
      <c r="L3" s="66"/>
      <c r="M3" s="66"/>
      <c r="N3" s="66"/>
      <c r="O3" s="66"/>
      <c r="P3" s="237"/>
      <c r="Q3" s="237"/>
      <c r="R3" s="371"/>
      <c r="S3" s="372"/>
      <c r="T3" s="67">
        <v>2023.0</v>
      </c>
      <c r="AA3" s="66"/>
      <c r="AB3" s="242"/>
      <c r="AC3" s="66"/>
      <c r="AD3" s="66"/>
    </row>
    <row r="4">
      <c r="A4" s="66"/>
      <c r="B4" s="67" t="s">
        <v>66</v>
      </c>
      <c r="J4" s="66"/>
      <c r="K4" s="66"/>
      <c r="L4" s="66"/>
      <c r="M4" s="66"/>
      <c r="N4" s="66"/>
      <c r="O4" s="66"/>
      <c r="P4" s="237"/>
      <c r="Q4" s="237"/>
      <c r="R4" s="371"/>
      <c r="S4" s="372"/>
      <c r="T4" s="67" t="s">
        <v>66</v>
      </c>
      <c r="AA4" s="66"/>
      <c r="AB4" s="242"/>
      <c r="AC4" s="66"/>
      <c r="AD4" s="66"/>
    </row>
    <row r="5">
      <c r="A5" s="54"/>
      <c r="B5" s="373">
        <v>45312.0</v>
      </c>
      <c r="C5" s="374"/>
      <c r="D5" s="375" t="s">
        <v>279</v>
      </c>
      <c r="E5" s="376">
        <v>1637413.0</v>
      </c>
      <c r="F5" s="324">
        <v>787.0</v>
      </c>
      <c r="G5" s="324">
        <v>1048.0</v>
      </c>
      <c r="H5" s="325">
        <v>327.0</v>
      </c>
      <c r="I5" s="325">
        <v>329.9</v>
      </c>
      <c r="J5" s="325">
        <v>-2.9</v>
      </c>
      <c r="K5" s="248">
        <v>41.92</v>
      </c>
      <c r="L5" s="54"/>
      <c r="M5" s="54"/>
      <c r="N5" s="54"/>
      <c r="O5" s="54"/>
      <c r="P5" s="365"/>
      <c r="Q5" s="365"/>
      <c r="R5" s="371"/>
      <c r="S5" s="377"/>
      <c r="T5" s="94">
        <v>45295.0</v>
      </c>
      <c r="U5" s="96" t="s">
        <v>317</v>
      </c>
      <c r="V5" s="96">
        <v>1486018.0</v>
      </c>
      <c r="W5" s="96">
        <v>1191.0</v>
      </c>
      <c r="X5" s="96" t="s">
        <v>318</v>
      </c>
      <c r="Y5" s="97">
        <v>382.39</v>
      </c>
      <c r="Z5" s="97">
        <v>411.25</v>
      </c>
      <c r="AA5" s="97">
        <v>-28.86</v>
      </c>
      <c r="AB5" s="254">
        <f t="shared" ref="AB5:AB7" si="3">Z5/W5*100</f>
        <v>34.52980688</v>
      </c>
      <c r="AC5" s="54"/>
      <c r="AD5" s="54"/>
    </row>
    <row r="6">
      <c r="A6" s="54"/>
      <c r="B6" s="378">
        <v>45313.0</v>
      </c>
      <c r="C6" s="379"/>
      <c r="D6" s="380" t="s">
        <v>279</v>
      </c>
      <c r="E6" s="381">
        <v>1638464.0</v>
      </c>
      <c r="F6" s="328">
        <v>1051.0</v>
      </c>
      <c r="G6" s="328">
        <v>1050.0</v>
      </c>
      <c r="H6" s="329">
        <v>366.0</v>
      </c>
      <c r="I6" s="329">
        <v>380.01</v>
      </c>
      <c r="J6" s="329">
        <v>-14.01</v>
      </c>
      <c r="K6" s="248">
        <v>36.16</v>
      </c>
      <c r="L6" s="54"/>
      <c r="M6" s="54"/>
      <c r="N6" s="54"/>
      <c r="O6" s="54"/>
      <c r="P6" s="54"/>
      <c r="Q6" s="54"/>
      <c r="R6" s="382"/>
      <c r="S6" s="377"/>
      <c r="T6" s="94">
        <v>45303.0</v>
      </c>
      <c r="U6" s="96" t="s">
        <v>319</v>
      </c>
      <c r="V6" s="96">
        <v>1487099.0</v>
      </c>
      <c r="W6" s="96">
        <v>1081.0</v>
      </c>
      <c r="X6" s="96" t="s">
        <v>320</v>
      </c>
      <c r="Y6" s="97">
        <v>299.1</v>
      </c>
      <c r="Z6" s="97">
        <v>299.85</v>
      </c>
      <c r="AA6" s="97">
        <v>-0.75</v>
      </c>
      <c r="AB6" s="254">
        <f t="shared" si="3"/>
        <v>27.73820537</v>
      </c>
      <c r="AC6" s="54"/>
      <c r="AD6" s="54"/>
    </row>
    <row r="7">
      <c r="A7" s="54"/>
      <c r="B7" s="378">
        <v>45317.0</v>
      </c>
      <c r="C7" s="379"/>
      <c r="D7" s="380" t="s">
        <v>279</v>
      </c>
      <c r="E7" s="381">
        <v>1639479.0</v>
      </c>
      <c r="F7" s="328">
        <v>1015.0</v>
      </c>
      <c r="G7" s="328">
        <v>850.0</v>
      </c>
      <c r="H7" s="329">
        <v>147.0</v>
      </c>
      <c r="I7" s="329">
        <v>144.0</v>
      </c>
      <c r="J7" s="329">
        <v>3.0</v>
      </c>
      <c r="K7" s="248">
        <v>14.19</v>
      </c>
      <c r="L7" s="54"/>
      <c r="M7" s="54"/>
      <c r="N7" s="54"/>
      <c r="O7" s="54"/>
      <c r="P7" s="54"/>
      <c r="Q7" s="54"/>
      <c r="R7" s="382"/>
      <c r="S7" s="377"/>
      <c r="T7" s="94">
        <v>45308.0</v>
      </c>
      <c r="U7" s="96" t="s">
        <v>319</v>
      </c>
      <c r="V7" s="96">
        <v>1487932.0</v>
      </c>
      <c r="W7" s="96">
        <v>833.0</v>
      </c>
      <c r="X7" s="96" t="s">
        <v>321</v>
      </c>
      <c r="Y7" s="97">
        <v>395.57</v>
      </c>
      <c r="Z7" s="97">
        <v>401.15</v>
      </c>
      <c r="AA7" s="97">
        <v>-5.58</v>
      </c>
      <c r="AB7" s="254">
        <f t="shared" si="3"/>
        <v>48.15726291</v>
      </c>
      <c r="AC7" s="54"/>
      <c r="AD7" s="54"/>
    </row>
    <row r="8">
      <c r="A8" s="54"/>
      <c r="B8" s="378">
        <v>45318.0</v>
      </c>
      <c r="C8" s="379"/>
      <c r="D8" s="380" t="s">
        <v>279</v>
      </c>
      <c r="E8" s="381">
        <v>1639641.0</v>
      </c>
      <c r="F8" s="328">
        <v>162.0</v>
      </c>
      <c r="G8" s="328">
        <v>1048.0</v>
      </c>
      <c r="H8" s="329">
        <v>255.0</v>
      </c>
      <c r="I8" s="329">
        <v>265.7</v>
      </c>
      <c r="J8" s="329">
        <v>-10.7</v>
      </c>
      <c r="K8" s="248">
        <v>164.01</v>
      </c>
      <c r="L8" s="54"/>
      <c r="M8" s="54"/>
      <c r="N8" s="54"/>
      <c r="O8" s="54"/>
      <c r="P8" s="54"/>
      <c r="Q8" s="54"/>
      <c r="R8" s="382"/>
      <c r="S8" s="377"/>
      <c r="T8" s="94">
        <v>45308.0</v>
      </c>
      <c r="U8" s="96" t="s">
        <v>319</v>
      </c>
      <c r="V8" s="383" t="s">
        <v>87</v>
      </c>
      <c r="W8" s="95"/>
      <c r="X8" s="96">
        <v>150.0</v>
      </c>
      <c r="Y8" s="384"/>
      <c r="Z8" s="384"/>
      <c r="AA8" s="384"/>
      <c r="AB8" s="254"/>
      <c r="AC8" s="54"/>
      <c r="AD8" s="54"/>
    </row>
    <row r="9">
      <c r="A9" s="66"/>
      <c r="B9" s="67" t="s">
        <v>68</v>
      </c>
      <c r="J9" s="66"/>
      <c r="K9" s="66"/>
      <c r="L9" s="66"/>
      <c r="M9" s="66"/>
      <c r="N9" s="66"/>
      <c r="O9" s="66"/>
      <c r="P9" s="66"/>
      <c r="Q9" s="66"/>
      <c r="R9" s="382"/>
      <c r="S9" s="377"/>
      <c r="T9" s="94">
        <v>45310.0</v>
      </c>
      <c r="U9" s="96" t="s">
        <v>319</v>
      </c>
      <c r="V9" s="96">
        <v>1489226.0</v>
      </c>
      <c r="W9" s="96">
        <v>1294.0</v>
      </c>
      <c r="X9" s="96" t="s">
        <v>322</v>
      </c>
      <c r="Y9" s="97">
        <v>303.66</v>
      </c>
      <c r="Z9" s="97">
        <v>300.0</v>
      </c>
      <c r="AA9" s="97">
        <v>3.66</v>
      </c>
      <c r="AB9" s="254">
        <f t="shared" ref="AB9:AB12" si="4">Z9/W9*100</f>
        <v>23.18392581</v>
      </c>
      <c r="AC9" s="54"/>
      <c r="AD9" s="54"/>
    </row>
    <row r="10">
      <c r="A10" s="54"/>
      <c r="B10" s="373">
        <v>45340.0</v>
      </c>
      <c r="C10" s="374"/>
      <c r="D10" s="385"/>
      <c r="E10" s="376">
        <v>1641271.0</v>
      </c>
      <c r="F10" s="324">
        <v>1630.0</v>
      </c>
      <c r="G10" s="324">
        <v>1044.0</v>
      </c>
      <c r="H10" s="325">
        <v>556.0</v>
      </c>
      <c r="I10" s="325">
        <v>568.74</v>
      </c>
      <c r="J10" s="325">
        <v>-12.74</v>
      </c>
      <c r="K10" s="248">
        <v>34.89</v>
      </c>
      <c r="L10" s="54"/>
      <c r="M10" s="74" t="s">
        <v>69</v>
      </c>
      <c r="N10" s="75"/>
      <c r="O10" s="76"/>
      <c r="P10" s="54"/>
      <c r="Q10" s="54"/>
      <c r="R10" s="382"/>
      <c r="S10" s="377"/>
      <c r="T10" s="94">
        <v>45314.0</v>
      </c>
      <c r="U10" s="96" t="s">
        <v>319</v>
      </c>
      <c r="V10" s="96">
        <v>1490224.0</v>
      </c>
      <c r="W10" s="96">
        <v>998.0</v>
      </c>
      <c r="X10" s="96" t="s">
        <v>323</v>
      </c>
      <c r="Y10" s="97">
        <v>404.99</v>
      </c>
      <c r="Z10" s="97">
        <v>419.55</v>
      </c>
      <c r="AA10" s="97">
        <v>-14.56</v>
      </c>
      <c r="AB10" s="254">
        <f t="shared" si="4"/>
        <v>42.03907816</v>
      </c>
      <c r="AC10" s="54"/>
      <c r="AD10" s="54"/>
    </row>
    <row r="11">
      <c r="A11" s="54"/>
      <c r="B11" s="378">
        <v>45342.0</v>
      </c>
      <c r="C11" s="379"/>
      <c r="D11" s="386"/>
      <c r="E11" s="381">
        <v>1642770.0</v>
      </c>
      <c r="F11" s="328">
        <v>1499.0</v>
      </c>
      <c r="G11" s="328">
        <v>1051.0</v>
      </c>
      <c r="H11" s="329">
        <v>473.0</v>
      </c>
      <c r="I11" s="329">
        <v>490.18</v>
      </c>
      <c r="J11" s="329">
        <v>-17.18</v>
      </c>
      <c r="K11" s="248">
        <v>32.7</v>
      </c>
      <c r="L11" s="54"/>
      <c r="M11" s="77" t="s">
        <v>70</v>
      </c>
      <c r="N11" s="77" t="s">
        <v>71</v>
      </c>
      <c r="O11" s="77" t="s">
        <v>27</v>
      </c>
      <c r="P11" s="54"/>
      <c r="Q11" s="54"/>
      <c r="R11" s="382"/>
      <c r="S11" s="377"/>
      <c r="T11" s="94">
        <v>45318.0</v>
      </c>
      <c r="U11" s="96" t="s">
        <v>319</v>
      </c>
      <c r="V11" s="96">
        <v>1491732.0</v>
      </c>
      <c r="W11" s="96">
        <v>1508.0</v>
      </c>
      <c r="X11" s="96" t="s">
        <v>324</v>
      </c>
      <c r="Y11" s="97">
        <v>447.93</v>
      </c>
      <c r="Z11" s="97">
        <v>460.01</v>
      </c>
      <c r="AA11" s="97">
        <v>-12.08</v>
      </c>
      <c r="AB11" s="254">
        <f t="shared" si="4"/>
        <v>30.50464191</v>
      </c>
      <c r="AC11" s="54"/>
      <c r="AD11" s="54"/>
    </row>
    <row r="12">
      <c r="A12" s="54"/>
      <c r="B12" s="378">
        <v>45344.0</v>
      </c>
      <c r="C12" s="379"/>
      <c r="D12" s="386"/>
      <c r="E12" s="381">
        <v>1643956.0</v>
      </c>
      <c r="F12" s="328">
        <v>1186.0</v>
      </c>
      <c r="G12" s="328">
        <v>888.0</v>
      </c>
      <c r="H12" s="329">
        <v>201.0</v>
      </c>
      <c r="I12" s="329">
        <v>200.0</v>
      </c>
      <c r="J12" s="329">
        <v>1.0</v>
      </c>
      <c r="K12" s="248">
        <v>16.86</v>
      </c>
      <c r="L12" s="54"/>
      <c r="M12" s="79">
        <f>SUM(F10:F14)</f>
        <v>5948</v>
      </c>
      <c r="N12" s="79">
        <f>SUM(I10:I14)</f>
        <v>1774.67</v>
      </c>
      <c r="O12" s="214">
        <f>N12/M12*100</f>
        <v>29.8364156</v>
      </c>
      <c r="P12" s="54"/>
      <c r="Q12" s="54"/>
      <c r="R12" s="382"/>
      <c r="S12" s="377"/>
      <c r="T12" s="94">
        <v>45322.0</v>
      </c>
      <c r="U12" s="96" t="s">
        <v>319</v>
      </c>
      <c r="V12" s="96">
        <v>1493087.0</v>
      </c>
      <c r="W12" s="96">
        <v>1355.0</v>
      </c>
      <c r="X12" s="96" t="s">
        <v>325</v>
      </c>
      <c r="Y12" s="97">
        <v>395.1</v>
      </c>
      <c r="Z12" s="97">
        <v>410.0</v>
      </c>
      <c r="AA12" s="97">
        <v>-14.9</v>
      </c>
      <c r="AB12" s="254">
        <f t="shared" si="4"/>
        <v>30.25830258</v>
      </c>
      <c r="AC12" s="54"/>
      <c r="AD12" s="54"/>
    </row>
    <row r="13">
      <c r="A13" s="54"/>
      <c r="B13" s="378">
        <v>45345.0</v>
      </c>
      <c r="C13" s="379"/>
      <c r="D13" s="386"/>
      <c r="E13" s="387">
        <v>1644397.0</v>
      </c>
      <c r="F13" s="328">
        <v>441.0</v>
      </c>
      <c r="G13" s="328">
        <v>1049.0</v>
      </c>
      <c r="H13" s="329">
        <v>304.0</v>
      </c>
      <c r="I13" s="329">
        <v>315.75</v>
      </c>
      <c r="J13" s="329">
        <v>-11.75</v>
      </c>
      <c r="K13" s="248">
        <v>71.6</v>
      </c>
      <c r="L13" s="54"/>
      <c r="M13" s="54"/>
      <c r="N13" s="54"/>
      <c r="O13" s="54"/>
      <c r="P13" s="54"/>
      <c r="Q13" s="54"/>
      <c r="R13" s="382"/>
      <c r="S13" s="372"/>
      <c r="T13" s="67" t="s">
        <v>68</v>
      </c>
      <c r="AA13" s="66"/>
      <c r="AB13" s="242"/>
      <c r="AC13" s="66"/>
      <c r="AD13" s="66"/>
    </row>
    <row r="14">
      <c r="A14" s="54"/>
      <c r="B14" s="378">
        <v>45351.0</v>
      </c>
      <c r="C14" s="379"/>
      <c r="D14" s="386"/>
      <c r="E14" s="280">
        <v>1645589.0</v>
      </c>
      <c r="F14" s="328">
        <f>E14-E13</f>
        <v>1192</v>
      </c>
      <c r="G14" s="328">
        <v>875.0</v>
      </c>
      <c r="H14" s="329">
        <v>201.0</v>
      </c>
      <c r="I14" s="329">
        <v>200.0</v>
      </c>
      <c r="J14" s="329">
        <f>H14-I14</f>
        <v>1</v>
      </c>
      <c r="K14" s="388">
        <f>I14/F14*100</f>
        <v>16.77852349</v>
      </c>
      <c r="L14" s="54"/>
      <c r="M14" s="54"/>
      <c r="N14" s="54"/>
      <c r="O14" s="54"/>
      <c r="P14" s="54"/>
      <c r="Q14" s="54"/>
      <c r="R14" s="382"/>
      <c r="S14" s="377"/>
      <c r="T14" s="94">
        <v>45324.0</v>
      </c>
      <c r="U14" s="96" t="s">
        <v>319</v>
      </c>
      <c r="V14" s="96">
        <v>1494434.0</v>
      </c>
      <c r="W14" s="96">
        <v>1347.0</v>
      </c>
      <c r="X14" s="96" t="s">
        <v>326</v>
      </c>
      <c r="Y14" s="97">
        <v>394.68</v>
      </c>
      <c r="Z14" s="97">
        <v>409.02</v>
      </c>
      <c r="AA14" s="97">
        <v>-14.34</v>
      </c>
      <c r="AB14" s="254">
        <f t="shared" ref="AB14:AB15" si="5">Z14/W14*100</f>
        <v>30.36525612</v>
      </c>
      <c r="AC14" s="54"/>
      <c r="AD14" s="54"/>
    </row>
    <row r="15">
      <c r="A15" s="66"/>
      <c r="B15" s="67" t="s">
        <v>72</v>
      </c>
      <c r="J15" s="66"/>
      <c r="K15" s="66"/>
      <c r="L15" s="66"/>
      <c r="M15" s="66"/>
      <c r="N15" s="66"/>
      <c r="O15" s="66"/>
      <c r="P15" s="66"/>
      <c r="Q15" s="66"/>
      <c r="R15" s="382"/>
      <c r="S15" s="377"/>
      <c r="T15" s="94">
        <v>45329.0</v>
      </c>
      <c r="U15" s="96" t="s">
        <v>319</v>
      </c>
      <c r="V15" s="96">
        <v>1495929.0</v>
      </c>
      <c r="W15" s="96">
        <v>1495.0</v>
      </c>
      <c r="X15" s="96" t="s">
        <v>327</v>
      </c>
      <c r="Y15" s="97">
        <v>418.72</v>
      </c>
      <c r="Z15" s="97">
        <v>421.96</v>
      </c>
      <c r="AA15" s="97">
        <v>-3.24</v>
      </c>
      <c r="AB15" s="254">
        <f t="shared" si="5"/>
        <v>28.22474916</v>
      </c>
      <c r="AC15" s="54"/>
      <c r="AD15" s="54"/>
    </row>
    <row r="16">
      <c r="A16" s="54"/>
      <c r="B16" s="389">
        <v>45352.0</v>
      </c>
      <c r="C16" s="389"/>
      <c r="D16" s="95"/>
      <c r="E16" s="130">
        <v>1646031.0</v>
      </c>
      <c r="F16" s="96">
        <f>E16-E14</f>
        <v>442</v>
      </c>
      <c r="G16" s="96">
        <v>1046.0</v>
      </c>
      <c r="H16" s="97">
        <v>312.0</v>
      </c>
      <c r="I16" s="97">
        <v>322.64</v>
      </c>
      <c r="J16" s="97">
        <f>H16-I16</f>
        <v>-10.64</v>
      </c>
      <c r="K16" s="202">
        <f>I16/F16*100</f>
        <v>72.99547511</v>
      </c>
      <c r="L16" s="54"/>
      <c r="M16" s="54"/>
      <c r="N16" s="54"/>
      <c r="O16" s="54"/>
      <c r="P16" s="54"/>
      <c r="Q16" s="54"/>
      <c r="R16" s="382"/>
      <c r="S16" s="377"/>
      <c r="T16" s="94"/>
      <c r="U16" s="96"/>
      <c r="V16" s="383"/>
      <c r="W16" s="95"/>
      <c r="X16" s="96"/>
      <c r="Y16" s="384"/>
      <c r="Z16" s="384"/>
      <c r="AA16" s="384"/>
      <c r="AB16" s="254"/>
      <c r="AC16" s="54"/>
      <c r="AD16" s="54"/>
    </row>
    <row r="17">
      <c r="A17" s="54"/>
      <c r="B17" s="378">
        <v>45353.0</v>
      </c>
      <c r="C17" s="379"/>
      <c r="D17" s="386"/>
      <c r="E17" s="381">
        <v>1647281.0</v>
      </c>
      <c r="F17" s="328">
        <v>1250.0</v>
      </c>
      <c r="G17" s="328">
        <v>1048.0</v>
      </c>
      <c r="H17" s="329">
        <v>372.0</v>
      </c>
      <c r="I17" s="329">
        <v>385.12</v>
      </c>
      <c r="J17" s="329">
        <v>-13.12</v>
      </c>
      <c r="K17" s="248">
        <v>30.81</v>
      </c>
      <c r="L17" s="54"/>
      <c r="M17" s="54"/>
      <c r="N17" s="54"/>
      <c r="O17" s="54"/>
      <c r="P17" s="54"/>
      <c r="Q17" s="54"/>
      <c r="R17" s="382"/>
      <c r="S17" s="377"/>
      <c r="T17" s="94">
        <v>45329.0</v>
      </c>
      <c r="U17" s="96" t="s">
        <v>319</v>
      </c>
      <c r="V17" s="383" t="s">
        <v>87</v>
      </c>
      <c r="W17" s="95"/>
      <c r="X17" s="96">
        <v>78.04</v>
      </c>
      <c r="Y17" s="384"/>
      <c r="Z17" s="384"/>
      <c r="AA17" s="384"/>
      <c r="AB17" s="254"/>
      <c r="AC17" s="54"/>
      <c r="AD17" s="54"/>
    </row>
    <row r="18">
      <c r="A18" s="54"/>
      <c r="B18" s="378">
        <v>45356.0</v>
      </c>
      <c r="C18" s="379"/>
      <c r="D18" s="386"/>
      <c r="E18" s="381">
        <v>1648846.0</v>
      </c>
      <c r="F18" s="328">
        <v>1565.0</v>
      </c>
      <c r="G18" s="328">
        <v>997.0</v>
      </c>
      <c r="H18" s="329">
        <v>415.0</v>
      </c>
      <c r="I18" s="329">
        <v>406.51</v>
      </c>
      <c r="J18" s="329">
        <v>8.49</v>
      </c>
      <c r="K18" s="248">
        <v>25.98</v>
      </c>
      <c r="L18" s="54"/>
      <c r="M18" s="74" t="s">
        <v>73</v>
      </c>
      <c r="N18" s="75"/>
      <c r="O18" s="76"/>
      <c r="P18" s="54"/>
      <c r="Q18" s="54"/>
      <c r="R18" s="382"/>
      <c r="S18" s="377"/>
      <c r="T18" s="94">
        <v>45336.0</v>
      </c>
      <c r="U18" s="96" t="s">
        <v>328</v>
      </c>
      <c r="V18" s="96">
        <v>1497266.0</v>
      </c>
      <c r="W18" s="96">
        <v>1337.0</v>
      </c>
      <c r="X18" s="96" t="s">
        <v>329</v>
      </c>
      <c r="Y18" s="97">
        <v>397.1</v>
      </c>
      <c r="Z18" s="97">
        <v>400.0</v>
      </c>
      <c r="AA18" s="97">
        <v>-2.9</v>
      </c>
      <c r="AB18" s="254">
        <f t="shared" ref="AB18:AB20" si="6">Z18/W18*100</f>
        <v>29.91772625</v>
      </c>
      <c r="AC18" s="54"/>
      <c r="AD18" s="54"/>
    </row>
    <row r="19">
      <c r="A19" s="54"/>
      <c r="B19" s="378">
        <v>45358.0</v>
      </c>
      <c r="C19" s="379"/>
      <c r="D19" s="386"/>
      <c r="E19" s="381">
        <v>1650286.0</v>
      </c>
      <c r="F19" s="328">
        <v>1440.0</v>
      </c>
      <c r="G19" s="328">
        <v>1044.0</v>
      </c>
      <c r="H19" s="329">
        <v>513.0</v>
      </c>
      <c r="I19" s="329">
        <v>512.88</v>
      </c>
      <c r="J19" s="329">
        <v>0.12</v>
      </c>
      <c r="K19" s="248">
        <v>35.62</v>
      </c>
      <c r="L19" s="54"/>
      <c r="M19" s="77" t="s">
        <v>70</v>
      </c>
      <c r="N19" s="77" t="s">
        <v>71</v>
      </c>
      <c r="O19" s="77" t="s">
        <v>27</v>
      </c>
      <c r="P19" s="54"/>
      <c r="Q19" s="54"/>
      <c r="R19" s="382"/>
      <c r="S19" s="377"/>
      <c r="T19" s="94">
        <v>45340.0</v>
      </c>
      <c r="U19" s="96" t="s">
        <v>328</v>
      </c>
      <c r="V19" s="96">
        <v>1498573.0</v>
      </c>
      <c r="W19" s="96">
        <v>1307.0</v>
      </c>
      <c r="X19" s="96" t="s">
        <v>330</v>
      </c>
      <c r="Y19" s="97">
        <v>434.62</v>
      </c>
      <c r="Z19" s="97">
        <v>448.42</v>
      </c>
      <c r="AA19" s="97">
        <v>-13.8</v>
      </c>
      <c r="AB19" s="254">
        <f t="shared" si="6"/>
        <v>34.30910482</v>
      </c>
      <c r="AC19" s="54"/>
      <c r="AD19" s="54"/>
    </row>
    <row r="20">
      <c r="A20" s="54"/>
      <c r="B20" s="378">
        <v>45360.0</v>
      </c>
      <c r="C20" s="379"/>
      <c r="D20" s="386"/>
      <c r="E20" s="381">
        <v>1651726.0</v>
      </c>
      <c r="F20" s="328">
        <v>1440.0</v>
      </c>
      <c r="G20" s="328">
        <v>1041.0</v>
      </c>
      <c r="H20" s="329">
        <v>452.0</v>
      </c>
      <c r="I20" s="329">
        <v>450.05</v>
      </c>
      <c r="J20" s="329">
        <v>1.95</v>
      </c>
      <c r="K20" s="248">
        <v>31.25</v>
      </c>
      <c r="L20" s="54"/>
      <c r="M20" s="79">
        <f>SUM(F16:F28)</f>
        <v>14357</v>
      </c>
      <c r="N20" s="79">
        <f>SUM(I16:I28)</f>
        <v>4488.16</v>
      </c>
      <c r="O20" s="214">
        <f>N20/M20*100</f>
        <v>31.26112698</v>
      </c>
      <c r="P20" s="54"/>
      <c r="Q20" s="54"/>
      <c r="R20" s="382"/>
      <c r="S20" s="377"/>
      <c r="T20" s="94">
        <v>45344.0</v>
      </c>
      <c r="U20" s="96" t="s">
        <v>328</v>
      </c>
      <c r="V20" s="96">
        <v>1499912.0</v>
      </c>
      <c r="W20" s="96">
        <v>1339.0</v>
      </c>
      <c r="X20" s="96" t="s">
        <v>331</v>
      </c>
      <c r="Y20" s="97">
        <v>429.92</v>
      </c>
      <c r="Z20" s="97">
        <v>440.0</v>
      </c>
      <c r="AA20" s="97">
        <v>-10.08</v>
      </c>
      <c r="AB20" s="254">
        <f t="shared" si="6"/>
        <v>32.86034354</v>
      </c>
      <c r="AC20" s="54"/>
      <c r="AD20" s="54"/>
    </row>
    <row r="21">
      <c r="A21" s="54"/>
      <c r="B21" s="378">
        <v>45366.0</v>
      </c>
      <c r="C21" s="379"/>
      <c r="D21" s="386"/>
      <c r="E21" s="381">
        <v>1652839.0</v>
      </c>
      <c r="F21" s="328">
        <v>1113.0</v>
      </c>
      <c r="G21" s="328">
        <v>1045.0</v>
      </c>
      <c r="H21" s="329">
        <v>356.0</v>
      </c>
      <c r="I21" s="329">
        <v>365.0</v>
      </c>
      <c r="J21" s="329">
        <v>-9.0</v>
      </c>
      <c r="K21" s="248">
        <v>32.79</v>
      </c>
      <c r="L21" s="54"/>
      <c r="M21" s="54"/>
      <c r="N21" s="54"/>
      <c r="O21" s="54"/>
      <c r="P21" s="54"/>
      <c r="Q21" s="54"/>
      <c r="R21" s="382"/>
      <c r="S21" s="377"/>
      <c r="T21" s="94">
        <v>45344.0</v>
      </c>
      <c r="U21" s="96" t="s">
        <v>328</v>
      </c>
      <c r="V21" s="383" t="s">
        <v>87</v>
      </c>
      <c r="W21" s="95"/>
      <c r="X21" s="96">
        <v>40.0</v>
      </c>
      <c r="Y21" s="384"/>
      <c r="Z21" s="384"/>
      <c r="AA21" s="384"/>
      <c r="AB21" s="254"/>
      <c r="AC21" s="54"/>
      <c r="AD21" s="54"/>
    </row>
    <row r="22">
      <c r="A22" s="54"/>
      <c r="B22" s="378">
        <v>45369.0</v>
      </c>
      <c r="C22" s="379"/>
      <c r="D22" s="386"/>
      <c r="E22" s="381">
        <v>1653920.0</v>
      </c>
      <c r="F22" s="328">
        <v>1081.0</v>
      </c>
      <c r="G22" s="328">
        <v>943.0</v>
      </c>
      <c r="H22" s="329">
        <v>197.0</v>
      </c>
      <c r="I22" s="329">
        <v>200.0</v>
      </c>
      <c r="J22" s="329">
        <v>-3.0</v>
      </c>
      <c r="K22" s="248">
        <v>18.5</v>
      </c>
      <c r="L22" s="54"/>
      <c r="M22" s="54"/>
      <c r="N22" s="54"/>
      <c r="O22" s="54"/>
      <c r="P22" s="54"/>
      <c r="Q22" s="54"/>
      <c r="R22" s="382"/>
      <c r="S22" s="377"/>
      <c r="T22" s="94">
        <v>45349.0</v>
      </c>
      <c r="U22" s="96" t="s">
        <v>328</v>
      </c>
      <c r="V22" s="96">
        <v>1501318.0</v>
      </c>
      <c r="W22" s="96">
        <v>1406.0</v>
      </c>
      <c r="X22" s="96" t="s">
        <v>332</v>
      </c>
      <c r="Y22" s="97">
        <v>395.54</v>
      </c>
      <c r="Z22" s="97">
        <v>399.99</v>
      </c>
      <c r="AA22" s="97">
        <v>-4.45</v>
      </c>
      <c r="AB22" s="254">
        <f>Z22/W22*100</f>
        <v>28.4487909</v>
      </c>
      <c r="AC22" s="54"/>
      <c r="AD22" s="54"/>
    </row>
    <row r="23">
      <c r="A23" s="54"/>
      <c r="B23" s="378">
        <v>45369.0</v>
      </c>
      <c r="C23" s="379"/>
      <c r="D23" s="386"/>
      <c r="E23" s="381">
        <v>1654433.0</v>
      </c>
      <c r="F23" s="328">
        <v>513.0</v>
      </c>
      <c r="G23" s="328">
        <v>1047.0</v>
      </c>
      <c r="H23" s="329">
        <v>254.0</v>
      </c>
      <c r="I23" s="329">
        <v>260.0</v>
      </c>
      <c r="J23" s="329">
        <v>-6.0</v>
      </c>
      <c r="K23" s="248">
        <v>50.68</v>
      </c>
      <c r="L23" s="54"/>
      <c r="M23" s="54"/>
      <c r="N23" s="54"/>
      <c r="O23" s="54"/>
      <c r="P23" s="54"/>
      <c r="Q23" s="54"/>
      <c r="R23" s="382"/>
      <c r="S23" s="372"/>
      <c r="T23" s="67" t="s">
        <v>72</v>
      </c>
      <c r="AA23" s="66"/>
      <c r="AB23" s="242"/>
      <c r="AC23" s="66"/>
      <c r="AD23" s="66"/>
    </row>
    <row r="24">
      <c r="A24" s="54"/>
      <c r="B24" s="378">
        <v>45371.0</v>
      </c>
      <c r="C24" s="379"/>
      <c r="D24" s="386"/>
      <c r="E24" s="381">
        <v>1655815.0</v>
      </c>
      <c r="F24" s="328">
        <v>1382.0</v>
      </c>
      <c r="G24" s="328">
        <v>1048.0</v>
      </c>
      <c r="H24" s="329">
        <v>387.0</v>
      </c>
      <c r="I24" s="329">
        <v>399.23</v>
      </c>
      <c r="J24" s="329">
        <v>-12.23</v>
      </c>
      <c r="K24" s="248">
        <v>24.33</v>
      </c>
      <c r="L24" s="54"/>
      <c r="M24" s="54"/>
      <c r="N24" s="54"/>
      <c r="O24" s="54"/>
      <c r="P24" s="54"/>
      <c r="Q24" s="54"/>
      <c r="R24" s="382"/>
      <c r="S24" s="377"/>
      <c r="T24" s="94">
        <v>45374.0</v>
      </c>
      <c r="U24" s="96" t="s">
        <v>101</v>
      </c>
      <c r="V24" s="96">
        <v>1502288.0</v>
      </c>
      <c r="W24" s="96">
        <v>970.0</v>
      </c>
      <c r="X24" s="96" t="s">
        <v>333</v>
      </c>
      <c r="Y24" s="97">
        <v>297.87</v>
      </c>
      <c r="Z24" s="97">
        <v>299.95</v>
      </c>
      <c r="AA24" s="97">
        <v>-2.08</v>
      </c>
      <c r="AB24" s="254">
        <f t="shared" ref="AB24:AB27" si="7">Z24/W24*100</f>
        <v>30.92268041</v>
      </c>
      <c r="AC24" s="54"/>
      <c r="AD24" s="54"/>
    </row>
    <row r="25">
      <c r="A25" s="54"/>
      <c r="B25" s="378">
        <v>45373.0</v>
      </c>
      <c r="C25" s="379"/>
      <c r="D25" s="386"/>
      <c r="E25" s="381">
        <v>1657159.0</v>
      </c>
      <c r="F25" s="328">
        <v>1344.0</v>
      </c>
      <c r="G25" s="328">
        <v>1047.0</v>
      </c>
      <c r="H25" s="329">
        <v>370.0</v>
      </c>
      <c r="I25" s="329">
        <v>380.69</v>
      </c>
      <c r="J25" s="329">
        <v>-10.69</v>
      </c>
      <c r="K25" s="248">
        <v>28.33</v>
      </c>
      <c r="L25" s="54"/>
      <c r="M25" s="54"/>
      <c r="N25" s="54"/>
      <c r="O25" s="54"/>
      <c r="P25" s="54"/>
      <c r="Q25" s="54"/>
      <c r="R25" s="382"/>
      <c r="S25" s="377"/>
      <c r="T25" s="94">
        <v>45377.0</v>
      </c>
      <c r="U25" s="96" t="s">
        <v>101</v>
      </c>
      <c r="V25" s="96">
        <v>1503587.0</v>
      </c>
      <c r="W25" s="96">
        <v>1299.0</v>
      </c>
      <c r="X25" s="96" t="s">
        <v>334</v>
      </c>
      <c r="Y25" s="97">
        <v>357.9</v>
      </c>
      <c r="Z25" s="97">
        <v>363.45</v>
      </c>
      <c r="AA25" s="97">
        <v>-5.55</v>
      </c>
      <c r="AB25" s="254">
        <f t="shared" si="7"/>
        <v>27.97921478</v>
      </c>
      <c r="AC25" s="54"/>
      <c r="AD25" s="54"/>
    </row>
    <row r="26">
      <c r="A26" s="54"/>
      <c r="B26" s="378">
        <v>45374.0</v>
      </c>
      <c r="C26" s="379"/>
      <c r="D26" s="386"/>
      <c r="E26" s="381">
        <v>1658329.0</v>
      </c>
      <c r="F26" s="328">
        <v>1170.0</v>
      </c>
      <c r="G26" s="328">
        <v>1016.0</v>
      </c>
      <c r="H26" s="329">
        <v>300.0</v>
      </c>
      <c r="I26" s="329">
        <v>300.0</v>
      </c>
      <c r="J26" s="329">
        <v>0.0</v>
      </c>
      <c r="K26" s="248">
        <v>25.64</v>
      </c>
      <c r="L26" s="54"/>
      <c r="M26" s="54"/>
      <c r="N26" s="54"/>
      <c r="O26" s="54"/>
      <c r="P26" s="54"/>
      <c r="Q26" s="54"/>
      <c r="R26" s="382"/>
      <c r="S26" s="377"/>
      <c r="T26" s="94">
        <v>45379.0</v>
      </c>
      <c r="U26" s="96" t="s">
        <v>101</v>
      </c>
      <c r="V26" s="96">
        <v>1504696.0</v>
      </c>
      <c r="W26" s="96">
        <v>1109.0</v>
      </c>
      <c r="X26" s="96" t="s">
        <v>335</v>
      </c>
      <c r="Y26" s="97">
        <v>287.41</v>
      </c>
      <c r="Z26" s="97">
        <v>294.98</v>
      </c>
      <c r="AA26" s="97">
        <v>-7.57</v>
      </c>
      <c r="AB26" s="254">
        <f t="shared" si="7"/>
        <v>26.5987376</v>
      </c>
      <c r="AC26" s="54"/>
      <c r="AD26" s="54"/>
    </row>
    <row r="27">
      <c r="A27" s="54"/>
      <c r="B27" s="378">
        <v>45379.0</v>
      </c>
      <c r="C27" s="379"/>
      <c r="D27" s="386"/>
      <c r="E27" s="381">
        <v>1659367.0</v>
      </c>
      <c r="F27" s="328">
        <v>1038.0</v>
      </c>
      <c r="G27" s="328">
        <v>1011.0</v>
      </c>
      <c r="H27" s="329">
        <v>305.0</v>
      </c>
      <c r="I27" s="329">
        <v>300.0</v>
      </c>
      <c r="J27" s="329">
        <v>5.0</v>
      </c>
      <c r="K27" s="248">
        <v>28.9</v>
      </c>
      <c r="L27" s="54"/>
      <c r="M27" s="54"/>
      <c r="N27" s="54"/>
      <c r="O27" s="54"/>
      <c r="P27" s="54"/>
      <c r="Q27" s="54"/>
      <c r="R27" s="382"/>
      <c r="S27" s="377"/>
      <c r="T27" s="94">
        <v>45381.0</v>
      </c>
      <c r="U27" s="96" t="s">
        <v>101</v>
      </c>
      <c r="V27" s="96">
        <v>1505790.0</v>
      </c>
      <c r="W27" s="96">
        <v>1094.0</v>
      </c>
      <c r="X27" s="96" t="s">
        <v>336</v>
      </c>
      <c r="Y27" s="97">
        <v>314.61</v>
      </c>
      <c r="Z27" s="97">
        <v>320.25</v>
      </c>
      <c r="AA27" s="97">
        <v>-5.64</v>
      </c>
      <c r="AB27" s="254">
        <f t="shared" si="7"/>
        <v>29.27330896</v>
      </c>
      <c r="AC27" s="54"/>
      <c r="AD27" s="54"/>
    </row>
    <row r="28">
      <c r="A28" s="54"/>
      <c r="B28" s="378">
        <v>45381.0</v>
      </c>
      <c r="C28" s="379"/>
      <c r="D28" s="386"/>
      <c r="E28" s="381">
        <v>1659946.0</v>
      </c>
      <c r="F28" s="328">
        <v>579.0</v>
      </c>
      <c r="G28" s="328">
        <v>1044.0</v>
      </c>
      <c r="H28" s="329">
        <v>198.0</v>
      </c>
      <c r="I28" s="329">
        <v>206.04</v>
      </c>
      <c r="J28" s="329">
        <v>-8.04</v>
      </c>
      <c r="K28" s="248">
        <v>35.59</v>
      </c>
      <c r="L28" s="54"/>
      <c r="M28" s="54"/>
      <c r="N28" s="54"/>
      <c r="O28" s="54"/>
      <c r="P28" s="54"/>
      <c r="Q28" s="54"/>
      <c r="R28" s="382"/>
      <c r="S28" s="372"/>
      <c r="T28" s="67" t="s">
        <v>74</v>
      </c>
      <c r="AA28" s="66"/>
      <c r="AB28" s="242"/>
      <c r="AC28" s="66"/>
      <c r="AD28" s="66"/>
    </row>
    <row r="29">
      <c r="A29" s="66"/>
      <c r="B29" s="67" t="s">
        <v>74</v>
      </c>
      <c r="J29" s="66"/>
      <c r="K29" s="66"/>
      <c r="L29" s="66"/>
      <c r="M29" s="66"/>
      <c r="N29" s="66"/>
      <c r="O29" s="66"/>
      <c r="P29" s="66"/>
      <c r="Q29" s="66"/>
      <c r="R29" s="382"/>
      <c r="S29" s="377"/>
      <c r="T29" s="94">
        <v>45384.0</v>
      </c>
      <c r="U29" s="96" t="s">
        <v>101</v>
      </c>
      <c r="V29" s="96">
        <v>1507045.0</v>
      </c>
      <c r="W29" s="96">
        <v>1255.0</v>
      </c>
      <c r="X29" s="96" t="s">
        <v>337</v>
      </c>
      <c r="Y29" s="97">
        <v>325.14</v>
      </c>
      <c r="Z29" s="97">
        <v>328.9</v>
      </c>
      <c r="AA29" s="97">
        <v>-3.76</v>
      </c>
      <c r="AB29" s="254">
        <f t="shared" ref="AB29:AB33" si="8">Z29/W29*100</f>
        <v>26.20717131</v>
      </c>
      <c r="AC29" s="54"/>
      <c r="AD29" s="54"/>
    </row>
    <row r="30">
      <c r="A30" s="54"/>
      <c r="B30" s="94">
        <v>45383.0</v>
      </c>
      <c r="C30" s="94"/>
      <c r="D30" s="95"/>
      <c r="E30" s="96">
        <v>1661213.0</v>
      </c>
      <c r="F30" s="96">
        <v>1267.0</v>
      </c>
      <c r="G30" s="96">
        <v>1044.0</v>
      </c>
      <c r="H30" s="97">
        <v>354.0</v>
      </c>
      <c r="I30" s="97">
        <v>362.18</v>
      </c>
      <c r="J30" s="97">
        <v>-8.18</v>
      </c>
      <c r="K30" s="97">
        <v>28.59</v>
      </c>
      <c r="L30" s="54"/>
      <c r="M30" s="82" t="str">
        <f>"тотал"&amp;" "&amp;B29</f>
        <v>тотал АПРЕЛЬ</v>
      </c>
      <c r="N30" s="75"/>
      <c r="O30" s="76"/>
      <c r="P30" s="54"/>
      <c r="Q30" s="54"/>
      <c r="R30" s="382"/>
      <c r="S30" s="377"/>
      <c r="T30" s="94">
        <v>45386.0</v>
      </c>
      <c r="U30" s="96" t="s">
        <v>101</v>
      </c>
      <c r="V30" s="96">
        <v>1508209.0</v>
      </c>
      <c r="W30" s="96">
        <v>1164.0</v>
      </c>
      <c r="X30" s="96" t="s">
        <v>338</v>
      </c>
      <c r="Y30" s="97">
        <v>298.66</v>
      </c>
      <c r="Z30" s="97">
        <v>307.84</v>
      </c>
      <c r="AA30" s="97">
        <v>-9.18</v>
      </c>
      <c r="AB30" s="254">
        <f t="shared" si="8"/>
        <v>26.4467354</v>
      </c>
      <c r="AC30" s="54"/>
      <c r="AD30" s="54"/>
    </row>
    <row r="31">
      <c r="A31" s="54"/>
      <c r="B31" s="94">
        <v>45396.0</v>
      </c>
      <c r="C31" s="94"/>
      <c r="D31" s="95"/>
      <c r="E31" s="96">
        <v>1662612.0</v>
      </c>
      <c r="F31" s="96">
        <v>1399.0</v>
      </c>
      <c r="G31" s="96">
        <v>1047.0</v>
      </c>
      <c r="H31" s="97">
        <v>389.0</v>
      </c>
      <c r="I31" s="97">
        <v>400.0</v>
      </c>
      <c r="J31" s="97">
        <v>-11.0</v>
      </c>
      <c r="K31" s="97">
        <v>28.59</v>
      </c>
      <c r="L31" s="54"/>
      <c r="M31" s="83" t="s">
        <v>70</v>
      </c>
      <c r="N31" s="83" t="s">
        <v>71</v>
      </c>
      <c r="O31" s="83" t="s">
        <v>27</v>
      </c>
      <c r="P31" s="54"/>
      <c r="Q31" s="54"/>
      <c r="R31" s="382"/>
      <c r="S31" s="377"/>
      <c r="T31" s="94">
        <v>45392.0</v>
      </c>
      <c r="U31" s="96" t="s">
        <v>101</v>
      </c>
      <c r="V31" s="96">
        <v>1509514.0</v>
      </c>
      <c r="W31" s="96">
        <v>1305.0</v>
      </c>
      <c r="X31" s="96" t="s">
        <v>339</v>
      </c>
      <c r="Y31" s="97">
        <v>398.93</v>
      </c>
      <c r="Z31" s="97">
        <v>405.06</v>
      </c>
      <c r="AA31" s="97">
        <v>-6.13</v>
      </c>
      <c r="AB31" s="254">
        <f t="shared" si="8"/>
        <v>31.03908046</v>
      </c>
      <c r="AC31" s="54"/>
      <c r="AD31" s="54"/>
    </row>
    <row r="32">
      <c r="A32" s="54"/>
      <c r="B32" s="94">
        <v>45400.0</v>
      </c>
      <c r="C32" s="94"/>
      <c r="D32" s="95"/>
      <c r="E32" s="96">
        <v>1663769.0</v>
      </c>
      <c r="F32" s="96">
        <v>1157.0</v>
      </c>
      <c r="G32" s="96">
        <v>1049.0</v>
      </c>
      <c r="H32" s="97">
        <v>329.0</v>
      </c>
      <c r="I32" s="97">
        <v>341.0</v>
      </c>
      <c r="J32" s="97">
        <v>-12.0</v>
      </c>
      <c r="K32" s="97">
        <v>29.47</v>
      </c>
      <c r="L32" s="54"/>
      <c r="M32" s="84">
        <f>SUM(F30:F36)</f>
        <v>8294.2</v>
      </c>
      <c r="N32" s="84">
        <f>SUM(I30:I36)</f>
        <v>2420.94</v>
      </c>
      <c r="O32" s="85">
        <f>N32/M32*100</f>
        <v>29.18834848</v>
      </c>
      <c r="P32" s="54"/>
      <c r="Q32" s="54"/>
      <c r="R32" s="382"/>
      <c r="S32" s="377"/>
      <c r="T32" s="94">
        <v>45399.0</v>
      </c>
      <c r="U32" s="96" t="s">
        <v>101</v>
      </c>
      <c r="V32" s="96">
        <v>1510718.0</v>
      </c>
      <c r="W32" s="96">
        <v>1204.0</v>
      </c>
      <c r="X32" s="96" t="s">
        <v>340</v>
      </c>
      <c r="Y32" s="97">
        <v>399.81</v>
      </c>
      <c r="Z32" s="97">
        <v>405.6</v>
      </c>
      <c r="AA32" s="97">
        <v>-5.79</v>
      </c>
      <c r="AB32" s="254">
        <f t="shared" si="8"/>
        <v>33.68770764</v>
      </c>
      <c r="AC32" s="54"/>
      <c r="AD32" s="54"/>
    </row>
    <row r="33">
      <c r="A33" s="54"/>
      <c r="B33" s="94">
        <v>45402.0</v>
      </c>
      <c r="C33" s="94"/>
      <c r="D33" s="95"/>
      <c r="E33" s="96">
        <v>1665051.0</v>
      </c>
      <c r="F33" s="96">
        <v>1282.0</v>
      </c>
      <c r="G33" s="96">
        <v>1043.0</v>
      </c>
      <c r="H33" s="97">
        <v>378.0</v>
      </c>
      <c r="I33" s="97">
        <v>392.75</v>
      </c>
      <c r="J33" s="97">
        <v>-14.75</v>
      </c>
      <c r="K33" s="97">
        <v>30.64</v>
      </c>
      <c r="L33" s="54"/>
      <c r="M33" s="54"/>
      <c r="N33" s="54"/>
      <c r="O33" s="54"/>
      <c r="P33" s="54"/>
      <c r="Q33" s="54"/>
      <c r="R33" s="382"/>
      <c r="S33" s="377"/>
      <c r="T33" s="94">
        <v>45404.0</v>
      </c>
      <c r="U33" s="96" t="s">
        <v>101</v>
      </c>
      <c r="V33" s="96">
        <v>1512000.0</v>
      </c>
      <c r="W33" s="96">
        <v>1282.0</v>
      </c>
      <c r="X33" s="96" t="s">
        <v>341</v>
      </c>
      <c r="Y33" s="97">
        <v>105.25</v>
      </c>
      <c r="Z33" s="97">
        <v>100.0</v>
      </c>
      <c r="AA33" s="97">
        <v>5.25</v>
      </c>
      <c r="AB33" s="254">
        <f t="shared" si="8"/>
        <v>7.800312012</v>
      </c>
      <c r="AC33" s="54"/>
      <c r="AD33" s="54"/>
    </row>
    <row r="34">
      <c r="A34" s="54"/>
      <c r="B34" s="94">
        <v>45404.0</v>
      </c>
      <c r="C34" s="94"/>
      <c r="D34" s="95"/>
      <c r="E34" s="96">
        <v>1666237.0</v>
      </c>
      <c r="F34" s="96">
        <v>1186.0</v>
      </c>
      <c r="G34" s="96">
        <v>1047.0</v>
      </c>
      <c r="H34" s="97">
        <v>335.0</v>
      </c>
      <c r="I34" s="97">
        <v>342.01</v>
      </c>
      <c r="J34" s="97">
        <v>-7.01</v>
      </c>
      <c r="K34" s="97">
        <v>28.84</v>
      </c>
      <c r="L34" s="54"/>
      <c r="M34" s="54"/>
      <c r="N34" s="54"/>
      <c r="O34" s="54"/>
      <c r="P34" s="54"/>
      <c r="Q34" s="54"/>
      <c r="R34" s="382"/>
      <c r="S34" s="372"/>
      <c r="T34" s="67" t="s">
        <v>75</v>
      </c>
      <c r="AA34" s="66"/>
      <c r="AB34" s="242"/>
      <c r="AC34" s="66"/>
      <c r="AD34" s="66"/>
    </row>
    <row r="35">
      <c r="A35" s="54"/>
      <c r="B35" s="94">
        <v>45410.0</v>
      </c>
      <c r="C35" s="94"/>
      <c r="D35" s="95"/>
      <c r="E35" s="96"/>
      <c r="F35" s="390">
        <v>1001.6</v>
      </c>
      <c r="G35" s="96"/>
      <c r="H35" s="97"/>
      <c r="I35" s="97">
        <v>300.0</v>
      </c>
      <c r="J35" s="97"/>
      <c r="K35" s="97"/>
      <c r="L35" s="54"/>
      <c r="M35" s="54"/>
      <c r="N35" s="54"/>
      <c r="O35" s="54"/>
      <c r="P35" s="54"/>
      <c r="Q35" s="54"/>
      <c r="R35" s="382"/>
      <c r="S35" s="372"/>
      <c r="T35" s="67"/>
      <c r="U35" s="67"/>
      <c r="V35" s="67"/>
      <c r="W35" s="67"/>
      <c r="X35" s="67"/>
      <c r="Y35" s="67"/>
      <c r="Z35" s="67"/>
      <c r="AA35" s="66"/>
      <c r="AB35" s="242"/>
      <c r="AC35" s="66"/>
      <c r="AD35" s="66"/>
    </row>
    <row r="36">
      <c r="A36" s="54"/>
      <c r="B36" s="94">
        <v>45412.0</v>
      </c>
      <c r="C36" s="94"/>
      <c r="D36" s="95"/>
      <c r="E36" s="95"/>
      <c r="F36" s="390">
        <v>1001.6</v>
      </c>
      <c r="G36" s="95"/>
      <c r="H36" s="384"/>
      <c r="I36" s="97">
        <v>283.0</v>
      </c>
      <c r="J36" s="97">
        <v>-283.0</v>
      </c>
      <c r="K36" s="202">
        <f>I36/F36*100</f>
        <v>28.25479233</v>
      </c>
      <c r="L36" s="54"/>
      <c r="M36" s="54"/>
      <c r="N36" s="54"/>
      <c r="O36" s="54"/>
      <c r="P36" s="54"/>
      <c r="Q36" s="54"/>
      <c r="R36" s="382"/>
      <c r="S36" s="377"/>
      <c r="T36" s="94">
        <v>45442.0</v>
      </c>
      <c r="U36" s="96" t="s">
        <v>279</v>
      </c>
      <c r="V36" s="96">
        <v>1512410.0</v>
      </c>
      <c r="W36" s="96">
        <v>410.0</v>
      </c>
      <c r="X36" s="96" t="s">
        <v>342</v>
      </c>
      <c r="Y36" s="97">
        <v>412.85</v>
      </c>
      <c r="Z36" s="97">
        <v>415.61</v>
      </c>
      <c r="AA36" s="97">
        <v>-2.76</v>
      </c>
      <c r="AB36" s="254">
        <f>Z36/W36*100</f>
        <v>101.3682927</v>
      </c>
      <c r="AC36" s="54"/>
      <c r="AD36" s="54"/>
    </row>
    <row r="37">
      <c r="A37" s="66"/>
      <c r="B37" s="67" t="s">
        <v>75</v>
      </c>
      <c r="J37" s="66"/>
      <c r="K37" s="66"/>
      <c r="L37" s="66"/>
      <c r="M37" s="66"/>
      <c r="N37" s="66"/>
      <c r="O37" s="66"/>
      <c r="P37" s="66"/>
      <c r="Q37" s="66"/>
      <c r="R37" s="382"/>
      <c r="S37" s="372"/>
      <c r="T37" s="67" t="s">
        <v>90</v>
      </c>
      <c r="AA37" s="66"/>
      <c r="AB37" s="242"/>
      <c r="AC37" s="66"/>
      <c r="AD37" s="66"/>
    </row>
    <row r="38">
      <c r="A38" s="54"/>
      <c r="B38" s="125">
        <v>45418.0</v>
      </c>
      <c r="C38" s="125"/>
      <c r="D38" s="95"/>
      <c r="E38" s="95"/>
      <c r="F38" s="390">
        <v>1001.6</v>
      </c>
      <c r="G38" s="95"/>
      <c r="H38" s="384"/>
      <c r="I38" s="97">
        <v>232.46</v>
      </c>
      <c r="J38" s="97"/>
      <c r="K38" s="202">
        <f t="shared" ref="K38:K47" si="9">I38/F38*100</f>
        <v>23.20886581</v>
      </c>
      <c r="L38" s="54"/>
      <c r="M38" s="82" t="str">
        <f>"тотал"&amp;" "&amp;B37</f>
        <v>тотал МАЙ</v>
      </c>
      <c r="N38" s="75"/>
      <c r="O38" s="76"/>
      <c r="P38" s="54"/>
      <c r="Q38" s="54"/>
      <c r="R38" s="382"/>
      <c r="S38" s="377"/>
      <c r="T38" s="94">
        <v>45444.0</v>
      </c>
      <c r="U38" s="96" t="s">
        <v>279</v>
      </c>
      <c r="V38" s="96">
        <v>1513584.0</v>
      </c>
      <c r="W38" s="96">
        <v>1174.0</v>
      </c>
      <c r="X38" s="96" t="s">
        <v>343</v>
      </c>
      <c r="Y38" s="97">
        <v>302.39</v>
      </c>
      <c r="Z38" s="97">
        <v>300.0</v>
      </c>
      <c r="AA38" s="97">
        <v>2.39</v>
      </c>
      <c r="AB38" s="254">
        <f t="shared" ref="AB38:AB50" si="10">Z38/W38*100</f>
        <v>25.55366269</v>
      </c>
      <c r="AC38" s="54"/>
      <c r="AD38" s="54"/>
    </row>
    <row r="39">
      <c r="A39" s="54"/>
      <c r="B39" s="125">
        <v>45419.0</v>
      </c>
      <c r="C39" s="125"/>
      <c r="D39" s="95"/>
      <c r="E39" s="95"/>
      <c r="F39" s="390">
        <v>1001.6</v>
      </c>
      <c r="G39" s="95"/>
      <c r="H39" s="384"/>
      <c r="I39" s="97">
        <v>295.25</v>
      </c>
      <c r="J39" s="97"/>
      <c r="K39" s="202">
        <f t="shared" si="9"/>
        <v>29.47783546</v>
      </c>
      <c r="L39" s="54"/>
      <c r="M39" s="83" t="s">
        <v>70</v>
      </c>
      <c r="N39" s="83" t="s">
        <v>71</v>
      </c>
      <c r="O39" s="83" t="s">
        <v>27</v>
      </c>
      <c r="P39" s="54"/>
      <c r="Q39" s="54"/>
      <c r="R39" s="382"/>
      <c r="S39" s="377"/>
      <c r="T39" s="94">
        <v>45446.0</v>
      </c>
      <c r="U39" s="96" t="s">
        <v>279</v>
      </c>
      <c r="V39" s="96">
        <v>1514196.0</v>
      </c>
      <c r="W39" s="96">
        <v>612.0</v>
      </c>
      <c r="X39" s="96" t="s">
        <v>344</v>
      </c>
      <c r="Y39" s="97">
        <v>615.71</v>
      </c>
      <c r="Z39" s="97">
        <v>655.96</v>
      </c>
      <c r="AA39" s="97">
        <v>-40.25</v>
      </c>
      <c r="AB39" s="254">
        <f t="shared" si="10"/>
        <v>107.1830065</v>
      </c>
      <c r="AC39" s="54"/>
      <c r="AD39" s="54"/>
    </row>
    <row r="40">
      <c r="A40" s="54"/>
      <c r="B40" s="125">
        <v>45420.0</v>
      </c>
      <c r="C40" s="125"/>
      <c r="D40" s="95"/>
      <c r="E40" s="96">
        <v>1671245.0</v>
      </c>
      <c r="F40" s="390">
        <v>1001.6</v>
      </c>
      <c r="G40" s="96">
        <v>1045.0</v>
      </c>
      <c r="H40" s="97">
        <v>308.0</v>
      </c>
      <c r="I40" s="97">
        <v>311.67</v>
      </c>
      <c r="J40" s="97">
        <v>-3.67</v>
      </c>
      <c r="K40" s="202">
        <f t="shared" si="9"/>
        <v>31.11721246</v>
      </c>
      <c r="L40" s="54"/>
      <c r="M40" s="84">
        <f>SUM(F38:F47)</f>
        <v>9825.3</v>
      </c>
      <c r="N40" s="84">
        <f>SUM(I38:I47)</f>
        <v>2683.12</v>
      </c>
      <c r="O40" s="85">
        <f>N40/M40*100</f>
        <v>27.30827557</v>
      </c>
      <c r="P40" s="54"/>
      <c r="Q40" s="54"/>
      <c r="R40" s="382"/>
      <c r="S40" s="377"/>
      <c r="T40" s="94">
        <v>45454.0</v>
      </c>
      <c r="U40" s="96" t="s">
        <v>279</v>
      </c>
      <c r="V40" s="96">
        <v>1517539.0</v>
      </c>
      <c r="W40" s="96">
        <v>3343.0</v>
      </c>
      <c r="X40" s="96" t="s">
        <v>345</v>
      </c>
      <c r="Y40" s="97">
        <v>794.8</v>
      </c>
      <c r="Z40" s="97">
        <v>800.0</v>
      </c>
      <c r="AA40" s="97">
        <v>-5.2</v>
      </c>
      <c r="AB40" s="254">
        <f t="shared" si="10"/>
        <v>23.93060126</v>
      </c>
      <c r="AC40" s="54"/>
      <c r="AD40" s="54"/>
    </row>
    <row r="41">
      <c r="A41" s="54"/>
      <c r="B41" s="125">
        <v>45424.0</v>
      </c>
      <c r="C41" s="125"/>
      <c r="D41" s="95"/>
      <c r="E41" s="96">
        <v>1672141.0</v>
      </c>
      <c r="F41" s="96">
        <v>896.0</v>
      </c>
      <c r="G41" s="96">
        <v>1046.0</v>
      </c>
      <c r="H41" s="97">
        <v>241.0</v>
      </c>
      <c r="I41" s="97">
        <v>250.03</v>
      </c>
      <c r="J41" s="97">
        <v>-9.03</v>
      </c>
      <c r="K41" s="202">
        <f t="shared" si="9"/>
        <v>27.90513393</v>
      </c>
      <c r="L41" s="54"/>
      <c r="M41" s="54"/>
      <c r="N41" s="54"/>
      <c r="O41" s="54"/>
      <c r="P41" s="54"/>
      <c r="Q41" s="54"/>
      <c r="R41" s="382"/>
      <c r="S41" s="377"/>
      <c r="T41" s="94">
        <v>45459.0</v>
      </c>
      <c r="U41" s="96" t="s">
        <v>279</v>
      </c>
      <c r="V41" s="96">
        <v>1518649.0</v>
      </c>
      <c r="W41" s="96">
        <v>1110.0</v>
      </c>
      <c r="X41" s="96" t="s">
        <v>346</v>
      </c>
      <c r="Y41" s="97">
        <v>152.24</v>
      </c>
      <c r="Z41" s="97">
        <v>150.0</v>
      </c>
      <c r="AA41" s="97">
        <v>2.24</v>
      </c>
      <c r="AB41" s="254">
        <f t="shared" si="10"/>
        <v>13.51351351</v>
      </c>
      <c r="AC41" s="54"/>
      <c r="AD41" s="54"/>
    </row>
    <row r="42">
      <c r="A42" s="54"/>
      <c r="B42" s="125">
        <v>45425.0</v>
      </c>
      <c r="C42" s="125"/>
      <c r="D42" s="95"/>
      <c r="E42" s="96">
        <v>1672861.0</v>
      </c>
      <c r="F42" s="96">
        <v>720.0</v>
      </c>
      <c r="G42" s="96">
        <v>999.0</v>
      </c>
      <c r="H42" s="97">
        <v>142.0</v>
      </c>
      <c r="I42" s="97">
        <v>140.0</v>
      </c>
      <c r="J42" s="97">
        <v>2.0</v>
      </c>
      <c r="K42" s="202">
        <f t="shared" si="9"/>
        <v>19.44444444</v>
      </c>
      <c r="L42" s="54"/>
      <c r="M42" s="54"/>
      <c r="N42" s="54"/>
      <c r="O42" s="54"/>
      <c r="P42" s="54"/>
      <c r="Q42" s="54"/>
      <c r="R42" s="382"/>
      <c r="S42" s="377"/>
      <c r="T42" s="94">
        <v>45462.0</v>
      </c>
      <c r="U42" s="96" t="s">
        <v>279</v>
      </c>
      <c r="V42" s="96">
        <v>1519850.0</v>
      </c>
      <c r="W42" s="96">
        <v>1201.0</v>
      </c>
      <c r="X42" s="96" t="s">
        <v>347</v>
      </c>
      <c r="Y42" s="97">
        <v>504.17</v>
      </c>
      <c r="Z42" s="97">
        <v>500.0</v>
      </c>
      <c r="AA42" s="97">
        <v>4.17</v>
      </c>
      <c r="AB42" s="254">
        <f t="shared" si="10"/>
        <v>41.63197336</v>
      </c>
      <c r="AC42" s="54"/>
      <c r="AD42" s="54"/>
    </row>
    <row r="43">
      <c r="A43" s="54"/>
      <c r="B43" s="125">
        <v>45426.0</v>
      </c>
      <c r="C43" s="125"/>
      <c r="D43" s="95"/>
      <c r="E43" s="96">
        <v>1673529.0</v>
      </c>
      <c r="F43" s="96">
        <v>668.0</v>
      </c>
      <c r="G43" s="96">
        <v>1045.0</v>
      </c>
      <c r="H43" s="97">
        <v>232.0</v>
      </c>
      <c r="I43" s="97">
        <v>242.01</v>
      </c>
      <c r="J43" s="97">
        <v>-10.01</v>
      </c>
      <c r="K43" s="202">
        <f t="shared" si="9"/>
        <v>36.22904192</v>
      </c>
      <c r="L43" s="54"/>
      <c r="M43" s="54"/>
      <c r="N43" s="54"/>
      <c r="O43" s="54"/>
      <c r="P43" s="54"/>
      <c r="Q43" s="54"/>
      <c r="R43" s="382"/>
      <c r="S43" s="377"/>
      <c r="T43" s="94">
        <v>45464.0</v>
      </c>
      <c r="U43" s="96" t="s">
        <v>279</v>
      </c>
      <c r="V43" s="96">
        <v>1520765.0</v>
      </c>
      <c r="W43" s="96">
        <v>915.0</v>
      </c>
      <c r="X43" s="96" t="s">
        <v>348</v>
      </c>
      <c r="Y43" s="97">
        <v>244.93</v>
      </c>
      <c r="Z43" s="97">
        <v>250.0</v>
      </c>
      <c r="AA43" s="97">
        <v>-5.07</v>
      </c>
      <c r="AB43" s="254">
        <f t="shared" si="10"/>
        <v>27.32240437</v>
      </c>
      <c r="AC43" s="54"/>
      <c r="AD43" s="54"/>
    </row>
    <row r="44">
      <c r="A44" s="54"/>
      <c r="B44" s="125">
        <v>45430.0</v>
      </c>
      <c r="C44" s="125"/>
      <c r="D44" s="95"/>
      <c r="E44" s="96">
        <v>1674728.0</v>
      </c>
      <c r="F44" s="96">
        <v>1199.0</v>
      </c>
      <c r="G44" s="96">
        <v>1045.0</v>
      </c>
      <c r="H44" s="97">
        <v>329.0</v>
      </c>
      <c r="I44" s="97">
        <v>333.39</v>
      </c>
      <c r="J44" s="97">
        <v>-4.39</v>
      </c>
      <c r="K44" s="202">
        <f t="shared" si="9"/>
        <v>27.80567139</v>
      </c>
      <c r="L44" s="54"/>
      <c r="M44" s="54"/>
      <c r="N44" s="54"/>
      <c r="O44" s="54"/>
      <c r="P44" s="54"/>
      <c r="Q44" s="54"/>
      <c r="R44" s="382"/>
      <c r="S44" s="377"/>
      <c r="T44" s="94">
        <v>45465.0</v>
      </c>
      <c r="U44" s="96" t="s">
        <v>279</v>
      </c>
      <c r="V44" s="96">
        <v>1521827.0</v>
      </c>
      <c r="W44" s="96">
        <v>1062.0</v>
      </c>
      <c r="X44" s="96" t="s">
        <v>349</v>
      </c>
      <c r="Y44" s="97">
        <v>256.51</v>
      </c>
      <c r="Z44" s="97">
        <v>250.0</v>
      </c>
      <c r="AA44" s="97">
        <v>6.51</v>
      </c>
      <c r="AB44" s="254">
        <f t="shared" si="10"/>
        <v>23.54048964</v>
      </c>
      <c r="AC44" s="54"/>
      <c r="AD44" s="54"/>
    </row>
    <row r="45">
      <c r="A45" s="54"/>
      <c r="B45" s="125">
        <v>45432.0</v>
      </c>
      <c r="C45" s="125"/>
      <c r="D45" s="95"/>
      <c r="E45" s="96">
        <v>1675588.0</v>
      </c>
      <c r="F45" s="96">
        <v>860.0</v>
      </c>
      <c r="G45" s="96">
        <v>1046.0</v>
      </c>
      <c r="H45" s="97">
        <v>211.0</v>
      </c>
      <c r="I45" s="97">
        <v>224.22</v>
      </c>
      <c r="J45" s="97">
        <v>-13.22</v>
      </c>
      <c r="K45" s="202">
        <f t="shared" si="9"/>
        <v>26.07209302</v>
      </c>
      <c r="L45" s="54"/>
      <c r="M45" s="54"/>
      <c r="N45" s="54"/>
      <c r="O45" s="54"/>
      <c r="P45" s="54"/>
      <c r="Q45" s="54"/>
      <c r="R45" s="382"/>
      <c r="S45" s="377"/>
      <c r="T45" s="94">
        <v>45466.0</v>
      </c>
      <c r="U45" s="96" t="s">
        <v>279</v>
      </c>
      <c r="V45" s="96">
        <v>1522261.0</v>
      </c>
      <c r="W45" s="96">
        <v>434.0</v>
      </c>
      <c r="X45" s="96" t="s">
        <v>350</v>
      </c>
      <c r="Y45" s="97">
        <v>190.1</v>
      </c>
      <c r="Z45" s="97">
        <v>200.0</v>
      </c>
      <c r="AA45" s="97">
        <v>-9.9</v>
      </c>
      <c r="AB45" s="254">
        <f t="shared" si="10"/>
        <v>46.08294931</v>
      </c>
      <c r="AC45" s="54"/>
      <c r="AD45" s="54"/>
    </row>
    <row r="46">
      <c r="A46" s="54"/>
      <c r="B46" s="125">
        <v>45434.0</v>
      </c>
      <c r="C46" s="125"/>
      <c r="D46" s="95"/>
      <c r="E46" s="96">
        <v>1676922.0</v>
      </c>
      <c r="F46" s="96">
        <v>1334.0</v>
      </c>
      <c r="G46" s="96">
        <v>1045.0</v>
      </c>
      <c r="H46" s="97">
        <v>350.0</v>
      </c>
      <c r="I46" s="97">
        <v>357.59</v>
      </c>
      <c r="J46" s="97">
        <v>-7.59</v>
      </c>
      <c r="K46" s="202">
        <f t="shared" si="9"/>
        <v>26.80584708</v>
      </c>
      <c r="L46" s="54"/>
      <c r="M46" s="54"/>
      <c r="N46" s="54"/>
      <c r="O46" s="54"/>
      <c r="P46" s="54"/>
      <c r="Q46" s="54"/>
      <c r="R46" s="382"/>
      <c r="S46" s="377"/>
      <c r="T46" s="94">
        <v>45467.0</v>
      </c>
      <c r="U46" s="96" t="s">
        <v>279</v>
      </c>
      <c r="V46" s="96">
        <v>1523348.0</v>
      </c>
      <c r="W46" s="96">
        <v>1087.0</v>
      </c>
      <c r="X46" s="96" t="s">
        <v>351</v>
      </c>
      <c r="Y46" s="97">
        <v>254.13</v>
      </c>
      <c r="Z46" s="97">
        <v>250.0</v>
      </c>
      <c r="AA46" s="97">
        <v>4.13</v>
      </c>
      <c r="AB46" s="254">
        <f t="shared" si="10"/>
        <v>22.99908004</v>
      </c>
      <c r="AC46" s="54"/>
      <c r="AD46" s="54"/>
    </row>
    <row r="47">
      <c r="A47" s="54"/>
      <c r="B47" s="94">
        <v>45443.0</v>
      </c>
      <c r="C47" s="94"/>
      <c r="D47" s="95"/>
      <c r="E47" s="95"/>
      <c r="F47" s="96">
        <v>1143.5</v>
      </c>
      <c r="G47" s="95"/>
      <c r="H47" s="384"/>
      <c r="I47" s="97">
        <v>296.5</v>
      </c>
      <c r="J47" s="97"/>
      <c r="K47" s="18">
        <f t="shared" si="9"/>
        <v>25.92916484</v>
      </c>
      <c r="L47" s="54"/>
      <c r="M47" s="54"/>
      <c r="N47" s="54"/>
      <c r="O47" s="54"/>
      <c r="P47" s="54"/>
      <c r="Q47" s="54"/>
      <c r="R47" s="382"/>
      <c r="S47" s="377"/>
      <c r="T47" s="94">
        <v>45469.0</v>
      </c>
      <c r="U47" s="96" t="s">
        <v>279</v>
      </c>
      <c r="V47" s="96">
        <v>1523813.0</v>
      </c>
      <c r="W47" s="96">
        <v>465.0</v>
      </c>
      <c r="X47" s="96" t="s">
        <v>352</v>
      </c>
      <c r="Y47" s="97">
        <v>171.85</v>
      </c>
      <c r="Z47" s="97">
        <v>182.0</v>
      </c>
      <c r="AA47" s="97">
        <v>-10.15</v>
      </c>
      <c r="AB47" s="254">
        <f t="shared" si="10"/>
        <v>39.13978495</v>
      </c>
      <c r="AC47" s="54"/>
      <c r="AD47" s="54"/>
    </row>
    <row r="48">
      <c r="A48" s="66"/>
      <c r="B48" s="67" t="s">
        <v>90</v>
      </c>
      <c r="J48" s="66"/>
      <c r="K48" s="66"/>
      <c r="L48" s="66"/>
      <c r="M48" s="66"/>
      <c r="N48" s="66"/>
      <c r="O48" s="66"/>
      <c r="P48" s="66"/>
      <c r="Q48" s="66"/>
      <c r="R48" s="382"/>
      <c r="S48" s="377"/>
      <c r="T48" s="94">
        <v>45470.0</v>
      </c>
      <c r="U48" s="96" t="s">
        <v>279</v>
      </c>
      <c r="V48" s="96">
        <v>1524876.0</v>
      </c>
      <c r="W48" s="96">
        <v>1063.0</v>
      </c>
      <c r="X48" s="96" t="s">
        <v>353</v>
      </c>
      <c r="Y48" s="97">
        <v>251.46</v>
      </c>
      <c r="Z48" s="97">
        <v>250.0</v>
      </c>
      <c r="AA48" s="97">
        <v>1.46</v>
      </c>
      <c r="AB48" s="254">
        <f t="shared" si="10"/>
        <v>23.51834431</v>
      </c>
      <c r="AC48" s="54"/>
      <c r="AD48" s="54"/>
    </row>
    <row r="49">
      <c r="A49" s="54"/>
      <c r="B49" s="373">
        <v>45445.0</v>
      </c>
      <c r="C49" s="374"/>
      <c r="D49" s="385"/>
      <c r="E49" s="376">
        <v>1679209.0</v>
      </c>
      <c r="F49" s="324">
        <v>1143.5</v>
      </c>
      <c r="G49" s="324">
        <v>1048.0</v>
      </c>
      <c r="H49" s="325">
        <v>360.0</v>
      </c>
      <c r="I49" s="325">
        <v>370.0</v>
      </c>
      <c r="J49" s="391">
        <v>-10.0</v>
      </c>
      <c r="K49" s="97">
        <v>32.37</v>
      </c>
      <c r="L49" s="54"/>
      <c r="M49" s="132" t="str">
        <f>"тотал"&amp;" "&amp;B48</f>
        <v>тотал ИЮНЬ</v>
      </c>
      <c r="N49" s="75"/>
      <c r="O49" s="76"/>
      <c r="P49" s="54"/>
      <c r="Q49" s="54"/>
      <c r="R49" s="382"/>
      <c r="S49" s="377"/>
      <c r="T49" s="94">
        <v>45471.0</v>
      </c>
      <c r="U49" s="96" t="s">
        <v>279</v>
      </c>
      <c r="V49" s="96">
        <v>1525877.0</v>
      </c>
      <c r="W49" s="96">
        <v>1001.0</v>
      </c>
      <c r="X49" s="96" t="s">
        <v>354</v>
      </c>
      <c r="Y49" s="97">
        <v>301.3</v>
      </c>
      <c r="Z49" s="97">
        <v>316.01</v>
      </c>
      <c r="AA49" s="97">
        <v>-14.71</v>
      </c>
      <c r="AB49" s="254">
        <f t="shared" si="10"/>
        <v>31.56943057</v>
      </c>
      <c r="AC49" s="54"/>
      <c r="AD49" s="54"/>
    </row>
    <row r="50">
      <c r="A50" s="54"/>
      <c r="B50" s="378">
        <v>45447.0</v>
      </c>
      <c r="C50" s="379"/>
      <c r="D50" s="386"/>
      <c r="E50" s="381">
        <v>1680723.0</v>
      </c>
      <c r="F50" s="328">
        <v>1514.0</v>
      </c>
      <c r="G50" s="328">
        <v>1046.0</v>
      </c>
      <c r="H50" s="329">
        <v>402.0</v>
      </c>
      <c r="I50" s="329">
        <v>430.0</v>
      </c>
      <c r="J50" s="392">
        <v>-28.0</v>
      </c>
      <c r="K50" s="97">
        <v>28.4</v>
      </c>
      <c r="L50" s="54"/>
      <c r="M50" s="84" t="s">
        <v>70</v>
      </c>
      <c r="N50" s="84" t="s">
        <v>71</v>
      </c>
      <c r="O50" s="84" t="s">
        <v>27</v>
      </c>
      <c r="P50" s="54"/>
      <c r="Q50" s="54"/>
      <c r="R50" s="382"/>
      <c r="S50" s="377"/>
      <c r="T50" s="94">
        <v>45473.0</v>
      </c>
      <c r="U50" s="96" t="s">
        <v>279</v>
      </c>
      <c r="V50" s="96">
        <v>1527110.0</v>
      </c>
      <c r="W50" s="96">
        <v>1233.0</v>
      </c>
      <c r="X50" s="96" t="s">
        <v>355</v>
      </c>
      <c r="Y50" s="97">
        <v>251.53</v>
      </c>
      <c r="Z50" s="97">
        <v>250.0</v>
      </c>
      <c r="AA50" s="97">
        <v>1.53</v>
      </c>
      <c r="AB50" s="254">
        <f t="shared" si="10"/>
        <v>20.2757502</v>
      </c>
      <c r="AC50" s="54"/>
      <c r="AD50" s="54"/>
    </row>
    <row r="51">
      <c r="A51" s="54"/>
      <c r="B51" s="378">
        <v>45449.0</v>
      </c>
      <c r="C51" s="379"/>
      <c r="D51" s="386"/>
      <c r="E51" s="381">
        <v>1682225.0</v>
      </c>
      <c r="F51" s="328">
        <v>1502.0</v>
      </c>
      <c r="G51" s="328">
        <v>1046.0</v>
      </c>
      <c r="H51" s="329">
        <v>399.0</v>
      </c>
      <c r="I51" s="329">
        <v>425.0</v>
      </c>
      <c r="J51" s="392">
        <v>-26.0</v>
      </c>
      <c r="K51" s="97">
        <v>28.3</v>
      </c>
      <c r="L51" s="54"/>
      <c r="M51" s="84">
        <f>SUM(F49:F61)</f>
        <v>16060.5</v>
      </c>
      <c r="N51" s="84">
        <f>SUM(I49:I61)</f>
        <v>4522.4</v>
      </c>
      <c r="O51" s="85">
        <f>N51/M51*100</f>
        <v>28.15852558</v>
      </c>
      <c r="P51" s="54"/>
      <c r="Q51" s="54"/>
      <c r="R51" s="382"/>
      <c r="S51" s="372"/>
      <c r="T51" s="67" t="s">
        <v>92</v>
      </c>
      <c r="AA51" s="66"/>
      <c r="AB51" s="242"/>
      <c r="AC51" s="66"/>
      <c r="AD51" s="66"/>
    </row>
    <row r="52">
      <c r="A52" s="54"/>
      <c r="B52" s="378">
        <v>45451.0</v>
      </c>
      <c r="C52" s="379"/>
      <c r="D52" s="386"/>
      <c r="E52" s="381">
        <v>1683478.0</v>
      </c>
      <c r="F52" s="328">
        <v>1253.0</v>
      </c>
      <c r="G52" s="328">
        <v>1042.0</v>
      </c>
      <c r="H52" s="329">
        <v>359.0</v>
      </c>
      <c r="I52" s="329">
        <v>360.0</v>
      </c>
      <c r="J52" s="392">
        <v>-1.0</v>
      </c>
      <c r="K52" s="97">
        <v>28.73</v>
      </c>
      <c r="L52" s="54"/>
      <c r="M52" s="54"/>
      <c r="N52" s="54"/>
      <c r="O52" s="54"/>
      <c r="P52" s="54"/>
      <c r="Q52" s="54"/>
      <c r="R52" s="382"/>
      <c r="S52" s="377"/>
      <c r="T52" s="94">
        <v>45474.0</v>
      </c>
      <c r="U52" s="96" t="s">
        <v>279</v>
      </c>
      <c r="V52" s="96">
        <v>1527855.0</v>
      </c>
      <c r="W52" s="96">
        <v>745.0</v>
      </c>
      <c r="X52" s="96" t="s">
        <v>356</v>
      </c>
      <c r="Y52" s="97">
        <v>254.3</v>
      </c>
      <c r="Z52" s="97">
        <v>250.0</v>
      </c>
      <c r="AA52" s="97">
        <v>4.3</v>
      </c>
      <c r="AB52" s="254">
        <f t="shared" ref="AB52:AB70" si="11">Z52/W52*100</f>
        <v>33.55704698</v>
      </c>
      <c r="AC52" s="54"/>
      <c r="AD52" s="54"/>
    </row>
    <row r="53">
      <c r="A53" s="54"/>
      <c r="B53" s="378">
        <v>45456.0</v>
      </c>
      <c r="C53" s="379"/>
      <c r="D53" s="386"/>
      <c r="E53" s="381">
        <v>1684612.0</v>
      </c>
      <c r="F53" s="328">
        <v>1134.0</v>
      </c>
      <c r="G53" s="328">
        <v>1047.0</v>
      </c>
      <c r="H53" s="329">
        <v>329.0</v>
      </c>
      <c r="I53" s="329">
        <v>339.37</v>
      </c>
      <c r="J53" s="392">
        <v>-10.37</v>
      </c>
      <c r="K53" s="97">
        <v>29.93</v>
      </c>
      <c r="L53" s="54"/>
      <c r="M53" s="54"/>
      <c r="N53" s="54"/>
      <c r="O53" s="54"/>
      <c r="P53" s="54"/>
      <c r="Q53" s="54"/>
      <c r="R53" s="382"/>
      <c r="S53" s="377"/>
      <c r="T53" s="94">
        <v>45476.0</v>
      </c>
      <c r="U53" s="96" t="s">
        <v>279</v>
      </c>
      <c r="V53" s="96">
        <v>1528930.0</v>
      </c>
      <c r="W53" s="96">
        <v>1075.0</v>
      </c>
      <c r="X53" s="96" t="s">
        <v>357</v>
      </c>
      <c r="Y53" s="97">
        <v>339.68</v>
      </c>
      <c r="Z53" s="97">
        <v>350.43</v>
      </c>
      <c r="AA53" s="97">
        <v>-10.75</v>
      </c>
      <c r="AB53" s="254">
        <f t="shared" si="11"/>
        <v>32.59813953</v>
      </c>
      <c r="AC53" s="54"/>
      <c r="AD53" s="54"/>
    </row>
    <row r="54">
      <c r="A54" s="54"/>
      <c r="B54" s="378">
        <v>45457.0</v>
      </c>
      <c r="C54" s="379"/>
      <c r="D54" s="386"/>
      <c r="E54" s="381">
        <v>1685875.0</v>
      </c>
      <c r="F54" s="328">
        <v>1263.0</v>
      </c>
      <c r="G54" s="328">
        <v>1044.0</v>
      </c>
      <c r="H54" s="329">
        <v>332.0</v>
      </c>
      <c r="I54" s="329">
        <v>339.32</v>
      </c>
      <c r="J54" s="392">
        <v>-7.32</v>
      </c>
      <c r="K54" s="97">
        <v>26.87</v>
      </c>
      <c r="L54" s="54"/>
      <c r="M54" s="54"/>
      <c r="N54" s="54"/>
      <c r="O54" s="54"/>
      <c r="P54" s="54"/>
      <c r="Q54" s="54"/>
      <c r="R54" s="382"/>
      <c r="S54" s="377"/>
      <c r="T54" s="94">
        <v>45480.0</v>
      </c>
      <c r="U54" s="96" t="s">
        <v>279</v>
      </c>
      <c r="V54" s="96">
        <v>1530319.0</v>
      </c>
      <c r="W54" s="96">
        <v>1389.0</v>
      </c>
      <c r="X54" s="96" t="s">
        <v>358</v>
      </c>
      <c r="Y54" s="97">
        <v>383.51</v>
      </c>
      <c r="Z54" s="97">
        <v>390.61</v>
      </c>
      <c r="AA54" s="97">
        <v>-7.1</v>
      </c>
      <c r="AB54" s="254">
        <f t="shared" si="11"/>
        <v>28.12167027</v>
      </c>
      <c r="AC54" s="54"/>
      <c r="AD54" s="54"/>
    </row>
    <row r="55">
      <c r="A55" s="54"/>
      <c r="B55" s="378">
        <v>45459.0</v>
      </c>
      <c r="C55" s="379"/>
      <c r="D55" s="386"/>
      <c r="E55" s="381">
        <v>1687407.0</v>
      </c>
      <c r="F55" s="328">
        <v>1532.0</v>
      </c>
      <c r="G55" s="328">
        <v>1044.0</v>
      </c>
      <c r="H55" s="329">
        <v>400.0</v>
      </c>
      <c r="I55" s="329">
        <v>405.44</v>
      </c>
      <c r="J55" s="392">
        <v>-5.44</v>
      </c>
      <c r="K55" s="97">
        <v>26.46</v>
      </c>
      <c r="L55" s="54"/>
      <c r="M55" s="54"/>
      <c r="N55" s="54"/>
      <c r="O55" s="54"/>
      <c r="P55" s="54"/>
      <c r="Q55" s="54"/>
      <c r="R55" s="382"/>
      <c r="S55" s="377"/>
      <c r="T55" s="94">
        <v>45481.0</v>
      </c>
      <c r="U55" s="96" t="s">
        <v>279</v>
      </c>
      <c r="V55" s="96">
        <v>1531382.0</v>
      </c>
      <c r="W55" s="96">
        <v>1063.0</v>
      </c>
      <c r="X55" s="96" t="s">
        <v>359</v>
      </c>
      <c r="Y55" s="97">
        <v>252.12</v>
      </c>
      <c r="Z55" s="97">
        <v>250.0</v>
      </c>
      <c r="AA55" s="97">
        <v>2.12</v>
      </c>
      <c r="AB55" s="254">
        <f t="shared" si="11"/>
        <v>23.51834431</v>
      </c>
      <c r="AC55" s="54"/>
      <c r="AD55" s="54"/>
    </row>
    <row r="56">
      <c r="A56" s="54"/>
      <c r="B56" s="378">
        <v>45461.0</v>
      </c>
      <c r="C56" s="379"/>
      <c r="D56" s="386"/>
      <c r="E56" s="381">
        <v>1688686.0</v>
      </c>
      <c r="F56" s="328">
        <v>1279.0</v>
      </c>
      <c r="G56" s="328">
        <v>1043.0</v>
      </c>
      <c r="H56" s="329">
        <v>326.0</v>
      </c>
      <c r="I56" s="329">
        <v>329.53</v>
      </c>
      <c r="J56" s="392">
        <v>-3.53</v>
      </c>
      <c r="K56" s="97">
        <v>25.76</v>
      </c>
      <c r="L56" s="54"/>
      <c r="M56" s="54"/>
      <c r="N56" s="54"/>
      <c r="O56" s="54"/>
      <c r="P56" s="54"/>
      <c r="Q56" s="54"/>
      <c r="R56" s="382"/>
      <c r="S56" s="377"/>
      <c r="T56" s="94">
        <v>45482.0</v>
      </c>
      <c r="U56" s="96" t="s">
        <v>279</v>
      </c>
      <c r="V56" s="96">
        <v>1532384.0</v>
      </c>
      <c r="W56" s="96">
        <v>1002.0</v>
      </c>
      <c r="X56" s="96" t="s">
        <v>360</v>
      </c>
      <c r="Y56" s="97">
        <v>252.68</v>
      </c>
      <c r="Z56" s="97">
        <v>250.0</v>
      </c>
      <c r="AA56" s="97">
        <v>2.68</v>
      </c>
      <c r="AB56" s="254">
        <f t="shared" si="11"/>
        <v>24.9500998</v>
      </c>
      <c r="AC56" s="54"/>
      <c r="AD56" s="54"/>
    </row>
    <row r="57">
      <c r="A57" s="54"/>
      <c r="B57" s="378">
        <v>45463.0</v>
      </c>
      <c r="C57" s="379"/>
      <c r="D57" s="386"/>
      <c r="E57" s="381">
        <v>1690153.0</v>
      </c>
      <c r="F57" s="328">
        <v>1467.0</v>
      </c>
      <c r="G57" s="328">
        <v>1043.0</v>
      </c>
      <c r="H57" s="329">
        <v>397.0</v>
      </c>
      <c r="I57" s="329">
        <v>401.05</v>
      </c>
      <c r="J57" s="392">
        <v>-4.05</v>
      </c>
      <c r="K57" s="97">
        <v>27.34</v>
      </c>
      <c r="L57" s="54"/>
      <c r="M57" s="54"/>
      <c r="N57" s="54"/>
      <c r="O57" s="54"/>
      <c r="P57" s="54"/>
      <c r="Q57" s="54"/>
      <c r="R57" s="382"/>
      <c r="S57" s="377"/>
      <c r="T57" s="94">
        <v>45484.0</v>
      </c>
      <c r="U57" s="96" t="s">
        <v>279</v>
      </c>
      <c r="V57" s="96">
        <v>1533182.0</v>
      </c>
      <c r="W57" s="96">
        <v>798.0</v>
      </c>
      <c r="X57" s="96" t="s">
        <v>361</v>
      </c>
      <c r="Y57" s="97">
        <v>242.79</v>
      </c>
      <c r="Z57" s="97">
        <v>250.0</v>
      </c>
      <c r="AA57" s="97">
        <v>-7.21</v>
      </c>
      <c r="AB57" s="254">
        <f t="shared" si="11"/>
        <v>31.3283208</v>
      </c>
      <c r="AC57" s="54"/>
      <c r="AD57" s="54"/>
    </row>
    <row r="58">
      <c r="A58" s="54"/>
      <c r="B58" s="378">
        <v>45465.0</v>
      </c>
      <c r="C58" s="379"/>
      <c r="D58" s="386"/>
      <c r="E58" s="381">
        <v>1691367.0</v>
      </c>
      <c r="F58" s="328">
        <f>E58-E57</f>
        <v>1214</v>
      </c>
      <c r="G58" s="328">
        <v>1044.0</v>
      </c>
      <c r="H58" s="329">
        <v>332.0</v>
      </c>
      <c r="I58" s="329">
        <v>337.5</v>
      </c>
      <c r="J58" s="392">
        <v>-5.5</v>
      </c>
      <c r="K58" s="97">
        <v>27.8</v>
      </c>
      <c r="L58" s="60"/>
      <c r="M58" s="54"/>
      <c r="N58" s="54"/>
      <c r="O58" s="54"/>
      <c r="P58" s="54"/>
      <c r="Q58" s="54"/>
      <c r="R58" s="382"/>
      <c r="S58" s="377"/>
      <c r="T58" s="94">
        <v>45486.0</v>
      </c>
      <c r="U58" s="96" t="s">
        <v>279</v>
      </c>
      <c r="V58" s="96">
        <v>1534576.0</v>
      </c>
      <c r="W58" s="96">
        <v>1394.0</v>
      </c>
      <c r="X58" s="96">
        <v>797.53</v>
      </c>
      <c r="Y58" s="97">
        <v>255.47</v>
      </c>
      <c r="Z58" s="97">
        <v>250.0</v>
      </c>
      <c r="AA58" s="97">
        <v>5.47</v>
      </c>
      <c r="AB58" s="254">
        <f t="shared" si="11"/>
        <v>17.93400287</v>
      </c>
      <c r="AC58" s="54"/>
      <c r="AD58" s="54"/>
    </row>
    <row r="59">
      <c r="A59" s="54"/>
      <c r="B59" s="378">
        <v>45471.0</v>
      </c>
      <c r="C59" s="379"/>
      <c r="D59" s="386"/>
      <c r="E59" s="387">
        <v>1691367.0</v>
      </c>
      <c r="F59" s="328"/>
      <c r="G59" s="331"/>
      <c r="H59" s="330"/>
      <c r="I59" s="329"/>
      <c r="J59" s="392">
        <v>-340.0</v>
      </c>
      <c r="K59" s="97"/>
      <c r="L59" s="54"/>
      <c r="M59" s="54"/>
      <c r="N59" s="54"/>
      <c r="O59" s="54"/>
      <c r="P59" s="54"/>
      <c r="Q59" s="54"/>
      <c r="R59" s="382"/>
      <c r="S59" s="377"/>
      <c r="T59" s="94">
        <v>45487.0</v>
      </c>
      <c r="U59" s="96" t="s">
        <v>279</v>
      </c>
      <c r="V59" s="96">
        <v>1535092.0</v>
      </c>
      <c r="W59" s="96">
        <v>516.0</v>
      </c>
      <c r="X59" s="96" t="s">
        <v>362</v>
      </c>
      <c r="Y59" s="97">
        <v>255.5</v>
      </c>
      <c r="Z59" s="97">
        <v>250.0</v>
      </c>
      <c r="AA59" s="97">
        <v>5.5</v>
      </c>
      <c r="AB59" s="254">
        <f t="shared" si="11"/>
        <v>48.4496124</v>
      </c>
      <c r="AC59" s="54"/>
      <c r="AD59" s="54"/>
    </row>
    <row r="60">
      <c r="A60" s="54"/>
      <c r="B60" s="378">
        <v>45472.0</v>
      </c>
      <c r="C60" s="379"/>
      <c r="D60" s="386"/>
      <c r="E60" s="104">
        <v>1693886.0</v>
      </c>
      <c r="F60" s="328">
        <f t="shared" ref="F60:F61" si="12">E60-E59</f>
        <v>2519</v>
      </c>
      <c r="G60" s="328">
        <v>840.0</v>
      </c>
      <c r="H60" s="329">
        <v>157.0</v>
      </c>
      <c r="I60" s="329">
        <v>491.8</v>
      </c>
      <c r="J60" s="392">
        <v>4.2</v>
      </c>
      <c r="K60" s="202">
        <f t="shared" ref="K60:K61" si="13">I60/F60*100</f>
        <v>19.52362048</v>
      </c>
      <c r="L60" s="60"/>
      <c r="M60" s="54"/>
      <c r="N60" s="54"/>
      <c r="O60" s="54"/>
      <c r="P60" s="54"/>
      <c r="Q60" s="54"/>
      <c r="R60" s="382"/>
      <c r="S60" s="377"/>
      <c r="T60" s="94">
        <v>45488.0</v>
      </c>
      <c r="U60" s="96" t="s">
        <v>279</v>
      </c>
      <c r="V60" s="96">
        <v>1536098.0</v>
      </c>
      <c r="W60" s="96">
        <v>1006.0</v>
      </c>
      <c r="X60" s="96" t="s">
        <v>363</v>
      </c>
      <c r="Y60" s="97">
        <v>253.76</v>
      </c>
      <c r="Z60" s="97">
        <v>250.0</v>
      </c>
      <c r="AA60" s="97">
        <v>3.76</v>
      </c>
      <c r="AB60" s="254">
        <f t="shared" si="11"/>
        <v>24.85089463</v>
      </c>
      <c r="AC60" s="54"/>
      <c r="AD60" s="54"/>
    </row>
    <row r="61">
      <c r="A61" s="54"/>
      <c r="B61" s="378">
        <v>45473.0</v>
      </c>
      <c r="C61" s="379"/>
      <c r="D61" s="386"/>
      <c r="E61" s="104">
        <v>1694126.0</v>
      </c>
      <c r="F61" s="328">
        <f t="shared" si="12"/>
        <v>240</v>
      </c>
      <c r="G61" s="328">
        <v>1044.0</v>
      </c>
      <c r="H61" s="329">
        <v>278.0</v>
      </c>
      <c r="I61" s="329">
        <v>293.39</v>
      </c>
      <c r="J61" s="392">
        <v>-15.39</v>
      </c>
      <c r="K61" s="202">
        <f t="shared" si="13"/>
        <v>122.2458333</v>
      </c>
      <c r="L61" s="54"/>
      <c r="M61" s="54"/>
      <c r="N61" s="54"/>
      <c r="O61" s="54"/>
      <c r="P61" s="54"/>
      <c r="Q61" s="54"/>
      <c r="R61" s="382"/>
      <c r="S61" s="377"/>
      <c r="T61" s="94">
        <v>45490.0</v>
      </c>
      <c r="U61" s="96" t="s">
        <v>279</v>
      </c>
      <c r="V61" s="96">
        <v>1537001.0</v>
      </c>
      <c r="W61" s="96">
        <v>903.0</v>
      </c>
      <c r="X61" s="96" t="s">
        <v>364</v>
      </c>
      <c r="Y61" s="97">
        <v>252.23</v>
      </c>
      <c r="Z61" s="97">
        <v>250.0</v>
      </c>
      <c r="AA61" s="97">
        <v>2.23</v>
      </c>
      <c r="AB61" s="254">
        <f t="shared" si="11"/>
        <v>27.6854928</v>
      </c>
      <c r="AC61" s="54"/>
      <c r="AD61" s="54"/>
    </row>
    <row r="62">
      <c r="A62" s="66"/>
      <c r="B62" s="67" t="s">
        <v>92</v>
      </c>
      <c r="J62" s="66"/>
      <c r="K62" s="66"/>
      <c r="L62" s="66"/>
      <c r="M62" s="66"/>
      <c r="N62" s="66"/>
      <c r="O62" s="66"/>
      <c r="P62" s="66"/>
      <c r="Q62" s="66"/>
      <c r="R62" s="382"/>
      <c r="S62" s="377"/>
      <c r="T62" s="94">
        <v>45491.0</v>
      </c>
      <c r="U62" s="96" t="s">
        <v>279</v>
      </c>
      <c r="V62" s="96">
        <v>1537746.0</v>
      </c>
      <c r="W62" s="96">
        <v>745.0</v>
      </c>
      <c r="X62" s="96" t="s">
        <v>365</v>
      </c>
      <c r="Y62" s="97">
        <v>254.4</v>
      </c>
      <c r="Z62" s="97">
        <v>250.0</v>
      </c>
      <c r="AA62" s="97">
        <v>4.4</v>
      </c>
      <c r="AB62" s="254">
        <f t="shared" si="11"/>
        <v>33.55704698</v>
      </c>
      <c r="AC62" s="54"/>
      <c r="AD62" s="54"/>
    </row>
    <row r="63">
      <c r="A63" s="54"/>
      <c r="B63" s="201">
        <v>45474.0</v>
      </c>
      <c r="C63" s="201"/>
      <c r="D63" s="95"/>
      <c r="E63" s="128">
        <v>1695287.0</v>
      </c>
      <c r="F63" s="96">
        <v>1161.0</v>
      </c>
      <c r="G63" s="96">
        <v>1044.0</v>
      </c>
      <c r="H63" s="97">
        <v>314.0</v>
      </c>
      <c r="I63" s="97">
        <v>323.01</v>
      </c>
      <c r="J63" s="97">
        <v>-9.01</v>
      </c>
      <c r="K63" s="97">
        <v>27.82</v>
      </c>
      <c r="L63" s="54"/>
      <c r="M63" s="74" t="s">
        <v>94</v>
      </c>
      <c r="N63" s="75"/>
      <c r="O63" s="76"/>
      <c r="P63" s="54"/>
      <c r="Q63" s="54"/>
      <c r="R63" s="382"/>
      <c r="S63" s="377"/>
      <c r="T63" s="94">
        <v>45492.0</v>
      </c>
      <c r="U63" s="96" t="s">
        <v>279</v>
      </c>
      <c r="V63" s="96">
        <v>1538461.0</v>
      </c>
      <c r="W63" s="96">
        <v>715.0</v>
      </c>
      <c r="X63" s="96" t="s">
        <v>366</v>
      </c>
      <c r="Y63" s="97">
        <v>249.46</v>
      </c>
      <c r="Z63" s="97">
        <v>250.0</v>
      </c>
      <c r="AA63" s="97">
        <v>-0.54</v>
      </c>
      <c r="AB63" s="254">
        <f t="shared" si="11"/>
        <v>34.96503497</v>
      </c>
      <c r="AC63" s="54"/>
      <c r="AD63" s="54"/>
    </row>
    <row r="64">
      <c r="A64" s="54"/>
      <c r="B64" s="201">
        <v>45475.0</v>
      </c>
      <c r="C64" s="201"/>
      <c r="D64" s="95"/>
      <c r="E64" s="128">
        <v>1695821.0</v>
      </c>
      <c r="F64" s="96">
        <v>534.0</v>
      </c>
      <c r="G64" s="96">
        <v>1038.0</v>
      </c>
      <c r="H64" s="97">
        <v>125.0</v>
      </c>
      <c r="I64" s="97">
        <v>130.0</v>
      </c>
      <c r="J64" s="97">
        <v>-5.0</v>
      </c>
      <c r="K64" s="97">
        <v>24.34</v>
      </c>
      <c r="L64" s="54"/>
      <c r="M64" s="77" t="s">
        <v>70</v>
      </c>
      <c r="N64" s="77" t="s">
        <v>71</v>
      </c>
      <c r="O64" s="77" t="s">
        <v>27</v>
      </c>
      <c r="P64" s="54"/>
      <c r="Q64" s="54"/>
      <c r="R64" s="382"/>
      <c r="S64" s="377"/>
      <c r="T64" s="94">
        <v>45493.0</v>
      </c>
      <c r="U64" s="96" t="s">
        <v>279</v>
      </c>
      <c r="V64" s="96">
        <v>1539207.0</v>
      </c>
      <c r="W64" s="96">
        <v>746.0</v>
      </c>
      <c r="X64" s="96" t="s">
        <v>367</v>
      </c>
      <c r="Y64" s="97">
        <v>212.53</v>
      </c>
      <c r="Z64" s="97">
        <v>223.0</v>
      </c>
      <c r="AA64" s="97">
        <v>-10.47</v>
      </c>
      <c r="AB64" s="254">
        <f t="shared" si="11"/>
        <v>29.89276139</v>
      </c>
      <c r="AC64" s="54"/>
      <c r="AD64" s="54"/>
    </row>
    <row r="65">
      <c r="A65" s="54"/>
      <c r="B65" s="201">
        <v>45476.0</v>
      </c>
      <c r="C65" s="201"/>
      <c r="D65" s="95"/>
      <c r="E65" s="128">
        <v>1696977.0</v>
      </c>
      <c r="F65" s="96">
        <v>1156.0</v>
      </c>
      <c r="G65" s="96">
        <v>1044.0</v>
      </c>
      <c r="H65" s="97">
        <v>339.0</v>
      </c>
      <c r="I65" s="97">
        <v>350.23</v>
      </c>
      <c r="J65" s="97">
        <v>-11.23</v>
      </c>
      <c r="K65" s="97">
        <v>30.3</v>
      </c>
      <c r="L65" s="54"/>
      <c r="M65" s="79">
        <f>SUM(F63:F87)</f>
        <v>23165</v>
      </c>
      <c r="N65" s="79">
        <f>SUM(I63:I87)</f>
        <v>6718.75</v>
      </c>
      <c r="O65" s="214">
        <f>N65/M65*100</f>
        <v>29.00388517</v>
      </c>
      <c r="P65" s="54"/>
      <c r="Q65" s="54"/>
      <c r="R65" s="382"/>
      <c r="S65" s="377"/>
      <c r="T65" s="94">
        <v>45494.0</v>
      </c>
      <c r="U65" s="96" t="s">
        <v>279</v>
      </c>
      <c r="V65" s="96">
        <v>1540178.0</v>
      </c>
      <c r="W65" s="96">
        <v>971.0</v>
      </c>
      <c r="X65" s="96" t="s">
        <v>368</v>
      </c>
      <c r="Y65" s="97">
        <v>266.65</v>
      </c>
      <c r="Z65" s="97">
        <v>280.15</v>
      </c>
      <c r="AA65" s="97">
        <v>-13.5</v>
      </c>
      <c r="AB65" s="254">
        <f t="shared" si="11"/>
        <v>28.85169928</v>
      </c>
      <c r="AC65" s="54"/>
      <c r="AD65" s="54"/>
    </row>
    <row r="66">
      <c r="A66" s="54"/>
      <c r="B66" s="201">
        <v>45477.0</v>
      </c>
      <c r="C66" s="201"/>
      <c r="D66" s="95"/>
      <c r="E66" s="128">
        <v>1698032.0</v>
      </c>
      <c r="F66" s="96">
        <v>1055.0</v>
      </c>
      <c r="G66" s="96">
        <v>1039.0</v>
      </c>
      <c r="H66" s="97">
        <v>301.0</v>
      </c>
      <c r="I66" s="97">
        <v>312.04</v>
      </c>
      <c r="J66" s="97">
        <v>-11.04</v>
      </c>
      <c r="K66" s="97">
        <v>29.58</v>
      </c>
      <c r="L66" s="54"/>
      <c r="P66" s="54"/>
      <c r="Q66" s="54"/>
      <c r="R66" s="382"/>
      <c r="S66" s="377"/>
      <c r="T66" s="94">
        <v>45496.0</v>
      </c>
      <c r="U66" s="96" t="s">
        <v>279</v>
      </c>
      <c r="V66" s="96">
        <v>1541006.0</v>
      </c>
      <c r="W66" s="96">
        <v>828.0</v>
      </c>
      <c r="X66" s="96" t="s">
        <v>369</v>
      </c>
      <c r="Y66" s="97">
        <v>215.46</v>
      </c>
      <c r="Z66" s="97">
        <v>229.07</v>
      </c>
      <c r="AA66" s="97">
        <v>-13.61</v>
      </c>
      <c r="AB66" s="254">
        <f t="shared" si="11"/>
        <v>27.66545894</v>
      </c>
      <c r="AC66" s="54"/>
      <c r="AD66" s="54"/>
    </row>
    <row r="67">
      <c r="A67" s="54"/>
      <c r="B67" s="201">
        <v>45479.0</v>
      </c>
      <c r="C67" s="201"/>
      <c r="D67" s="95"/>
      <c r="E67" s="128">
        <v>1698997.0</v>
      </c>
      <c r="F67" s="96">
        <v>965.0</v>
      </c>
      <c r="G67" s="96">
        <v>1041.0</v>
      </c>
      <c r="H67" s="97">
        <v>271.0</v>
      </c>
      <c r="I67" s="97">
        <v>281.58</v>
      </c>
      <c r="J67" s="97">
        <v>-10.58</v>
      </c>
      <c r="K67" s="97">
        <v>29.18</v>
      </c>
      <c r="L67" s="54"/>
      <c r="P67" s="54"/>
      <c r="Q67" s="54"/>
      <c r="R67" s="382"/>
      <c r="S67" s="377"/>
      <c r="T67" s="94">
        <v>45498.0</v>
      </c>
      <c r="U67" s="96" t="s">
        <v>279</v>
      </c>
      <c r="V67" s="96">
        <v>1542310.0</v>
      </c>
      <c r="W67" s="96">
        <v>1304.0</v>
      </c>
      <c r="X67" s="96" t="s">
        <v>370</v>
      </c>
      <c r="Y67" s="97">
        <v>306.35</v>
      </c>
      <c r="Z67" s="97">
        <v>300.0</v>
      </c>
      <c r="AA67" s="97">
        <v>6.35</v>
      </c>
      <c r="AB67" s="254">
        <f t="shared" si="11"/>
        <v>23.00613497</v>
      </c>
      <c r="AC67" s="54"/>
      <c r="AD67" s="54"/>
    </row>
    <row r="68">
      <c r="A68" s="54"/>
      <c r="B68" s="201">
        <v>45480.0</v>
      </c>
      <c r="C68" s="201"/>
      <c r="D68" s="95"/>
      <c r="E68" s="128">
        <v>1700155.0</v>
      </c>
      <c r="F68" s="96">
        <v>1158.0</v>
      </c>
      <c r="G68" s="96">
        <v>1042.0</v>
      </c>
      <c r="H68" s="97">
        <v>339.0</v>
      </c>
      <c r="I68" s="97">
        <v>346.93</v>
      </c>
      <c r="J68" s="97">
        <v>-7.93</v>
      </c>
      <c r="K68" s="97">
        <v>29.96</v>
      </c>
      <c r="L68" s="54"/>
      <c r="P68" s="54"/>
      <c r="Q68" s="54"/>
      <c r="R68" s="382"/>
      <c r="S68" s="377"/>
      <c r="T68" s="94">
        <v>45499.0</v>
      </c>
      <c r="U68" s="96" t="s">
        <v>279</v>
      </c>
      <c r="V68" s="96">
        <v>1543281.0</v>
      </c>
      <c r="W68" s="96">
        <v>971.0</v>
      </c>
      <c r="X68" s="96" t="s">
        <v>371</v>
      </c>
      <c r="Y68" s="97">
        <v>310.19</v>
      </c>
      <c r="Z68" s="97">
        <v>320.9</v>
      </c>
      <c r="AA68" s="97">
        <v>-10.71</v>
      </c>
      <c r="AB68" s="254">
        <f t="shared" si="11"/>
        <v>33.04840371</v>
      </c>
      <c r="AC68" s="54"/>
      <c r="AD68" s="54"/>
    </row>
    <row r="69">
      <c r="A69" s="54"/>
      <c r="B69" s="201">
        <v>45482.0</v>
      </c>
      <c r="C69" s="201"/>
      <c r="D69" s="95"/>
      <c r="E69" s="128">
        <v>1701223.0</v>
      </c>
      <c r="F69" s="96">
        <v>1068.0</v>
      </c>
      <c r="G69" s="96">
        <v>1040.0</v>
      </c>
      <c r="H69" s="97">
        <v>301.0</v>
      </c>
      <c r="I69" s="97">
        <v>310.01</v>
      </c>
      <c r="J69" s="97">
        <v>-9.01</v>
      </c>
      <c r="K69" s="97">
        <v>29.03</v>
      </c>
      <c r="L69" s="54"/>
      <c r="M69" s="54"/>
      <c r="N69" s="54"/>
      <c r="O69" s="54"/>
      <c r="P69" s="54"/>
      <c r="Q69" s="54"/>
      <c r="R69" s="382"/>
      <c r="S69" s="377"/>
      <c r="T69" s="94">
        <v>45501.0</v>
      </c>
      <c r="U69" s="96" t="s">
        <v>279</v>
      </c>
      <c r="V69" s="96">
        <v>1544485.0</v>
      </c>
      <c r="W69" s="96">
        <v>1204.0</v>
      </c>
      <c r="X69" s="96" t="s">
        <v>372</v>
      </c>
      <c r="Y69" s="97">
        <v>326.38</v>
      </c>
      <c r="Z69" s="97">
        <v>335.01</v>
      </c>
      <c r="AA69" s="97">
        <v>-8.63</v>
      </c>
      <c r="AB69" s="254">
        <f t="shared" si="11"/>
        <v>27.82475083</v>
      </c>
      <c r="AC69" s="54"/>
      <c r="AD69" s="54"/>
    </row>
    <row r="70">
      <c r="A70" s="54"/>
      <c r="B70" s="201">
        <v>45483.0</v>
      </c>
      <c r="C70" s="201"/>
      <c r="D70" s="95"/>
      <c r="E70" s="128">
        <v>1702002.0</v>
      </c>
      <c r="F70" s="96">
        <v>779.0</v>
      </c>
      <c r="G70" s="96">
        <v>1041.0</v>
      </c>
      <c r="H70" s="97">
        <v>224.0</v>
      </c>
      <c r="I70" s="97">
        <v>236.0</v>
      </c>
      <c r="J70" s="97">
        <v>-12.0</v>
      </c>
      <c r="K70" s="97">
        <v>30.3</v>
      </c>
      <c r="L70" s="54"/>
      <c r="M70" s="54"/>
      <c r="N70" s="54"/>
      <c r="O70" s="54"/>
      <c r="P70" s="54"/>
      <c r="Q70" s="54"/>
      <c r="R70" s="382"/>
      <c r="S70" s="377"/>
      <c r="T70" s="94">
        <v>45504.0</v>
      </c>
      <c r="U70" s="96" t="s">
        <v>279</v>
      </c>
      <c r="V70" s="96">
        <v>1545780.0</v>
      </c>
      <c r="W70" s="96">
        <v>1295.0</v>
      </c>
      <c r="X70" s="96" t="s">
        <v>373</v>
      </c>
      <c r="Y70" s="97">
        <v>359.8</v>
      </c>
      <c r="Z70" s="97">
        <v>370.0</v>
      </c>
      <c r="AA70" s="97">
        <v>-10.2</v>
      </c>
      <c r="AB70" s="254">
        <f t="shared" si="11"/>
        <v>28.57142857</v>
      </c>
      <c r="AC70" s="54"/>
      <c r="AD70" s="54"/>
    </row>
    <row r="71">
      <c r="A71" s="54"/>
      <c r="B71" s="201">
        <v>45484.0</v>
      </c>
      <c r="C71" s="201"/>
      <c r="D71" s="95"/>
      <c r="E71" s="128">
        <v>1703081.0</v>
      </c>
      <c r="F71" s="96">
        <v>1079.0</v>
      </c>
      <c r="G71" s="96">
        <v>1041.0</v>
      </c>
      <c r="H71" s="97">
        <v>307.0</v>
      </c>
      <c r="I71" s="97">
        <v>316.45</v>
      </c>
      <c r="J71" s="97">
        <v>-9.45</v>
      </c>
      <c r="K71" s="97">
        <v>29.33</v>
      </c>
      <c r="L71" s="54"/>
      <c r="M71" s="54"/>
      <c r="N71" s="54"/>
      <c r="O71" s="54"/>
      <c r="P71" s="54"/>
      <c r="Q71" s="54"/>
      <c r="R71" s="382"/>
      <c r="S71" s="372"/>
      <c r="T71" s="67" t="s">
        <v>95</v>
      </c>
      <c r="AA71" s="66"/>
      <c r="AB71" s="242"/>
      <c r="AC71" s="66"/>
      <c r="AD71" s="66"/>
    </row>
    <row r="72">
      <c r="A72" s="54"/>
      <c r="B72" s="98">
        <v>45486.0</v>
      </c>
      <c r="C72" s="98"/>
      <c r="D72" s="99"/>
      <c r="E72" s="104">
        <v>1704336.0</v>
      </c>
      <c r="F72" s="99">
        <f t="shared" ref="F72:F87" si="14">E72-E71</f>
        <v>1255</v>
      </c>
      <c r="G72" s="100">
        <v>1042.0</v>
      </c>
      <c r="H72" s="101">
        <v>351.0</v>
      </c>
      <c r="I72" s="101">
        <v>362.88</v>
      </c>
      <c r="J72" s="102">
        <f t="shared" ref="J72:J87" si="15">H72-I72</f>
        <v>-11.88</v>
      </c>
      <c r="K72" s="103">
        <f t="shared" ref="K72:K87" si="16">I72/F72*100</f>
        <v>28.91474104</v>
      </c>
      <c r="L72" s="54"/>
      <c r="M72" s="54"/>
      <c r="N72" s="54"/>
      <c r="O72" s="54"/>
      <c r="P72" s="54"/>
      <c r="Q72" s="54"/>
      <c r="R72" s="382"/>
      <c r="S72" s="377"/>
      <c r="T72" s="94">
        <v>45509.0</v>
      </c>
      <c r="U72" s="96" t="s">
        <v>279</v>
      </c>
      <c r="V72" s="96">
        <v>1547126.0</v>
      </c>
      <c r="W72" s="96">
        <v>1346.0</v>
      </c>
      <c r="X72" s="96" t="s">
        <v>374</v>
      </c>
      <c r="Y72" s="97">
        <v>349.94</v>
      </c>
      <c r="Z72" s="97">
        <v>356.0</v>
      </c>
      <c r="AA72" s="97">
        <v>-6.06</v>
      </c>
      <c r="AB72" s="254">
        <f t="shared" ref="AB72:AB80" si="17">Z72/W72*100</f>
        <v>26.448737</v>
      </c>
      <c r="AC72" s="54"/>
      <c r="AD72" s="54"/>
    </row>
    <row r="73">
      <c r="A73" s="54"/>
      <c r="B73" s="98">
        <v>45487.0</v>
      </c>
      <c r="C73" s="98"/>
      <c r="D73" s="99"/>
      <c r="E73" s="104">
        <v>1705335.0</v>
      </c>
      <c r="F73" s="99">
        <f t="shared" si="14"/>
        <v>999</v>
      </c>
      <c r="G73" s="100">
        <v>1041.0</v>
      </c>
      <c r="H73" s="101">
        <v>272.0</v>
      </c>
      <c r="I73" s="101">
        <v>282.0</v>
      </c>
      <c r="J73" s="102">
        <f t="shared" si="15"/>
        <v>-10</v>
      </c>
      <c r="K73" s="103">
        <f t="shared" si="16"/>
        <v>28.22822823</v>
      </c>
      <c r="L73" s="54"/>
      <c r="M73" s="54"/>
      <c r="N73" s="54"/>
      <c r="O73" s="54"/>
      <c r="P73" s="54"/>
      <c r="Q73" s="54"/>
      <c r="R73" s="382"/>
      <c r="S73" s="377"/>
      <c r="T73" s="94">
        <v>45511.0</v>
      </c>
      <c r="U73" s="96" t="s">
        <v>279</v>
      </c>
      <c r="V73" s="96">
        <v>1548541.0</v>
      </c>
      <c r="W73" s="96">
        <v>1415.0</v>
      </c>
      <c r="X73" s="96" t="s">
        <v>375</v>
      </c>
      <c r="Y73" s="97">
        <v>381.72</v>
      </c>
      <c r="Z73" s="97">
        <v>392.68</v>
      </c>
      <c r="AA73" s="97">
        <v>-10.96</v>
      </c>
      <c r="AB73" s="254">
        <f t="shared" si="17"/>
        <v>27.75123675</v>
      </c>
      <c r="AC73" s="54"/>
      <c r="AD73" s="54"/>
    </row>
    <row r="74">
      <c r="A74" s="54"/>
      <c r="B74" s="98">
        <v>45489.0</v>
      </c>
      <c r="C74" s="98"/>
      <c r="D74" s="102"/>
      <c r="E74" s="104">
        <v>1706286.0</v>
      </c>
      <c r="F74" s="99">
        <f t="shared" si="14"/>
        <v>951</v>
      </c>
      <c r="G74" s="100">
        <v>1043.0</v>
      </c>
      <c r="H74" s="101">
        <v>270.0</v>
      </c>
      <c r="I74" s="102">
        <f>300-18.09</f>
        <v>281.91</v>
      </c>
      <c r="J74" s="102">
        <f t="shared" si="15"/>
        <v>-11.91</v>
      </c>
      <c r="K74" s="103">
        <f t="shared" si="16"/>
        <v>29.64353312</v>
      </c>
      <c r="L74" s="54"/>
      <c r="M74" s="54"/>
      <c r="N74" s="54"/>
      <c r="O74" s="54"/>
      <c r="P74" s="54"/>
      <c r="Q74" s="54"/>
      <c r="R74" s="382"/>
      <c r="S74" s="377"/>
      <c r="T74" s="94">
        <v>45513.0</v>
      </c>
      <c r="U74" s="96" t="s">
        <v>279</v>
      </c>
      <c r="V74" s="96">
        <v>1550138.0</v>
      </c>
      <c r="W74" s="96">
        <v>1597.0</v>
      </c>
      <c r="X74" s="96" t="s">
        <v>376</v>
      </c>
      <c r="Y74" s="97">
        <v>308.64</v>
      </c>
      <c r="Z74" s="97">
        <v>300.0</v>
      </c>
      <c r="AA74" s="97">
        <v>8.64</v>
      </c>
      <c r="AB74" s="254">
        <f t="shared" si="17"/>
        <v>18.78522229</v>
      </c>
      <c r="AC74" s="54"/>
      <c r="AD74" s="54"/>
    </row>
    <row r="75">
      <c r="A75" s="54"/>
      <c r="B75" s="98">
        <v>45490.0</v>
      </c>
      <c r="C75" s="98"/>
      <c r="D75" s="102"/>
      <c r="E75" s="104">
        <v>1707448.0</v>
      </c>
      <c r="F75" s="99">
        <f t="shared" si="14"/>
        <v>1162</v>
      </c>
      <c r="G75" s="100">
        <v>1042.0</v>
      </c>
      <c r="H75" s="101">
        <v>329.0</v>
      </c>
      <c r="I75" s="101">
        <v>335.83</v>
      </c>
      <c r="J75" s="102">
        <f t="shared" si="15"/>
        <v>-6.83</v>
      </c>
      <c r="K75" s="103">
        <f t="shared" si="16"/>
        <v>28.9010327</v>
      </c>
      <c r="L75" s="54"/>
      <c r="M75" s="54"/>
      <c r="N75" s="54"/>
      <c r="O75" s="54"/>
      <c r="P75" s="54"/>
      <c r="Q75" s="54"/>
      <c r="R75" s="382"/>
      <c r="S75" s="377"/>
      <c r="T75" s="94">
        <v>45517.0</v>
      </c>
      <c r="U75" s="96" t="s">
        <v>279</v>
      </c>
      <c r="V75" s="96">
        <v>1550729.0</v>
      </c>
      <c r="W75" s="96">
        <v>591.0</v>
      </c>
      <c r="X75" s="96" t="s">
        <v>377</v>
      </c>
      <c r="Y75" s="97">
        <v>258.9</v>
      </c>
      <c r="Z75" s="97">
        <v>270.89</v>
      </c>
      <c r="AA75" s="97">
        <v>-11.99</v>
      </c>
      <c r="AB75" s="254">
        <f t="shared" si="17"/>
        <v>45.8358714</v>
      </c>
      <c r="AC75" s="54"/>
      <c r="AD75" s="54"/>
    </row>
    <row r="76">
      <c r="A76" s="54"/>
      <c r="B76" s="98">
        <v>45491.0</v>
      </c>
      <c r="C76" s="98"/>
      <c r="D76" s="102"/>
      <c r="E76" s="100">
        <v>1708475.0</v>
      </c>
      <c r="F76" s="99">
        <f t="shared" si="14"/>
        <v>1027</v>
      </c>
      <c r="G76" s="100">
        <v>849.0</v>
      </c>
      <c r="H76" s="101">
        <v>97.0</v>
      </c>
      <c r="I76" s="101">
        <v>100.0</v>
      </c>
      <c r="J76" s="102">
        <f t="shared" si="15"/>
        <v>-3</v>
      </c>
      <c r="K76" s="103">
        <f t="shared" si="16"/>
        <v>9.737098345</v>
      </c>
      <c r="L76" s="54"/>
      <c r="M76" s="54"/>
      <c r="N76" s="54"/>
      <c r="O76" s="54"/>
      <c r="P76" s="54"/>
      <c r="Q76" s="54"/>
      <c r="R76" s="382"/>
      <c r="S76" s="377"/>
      <c r="T76" s="94">
        <v>45519.0</v>
      </c>
      <c r="U76" s="96" t="s">
        <v>279</v>
      </c>
      <c r="V76" s="96">
        <v>1552060.0</v>
      </c>
      <c r="W76" s="96">
        <v>1331.0</v>
      </c>
      <c r="X76" s="96" t="s">
        <v>378</v>
      </c>
      <c r="Y76" s="97">
        <v>307.5</v>
      </c>
      <c r="Z76" s="97">
        <v>300.0</v>
      </c>
      <c r="AA76" s="97">
        <v>7.5</v>
      </c>
      <c r="AB76" s="254">
        <f t="shared" si="17"/>
        <v>22.53944403</v>
      </c>
      <c r="AC76" s="54"/>
      <c r="AD76" s="54"/>
    </row>
    <row r="77">
      <c r="A77" s="54"/>
      <c r="B77" s="98">
        <v>45492.0</v>
      </c>
      <c r="C77" s="98"/>
      <c r="D77" s="102"/>
      <c r="E77" s="104">
        <v>1708890.0</v>
      </c>
      <c r="F77" s="99">
        <f t="shared" si="14"/>
        <v>415</v>
      </c>
      <c r="G77" s="100">
        <v>1032.0</v>
      </c>
      <c r="H77" s="101">
        <v>305.0</v>
      </c>
      <c r="I77" s="101">
        <v>300.0</v>
      </c>
      <c r="J77" s="102">
        <f t="shared" si="15"/>
        <v>5</v>
      </c>
      <c r="K77" s="103">
        <f t="shared" si="16"/>
        <v>72.28915663</v>
      </c>
      <c r="L77" s="54"/>
      <c r="M77" s="54"/>
      <c r="N77" s="54"/>
      <c r="O77" s="54"/>
      <c r="P77" s="54"/>
      <c r="Q77" s="54"/>
      <c r="R77" s="382"/>
      <c r="S77" s="377"/>
      <c r="T77" s="94">
        <v>45522.0</v>
      </c>
      <c r="U77" s="96" t="s">
        <v>279</v>
      </c>
      <c r="V77" s="96">
        <v>1553032.0</v>
      </c>
      <c r="W77" s="96">
        <v>972.0</v>
      </c>
      <c r="X77" s="96" t="s">
        <v>379</v>
      </c>
      <c r="Y77" s="97">
        <v>328.24</v>
      </c>
      <c r="Z77" s="97">
        <v>340.0</v>
      </c>
      <c r="AA77" s="97">
        <v>-11.76</v>
      </c>
      <c r="AB77" s="254">
        <f t="shared" si="17"/>
        <v>34.97942387</v>
      </c>
      <c r="AC77" s="54"/>
      <c r="AD77" s="54"/>
    </row>
    <row r="78">
      <c r="A78" s="54"/>
      <c r="B78" s="98">
        <v>45493.0</v>
      </c>
      <c r="C78" s="98"/>
      <c r="D78" s="102"/>
      <c r="E78" s="104">
        <v>1709696.0</v>
      </c>
      <c r="F78" s="99">
        <f t="shared" si="14"/>
        <v>806</v>
      </c>
      <c r="G78" s="100">
        <v>1041.0</v>
      </c>
      <c r="H78" s="101">
        <v>245.0</v>
      </c>
      <c r="I78" s="101">
        <v>255.0</v>
      </c>
      <c r="J78" s="102">
        <f t="shared" si="15"/>
        <v>-10</v>
      </c>
      <c r="K78" s="103">
        <f t="shared" si="16"/>
        <v>31.63771712</v>
      </c>
      <c r="L78" s="54"/>
      <c r="M78" s="54"/>
      <c r="N78" s="54"/>
      <c r="O78" s="54"/>
      <c r="P78" s="54"/>
      <c r="Q78" s="54"/>
      <c r="R78" s="382"/>
      <c r="S78" s="377"/>
      <c r="T78" s="94">
        <v>45524.0</v>
      </c>
      <c r="U78" s="96" t="s">
        <v>279</v>
      </c>
      <c r="V78" s="96">
        <v>1554276.0</v>
      </c>
      <c r="W78" s="96">
        <v>1244.0</v>
      </c>
      <c r="X78" s="96" t="s">
        <v>380</v>
      </c>
      <c r="Y78" s="97">
        <v>307.21</v>
      </c>
      <c r="Z78" s="97">
        <v>300.0</v>
      </c>
      <c r="AA78" s="97">
        <v>7.21</v>
      </c>
      <c r="AB78" s="254">
        <f t="shared" si="17"/>
        <v>24.11575563</v>
      </c>
      <c r="AC78" s="54"/>
      <c r="AD78" s="54"/>
    </row>
    <row r="79">
      <c r="A79" s="54"/>
      <c r="B79" s="98">
        <v>45495.0</v>
      </c>
      <c r="C79" s="98"/>
      <c r="D79" s="99"/>
      <c r="E79" s="100">
        <v>1710682.0</v>
      </c>
      <c r="F79" s="99">
        <f t="shared" si="14"/>
        <v>986</v>
      </c>
      <c r="G79" s="100">
        <v>1043.0</v>
      </c>
      <c r="H79" s="101">
        <v>274.0</v>
      </c>
      <c r="I79" s="101">
        <v>287.01</v>
      </c>
      <c r="J79" s="102">
        <f t="shared" si="15"/>
        <v>-13.01</v>
      </c>
      <c r="K79" s="103">
        <f t="shared" si="16"/>
        <v>29.10851927</v>
      </c>
      <c r="L79" s="54"/>
      <c r="M79" s="54"/>
      <c r="N79" s="54"/>
      <c r="O79" s="54"/>
      <c r="P79" s="54"/>
      <c r="Q79" s="54"/>
      <c r="R79" s="382"/>
      <c r="S79" s="377"/>
      <c r="T79" s="94">
        <v>45526.0</v>
      </c>
      <c r="U79" s="96" t="s">
        <v>279</v>
      </c>
      <c r="V79" s="96">
        <v>1555420.0</v>
      </c>
      <c r="W79" s="96">
        <v>1144.0</v>
      </c>
      <c r="X79" s="96" t="s">
        <v>381</v>
      </c>
      <c r="Y79" s="97">
        <v>305.57</v>
      </c>
      <c r="Z79" s="97">
        <v>300.0</v>
      </c>
      <c r="AA79" s="97">
        <v>5.57</v>
      </c>
      <c r="AB79" s="254">
        <f t="shared" si="17"/>
        <v>26.22377622</v>
      </c>
      <c r="AC79" s="54"/>
      <c r="AD79" s="54"/>
    </row>
    <row r="80">
      <c r="A80" s="54"/>
      <c r="B80" s="98">
        <v>45496.0</v>
      </c>
      <c r="C80" s="98"/>
      <c r="D80" s="99"/>
      <c r="E80" s="104">
        <v>1711439.0</v>
      </c>
      <c r="F80" s="99">
        <f t="shared" si="14"/>
        <v>757</v>
      </c>
      <c r="G80" s="100">
        <v>940.0</v>
      </c>
      <c r="H80" s="101">
        <v>99.0</v>
      </c>
      <c r="I80" s="101">
        <v>99.79</v>
      </c>
      <c r="J80" s="102">
        <f t="shared" si="15"/>
        <v>-0.79</v>
      </c>
      <c r="K80" s="103">
        <f t="shared" si="16"/>
        <v>13.18229855</v>
      </c>
      <c r="L80" s="54"/>
      <c r="M80" s="54"/>
      <c r="N80" s="54"/>
      <c r="O80" s="54"/>
      <c r="P80" s="54"/>
      <c r="Q80" s="54"/>
      <c r="R80" s="382"/>
      <c r="S80" s="377"/>
      <c r="T80" s="94">
        <v>45527.0</v>
      </c>
      <c r="U80" s="96" t="s">
        <v>279</v>
      </c>
      <c r="V80" s="96">
        <v>1556472.0</v>
      </c>
      <c r="W80" s="96">
        <v>1052.0</v>
      </c>
      <c r="X80" s="96" t="s">
        <v>382</v>
      </c>
      <c r="Y80" s="97">
        <v>350.34</v>
      </c>
      <c r="Z80" s="97">
        <v>360.02</v>
      </c>
      <c r="AA80" s="97">
        <v>-9.68</v>
      </c>
      <c r="AB80" s="254">
        <f t="shared" si="17"/>
        <v>34.22243346</v>
      </c>
      <c r="AC80" s="54"/>
      <c r="AD80" s="54"/>
    </row>
    <row r="81">
      <c r="A81" s="54"/>
      <c r="B81" s="98">
        <v>45496.0</v>
      </c>
      <c r="C81" s="98"/>
      <c r="D81" s="99"/>
      <c r="E81" s="104">
        <v>1711854.0</v>
      </c>
      <c r="F81" s="99">
        <f t="shared" si="14"/>
        <v>415</v>
      </c>
      <c r="G81" s="100">
        <v>1041.0</v>
      </c>
      <c r="H81" s="101">
        <v>219.0</v>
      </c>
      <c r="I81" s="101">
        <v>229.62</v>
      </c>
      <c r="J81" s="102">
        <f t="shared" si="15"/>
        <v>-10.62</v>
      </c>
      <c r="K81" s="103">
        <f t="shared" si="16"/>
        <v>55.33012048</v>
      </c>
      <c r="L81" s="54"/>
      <c r="M81" s="54"/>
      <c r="N81" s="54"/>
      <c r="O81" s="54"/>
      <c r="P81" s="54"/>
      <c r="Q81" s="54"/>
      <c r="R81" s="382"/>
      <c r="S81" s="377"/>
      <c r="T81" s="94"/>
      <c r="U81" s="96"/>
      <c r="V81" s="96"/>
      <c r="W81" s="96"/>
      <c r="X81" s="96"/>
      <c r="Y81" s="97"/>
      <c r="Z81" s="97"/>
      <c r="AA81" s="97"/>
      <c r="AB81" s="254"/>
      <c r="AC81" s="54"/>
      <c r="AD81" s="54"/>
    </row>
    <row r="82">
      <c r="A82" s="54"/>
      <c r="B82" s="98">
        <v>45498.0</v>
      </c>
      <c r="C82" s="98"/>
      <c r="D82" s="99"/>
      <c r="E82" s="104">
        <v>1712881.0</v>
      </c>
      <c r="F82" s="99">
        <f t="shared" si="14"/>
        <v>1027</v>
      </c>
      <c r="G82" s="100">
        <v>1040.0</v>
      </c>
      <c r="H82" s="101">
        <v>291.0</v>
      </c>
      <c r="I82" s="101">
        <v>303.32</v>
      </c>
      <c r="J82" s="102">
        <f t="shared" si="15"/>
        <v>-12.32</v>
      </c>
      <c r="K82" s="103">
        <f t="shared" si="16"/>
        <v>29.5345667</v>
      </c>
      <c r="L82" s="54"/>
      <c r="M82" s="54"/>
      <c r="N82" s="54"/>
      <c r="O82" s="54"/>
      <c r="P82" s="54"/>
      <c r="Q82" s="54"/>
      <c r="R82" s="382"/>
      <c r="S82" s="377"/>
      <c r="T82" s="94">
        <v>45529.0</v>
      </c>
      <c r="U82" s="96" t="s">
        <v>279</v>
      </c>
      <c r="V82" s="96">
        <v>1557987.0</v>
      </c>
      <c r="W82" s="96">
        <v>1515.0</v>
      </c>
      <c r="X82" s="96" t="s">
        <v>383</v>
      </c>
      <c r="Y82" s="97">
        <v>306.47</v>
      </c>
      <c r="Z82" s="97">
        <v>300.0</v>
      </c>
      <c r="AA82" s="97">
        <v>6.47</v>
      </c>
      <c r="AB82" s="254">
        <f t="shared" ref="AB82:AB86" si="18">Z82/W82*100</f>
        <v>19.8019802</v>
      </c>
      <c r="AC82" s="54"/>
      <c r="AD82" s="54"/>
    </row>
    <row r="83">
      <c r="A83" s="54"/>
      <c r="B83" s="98">
        <v>45499.0</v>
      </c>
      <c r="C83" s="98"/>
      <c r="D83" s="99"/>
      <c r="E83" s="104">
        <v>1714069.0</v>
      </c>
      <c r="F83" s="99">
        <f t="shared" si="14"/>
        <v>1188</v>
      </c>
      <c r="G83" s="100">
        <v>1041.0</v>
      </c>
      <c r="H83" s="101">
        <v>334.0</v>
      </c>
      <c r="I83" s="101">
        <v>341.64</v>
      </c>
      <c r="J83" s="102">
        <f t="shared" si="15"/>
        <v>-7.64</v>
      </c>
      <c r="K83" s="103">
        <f t="shared" si="16"/>
        <v>28.75757576</v>
      </c>
      <c r="L83" s="54"/>
      <c r="M83" s="54"/>
      <c r="N83" s="54"/>
      <c r="O83" s="54"/>
      <c r="P83" s="54"/>
      <c r="Q83" s="54"/>
      <c r="R83" s="382"/>
      <c r="S83" s="377"/>
      <c r="T83" s="94">
        <v>45530.0</v>
      </c>
      <c r="U83" s="96" t="s">
        <v>279</v>
      </c>
      <c r="V83" s="96">
        <v>1558732.0</v>
      </c>
      <c r="W83" s="96">
        <v>745.0</v>
      </c>
      <c r="X83" s="96" t="s">
        <v>384</v>
      </c>
      <c r="Y83" s="97">
        <v>304.88</v>
      </c>
      <c r="Z83" s="97">
        <v>300.0</v>
      </c>
      <c r="AA83" s="97">
        <v>4.88</v>
      </c>
      <c r="AB83" s="254">
        <f t="shared" si="18"/>
        <v>40.26845638</v>
      </c>
      <c r="AC83" s="54"/>
      <c r="AD83" s="54"/>
    </row>
    <row r="84">
      <c r="A84" s="54"/>
      <c r="B84" s="98">
        <v>45500.0</v>
      </c>
      <c r="C84" s="98"/>
      <c r="D84" s="99"/>
      <c r="E84" s="104">
        <v>1714957.0</v>
      </c>
      <c r="F84" s="99">
        <f t="shared" si="14"/>
        <v>888</v>
      </c>
      <c r="G84" s="100">
        <v>1041.0</v>
      </c>
      <c r="H84" s="101">
        <v>256.0</v>
      </c>
      <c r="I84" s="101">
        <v>267.82</v>
      </c>
      <c r="J84" s="102">
        <f t="shared" si="15"/>
        <v>-11.82</v>
      </c>
      <c r="K84" s="103">
        <f t="shared" si="16"/>
        <v>30.15990991</v>
      </c>
      <c r="L84" s="54"/>
      <c r="M84" s="54"/>
      <c r="N84" s="54"/>
      <c r="O84" s="54"/>
      <c r="P84" s="54"/>
      <c r="Q84" s="54"/>
      <c r="R84" s="382"/>
      <c r="S84" s="377"/>
      <c r="T84" s="94">
        <v>45531.0</v>
      </c>
      <c r="U84" s="96" t="s">
        <v>279</v>
      </c>
      <c r="V84" s="96">
        <v>1559503.0</v>
      </c>
      <c r="W84" s="96">
        <v>771.0</v>
      </c>
      <c r="X84" s="96" t="s">
        <v>385</v>
      </c>
      <c r="Y84" s="97">
        <v>223.41</v>
      </c>
      <c r="Z84" s="97">
        <v>230.01</v>
      </c>
      <c r="AA84" s="97">
        <v>-6.6</v>
      </c>
      <c r="AB84" s="254">
        <f t="shared" si="18"/>
        <v>29.83268482</v>
      </c>
      <c r="AC84" s="54"/>
      <c r="AD84" s="54"/>
    </row>
    <row r="85">
      <c r="A85" s="54"/>
      <c r="B85" s="98">
        <v>45502.0</v>
      </c>
      <c r="C85" s="98"/>
      <c r="D85" s="99"/>
      <c r="E85" s="131">
        <v>1715804.0</v>
      </c>
      <c r="F85" s="99">
        <f t="shared" si="14"/>
        <v>847</v>
      </c>
      <c r="G85" s="100">
        <v>949.0</v>
      </c>
      <c r="H85" s="101">
        <v>141.0</v>
      </c>
      <c r="I85" s="101">
        <v>150.0</v>
      </c>
      <c r="J85" s="102">
        <f t="shared" si="15"/>
        <v>-9</v>
      </c>
      <c r="K85" s="103">
        <f t="shared" si="16"/>
        <v>17.70956316</v>
      </c>
      <c r="L85" s="54"/>
      <c r="M85" s="54"/>
      <c r="N85" s="54"/>
      <c r="O85" s="54"/>
      <c r="P85" s="54"/>
      <c r="Q85" s="54"/>
      <c r="R85" s="382"/>
      <c r="S85" s="377"/>
      <c r="T85" s="94">
        <v>45532.0</v>
      </c>
      <c r="U85" s="96" t="s">
        <v>279</v>
      </c>
      <c r="V85" s="96">
        <v>1560494.0</v>
      </c>
      <c r="W85" s="96">
        <v>991.0</v>
      </c>
      <c r="X85" s="96" t="s">
        <v>386</v>
      </c>
      <c r="Y85" s="97">
        <v>267.51</v>
      </c>
      <c r="Z85" s="97">
        <v>280.02</v>
      </c>
      <c r="AA85" s="97">
        <v>-12.51</v>
      </c>
      <c r="AB85" s="254">
        <f t="shared" si="18"/>
        <v>28.25630676</v>
      </c>
      <c r="AC85" s="54"/>
      <c r="AD85" s="54"/>
    </row>
    <row r="86">
      <c r="A86" s="54"/>
      <c r="B86" s="98">
        <v>45502.0</v>
      </c>
      <c r="C86" s="98"/>
      <c r="D86" s="99"/>
      <c r="E86" s="104">
        <v>1716219.0</v>
      </c>
      <c r="F86" s="99">
        <f t="shared" si="14"/>
        <v>415</v>
      </c>
      <c r="G86" s="100">
        <v>1039.0</v>
      </c>
      <c r="H86" s="101">
        <v>232.0</v>
      </c>
      <c r="I86" s="101">
        <v>207.94</v>
      </c>
      <c r="J86" s="102">
        <f t="shared" si="15"/>
        <v>24.06</v>
      </c>
      <c r="K86" s="103">
        <f t="shared" si="16"/>
        <v>50.1060241</v>
      </c>
      <c r="L86" s="54"/>
      <c r="M86" s="54"/>
      <c r="N86" s="54"/>
      <c r="O86" s="54"/>
      <c r="P86" s="54"/>
      <c r="Q86" s="54"/>
      <c r="R86" s="382"/>
      <c r="S86" s="377"/>
      <c r="T86" s="94">
        <v>45534.0</v>
      </c>
      <c r="U86" s="96" t="s">
        <v>279</v>
      </c>
      <c r="V86" s="96">
        <v>1561698.0</v>
      </c>
      <c r="W86" s="96">
        <v>1204.0</v>
      </c>
      <c r="X86" s="96" t="s">
        <v>387</v>
      </c>
      <c r="Y86" s="97">
        <v>305.04</v>
      </c>
      <c r="Z86" s="97">
        <v>300.0</v>
      </c>
      <c r="AA86" s="97">
        <v>5.04</v>
      </c>
      <c r="AB86" s="254">
        <f t="shared" si="18"/>
        <v>24.91694352</v>
      </c>
      <c r="AC86" s="54"/>
      <c r="AD86" s="54"/>
    </row>
    <row r="87">
      <c r="A87" s="54"/>
      <c r="B87" s="98">
        <v>45504.0</v>
      </c>
      <c r="C87" s="98"/>
      <c r="D87" s="99"/>
      <c r="E87" s="280">
        <v>1717291.0</v>
      </c>
      <c r="F87" s="99">
        <f t="shared" si="14"/>
        <v>1072</v>
      </c>
      <c r="G87" s="100">
        <v>1040.0</v>
      </c>
      <c r="H87" s="101">
        <v>294.0</v>
      </c>
      <c r="I87" s="101">
        <v>307.74</v>
      </c>
      <c r="J87" s="102">
        <f t="shared" si="15"/>
        <v>-13.74</v>
      </c>
      <c r="K87" s="103">
        <f t="shared" si="16"/>
        <v>28.70708955</v>
      </c>
      <c r="L87" s="54"/>
      <c r="M87" s="54"/>
      <c r="N87" s="54"/>
      <c r="O87" s="54"/>
      <c r="P87" s="54"/>
      <c r="Q87" s="54"/>
      <c r="R87" s="382"/>
      <c r="S87" s="372"/>
      <c r="T87" s="67" t="s">
        <v>104</v>
      </c>
      <c r="AA87" s="66"/>
      <c r="AB87" s="242"/>
      <c r="AC87" s="66"/>
      <c r="AD87" s="66"/>
    </row>
    <row r="88">
      <c r="A88" s="66"/>
      <c r="B88" s="67" t="s">
        <v>95</v>
      </c>
      <c r="J88" s="66"/>
      <c r="K88" s="66"/>
      <c r="L88" s="66"/>
      <c r="M88" s="66"/>
      <c r="N88" s="66"/>
      <c r="O88" s="66"/>
      <c r="P88" s="66"/>
      <c r="Q88" s="66"/>
      <c r="R88" s="382"/>
      <c r="S88" s="377"/>
      <c r="T88" s="94">
        <v>45491.0</v>
      </c>
      <c r="U88" s="96" t="s">
        <v>279</v>
      </c>
      <c r="V88" s="96">
        <v>1537746.0</v>
      </c>
      <c r="W88" s="96">
        <v>745.0</v>
      </c>
      <c r="X88" s="96" t="s">
        <v>365</v>
      </c>
      <c r="Y88" s="97">
        <v>254.4</v>
      </c>
      <c r="Z88" s="97">
        <v>250.0</v>
      </c>
      <c r="AA88" s="97">
        <v>4.4</v>
      </c>
      <c r="AB88" s="254">
        <f t="shared" ref="AB88:AB100" si="19">Z88/W88*100</f>
        <v>33.55704698</v>
      </c>
      <c r="AC88" s="54"/>
      <c r="AD88" s="54"/>
    </row>
    <row r="89">
      <c r="A89" s="54"/>
      <c r="B89" s="98">
        <v>45505.0</v>
      </c>
      <c r="C89" s="98"/>
      <c r="D89" s="99"/>
      <c r="E89" s="280">
        <v>1718160.0</v>
      </c>
      <c r="F89" s="99">
        <f>E89-E87</f>
        <v>869</v>
      </c>
      <c r="G89" s="100">
        <v>1040.0</v>
      </c>
      <c r="H89" s="101">
        <v>243.0</v>
      </c>
      <c r="I89" s="101">
        <v>254.81</v>
      </c>
      <c r="J89" s="102">
        <f t="shared" ref="J89:J91" si="20">H89-I89</f>
        <v>-11.81</v>
      </c>
      <c r="K89" s="103">
        <f t="shared" ref="K89:K91" si="21">I89/F89*100</f>
        <v>29.32220944</v>
      </c>
      <c r="L89" s="54"/>
      <c r="M89" s="132" t="str">
        <f>"тотал"&amp;" "&amp;B88</f>
        <v>тотал АВГУСТ</v>
      </c>
      <c r="N89" s="75"/>
      <c r="O89" s="76"/>
      <c r="P89" s="54"/>
      <c r="Q89" s="54"/>
      <c r="R89" s="382"/>
      <c r="S89" s="377"/>
      <c r="T89" s="94">
        <v>45537.0</v>
      </c>
      <c r="U89" s="96" t="s">
        <v>279</v>
      </c>
      <c r="V89" s="96">
        <v>1563933.0</v>
      </c>
      <c r="W89" s="96">
        <v>1032.0</v>
      </c>
      <c r="X89" s="96" t="s">
        <v>388</v>
      </c>
      <c r="Y89" s="97">
        <v>267.49</v>
      </c>
      <c r="Z89" s="97">
        <v>275.0</v>
      </c>
      <c r="AA89" s="97">
        <v>-7.51</v>
      </c>
      <c r="AB89" s="254">
        <f t="shared" si="19"/>
        <v>26.64728682</v>
      </c>
      <c r="AC89" s="54"/>
      <c r="AD89" s="54"/>
    </row>
    <row r="90">
      <c r="A90" s="54"/>
      <c r="B90" s="98">
        <v>45506.0</v>
      </c>
      <c r="C90" s="98"/>
      <c r="D90" s="99"/>
      <c r="E90" s="280">
        <v>1718940.0</v>
      </c>
      <c r="F90" s="99">
        <f t="shared" ref="F90:F91" si="22">E90-E89</f>
        <v>780</v>
      </c>
      <c r="G90" s="100">
        <v>1039.0</v>
      </c>
      <c r="H90" s="101">
        <v>227.0</v>
      </c>
      <c r="I90" s="101">
        <v>237.01</v>
      </c>
      <c r="J90" s="102">
        <f t="shared" si="20"/>
        <v>-10.01</v>
      </c>
      <c r="K90" s="103">
        <f t="shared" si="21"/>
        <v>30.38589744</v>
      </c>
      <c r="L90" s="54"/>
      <c r="M90" s="84" t="s">
        <v>70</v>
      </c>
      <c r="N90" s="84" t="s">
        <v>71</v>
      </c>
      <c r="O90" s="84" t="s">
        <v>27</v>
      </c>
      <c r="P90" s="54"/>
      <c r="Q90" s="54"/>
      <c r="R90" s="382"/>
      <c r="S90" s="377"/>
      <c r="T90" s="94">
        <v>45539.0</v>
      </c>
      <c r="U90" s="96" t="s">
        <v>279</v>
      </c>
      <c r="V90" s="96">
        <v>1564881.0</v>
      </c>
      <c r="W90" s="96">
        <v>948.0</v>
      </c>
      <c r="X90" s="96" t="s">
        <v>389</v>
      </c>
      <c r="Y90" s="97">
        <v>255.81</v>
      </c>
      <c r="Z90" s="97">
        <v>270.0</v>
      </c>
      <c r="AA90" s="97">
        <v>-14.19</v>
      </c>
      <c r="AB90" s="254">
        <f t="shared" si="19"/>
        <v>28.48101266</v>
      </c>
      <c r="AC90" s="54"/>
      <c r="AD90" s="54"/>
    </row>
    <row r="91">
      <c r="A91" s="54"/>
      <c r="B91" s="98">
        <v>45515.0</v>
      </c>
      <c r="C91" s="98"/>
      <c r="D91" s="101" t="s">
        <v>116</v>
      </c>
      <c r="E91" s="104">
        <v>1720593.0</v>
      </c>
      <c r="F91" s="99">
        <f t="shared" si="22"/>
        <v>1653</v>
      </c>
      <c r="G91" s="100">
        <v>473.0</v>
      </c>
      <c r="H91" s="101">
        <v>409.0</v>
      </c>
      <c r="I91" s="101">
        <v>529.47</v>
      </c>
      <c r="J91" s="102">
        <f t="shared" si="20"/>
        <v>-120.47</v>
      </c>
      <c r="K91" s="103">
        <f t="shared" si="21"/>
        <v>32.03085299</v>
      </c>
      <c r="L91" s="54"/>
      <c r="M91" s="84">
        <f>SUM(F89:F95)</f>
        <v>7798</v>
      </c>
      <c r="N91" s="84">
        <f>SUM(I89:I95)</f>
        <v>2209.1</v>
      </c>
      <c r="O91" s="85">
        <f>N91/M91*100</f>
        <v>28.32905873</v>
      </c>
      <c r="P91" s="54"/>
      <c r="Q91" s="54"/>
      <c r="R91" s="382"/>
      <c r="S91" s="377"/>
      <c r="T91" s="94">
        <v>45546.0</v>
      </c>
      <c r="U91" s="96" t="s">
        <v>290</v>
      </c>
      <c r="V91" s="96">
        <v>1565942.0</v>
      </c>
      <c r="W91" s="96">
        <v>1061.0</v>
      </c>
      <c r="X91" s="96">
        <v>1070.0</v>
      </c>
      <c r="Y91" s="97">
        <v>429.0</v>
      </c>
      <c r="Z91" s="97">
        <v>449.4</v>
      </c>
      <c r="AA91" s="97">
        <v>-20.4</v>
      </c>
      <c r="AB91" s="254">
        <f t="shared" si="19"/>
        <v>42.35626767</v>
      </c>
      <c r="AC91" s="54"/>
      <c r="AD91" s="54"/>
    </row>
    <row r="92">
      <c r="A92" s="54"/>
      <c r="B92" s="98">
        <v>45522.0</v>
      </c>
      <c r="C92" s="393"/>
      <c r="D92" s="54"/>
      <c r="E92" s="54"/>
      <c r="F92" s="99"/>
      <c r="G92" s="54"/>
      <c r="H92" s="54"/>
      <c r="I92" s="60"/>
      <c r="J92" s="102"/>
      <c r="K92" s="103"/>
      <c r="L92" s="54"/>
      <c r="M92" s="54"/>
      <c r="N92" s="54"/>
      <c r="O92" s="54"/>
      <c r="P92" s="54"/>
      <c r="Q92" s="54"/>
      <c r="R92" s="382"/>
      <c r="S92" s="377"/>
      <c r="T92" s="94">
        <v>45549.0</v>
      </c>
      <c r="U92" s="96" t="s">
        <v>290</v>
      </c>
      <c r="V92" s="96">
        <v>1566517.0</v>
      </c>
      <c r="W92" s="96">
        <v>575.0</v>
      </c>
      <c r="X92" s="96">
        <v>1048.0</v>
      </c>
      <c r="Y92" s="97">
        <v>170.0</v>
      </c>
      <c r="Z92" s="97">
        <v>184.53</v>
      </c>
      <c r="AA92" s="97">
        <v>-14.53</v>
      </c>
      <c r="AB92" s="254">
        <f t="shared" si="19"/>
        <v>32.09217391</v>
      </c>
      <c r="AC92" s="54"/>
      <c r="AD92" s="54"/>
    </row>
    <row r="93">
      <c r="A93" s="54"/>
      <c r="B93" s="98">
        <v>45528.0</v>
      </c>
      <c r="C93" s="98"/>
      <c r="D93" s="99"/>
      <c r="E93" s="104">
        <v>1722906.0</v>
      </c>
      <c r="F93" s="99">
        <f>E93-E91</f>
        <v>2313</v>
      </c>
      <c r="G93" s="99"/>
      <c r="H93" s="101">
        <v>308.0</v>
      </c>
      <c r="I93" s="101">
        <v>600.0</v>
      </c>
      <c r="J93" s="102">
        <f t="shared" ref="J93:J95" si="23">H93-I93</f>
        <v>-292</v>
      </c>
      <c r="K93" s="103">
        <f t="shared" ref="K93:K95" si="24">I93/F93*100</f>
        <v>25.94033722</v>
      </c>
      <c r="L93" s="54"/>
      <c r="M93" s="54"/>
      <c r="N93" s="54"/>
      <c r="O93" s="54"/>
      <c r="P93" s="54"/>
      <c r="Q93" s="54"/>
      <c r="R93" s="382"/>
      <c r="S93" s="377"/>
      <c r="T93" s="94">
        <v>45550.0</v>
      </c>
      <c r="U93" s="96" t="s">
        <v>290</v>
      </c>
      <c r="V93" s="96">
        <v>1567355.0</v>
      </c>
      <c r="W93" s="96">
        <v>838.0</v>
      </c>
      <c r="X93" s="96">
        <v>1043.0</v>
      </c>
      <c r="Y93" s="97">
        <v>224.0</v>
      </c>
      <c r="Z93" s="97">
        <v>232.83</v>
      </c>
      <c r="AA93" s="97">
        <v>-8.83</v>
      </c>
      <c r="AB93" s="254">
        <f t="shared" si="19"/>
        <v>27.78400955</v>
      </c>
      <c r="AC93" s="54"/>
      <c r="AD93" s="54"/>
    </row>
    <row r="94">
      <c r="A94" s="54"/>
      <c r="B94" s="98">
        <v>45530.0</v>
      </c>
      <c r="C94" s="98"/>
      <c r="D94" s="99"/>
      <c r="E94" s="100">
        <v>1723868.0</v>
      </c>
      <c r="F94" s="99">
        <f t="shared" ref="F94:F95" si="25">E94-E93</f>
        <v>962</v>
      </c>
      <c r="G94" s="99"/>
      <c r="H94" s="101">
        <v>274.0</v>
      </c>
      <c r="I94" s="101">
        <v>287.81</v>
      </c>
      <c r="J94" s="102">
        <f t="shared" si="23"/>
        <v>-13.81</v>
      </c>
      <c r="K94" s="103">
        <f t="shared" si="24"/>
        <v>29.91787942</v>
      </c>
      <c r="L94" s="54"/>
      <c r="M94" s="54"/>
      <c r="N94" s="54"/>
      <c r="O94" s="54"/>
      <c r="P94" s="54"/>
      <c r="Q94" s="54"/>
      <c r="R94" s="382"/>
      <c r="S94" s="377"/>
      <c r="T94" s="94">
        <v>45552.0</v>
      </c>
      <c r="U94" s="96" t="s">
        <v>290</v>
      </c>
      <c r="V94" s="96">
        <v>1568309.0</v>
      </c>
      <c r="W94" s="96">
        <v>954.0</v>
      </c>
      <c r="X94" s="96">
        <v>1046.0</v>
      </c>
      <c r="Y94" s="97">
        <v>261.0</v>
      </c>
      <c r="Z94" s="97">
        <v>269.8</v>
      </c>
      <c r="AA94" s="97">
        <v>-8.8</v>
      </c>
      <c r="AB94" s="254">
        <f t="shared" si="19"/>
        <v>28.28092243</v>
      </c>
      <c r="AC94" s="54"/>
      <c r="AD94" s="54"/>
    </row>
    <row r="95">
      <c r="A95" s="54"/>
      <c r="B95" s="98">
        <v>45535.0</v>
      </c>
      <c r="C95" s="98"/>
      <c r="D95" s="99"/>
      <c r="E95" s="104">
        <v>1725089.0</v>
      </c>
      <c r="F95" s="99">
        <f t="shared" si="25"/>
        <v>1221</v>
      </c>
      <c r="G95" s="100">
        <v>1028.0</v>
      </c>
      <c r="H95" s="101">
        <v>305.0</v>
      </c>
      <c r="I95" s="101">
        <v>300.0</v>
      </c>
      <c r="J95" s="102">
        <f t="shared" si="23"/>
        <v>5</v>
      </c>
      <c r="K95" s="103">
        <f t="shared" si="24"/>
        <v>24.57002457</v>
      </c>
      <c r="L95" s="54"/>
      <c r="M95" s="54"/>
      <c r="N95" s="54"/>
      <c r="O95" s="54"/>
      <c r="P95" s="54"/>
      <c r="Q95" s="54"/>
      <c r="R95" s="382"/>
      <c r="S95" s="377"/>
      <c r="T95" s="94">
        <v>45553.0</v>
      </c>
      <c r="U95" s="96" t="s">
        <v>290</v>
      </c>
      <c r="V95" s="96">
        <v>1569148.0</v>
      </c>
      <c r="W95" s="96">
        <v>839.0</v>
      </c>
      <c r="X95" s="96">
        <v>1046.0</v>
      </c>
      <c r="Y95" s="97">
        <v>228.0</v>
      </c>
      <c r="Z95" s="97">
        <v>238.84</v>
      </c>
      <c r="AA95" s="97">
        <v>-10.84</v>
      </c>
      <c r="AB95" s="254">
        <f t="shared" si="19"/>
        <v>28.46722288</v>
      </c>
      <c r="AC95" s="54"/>
      <c r="AD95" s="54"/>
    </row>
    <row r="96">
      <c r="A96" s="68"/>
      <c r="B96" s="203" t="str">
        <f>IF(L96=4,"АПРЕЛЬ",IF(L96=5,"МАЙ",IF(L96=1,"ЯНВАРЬ",IF(L96=2,"ФЕВРАЛЬ",IF(L96=3,"МАРТ",IF(L96=6,"ИЮНЬ",IF(L96=7,"ИЮЛЬ",IF(L96=8,"АВГУСТ",IF(L96=9,"СЕНТЯБРЬ",IF(L96=10,"ОКТЯБРЬ",IF(L96=11,"НОЯБРЬ",IF(L96=12,"ДЕКАБРЬ"))))))))))))</f>
        <v>СЕНТЯБРЬ</v>
      </c>
      <c r="J96" s="88"/>
      <c r="K96" s="88"/>
      <c r="L96" s="91">
        <f>MONTH(B97)</f>
        <v>9</v>
      </c>
      <c r="M96" s="66"/>
      <c r="N96" s="66"/>
      <c r="O96" s="66"/>
      <c r="P96" s="66"/>
      <c r="Q96" s="66"/>
      <c r="R96" s="394"/>
      <c r="S96" s="54"/>
      <c r="T96" s="94">
        <v>45555.0</v>
      </c>
      <c r="U96" s="96" t="s">
        <v>290</v>
      </c>
      <c r="V96" s="96">
        <v>1569946.0</v>
      </c>
      <c r="W96" s="96">
        <v>798.0</v>
      </c>
      <c r="X96" s="96">
        <v>1046.0</v>
      </c>
      <c r="Y96" s="97">
        <v>217.0</v>
      </c>
      <c r="Z96" s="97">
        <v>227.45</v>
      </c>
      <c r="AA96" s="97">
        <v>-10.45</v>
      </c>
      <c r="AB96" s="254">
        <f t="shared" si="19"/>
        <v>28.50250627</v>
      </c>
      <c r="AC96" s="54"/>
      <c r="AD96" s="54"/>
    </row>
    <row r="97">
      <c r="A97" s="54"/>
      <c r="B97" s="98">
        <v>45536.0</v>
      </c>
      <c r="C97" s="98"/>
      <c r="D97" s="99"/>
      <c r="E97" s="104">
        <v>1725936.0</v>
      </c>
      <c r="F97" s="99">
        <f>E97-E95</f>
        <v>847</v>
      </c>
      <c r="G97" s="100">
        <v>998.0</v>
      </c>
      <c r="H97" s="101">
        <v>187.0</v>
      </c>
      <c r="I97" s="101">
        <v>186.46</v>
      </c>
      <c r="J97" s="102">
        <f t="shared" ref="J97:J105" si="26">H97-I97</f>
        <v>0.54</v>
      </c>
      <c r="K97" s="103">
        <f t="shared" ref="K97:K105" si="27">I97/F97*100</f>
        <v>22.01416765</v>
      </c>
      <c r="L97" s="54"/>
      <c r="M97" s="132" t="str">
        <f>"тотал"&amp;" "&amp;B96</f>
        <v>тотал СЕНТЯБРЬ</v>
      </c>
      <c r="N97" s="75"/>
      <c r="O97" s="76"/>
      <c r="P97" s="54"/>
      <c r="Q97" s="54"/>
      <c r="R97" s="382"/>
      <c r="S97" s="377"/>
      <c r="T97" s="94">
        <v>45556.0</v>
      </c>
      <c r="U97" s="96" t="s">
        <v>315</v>
      </c>
      <c r="V97" s="96">
        <v>1571152.0</v>
      </c>
      <c r="W97" s="96">
        <v>1206.0</v>
      </c>
      <c r="X97" s="96">
        <v>1043.0</v>
      </c>
      <c r="Y97" s="97">
        <v>294.0</v>
      </c>
      <c r="Z97" s="97">
        <v>300.0</v>
      </c>
      <c r="AA97" s="97">
        <v>-6.0</v>
      </c>
      <c r="AB97" s="254">
        <f t="shared" si="19"/>
        <v>24.87562189</v>
      </c>
      <c r="AC97" s="54"/>
      <c r="AD97" s="54"/>
    </row>
    <row r="98">
      <c r="A98" s="54"/>
      <c r="B98" s="98">
        <v>45537.0</v>
      </c>
      <c r="C98" s="98"/>
      <c r="D98" s="99"/>
      <c r="E98" s="104">
        <v>1727192.0</v>
      </c>
      <c r="F98" s="99">
        <f t="shared" ref="F98:F105" si="28">E98-E97</f>
        <v>1256</v>
      </c>
      <c r="G98" s="100">
        <v>1042.0</v>
      </c>
      <c r="H98" s="101">
        <v>367.0</v>
      </c>
      <c r="I98" s="101">
        <v>380.27</v>
      </c>
      <c r="J98" s="102">
        <f t="shared" si="26"/>
        <v>-13.27</v>
      </c>
      <c r="K98" s="103">
        <f t="shared" si="27"/>
        <v>30.27627389</v>
      </c>
      <c r="L98" s="54"/>
      <c r="M98" s="84" t="s">
        <v>70</v>
      </c>
      <c r="N98" s="84" t="s">
        <v>71</v>
      </c>
      <c r="O98" s="84" t="s">
        <v>27</v>
      </c>
      <c r="P98" s="77" t="s">
        <v>28</v>
      </c>
      <c r="Q98" s="12" t="s">
        <v>78</v>
      </c>
      <c r="R98" s="382"/>
      <c r="S98" s="377"/>
      <c r="T98" s="94">
        <v>45559.0</v>
      </c>
      <c r="U98" s="96" t="s">
        <v>315</v>
      </c>
      <c r="V98" s="96">
        <v>1572569.0</v>
      </c>
      <c r="W98" s="96">
        <v>1417.0</v>
      </c>
      <c r="X98" s="96">
        <v>1049.0</v>
      </c>
      <c r="Y98" s="97">
        <v>378.0</v>
      </c>
      <c r="Z98" s="97">
        <v>389.89</v>
      </c>
      <c r="AA98" s="97">
        <v>-11.89</v>
      </c>
      <c r="AB98" s="254">
        <f t="shared" si="19"/>
        <v>27.5151729</v>
      </c>
      <c r="AC98" s="54"/>
      <c r="AD98" s="54"/>
    </row>
    <row r="99">
      <c r="A99" s="54"/>
      <c r="B99" s="98">
        <v>45541.0</v>
      </c>
      <c r="C99" s="98"/>
      <c r="D99" s="99"/>
      <c r="E99" s="100">
        <v>1728558.0</v>
      </c>
      <c r="F99" s="99">
        <f t="shared" si="28"/>
        <v>1366</v>
      </c>
      <c r="G99" s="100">
        <v>1036.0</v>
      </c>
      <c r="H99" s="101">
        <v>357.0</v>
      </c>
      <c r="I99" s="101">
        <v>350.0</v>
      </c>
      <c r="J99" s="102">
        <f t="shared" si="26"/>
        <v>7</v>
      </c>
      <c r="K99" s="103">
        <f t="shared" si="27"/>
        <v>25.62225476</v>
      </c>
      <c r="L99" s="54"/>
      <c r="M99" s="84">
        <f>SUM(F97:F105)</f>
        <v>10561</v>
      </c>
      <c r="N99" s="84">
        <f>SUM(I97:I105)</f>
        <v>2864.08</v>
      </c>
      <c r="O99" s="85">
        <f>N99/M99*100</f>
        <v>27.11940157</v>
      </c>
      <c r="P99" s="214">
        <f>(M99/100)*(O99-Q99)</f>
        <v>-138.4123</v>
      </c>
      <c r="Q99" s="78">
        <v>28.43</v>
      </c>
      <c r="R99" s="382"/>
      <c r="S99" s="377"/>
      <c r="T99" s="94">
        <v>45561.0</v>
      </c>
      <c r="U99" s="96" t="s">
        <v>315</v>
      </c>
      <c r="V99" s="96">
        <v>1574007.0</v>
      </c>
      <c r="W99" s="96">
        <v>1438.0</v>
      </c>
      <c r="X99" s="96">
        <v>1049.0</v>
      </c>
      <c r="Y99" s="97">
        <v>358.0</v>
      </c>
      <c r="Z99" s="97">
        <v>370.01</v>
      </c>
      <c r="AA99" s="97">
        <v>-12.01</v>
      </c>
      <c r="AB99" s="254">
        <f t="shared" si="19"/>
        <v>25.73087622</v>
      </c>
      <c r="AC99" s="54"/>
      <c r="AD99" s="54"/>
    </row>
    <row r="100">
      <c r="A100" s="54"/>
      <c r="B100" s="98">
        <v>45544.0</v>
      </c>
      <c r="C100" s="98"/>
      <c r="D100" s="99"/>
      <c r="E100" s="104">
        <v>1729665.0</v>
      </c>
      <c r="F100" s="99">
        <f t="shared" si="28"/>
        <v>1107</v>
      </c>
      <c r="G100" s="100">
        <v>1036.0</v>
      </c>
      <c r="H100" s="101">
        <v>297.0</v>
      </c>
      <c r="I100" s="101">
        <v>300.0</v>
      </c>
      <c r="J100" s="102">
        <f t="shared" si="26"/>
        <v>-3</v>
      </c>
      <c r="K100" s="103">
        <f t="shared" si="27"/>
        <v>27.100271</v>
      </c>
      <c r="L100" s="54"/>
      <c r="M100" s="54"/>
      <c r="N100" s="54"/>
      <c r="O100" s="54"/>
      <c r="P100" s="54"/>
      <c r="Q100" s="54"/>
      <c r="R100" s="382"/>
      <c r="S100" s="377"/>
      <c r="T100" s="94">
        <v>45564.0</v>
      </c>
      <c r="U100" s="96" t="s">
        <v>315</v>
      </c>
      <c r="V100" s="96">
        <v>1575343.0</v>
      </c>
      <c r="W100" s="96">
        <v>1336.0</v>
      </c>
      <c r="X100" s="96">
        <v>1048.0</v>
      </c>
      <c r="Y100" s="97">
        <v>343.0</v>
      </c>
      <c r="Z100" s="97">
        <v>353.52</v>
      </c>
      <c r="AA100" s="97">
        <v>-10.52</v>
      </c>
      <c r="AB100" s="254">
        <f t="shared" si="19"/>
        <v>26.46107784</v>
      </c>
      <c r="AC100" s="54"/>
      <c r="AD100" s="54"/>
    </row>
    <row r="101">
      <c r="A101" s="54"/>
      <c r="B101" s="98">
        <v>45549.0</v>
      </c>
      <c r="C101" s="98"/>
      <c r="D101" s="99"/>
      <c r="E101" s="100">
        <v>1731021.0</v>
      </c>
      <c r="F101" s="99">
        <f t="shared" si="28"/>
        <v>1356</v>
      </c>
      <c r="G101" s="100">
        <v>1043.0</v>
      </c>
      <c r="H101" s="101">
        <v>384.0</v>
      </c>
      <c r="I101" s="101">
        <v>397.35</v>
      </c>
      <c r="J101" s="102">
        <f t="shared" si="26"/>
        <v>-13.35</v>
      </c>
      <c r="K101" s="103">
        <f t="shared" si="27"/>
        <v>29.30309735</v>
      </c>
      <c r="L101" s="54"/>
      <c r="M101" s="54"/>
      <c r="N101" s="54"/>
      <c r="O101" s="54"/>
      <c r="P101" s="54"/>
      <c r="Q101" s="54"/>
      <c r="R101" s="382"/>
      <c r="S101" s="372"/>
      <c r="T101" s="67" t="s">
        <v>96</v>
      </c>
      <c r="AA101" s="66"/>
      <c r="AB101" s="242"/>
      <c r="AC101" s="66"/>
      <c r="AD101" s="66"/>
    </row>
    <row r="102">
      <c r="A102" s="54"/>
      <c r="B102" s="98">
        <v>45551.0</v>
      </c>
      <c r="C102" s="98"/>
      <c r="D102" s="99"/>
      <c r="E102" s="104">
        <v>1732283.0</v>
      </c>
      <c r="F102" s="99">
        <f t="shared" si="28"/>
        <v>1262</v>
      </c>
      <c r="G102" s="100">
        <v>1040.0</v>
      </c>
      <c r="H102" s="101">
        <v>292.0</v>
      </c>
      <c r="I102" s="101">
        <v>300.0</v>
      </c>
      <c r="J102" s="102">
        <f t="shared" si="26"/>
        <v>-8</v>
      </c>
      <c r="K102" s="103">
        <f t="shared" si="27"/>
        <v>23.77179081</v>
      </c>
      <c r="L102" s="54"/>
      <c r="M102" s="54"/>
      <c r="N102" s="54"/>
      <c r="O102" s="54"/>
      <c r="P102" s="54"/>
      <c r="Q102" s="54"/>
      <c r="R102" s="382"/>
      <c r="S102" s="377"/>
      <c r="T102" s="94">
        <v>45566.0</v>
      </c>
      <c r="U102" s="96" t="s">
        <v>315</v>
      </c>
      <c r="V102" s="96">
        <v>1576509.0</v>
      </c>
      <c r="W102" s="96">
        <v>1166.0</v>
      </c>
      <c r="X102" s="96">
        <v>1047.0</v>
      </c>
      <c r="Y102" s="97">
        <v>274.0</v>
      </c>
      <c r="Z102" s="97">
        <v>287.49</v>
      </c>
      <c r="AA102" s="97">
        <v>-13.49</v>
      </c>
      <c r="AB102" s="254">
        <f t="shared" ref="AB102:AB116" si="29">Z102/W102*100</f>
        <v>24.65608919</v>
      </c>
      <c r="AC102" s="54"/>
      <c r="AD102" s="54"/>
    </row>
    <row r="103">
      <c r="A103" s="54"/>
      <c r="B103" s="98">
        <v>45557.0</v>
      </c>
      <c r="C103" s="98"/>
      <c r="D103" s="99"/>
      <c r="E103" s="100">
        <v>1733555.0</v>
      </c>
      <c r="F103" s="99">
        <f t="shared" si="28"/>
        <v>1272</v>
      </c>
      <c r="G103" s="100">
        <v>487.0</v>
      </c>
      <c r="H103" s="101">
        <v>342.0</v>
      </c>
      <c r="I103" s="101">
        <v>351.81</v>
      </c>
      <c r="J103" s="102">
        <f t="shared" si="26"/>
        <v>-9.81</v>
      </c>
      <c r="K103" s="103">
        <f t="shared" si="27"/>
        <v>27.65801887</v>
      </c>
      <c r="L103" s="54"/>
      <c r="M103" s="54"/>
      <c r="N103" s="54"/>
      <c r="O103" s="54"/>
      <c r="P103" s="54"/>
      <c r="Q103" s="54"/>
      <c r="R103" s="382"/>
      <c r="S103" s="377"/>
      <c r="T103" s="94">
        <v>45571.0</v>
      </c>
      <c r="U103" s="96" t="s">
        <v>315</v>
      </c>
      <c r="V103" s="96">
        <v>1577749.0</v>
      </c>
      <c r="W103" s="96">
        <v>1240.0</v>
      </c>
      <c r="X103" s="96">
        <v>1045.0</v>
      </c>
      <c r="Y103" s="97">
        <v>328.0</v>
      </c>
      <c r="Z103" s="97">
        <v>334.04</v>
      </c>
      <c r="AA103" s="97">
        <v>-6.04</v>
      </c>
      <c r="AB103" s="254">
        <f t="shared" si="29"/>
        <v>26.93870968</v>
      </c>
      <c r="AC103" s="54"/>
      <c r="AD103" s="54"/>
    </row>
    <row r="104">
      <c r="A104" s="54"/>
      <c r="B104" s="98">
        <v>45563.0</v>
      </c>
      <c r="C104" s="98"/>
      <c r="D104" s="99"/>
      <c r="E104" s="100">
        <v>1734626.0</v>
      </c>
      <c r="F104" s="99">
        <f t="shared" si="28"/>
        <v>1071</v>
      </c>
      <c r="G104" s="100">
        <v>1040.0</v>
      </c>
      <c r="H104" s="101">
        <v>317.0</v>
      </c>
      <c r="I104" s="101">
        <v>318.99</v>
      </c>
      <c r="J104" s="102">
        <f t="shared" si="26"/>
        <v>-1.99</v>
      </c>
      <c r="K104" s="103">
        <f t="shared" si="27"/>
        <v>29.78431373</v>
      </c>
      <c r="L104" s="54"/>
      <c r="M104" s="54"/>
      <c r="N104" s="54"/>
      <c r="O104" s="54"/>
      <c r="P104" s="54"/>
      <c r="Q104" s="54"/>
      <c r="R104" s="382"/>
      <c r="S104" s="377"/>
      <c r="T104" s="94">
        <v>45573.0</v>
      </c>
      <c r="U104" s="96" t="s">
        <v>315</v>
      </c>
      <c r="V104" s="96">
        <v>1579181.0</v>
      </c>
      <c r="W104" s="96">
        <v>1432.0</v>
      </c>
      <c r="X104" s="96">
        <v>1050.0</v>
      </c>
      <c r="Y104" s="97">
        <v>391.0</v>
      </c>
      <c r="Z104" s="97">
        <v>400.0</v>
      </c>
      <c r="AA104" s="97">
        <v>-9.0</v>
      </c>
      <c r="AB104" s="254">
        <f t="shared" si="29"/>
        <v>27.93296089</v>
      </c>
      <c r="AC104" s="54"/>
      <c r="AD104" s="54"/>
    </row>
    <row r="105">
      <c r="A105" s="54"/>
      <c r="B105" s="98">
        <v>45565.0</v>
      </c>
      <c r="C105" s="98"/>
      <c r="D105" s="99"/>
      <c r="E105" s="100">
        <v>1735650.0</v>
      </c>
      <c r="F105" s="99">
        <f t="shared" si="28"/>
        <v>1024</v>
      </c>
      <c r="G105" s="100">
        <v>1040.0</v>
      </c>
      <c r="H105" s="101">
        <v>274.0</v>
      </c>
      <c r="I105" s="101">
        <v>279.2</v>
      </c>
      <c r="J105" s="102">
        <f t="shared" si="26"/>
        <v>-5.2</v>
      </c>
      <c r="K105" s="103">
        <f t="shared" si="27"/>
        <v>27.265625</v>
      </c>
      <c r="L105" s="54"/>
      <c r="M105" s="54"/>
      <c r="N105" s="54"/>
      <c r="O105" s="54"/>
      <c r="P105" s="54"/>
      <c r="Q105" s="54"/>
      <c r="R105" s="382"/>
      <c r="S105" s="377"/>
      <c r="T105" s="395">
        <v>45575.0</v>
      </c>
      <c r="U105" s="96" t="s">
        <v>315</v>
      </c>
      <c r="V105" s="96">
        <v>1580626.0</v>
      </c>
      <c r="W105" s="96">
        <v>1445.0</v>
      </c>
      <c r="X105" s="96">
        <v>1043.0</v>
      </c>
      <c r="Y105" s="97">
        <v>403.0</v>
      </c>
      <c r="Z105" s="97">
        <v>400.0</v>
      </c>
      <c r="AA105" s="97">
        <v>3.0</v>
      </c>
      <c r="AB105" s="254">
        <f t="shared" si="29"/>
        <v>27.6816609</v>
      </c>
      <c r="AC105" s="54"/>
      <c r="AD105" s="54"/>
    </row>
    <row r="106">
      <c r="A106" s="68"/>
      <c r="B106" s="203" t="str">
        <f>IF(L106=4,"АПРЕЛЬ",IF(L106=5,"МАЙ",IF(L106=1,"ЯНВАРЬ",IF(L106=2,"ФЕВРАЛЬ",IF(L106=3,"МАРТ",IF(L106=6,"ИЮНЬ",IF(L106=7,"ИЮЛЬ",IF(L106=8,"АВГУСТ",IF(L106=9,"СЕНТЯБРЬ",IF(L106=10,"ОКТЯБРЬ",IF(L106=11,"НОЯБРЬ",IF(L106=12,"ДЕКАБРЬ"))))))))))))</f>
        <v>ОКТЯБРЬ</v>
      </c>
      <c r="J106" s="88"/>
      <c r="K106" s="88"/>
      <c r="L106" s="91">
        <f>MONTH(B107)</f>
        <v>10</v>
      </c>
      <c r="M106" s="66"/>
      <c r="N106" s="66"/>
      <c r="O106" s="66"/>
      <c r="P106" s="66"/>
      <c r="Q106" s="66"/>
      <c r="R106" s="394"/>
      <c r="S106" s="54"/>
      <c r="T106" s="395">
        <v>45578.0</v>
      </c>
      <c r="U106" s="96" t="s">
        <v>315</v>
      </c>
      <c r="V106" s="96">
        <v>1581863.0</v>
      </c>
      <c r="W106" s="96">
        <f>V106-V105</f>
        <v>1237</v>
      </c>
      <c r="X106" s="96">
        <v>1046.0</v>
      </c>
      <c r="Y106" s="97">
        <v>351.0</v>
      </c>
      <c r="Z106" s="97">
        <v>361.9</v>
      </c>
      <c r="AA106" s="97">
        <f>Y106-Z106</f>
        <v>-10.9</v>
      </c>
      <c r="AB106" s="254">
        <f t="shared" si="29"/>
        <v>29.25626516</v>
      </c>
      <c r="AC106" s="54"/>
      <c r="AD106" s="54"/>
    </row>
    <row r="107">
      <c r="A107" s="54"/>
      <c r="B107" s="98">
        <v>45570.0</v>
      </c>
      <c r="C107" s="98"/>
      <c r="D107" s="99"/>
      <c r="E107" s="100">
        <v>1736262.0</v>
      </c>
      <c r="F107" s="99">
        <f>E107-E105</f>
        <v>612</v>
      </c>
      <c r="G107" s="100">
        <v>488.0</v>
      </c>
      <c r="H107" s="101">
        <v>162.0</v>
      </c>
      <c r="I107" s="101">
        <v>175.26</v>
      </c>
      <c r="J107" s="102">
        <f t="shared" ref="J107:J120" si="30">H107-I107</f>
        <v>-13.26</v>
      </c>
      <c r="K107" s="103">
        <f t="shared" ref="K107:K120" si="31">I107/F107*100</f>
        <v>28.6372549</v>
      </c>
      <c r="L107" s="54"/>
      <c r="M107" s="82" t="str">
        <f>"тотал"&amp;" "&amp;B106&amp;" "&amp;RIGHT(YEAR(B107),2)</f>
        <v>тотал ОКТЯБРЬ 24</v>
      </c>
      <c r="N107" s="75"/>
      <c r="O107" s="75"/>
      <c r="P107" s="75"/>
      <c r="Q107" s="76"/>
      <c r="R107" s="382"/>
      <c r="S107" s="377"/>
      <c r="T107" s="395">
        <v>45579.0</v>
      </c>
      <c r="U107" s="96" t="s">
        <v>315</v>
      </c>
      <c r="V107" s="96">
        <v>1583370.0</v>
      </c>
      <c r="W107" s="96">
        <v>1507.0</v>
      </c>
      <c r="X107" s="96">
        <v>1051.0</v>
      </c>
      <c r="Y107" s="97">
        <v>398.0</v>
      </c>
      <c r="Z107" s="97">
        <v>408.59</v>
      </c>
      <c r="AA107" s="97">
        <v>-10.59</v>
      </c>
      <c r="AB107" s="254">
        <f t="shared" si="29"/>
        <v>27.1128069</v>
      </c>
      <c r="AC107" s="54"/>
      <c r="AD107" s="54"/>
    </row>
    <row r="108">
      <c r="A108" s="54"/>
      <c r="B108" s="98">
        <v>45572.0</v>
      </c>
      <c r="C108" s="98"/>
      <c r="D108" s="99"/>
      <c r="E108" s="100">
        <v>1737355.0</v>
      </c>
      <c r="F108" s="99">
        <f t="shared" ref="F108:F120" si="32">E108-E107</f>
        <v>1093</v>
      </c>
      <c r="G108" s="100">
        <v>459.0</v>
      </c>
      <c r="H108" s="101">
        <v>247.0</v>
      </c>
      <c r="I108" s="101">
        <v>250.0</v>
      </c>
      <c r="J108" s="102">
        <f t="shared" si="30"/>
        <v>-3</v>
      </c>
      <c r="K108" s="103">
        <f t="shared" si="31"/>
        <v>22.87282708</v>
      </c>
      <c r="L108" s="54"/>
      <c r="M108" s="84" t="s">
        <v>70</v>
      </c>
      <c r="N108" s="84" t="s">
        <v>71</v>
      </c>
      <c r="O108" s="84" t="s">
        <v>27</v>
      </c>
      <c r="P108" s="77" t="s">
        <v>28</v>
      </c>
      <c r="Q108" s="12" t="s">
        <v>78</v>
      </c>
      <c r="R108" s="382"/>
      <c r="S108" s="377"/>
      <c r="T108" s="395">
        <v>45581.0</v>
      </c>
      <c r="U108" s="96" t="s">
        <v>315</v>
      </c>
      <c r="V108" s="96">
        <v>1584818.0</v>
      </c>
      <c r="W108" s="96">
        <v>1448.0</v>
      </c>
      <c r="X108" s="96">
        <v>1050.0</v>
      </c>
      <c r="Y108" s="97">
        <v>371.0</v>
      </c>
      <c r="Z108" s="97">
        <v>387.87</v>
      </c>
      <c r="AA108" s="97">
        <v>-16.87</v>
      </c>
      <c r="AB108" s="254">
        <f t="shared" si="29"/>
        <v>26.78660221</v>
      </c>
      <c r="AC108" s="54"/>
      <c r="AD108" s="54"/>
    </row>
    <row r="109">
      <c r="A109" s="54"/>
      <c r="B109" s="98">
        <v>45576.0</v>
      </c>
      <c r="C109" s="98"/>
      <c r="D109" s="99"/>
      <c r="E109" s="100">
        <v>1738482.0</v>
      </c>
      <c r="F109" s="99">
        <f t="shared" si="32"/>
        <v>1127</v>
      </c>
      <c r="G109" s="100">
        <v>429.0</v>
      </c>
      <c r="H109" s="101">
        <v>304.0</v>
      </c>
      <c r="I109" s="101">
        <v>300.0</v>
      </c>
      <c r="J109" s="102">
        <f t="shared" si="30"/>
        <v>4</v>
      </c>
      <c r="K109" s="103">
        <f t="shared" si="31"/>
        <v>26.61934339</v>
      </c>
      <c r="L109" s="54"/>
      <c r="M109" s="84">
        <f>SUM(F107:F120)</f>
        <v>15317</v>
      </c>
      <c r="N109" s="84">
        <f>SUM(I107:I120)</f>
        <v>4361.59</v>
      </c>
      <c r="O109" s="85">
        <f>N109/M109*100</f>
        <v>28.47548476</v>
      </c>
      <c r="P109" s="79">
        <f>(M109/100)*(O109-Q109)</f>
        <v>6.9669</v>
      </c>
      <c r="Q109" s="78">
        <v>28.43</v>
      </c>
      <c r="R109" s="382"/>
      <c r="S109" s="377"/>
      <c r="T109" s="395">
        <v>45584.0</v>
      </c>
      <c r="U109" s="96" t="s">
        <v>315</v>
      </c>
      <c r="V109" s="96">
        <v>1586495.0</v>
      </c>
      <c r="W109" s="96">
        <v>1677.0</v>
      </c>
      <c r="X109" s="96">
        <v>1053.0</v>
      </c>
      <c r="Y109" s="97">
        <v>429.0</v>
      </c>
      <c r="Z109" s="97">
        <v>439.62</v>
      </c>
      <c r="AA109" s="97">
        <v>-10.62</v>
      </c>
      <c r="AB109" s="254">
        <f t="shared" si="29"/>
        <v>26.21466905</v>
      </c>
      <c r="AC109" s="54"/>
      <c r="AD109" s="54"/>
    </row>
    <row r="110">
      <c r="A110" s="54"/>
      <c r="B110" s="98">
        <v>45579.0</v>
      </c>
      <c r="C110" s="98"/>
      <c r="D110" s="99"/>
      <c r="E110" s="100">
        <v>1739595.0</v>
      </c>
      <c r="F110" s="99">
        <f t="shared" si="32"/>
        <v>1113</v>
      </c>
      <c r="G110" s="100">
        <v>488.0</v>
      </c>
      <c r="H110" s="101">
        <v>380.0</v>
      </c>
      <c r="I110" s="101">
        <v>387.98</v>
      </c>
      <c r="J110" s="102">
        <f t="shared" si="30"/>
        <v>-7.98</v>
      </c>
      <c r="K110" s="103">
        <f t="shared" si="31"/>
        <v>34.8589398</v>
      </c>
      <c r="L110" s="54"/>
      <c r="M110" s="54"/>
      <c r="N110" s="54"/>
      <c r="O110" s="54"/>
      <c r="P110" s="54"/>
      <c r="Q110" s="54"/>
      <c r="R110" s="382"/>
      <c r="S110" s="377"/>
      <c r="T110" s="395">
        <v>45585.0</v>
      </c>
      <c r="U110" s="96" t="s">
        <v>315</v>
      </c>
      <c r="V110" s="96">
        <v>1587815.0</v>
      </c>
      <c r="W110" s="96">
        <v>1320.0</v>
      </c>
      <c r="X110" s="96">
        <v>1051.0</v>
      </c>
      <c r="Y110" s="97">
        <v>341.0</v>
      </c>
      <c r="Z110" s="97">
        <v>354.1</v>
      </c>
      <c r="AA110" s="97">
        <v>-13.1</v>
      </c>
      <c r="AB110" s="254">
        <f t="shared" si="29"/>
        <v>26.82575758</v>
      </c>
      <c r="AC110" s="54"/>
      <c r="AD110" s="54"/>
    </row>
    <row r="111">
      <c r="A111" s="54"/>
      <c r="B111" s="98">
        <v>45580.0</v>
      </c>
      <c r="C111" s="98"/>
      <c r="D111" s="99"/>
      <c r="E111" s="100">
        <v>1740823.0</v>
      </c>
      <c r="F111" s="99">
        <f t="shared" si="32"/>
        <v>1228</v>
      </c>
      <c r="G111" s="100">
        <v>492.0</v>
      </c>
      <c r="H111" s="101">
        <v>377.0</v>
      </c>
      <c r="I111" s="101">
        <v>389.18</v>
      </c>
      <c r="J111" s="102">
        <f t="shared" si="30"/>
        <v>-12.18</v>
      </c>
      <c r="K111" s="103">
        <f t="shared" si="31"/>
        <v>31.69218241</v>
      </c>
      <c r="L111" s="60"/>
      <c r="M111" s="60"/>
      <c r="N111" s="60"/>
      <c r="O111" s="54"/>
      <c r="P111" s="54"/>
      <c r="Q111" s="54"/>
      <c r="R111" s="382"/>
      <c r="S111" s="377"/>
      <c r="T111" s="395">
        <v>45587.0</v>
      </c>
      <c r="U111" s="96" t="s">
        <v>315</v>
      </c>
      <c r="V111" s="96">
        <v>1589238.0</v>
      </c>
      <c r="W111" s="96">
        <v>1423.0</v>
      </c>
      <c r="X111" s="96">
        <v>1053.0</v>
      </c>
      <c r="Y111" s="97">
        <v>373.0</v>
      </c>
      <c r="Z111" s="97">
        <v>388.42</v>
      </c>
      <c r="AA111" s="97">
        <v>-15.42</v>
      </c>
      <c r="AB111" s="254">
        <f t="shared" si="29"/>
        <v>27.29585383</v>
      </c>
      <c r="AC111" s="54"/>
      <c r="AD111" s="54"/>
    </row>
    <row r="112">
      <c r="A112" s="54"/>
      <c r="B112" s="98">
        <v>45582.0</v>
      </c>
      <c r="C112" s="98"/>
      <c r="D112" s="99"/>
      <c r="E112" s="100">
        <v>1742248.0</v>
      </c>
      <c r="F112" s="99">
        <f t="shared" si="32"/>
        <v>1425</v>
      </c>
      <c r="G112" s="100">
        <v>493.0</v>
      </c>
      <c r="H112" s="101">
        <v>389.0</v>
      </c>
      <c r="I112" s="101">
        <v>400.0</v>
      </c>
      <c r="J112" s="102">
        <f t="shared" si="30"/>
        <v>-11</v>
      </c>
      <c r="K112" s="103">
        <f t="shared" si="31"/>
        <v>28.07017544</v>
      </c>
      <c r="L112" s="54"/>
      <c r="M112" s="60"/>
      <c r="N112" s="60"/>
      <c r="O112" s="54"/>
      <c r="P112" s="54"/>
      <c r="Q112" s="54"/>
      <c r="R112" s="382"/>
      <c r="S112" s="377"/>
      <c r="T112" s="395">
        <v>45589.0</v>
      </c>
      <c r="U112" s="96" t="s">
        <v>315</v>
      </c>
      <c r="V112" s="96">
        <v>1590649.0</v>
      </c>
      <c r="W112" s="96">
        <v>1411.0</v>
      </c>
      <c r="X112" s="96">
        <v>1051.0</v>
      </c>
      <c r="Y112" s="97">
        <v>363.0</v>
      </c>
      <c r="Z112" s="97">
        <v>370.45</v>
      </c>
      <c r="AA112" s="97">
        <v>-7.45</v>
      </c>
      <c r="AB112" s="254">
        <f t="shared" si="29"/>
        <v>26.25442948</v>
      </c>
      <c r="AC112" s="54"/>
      <c r="AD112" s="54"/>
    </row>
    <row r="113">
      <c r="A113" s="54"/>
      <c r="B113" s="98">
        <v>45583.0</v>
      </c>
      <c r="C113" s="98"/>
      <c r="D113" s="99"/>
      <c r="E113" s="100">
        <v>1743553.0</v>
      </c>
      <c r="F113" s="99">
        <f t="shared" si="32"/>
        <v>1305</v>
      </c>
      <c r="G113" s="100">
        <v>451.0</v>
      </c>
      <c r="H113" s="101">
        <v>305.0</v>
      </c>
      <c r="I113" s="101">
        <v>300.0</v>
      </c>
      <c r="J113" s="102">
        <f t="shared" si="30"/>
        <v>5</v>
      </c>
      <c r="K113" s="103">
        <f t="shared" si="31"/>
        <v>22.98850575</v>
      </c>
      <c r="L113" s="54"/>
      <c r="M113" s="54"/>
      <c r="N113" s="54"/>
      <c r="O113" s="54"/>
      <c r="P113" s="54"/>
      <c r="Q113" s="54"/>
      <c r="R113" s="382"/>
      <c r="S113" s="377"/>
      <c r="T113" s="395">
        <v>45591.0</v>
      </c>
      <c r="U113" s="96" t="s">
        <v>315</v>
      </c>
      <c r="V113" s="96">
        <v>1592029.0</v>
      </c>
      <c r="W113" s="96">
        <v>1380.0</v>
      </c>
      <c r="X113" s="96">
        <v>1053.0</v>
      </c>
      <c r="Y113" s="97">
        <v>354.0</v>
      </c>
      <c r="Z113" s="97">
        <v>400.0</v>
      </c>
      <c r="AA113" s="97">
        <v>-46.0</v>
      </c>
      <c r="AB113" s="254">
        <f t="shared" si="29"/>
        <v>28.98550725</v>
      </c>
      <c r="AC113" s="54"/>
      <c r="AD113" s="54"/>
    </row>
    <row r="114">
      <c r="A114" s="54"/>
      <c r="B114" s="98">
        <v>45585.0</v>
      </c>
      <c r="C114" s="98"/>
      <c r="D114" s="99"/>
      <c r="E114" s="100">
        <v>1744790.0</v>
      </c>
      <c r="F114" s="99">
        <f t="shared" si="32"/>
        <v>1237</v>
      </c>
      <c r="G114" s="100">
        <v>249.0</v>
      </c>
      <c r="H114" s="101">
        <v>137.0</v>
      </c>
      <c r="I114" s="101">
        <v>134.83</v>
      </c>
      <c r="J114" s="102">
        <f t="shared" si="30"/>
        <v>2.17</v>
      </c>
      <c r="K114" s="103">
        <f t="shared" si="31"/>
        <v>10.89975748</v>
      </c>
      <c r="L114" s="54"/>
      <c r="M114" s="54"/>
      <c r="N114" s="54"/>
      <c r="O114" s="54"/>
      <c r="P114" s="54"/>
      <c r="Q114" s="54"/>
      <c r="R114" s="382"/>
      <c r="S114" s="377"/>
      <c r="T114" s="395">
        <v>45592.0</v>
      </c>
      <c r="U114" s="96" t="s">
        <v>315</v>
      </c>
      <c r="V114" s="96">
        <v>1593276.0</v>
      </c>
      <c r="W114" s="96">
        <v>1247.0</v>
      </c>
      <c r="X114" s="96">
        <v>1051.0</v>
      </c>
      <c r="Y114" s="97">
        <v>347.0</v>
      </c>
      <c r="Z114" s="97">
        <v>358.11</v>
      </c>
      <c r="AA114" s="97">
        <v>-11.11</v>
      </c>
      <c r="AB114" s="254">
        <f t="shared" si="29"/>
        <v>28.71772253</v>
      </c>
      <c r="AC114" s="54"/>
      <c r="AD114" s="54"/>
    </row>
    <row r="115">
      <c r="A115" s="54"/>
      <c r="B115" s="98">
        <v>45585.0</v>
      </c>
      <c r="C115" s="98"/>
      <c r="D115" s="99"/>
      <c r="E115" s="100">
        <v>1745066.0</v>
      </c>
      <c r="F115" s="99">
        <f t="shared" si="32"/>
        <v>276</v>
      </c>
      <c r="G115" s="100">
        <v>492.0</v>
      </c>
      <c r="H115" s="101">
        <v>325.0</v>
      </c>
      <c r="I115" s="101">
        <v>337.28</v>
      </c>
      <c r="J115" s="102">
        <f t="shared" si="30"/>
        <v>-12.28</v>
      </c>
      <c r="K115" s="103">
        <f t="shared" si="31"/>
        <v>122.2028986</v>
      </c>
      <c r="L115" s="54"/>
      <c r="M115" s="54"/>
      <c r="N115" s="54"/>
      <c r="O115" s="54"/>
      <c r="P115" s="54"/>
      <c r="Q115" s="54"/>
      <c r="R115" s="382"/>
      <c r="S115" s="377"/>
      <c r="T115" s="395">
        <v>45594.0</v>
      </c>
      <c r="U115" s="96" t="s">
        <v>315</v>
      </c>
      <c r="V115" s="96">
        <v>1594669.0</v>
      </c>
      <c r="W115" s="96">
        <v>1393.0</v>
      </c>
      <c r="X115" s="96">
        <v>1043.0</v>
      </c>
      <c r="Y115" s="97">
        <v>408.0</v>
      </c>
      <c r="Z115" s="97">
        <v>400.0</v>
      </c>
      <c r="AA115" s="97">
        <v>8.0</v>
      </c>
      <c r="AB115" s="254">
        <f t="shared" si="29"/>
        <v>28.71500359</v>
      </c>
      <c r="AC115" s="54"/>
      <c r="AD115" s="54"/>
    </row>
    <row r="116">
      <c r="A116" s="54"/>
      <c r="B116" s="98">
        <v>45587.0</v>
      </c>
      <c r="C116" s="98"/>
      <c r="D116" s="99"/>
      <c r="E116" s="100">
        <v>1746452.0</v>
      </c>
      <c r="F116" s="99">
        <f t="shared" si="32"/>
        <v>1386</v>
      </c>
      <c r="G116" s="100">
        <v>493.0</v>
      </c>
      <c r="H116" s="101">
        <v>371.0</v>
      </c>
      <c r="I116" s="101">
        <v>386.85</v>
      </c>
      <c r="J116" s="102">
        <f t="shared" si="30"/>
        <v>-15.85</v>
      </c>
      <c r="K116" s="103">
        <f t="shared" si="31"/>
        <v>27.91125541</v>
      </c>
      <c r="L116" s="54"/>
      <c r="M116" s="54"/>
      <c r="N116" s="54"/>
      <c r="O116" s="54"/>
      <c r="P116" s="54"/>
      <c r="Q116" s="54"/>
      <c r="R116" s="382"/>
      <c r="S116" s="377"/>
      <c r="T116" s="395">
        <v>45596.0</v>
      </c>
      <c r="U116" s="96" t="s">
        <v>315</v>
      </c>
      <c r="V116" s="96">
        <v>1595996.0</v>
      </c>
      <c r="W116" s="96">
        <v>1327.0</v>
      </c>
      <c r="X116" s="96">
        <v>1047.0</v>
      </c>
      <c r="Y116" s="97">
        <v>394.0</v>
      </c>
      <c r="Z116" s="97">
        <v>400.0</v>
      </c>
      <c r="AA116" s="97">
        <v>-6.0</v>
      </c>
      <c r="AB116" s="254">
        <f t="shared" si="29"/>
        <v>30.14318011</v>
      </c>
      <c r="AC116" s="54"/>
      <c r="AD116" s="54"/>
    </row>
    <row r="117">
      <c r="A117" s="54"/>
      <c r="B117" s="98">
        <v>45592.0</v>
      </c>
      <c r="C117" s="98"/>
      <c r="D117" s="99"/>
      <c r="E117" s="100">
        <v>1747744.0</v>
      </c>
      <c r="F117" s="99">
        <f t="shared" si="32"/>
        <v>1292</v>
      </c>
      <c r="G117" s="100">
        <v>480.0</v>
      </c>
      <c r="H117" s="101">
        <v>357.0</v>
      </c>
      <c r="I117" s="101">
        <v>350.0</v>
      </c>
      <c r="J117" s="102">
        <f t="shared" si="30"/>
        <v>7</v>
      </c>
      <c r="K117" s="103">
        <f t="shared" si="31"/>
        <v>27.08978328</v>
      </c>
      <c r="L117" s="54"/>
      <c r="M117" s="54"/>
      <c r="N117" s="54"/>
      <c r="O117" s="54"/>
      <c r="P117" s="54"/>
      <c r="Q117" s="54"/>
      <c r="R117" s="382"/>
      <c r="S117" s="372"/>
      <c r="T117" s="67" t="s">
        <v>97</v>
      </c>
      <c r="AA117" s="66"/>
      <c r="AB117" s="242"/>
      <c r="AC117" s="66"/>
      <c r="AD117" s="66"/>
    </row>
    <row r="118">
      <c r="A118" s="54"/>
      <c r="B118" s="110">
        <v>45594.0</v>
      </c>
      <c r="C118" s="110"/>
      <c r="D118" s="99"/>
      <c r="E118" s="100">
        <v>1749046.0</v>
      </c>
      <c r="F118" s="99">
        <f t="shared" si="32"/>
        <v>1302</v>
      </c>
      <c r="G118" s="100">
        <v>491.0</v>
      </c>
      <c r="H118" s="101">
        <v>377.0</v>
      </c>
      <c r="I118" s="101">
        <v>390.2</v>
      </c>
      <c r="J118" s="102">
        <f t="shared" si="30"/>
        <v>-13.2</v>
      </c>
      <c r="K118" s="103">
        <f t="shared" si="31"/>
        <v>29.96927803</v>
      </c>
      <c r="L118" s="54"/>
      <c r="M118" s="54"/>
      <c r="N118" s="54"/>
      <c r="O118" s="54"/>
      <c r="P118" s="54"/>
      <c r="Q118" s="54"/>
      <c r="R118" s="382"/>
      <c r="S118" s="377"/>
      <c r="T118" s="94">
        <v>45598.0</v>
      </c>
      <c r="U118" s="96" t="s">
        <v>315</v>
      </c>
      <c r="V118" s="96">
        <v>1597275.0</v>
      </c>
      <c r="W118" s="96">
        <v>1279.0</v>
      </c>
      <c r="X118" s="96">
        <v>1051.0</v>
      </c>
      <c r="Y118" s="97">
        <v>355.0</v>
      </c>
      <c r="Z118" s="97">
        <v>370.66</v>
      </c>
      <c r="AA118" s="97">
        <v>-15.66</v>
      </c>
      <c r="AB118" s="254">
        <f t="shared" ref="AB118:AB134" si="33">Z118/W118*100</f>
        <v>28.98045348</v>
      </c>
      <c r="AC118" s="54"/>
      <c r="AD118" s="54"/>
    </row>
    <row r="119">
      <c r="A119" s="54"/>
      <c r="B119" s="110">
        <v>45595.0</v>
      </c>
      <c r="C119" s="110"/>
      <c r="D119" s="99"/>
      <c r="E119" s="100">
        <v>1750118.0</v>
      </c>
      <c r="F119" s="99">
        <f t="shared" si="32"/>
        <v>1072</v>
      </c>
      <c r="G119" s="100">
        <v>485.0</v>
      </c>
      <c r="H119" s="101">
        <v>296.0</v>
      </c>
      <c r="I119" s="101">
        <v>300.0</v>
      </c>
      <c r="J119" s="102">
        <f t="shared" si="30"/>
        <v>-4</v>
      </c>
      <c r="K119" s="103">
        <f t="shared" si="31"/>
        <v>27.98507463</v>
      </c>
      <c r="L119" s="54"/>
      <c r="M119" s="54"/>
      <c r="N119" s="54"/>
      <c r="O119" s="54"/>
      <c r="P119" s="54"/>
      <c r="Q119" s="54"/>
      <c r="R119" s="382"/>
      <c r="S119" s="377"/>
      <c r="T119" s="94">
        <v>45599.0</v>
      </c>
      <c r="U119" s="96" t="s">
        <v>315</v>
      </c>
      <c r="V119" s="96">
        <v>1598569.0</v>
      </c>
      <c r="W119" s="96">
        <v>1294.0</v>
      </c>
      <c r="X119" s="96">
        <v>1050.0</v>
      </c>
      <c r="Y119" s="97">
        <v>353.0</v>
      </c>
      <c r="Z119" s="97">
        <v>361.24</v>
      </c>
      <c r="AA119" s="97">
        <v>-8.24</v>
      </c>
      <c r="AB119" s="254">
        <f t="shared" si="33"/>
        <v>27.91653787</v>
      </c>
      <c r="AC119" s="54"/>
      <c r="AD119" s="54"/>
    </row>
    <row r="120">
      <c r="A120" s="54"/>
      <c r="B120" s="110">
        <v>45596.0</v>
      </c>
      <c r="C120" s="110"/>
      <c r="D120" s="99"/>
      <c r="E120" s="349">
        <v>1750967.0</v>
      </c>
      <c r="F120" s="99">
        <f t="shared" si="32"/>
        <v>849</v>
      </c>
      <c r="G120" s="100">
        <v>490.0</v>
      </c>
      <c r="H120" s="101">
        <v>248.0</v>
      </c>
      <c r="I120" s="101">
        <v>260.01</v>
      </c>
      <c r="J120" s="102">
        <f t="shared" si="30"/>
        <v>-12.01</v>
      </c>
      <c r="K120" s="103">
        <f t="shared" si="31"/>
        <v>30.6254417</v>
      </c>
      <c r="L120" s="54"/>
      <c r="M120" s="54"/>
      <c r="N120" s="54"/>
      <c r="O120" s="54"/>
      <c r="P120" s="54"/>
      <c r="Q120" s="54"/>
      <c r="R120" s="382"/>
      <c r="S120" s="377"/>
      <c r="T120" s="94">
        <v>45601.0</v>
      </c>
      <c r="U120" s="96" t="s">
        <v>315</v>
      </c>
      <c r="V120" s="96">
        <v>1599908.0</v>
      </c>
      <c r="W120" s="96">
        <v>1339.0</v>
      </c>
      <c r="X120" s="96">
        <v>1054.0</v>
      </c>
      <c r="Y120" s="97">
        <v>375.0</v>
      </c>
      <c r="Z120" s="97">
        <v>385.96</v>
      </c>
      <c r="AA120" s="97">
        <v>-10.96</v>
      </c>
      <c r="AB120" s="254">
        <f t="shared" si="33"/>
        <v>28.82449589</v>
      </c>
      <c r="AC120" s="54"/>
      <c r="AD120" s="54"/>
    </row>
    <row r="121">
      <c r="A121" s="68"/>
      <c r="B121" s="203" t="str">
        <f>IF(L121=4,"АПРЕЛЬ",IF(L121=5,"МАЙ",IF(L121=1,"ЯНВАРЬ",IF(L121=2,"ФЕВРАЛЬ",IF(L121=3,"МАРТ",IF(L121=6,"ИЮНЬ",IF(L121=7,"ИЮЛЬ",IF(L121=8,"АВГУСТ",IF(L121=9,"СЕНТЯБРЬ",IF(L121=10,"ОКТЯБРЬ",IF(L121=11,"НОЯБРЬ",IF(L121=12,"ДЕКАБРЬ"))))))))))))</f>
        <v>НОЯБРЬ</v>
      </c>
      <c r="J121" s="396"/>
      <c r="K121" s="397"/>
      <c r="L121" s="91">
        <f>MONTH(B122)</f>
        <v>11</v>
      </c>
      <c r="M121" s="66"/>
      <c r="N121" s="66"/>
      <c r="O121" s="66"/>
      <c r="P121" s="66"/>
      <c r="Q121" s="66"/>
      <c r="R121" s="382"/>
      <c r="S121" s="377"/>
      <c r="T121" s="94">
        <v>45604.0</v>
      </c>
      <c r="U121" s="96" t="s">
        <v>315</v>
      </c>
      <c r="V121" s="96">
        <v>1601362.0</v>
      </c>
      <c r="W121" s="96">
        <v>1454.0</v>
      </c>
      <c r="X121" s="96">
        <v>1050.0</v>
      </c>
      <c r="Y121" s="97">
        <v>378.0</v>
      </c>
      <c r="Z121" s="97">
        <v>390.76</v>
      </c>
      <c r="AA121" s="97">
        <v>-12.76</v>
      </c>
      <c r="AB121" s="254">
        <f t="shared" si="33"/>
        <v>26.87482806</v>
      </c>
      <c r="AC121" s="54"/>
      <c r="AD121" s="54"/>
    </row>
    <row r="122">
      <c r="A122" s="54"/>
      <c r="B122" s="110">
        <v>45600.0</v>
      </c>
      <c r="C122" s="110"/>
      <c r="D122" s="99"/>
      <c r="E122" s="100">
        <v>1751899.0</v>
      </c>
      <c r="F122" s="99">
        <f>E122-E120</f>
        <v>932</v>
      </c>
      <c r="G122" s="100">
        <v>410.0</v>
      </c>
      <c r="H122" s="101">
        <v>204.0</v>
      </c>
      <c r="I122" s="101">
        <v>200.0</v>
      </c>
      <c r="J122" s="102">
        <f t="shared" ref="J122:J126" si="34">H122-I122</f>
        <v>4</v>
      </c>
      <c r="K122" s="103">
        <f t="shared" ref="K122:K126" si="35">I122/F122*100</f>
        <v>21.45922747</v>
      </c>
      <c r="L122" s="54"/>
      <c r="M122" s="82" t="str">
        <f>"тотал"&amp;" "&amp;B121&amp;" "&amp;RIGHT(YEAR(B122),2)</f>
        <v>тотал НОЯБРЬ 24</v>
      </c>
      <c r="N122" s="75"/>
      <c r="O122" s="75"/>
      <c r="P122" s="75"/>
      <c r="Q122" s="76"/>
      <c r="R122" s="382"/>
      <c r="S122" s="377"/>
      <c r="T122" s="94">
        <v>45605.0</v>
      </c>
      <c r="U122" s="96" t="s">
        <v>315</v>
      </c>
      <c r="V122" s="96">
        <v>1602643.0</v>
      </c>
      <c r="W122" s="96">
        <v>1281.0</v>
      </c>
      <c r="X122" s="96">
        <v>1050.0</v>
      </c>
      <c r="Y122" s="97">
        <v>332.0</v>
      </c>
      <c r="Z122" s="97">
        <v>341.04</v>
      </c>
      <c r="AA122" s="97">
        <v>-9.04</v>
      </c>
      <c r="AB122" s="254">
        <f t="shared" si="33"/>
        <v>26.62295082</v>
      </c>
      <c r="AC122" s="54"/>
      <c r="AD122" s="54"/>
    </row>
    <row r="123">
      <c r="A123" s="54"/>
      <c r="B123" s="110">
        <v>45600.0</v>
      </c>
      <c r="C123" s="110"/>
      <c r="D123" s="99"/>
      <c r="E123" s="100">
        <v>1752305.0</v>
      </c>
      <c r="F123" s="99">
        <f t="shared" ref="F123:F126" si="36">E123-E122</f>
        <v>406</v>
      </c>
      <c r="G123" s="100">
        <v>485.0</v>
      </c>
      <c r="H123" s="101">
        <v>194.0</v>
      </c>
      <c r="I123" s="101">
        <v>200.0</v>
      </c>
      <c r="J123" s="102">
        <f t="shared" si="34"/>
        <v>-6</v>
      </c>
      <c r="K123" s="103">
        <f t="shared" si="35"/>
        <v>49.26108374</v>
      </c>
      <c r="L123" s="54"/>
      <c r="M123" s="84" t="s">
        <v>70</v>
      </c>
      <c r="N123" s="84" t="s">
        <v>71</v>
      </c>
      <c r="O123" s="84" t="s">
        <v>27</v>
      </c>
      <c r="P123" s="77" t="s">
        <v>28</v>
      </c>
      <c r="Q123" s="12" t="s">
        <v>78</v>
      </c>
      <c r="R123" s="382"/>
      <c r="S123" s="377"/>
      <c r="T123" s="395">
        <v>45607.0</v>
      </c>
      <c r="U123" s="96" t="s">
        <v>315</v>
      </c>
      <c r="V123" s="96">
        <v>1603851.0</v>
      </c>
      <c r="W123" s="96">
        <v>1208.0</v>
      </c>
      <c r="X123" s="96">
        <v>1051.0</v>
      </c>
      <c r="Y123" s="97">
        <v>359.0</v>
      </c>
      <c r="Z123" s="97">
        <v>370.75</v>
      </c>
      <c r="AA123" s="97">
        <v>-11.75</v>
      </c>
      <c r="AB123" s="254">
        <f t="shared" si="33"/>
        <v>30.69122517</v>
      </c>
      <c r="AC123" s="54"/>
      <c r="AD123" s="54"/>
    </row>
    <row r="124">
      <c r="A124" s="54"/>
      <c r="B124" s="110">
        <v>45616.0</v>
      </c>
      <c r="C124" s="110"/>
      <c r="D124" s="99"/>
      <c r="E124" s="100">
        <v>1753366.0</v>
      </c>
      <c r="F124" s="99">
        <f t="shared" si="36"/>
        <v>1061</v>
      </c>
      <c r="G124" s="100">
        <v>482.0</v>
      </c>
      <c r="H124" s="101">
        <v>298.0</v>
      </c>
      <c r="I124" s="101">
        <v>300.0</v>
      </c>
      <c r="J124" s="102">
        <f t="shared" si="34"/>
        <v>-2</v>
      </c>
      <c r="K124" s="103">
        <f t="shared" si="35"/>
        <v>28.27521206</v>
      </c>
      <c r="L124" s="54"/>
      <c r="M124" s="84">
        <f>SUM(F122:F126)</f>
        <v>4967</v>
      </c>
      <c r="N124" s="84">
        <f>SUM(I122:I126)</f>
        <v>1478.65</v>
      </c>
      <c r="O124" s="85">
        <f>N124/M124*100</f>
        <v>29.76947856</v>
      </c>
      <c r="P124" s="79">
        <f>(M124/100)*(O124-Q124)</f>
        <v>28.286</v>
      </c>
      <c r="Q124" s="78">
        <v>29.2</v>
      </c>
      <c r="R124" s="382"/>
      <c r="S124" s="377"/>
      <c r="T124" s="395">
        <v>45608.0</v>
      </c>
      <c r="U124" s="96" t="s">
        <v>315</v>
      </c>
      <c r="V124" s="96">
        <v>1605142.0</v>
      </c>
      <c r="W124" s="96">
        <v>1291.0</v>
      </c>
      <c r="X124" s="96">
        <v>1046.0</v>
      </c>
      <c r="Y124" s="97">
        <v>344.0</v>
      </c>
      <c r="Z124" s="97">
        <v>350.0</v>
      </c>
      <c r="AA124" s="97">
        <v>-6.0</v>
      </c>
      <c r="AB124" s="254">
        <f t="shared" si="33"/>
        <v>27.11076685</v>
      </c>
      <c r="AC124" s="54"/>
      <c r="AD124" s="54"/>
    </row>
    <row r="125">
      <c r="A125" s="54"/>
      <c r="B125" s="110">
        <v>45620.0</v>
      </c>
      <c r="C125" s="110"/>
      <c r="D125" s="99"/>
      <c r="E125" s="100">
        <v>1754617.0</v>
      </c>
      <c r="F125" s="99">
        <f t="shared" si="36"/>
        <v>1251</v>
      </c>
      <c r="G125" s="100">
        <v>478.0</v>
      </c>
      <c r="H125" s="101">
        <v>357.0</v>
      </c>
      <c r="I125" s="101">
        <v>350.0</v>
      </c>
      <c r="J125" s="102">
        <f t="shared" si="34"/>
        <v>7</v>
      </c>
      <c r="K125" s="103">
        <f t="shared" si="35"/>
        <v>27.97761791</v>
      </c>
      <c r="L125" s="60"/>
      <c r="M125" s="60"/>
      <c r="N125" s="60"/>
      <c r="O125" s="54"/>
      <c r="P125" s="54"/>
      <c r="Q125" s="54"/>
      <c r="R125" s="382"/>
      <c r="S125" s="377"/>
      <c r="T125" s="395">
        <v>45610.0</v>
      </c>
      <c r="U125" s="96" t="s">
        <v>315</v>
      </c>
      <c r="V125" s="96">
        <v>1606303.0</v>
      </c>
      <c r="W125" s="96">
        <v>1161.0</v>
      </c>
      <c r="X125" s="96">
        <v>1047.0</v>
      </c>
      <c r="Y125" s="97">
        <v>332.0</v>
      </c>
      <c r="Z125" s="97">
        <v>334.6</v>
      </c>
      <c r="AA125" s="97">
        <v>-2.6</v>
      </c>
      <c r="AB125" s="254">
        <f t="shared" si="33"/>
        <v>28.81998277</v>
      </c>
      <c r="AC125" s="54"/>
      <c r="AD125" s="54"/>
    </row>
    <row r="126">
      <c r="A126" s="54"/>
      <c r="B126" s="110">
        <v>45625.0</v>
      </c>
      <c r="C126" s="110"/>
      <c r="D126" s="99"/>
      <c r="E126" s="100">
        <v>1755934.0</v>
      </c>
      <c r="F126" s="99">
        <f t="shared" si="36"/>
        <v>1317</v>
      </c>
      <c r="G126" s="100">
        <v>488.0</v>
      </c>
      <c r="H126" s="101">
        <v>414.0</v>
      </c>
      <c r="I126" s="101">
        <v>428.65</v>
      </c>
      <c r="J126" s="102">
        <f t="shared" si="34"/>
        <v>-14.65</v>
      </c>
      <c r="K126" s="103">
        <f t="shared" si="35"/>
        <v>32.54745634</v>
      </c>
      <c r="L126" s="54"/>
      <c r="M126" s="60"/>
      <c r="N126" s="60"/>
      <c r="O126" s="54"/>
      <c r="P126" s="54"/>
      <c r="Q126" s="54"/>
      <c r="R126" s="382"/>
      <c r="S126" s="377"/>
      <c r="T126" s="395">
        <v>45612.0</v>
      </c>
      <c r="U126" s="96" t="s">
        <v>315</v>
      </c>
      <c r="V126" s="96">
        <v>1607805.0</v>
      </c>
      <c r="W126" s="96">
        <v>1502.0</v>
      </c>
      <c r="X126" s="96">
        <v>1041.0</v>
      </c>
      <c r="Y126" s="97">
        <v>412.0</v>
      </c>
      <c r="Z126" s="97">
        <v>400.0</v>
      </c>
      <c r="AA126" s="97">
        <v>12.0</v>
      </c>
      <c r="AB126" s="254">
        <f t="shared" si="33"/>
        <v>26.63115846</v>
      </c>
      <c r="AC126" s="54"/>
      <c r="AD126" s="54"/>
    </row>
    <row r="127">
      <c r="A127" s="68"/>
      <c r="B127" s="203" t="str">
        <f>IF(L127=4,"АПРЕЛЬ",IF(L127=5,"МАЙ",IF(L127=1,"ЯНВАРЬ",IF(L127=2,"ФЕВРАЛЬ",IF(L127=3,"МАРТ",IF(L127=6,"ИЮНЬ",IF(L127=7,"ИЮЛЬ",IF(L127=8,"АВГУСТ",IF(L127=9,"СЕНТЯБРЬ",IF(L127=10,"ОКТЯБРЬ",IF(L127=11,"НОЯБРЬ",IF(L127=12,"ДЕКАБРЬ"))))))))))))</f>
        <v>ДЕКАБРЬ</v>
      </c>
      <c r="J127" s="396"/>
      <c r="K127" s="397"/>
      <c r="L127" s="91">
        <f>MONTH(B128)</f>
        <v>12</v>
      </c>
      <c r="M127" s="66"/>
      <c r="N127" s="66"/>
      <c r="O127" s="66"/>
      <c r="P127" s="66"/>
      <c r="Q127" s="66"/>
      <c r="R127" s="382"/>
      <c r="S127" s="377"/>
      <c r="T127" s="395">
        <v>45614.0</v>
      </c>
      <c r="U127" s="96" t="s">
        <v>315</v>
      </c>
      <c r="V127" s="96">
        <v>1609014.0</v>
      </c>
      <c r="W127" s="96">
        <v>1209.0</v>
      </c>
      <c r="X127" s="96">
        <v>1056.0</v>
      </c>
      <c r="Y127" s="97">
        <v>397.0</v>
      </c>
      <c r="Z127" s="97">
        <v>390.97</v>
      </c>
      <c r="AA127" s="97">
        <v>6.03</v>
      </c>
      <c r="AB127" s="254">
        <f t="shared" si="33"/>
        <v>32.33829611</v>
      </c>
      <c r="AC127" s="54"/>
      <c r="AD127" s="54"/>
    </row>
    <row r="128">
      <c r="A128" s="54"/>
      <c r="B128" s="110">
        <v>45628.0</v>
      </c>
      <c r="C128" s="110"/>
      <c r="D128" s="99"/>
      <c r="E128" s="100">
        <v>1757122.0</v>
      </c>
      <c r="F128" s="99">
        <f>E128-E126</f>
        <v>1188</v>
      </c>
      <c r="G128" s="100">
        <v>457.0</v>
      </c>
      <c r="H128" s="101">
        <v>303.0</v>
      </c>
      <c r="I128" s="101">
        <v>301.52</v>
      </c>
      <c r="J128" s="102">
        <f t="shared" ref="J128:J136" si="37">H128-I128</f>
        <v>1.48</v>
      </c>
      <c r="K128" s="103">
        <f t="shared" ref="K128:K136" si="38">I128/F128*100</f>
        <v>25.38047138</v>
      </c>
      <c r="L128" s="54"/>
      <c r="M128" s="82" t="str">
        <f>"тотал"&amp;" "&amp;B127&amp;" "&amp;RIGHT(YEAR(B128),2)</f>
        <v>тотал ДЕКАБРЬ 24</v>
      </c>
      <c r="N128" s="75"/>
      <c r="O128" s="75"/>
      <c r="P128" s="75"/>
      <c r="Q128" s="76"/>
      <c r="R128" s="382"/>
      <c r="S128" s="377"/>
      <c r="T128" s="395">
        <v>45615.0</v>
      </c>
      <c r="U128" s="96" t="s">
        <v>315</v>
      </c>
      <c r="V128" s="96">
        <v>1610309.0</v>
      </c>
      <c r="W128" s="96">
        <v>1295.0</v>
      </c>
      <c r="X128" s="96">
        <v>1056.0</v>
      </c>
      <c r="Y128" s="97">
        <v>373.0</v>
      </c>
      <c r="Z128" s="97">
        <v>383.42</v>
      </c>
      <c r="AA128" s="97">
        <v>-10.42</v>
      </c>
      <c r="AB128" s="254">
        <f t="shared" si="33"/>
        <v>29.60772201</v>
      </c>
      <c r="AC128" s="54"/>
      <c r="AD128" s="54"/>
    </row>
    <row r="129">
      <c r="A129" s="54"/>
      <c r="B129" s="110">
        <v>45633.0</v>
      </c>
      <c r="C129" s="110"/>
      <c r="D129" s="99"/>
      <c r="E129" s="100">
        <v>1758320.0</v>
      </c>
      <c r="F129" s="99">
        <f t="shared" ref="F129:F136" si="39">E129-E128</f>
        <v>1198</v>
      </c>
      <c r="G129" s="100">
        <v>488.0</v>
      </c>
      <c r="H129" s="101">
        <v>420.0</v>
      </c>
      <c r="I129" s="101">
        <v>436.33</v>
      </c>
      <c r="J129" s="102">
        <f t="shared" si="37"/>
        <v>-16.33</v>
      </c>
      <c r="K129" s="103">
        <f t="shared" si="38"/>
        <v>36.42153589</v>
      </c>
      <c r="L129" s="54"/>
      <c r="M129" s="84" t="s">
        <v>70</v>
      </c>
      <c r="N129" s="84" t="s">
        <v>71</v>
      </c>
      <c r="O129" s="84" t="s">
        <v>27</v>
      </c>
      <c r="P129" s="77" t="s">
        <v>28</v>
      </c>
      <c r="Q129" s="12" t="s">
        <v>78</v>
      </c>
      <c r="R129" s="382"/>
      <c r="S129" s="377"/>
      <c r="T129" s="395">
        <v>45618.0</v>
      </c>
      <c r="U129" s="96" t="s">
        <v>315</v>
      </c>
      <c r="V129" s="96">
        <v>1611703.0</v>
      </c>
      <c r="W129" s="96">
        <v>1394.0</v>
      </c>
      <c r="X129" s="96">
        <v>1054.0</v>
      </c>
      <c r="Y129" s="97">
        <v>391.0</v>
      </c>
      <c r="Z129" s="97">
        <v>400.0</v>
      </c>
      <c r="AA129" s="97">
        <v>-9.0</v>
      </c>
      <c r="AB129" s="254">
        <f t="shared" si="33"/>
        <v>28.69440459</v>
      </c>
      <c r="AC129" s="54"/>
      <c r="AD129" s="54"/>
    </row>
    <row r="130">
      <c r="A130" s="54"/>
      <c r="B130" s="110">
        <v>45635.0</v>
      </c>
      <c r="C130" s="110"/>
      <c r="D130" s="99"/>
      <c r="E130" s="100">
        <v>1759361.0</v>
      </c>
      <c r="F130" s="99">
        <f t="shared" si="39"/>
        <v>1041</v>
      </c>
      <c r="G130" s="100">
        <v>485.0</v>
      </c>
      <c r="H130" s="101">
        <v>273.0</v>
      </c>
      <c r="I130" s="101">
        <v>284.09</v>
      </c>
      <c r="J130" s="102">
        <f t="shared" si="37"/>
        <v>-11.09</v>
      </c>
      <c r="K130" s="103">
        <f t="shared" si="38"/>
        <v>27.29010567</v>
      </c>
      <c r="L130" s="54"/>
      <c r="M130" s="84">
        <f>SUM(F128:F136)</f>
        <v>8804</v>
      </c>
      <c r="N130" s="84">
        <f>SUM(I128:I136)</f>
        <v>2698.71</v>
      </c>
      <c r="O130" s="85">
        <f>N130/M130*100</f>
        <v>30.65322581</v>
      </c>
      <c r="P130" s="79">
        <f>(M130/100)*(O130-Q130)</f>
        <v>116.4968</v>
      </c>
      <c r="Q130" s="78">
        <v>29.33</v>
      </c>
      <c r="R130" s="382"/>
      <c r="S130" s="377"/>
      <c r="T130" s="395">
        <v>45619.0</v>
      </c>
      <c r="U130" s="96" t="s">
        <v>315</v>
      </c>
      <c r="V130" s="96">
        <v>1612992.0</v>
      </c>
      <c r="W130" s="96">
        <v>1289.0</v>
      </c>
      <c r="X130" s="96">
        <v>1051.0</v>
      </c>
      <c r="Y130" s="97">
        <v>387.0</v>
      </c>
      <c r="Z130" s="97">
        <v>400.0</v>
      </c>
      <c r="AA130" s="97">
        <v>-13.0</v>
      </c>
      <c r="AB130" s="254">
        <f t="shared" si="33"/>
        <v>31.0318076</v>
      </c>
      <c r="AC130" s="54"/>
      <c r="AD130" s="54"/>
    </row>
    <row r="131">
      <c r="A131" s="54"/>
      <c r="B131" s="110">
        <v>45639.0</v>
      </c>
      <c r="C131" s="110"/>
      <c r="D131" s="99"/>
      <c r="E131" s="100">
        <v>1760405.0</v>
      </c>
      <c r="F131" s="99">
        <f t="shared" si="39"/>
        <v>1044</v>
      </c>
      <c r="G131" s="100">
        <v>452.0</v>
      </c>
      <c r="H131" s="101">
        <v>297.0</v>
      </c>
      <c r="I131" s="101">
        <v>300.0</v>
      </c>
      <c r="J131" s="102">
        <f t="shared" si="37"/>
        <v>-3</v>
      </c>
      <c r="K131" s="103">
        <f t="shared" si="38"/>
        <v>28.73563218</v>
      </c>
      <c r="L131" s="54"/>
      <c r="M131" s="54"/>
      <c r="N131" s="54"/>
      <c r="O131" s="54"/>
      <c r="P131" s="54"/>
      <c r="Q131" s="54"/>
      <c r="R131" s="382"/>
      <c r="S131" s="377"/>
      <c r="T131" s="395">
        <v>45621.0</v>
      </c>
      <c r="U131" s="96" t="s">
        <v>315</v>
      </c>
      <c r="V131" s="96">
        <v>1614207.0</v>
      </c>
      <c r="W131" s="96">
        <v>1215.0</v>
      </c>
      <c r="X131" s="96">
        <v>1039.0</v>
      </c>
      <c r="Y131" s="97">
        <v>359.0</v>
      </c>
      <c r="Z131" s="97">
        <v>350.0</v>
      </c>
      <c r="AA131" s="97">
        <v>9.0</v>
      </c>
      <c r="AB131" s="254">
        <f t="shared" si="33"/>
        <v>28.80658436</v>
      </c>
      <c r="AC131" s="54"/>
      <c r="AD131" s="54"/>
    </row>
    <row r="132">
      <c r="A132" s="54"/>
      <c r="B132" s="110">
        <v>45640.0</v>
      </c>
      <c r="C132" s="110"/>
      <c r="D132" s="99"/>
      <c r="E132" s="100">
        <v>1761256.0</v>
      </c>
      <c r="F132" s="99">
        <f t="shared" si="39"/>
        <v>851</v>
      </c>
      <c r="G132" s="100">
        <v>485.0</v>
      </c>
      <c r="H132" s="101">
        <v>290.0</v>
      </c>
      <c r="I132" s="101">
        <v>300.0</v>
      </c>
      <c r="J132" s="102">
        <f t="shared" si="37"/>
        <v>-10</v>
      </c>
      <c r="K132" s="103">
        <f t="shared" si="38"/>
        <v>35.25264395</v>
      </c>
      <c r="L132" s="60"/>
      <c r="M132" s="60"/>
      <c r="N132" s="60"/>
      <c r="O132" s="54"/>
      <c r="P132" s="54"/>
      <c r="Q132" s="54"/>
      <c r="R132" s="382"/>
      <c r="S132" s="377"/>
      <c r="T132" s="395">
        <v>45622.0</v>
      </c>
      <c r="U132" s="96" t="s">
        <v>315</v>
      </c>
      <c r="V132" s="96">
        <v>1615450.0</v>
      </c>
      <c r="W132" s="96">
        <v>1243.0</v>
      </c>
      <c r="X132" s="96">
        <v>1052.0</v>
      </c>
      <c r="Y132" s="97">
        <v>391.0</v>
      </c>
      <c r="Z132" s="97">
        <v>400.0</v>
      </c>
      <c r="AA132" s="97">
        <v>-9.0</v>
      </c>
      <c r="AB132" s="254">
        <f t="shared" si="33"/>
        <v>32.18020917</v>
      </c>
      <c r="AC132" s="54"/>
      <c r="AD132" s="54"/>
    </row>
    <row r="133">
      <c r="A133" s="54"/>
      <c r="B133" s="110">
        <v>45640.0</v>
      </c>
      <c r="C133" s="110"/>
      <c r="D133" s="99"/>
      <c r="E133" s="100">
        <v>1761903.0</v>
      </c>
      <c r="F133" s="99">
        <f t="shared" si="39"/>
        <v>647</v>
      </c>
      <c r="G133" s="100">
        <v>486.0</v>
      </c>
      <c r="H133" s="101">
        <v>183.0</v>
      </c>
      <c r="I133" s="101">
        <v>197.36</v>
      </c>
      <c r="J133" s="102">
        <f t="shared" si="37"/>
        <v>-14.36</v>
      </c>
      <c r="K133" s="103">
        <f t="shared" si="38"/>
        <v>30.50386399</v>
      </c>
      <c r="L133" s="54"/>
      <c r="M133" s="60"/>
      <c r="N133" s="60"/>
      <c r="O133" s="54"/>
      <c r="P133" s="54"/>
      <c r="Q133" s="54"/>
      <c r="R133" s="382"/>
      <c r="S133" s="377"/>
      <c r="T133" s="395">
        <v>45624.0</v>
      </c>
      <c r="U133" s="96" t="s">
        <v>315</v>
      </c>
      <c r="V133" s="96">
        <v>1616692.0</v>
      </c>
      <c r="W133" s="96">
        <v>1242.0</v>
      </c>
      <c r="X133" s="96">
        <v>1048.0</v>
      </c>
      <c r="Y133" s="97">
        <v>359.0</v>
      </c>
      <c r="Z133" s="97">
        <v>367.85</v>
      </c>
      <c r="AA133" s="97">
        <v>-8.85</v>
      </c>
      <c r="AB133" s="254">
        <f t="shared" si="33"/>
        <v>29.61755233</v>
      </c>
      <c r="AC133" s="54"/>
      <c r="AD133" s="54"/>
    </row>
    <row r="134">
      <c r="A134" s="54"/>
      <c r="B134" s="110">
        <v>45642.0</v>
      </c>
      <c r="C134" s="110"/>
      <c r="D134" s="99"/>
      <c r="E134" s="100">
        <v>1762761.0</v>
      </c>
      <c r="F134" s="99">
        <f t="shared" si="39"/>
        <v>858</v>
      </c>
      <c r="G134" s="100">
        <v>484.0</v>
      </c>
      <c r="H134" s="101">
        <v>241.0</v>
      </c>
      <c r="I134" s="101">
        <v>250.0</v>
      </c>
      <c r="J134" s="102">
        <f t="shared" si="37"/>
        <v>-9</v>
      </c>
      <c r="K134" s="103">
        <f t="shared" si="38"/>
        <v>29.13752914</v>
      </c>
      <c r="L134" s="54"/>
      <c r="M134" s="54"/>
      <c r="N134" s="54"/>
      <c r="O134" s="63"/>
      <c r="P134" s="54"/>
      <c r="Q134" s="54"/>
      <c r="R134" s="382"/>
      <c r="S134" s="377"/>
      <c r="T134" s="395">
        <v>45626.0</v>
      </c>
      <c r="U134" s="96" t="s">
        <v>315</v>
      </c>
      <c r="V134" s="96">
        <v>1617928.0</v>
      </c>
      <c r="W134" s="96">
        <v>1236.0</v>
      </c>
      <c r="X134" s="96">
        <v>1052.0</v>
      </c>
      <c r="Y134" s="97">
        <v>352.0</v>
      </c>
      <c r="Z134" s="97">
        <v>360.22</v>
      </c>
      <c r="AA134" s="97">
        <v>-8.22</v>
      </c>
      <c r="AB134" s="254">
        <f t="shared" si="33"/>
        <v>29.14401294</v>
      </c>
      <c r="AC134" s="54"/>
      <c r="AD134" s="54"/>
    </row>
    <row r="135">
      <c r="A135" s="54"/>
      <c r="B135" s="110">
        <v>45646.0</v>
      </c>
      <c r="C135" s="110"/>
      <c r="D135" s="99"/>
      <c r="E135" s="100">
        <v>1763810.0</v>
      </c>
      <c r="F135" s="99">
        <f t="shared" si="39"/>
        <v>1049</v>
      </c>
      <c r="G135" s="100">
        <v>489.0</v>
      </c>
      <c r="H135" s="101">
        <v>349.0</v>
      </c>
      <c r="I135" s="101">
        <v>365.98</v>
      </c>
      <c r="J135" s="102">
        <f t="shared" si="37"/>
        <v>-16.98</v>
      </c>
      <c r="K135" s="103">
        <f t="shared" si="38"/>
        <v>34.8884652</v>
      </c>
      <c r="L135" s="54"/>
      <c r="M135" s="54"/>
      <c r="N135" s="54"/>
      <c r="O135" s="54"/>
      <c r="P135" s="54"/>
      <c r="Q135" s="54"/>
      <c r="R135" s="382"/>
      <c r="S135" s="372"/>
      <c r="T135" s="67" t="s">
        <v>98</v>
      </c>
      <c r="AA135" s="66"/>
      <c r="AB135" s="242"/>
      <c r="AC135" s="66"/>
      <c r="AD135" s="66"/>
    </row>
    <row r="136">
      <c r="A136" s="54"/>
      <c r="B136" s="398">
        <v>45648.0</v>
      </c>
      <c r="C136" s="398"/>
      <c r="D136" s="306"/>
      <c r="E136" s="305">
        <v>1764738.0</v>
      </c>
      <c r="F136" s="306">
        <f t="shared" si="39"/>
        <v>928</v>
      </c>
      <c r="G136" s="305">
        <v>484.0</v>
      </c>
      <c r="H136" s="307">
        <v>225.0</v>
      </c>
      <c r="I136" s="307">
        <v>263.43</v>
      </c>
      <c r="J136" s="308">
        <f t="shared" si="37"/>
        <v>-38.43</v>
      </c>
      <c r="K136" s="169">
        <f t="shared" si="38"/>
        <v>28.38685345</v>
      </c>
      <c r="L136" s="54"/>
      <c r="M136" s="54"/>
      <c r="N136" s="54"/>
      <c r="O136" s="54"/>
      <c r="P136" s="54"/>
      <c r="Q136" s="54"/>
      <c r="R136" s="382"/>
      <c r="S136" s="377"/>
      <c r="T136" s="94">
        <v>45628.0</v>
      </c>
      <c r="U136" s="96" t="s">
        <v>315</v>
      </c>
      <c r="V136" s="96">
        <v>1619271.0</v>
      </c>
      <c r="W136" s="96">
        <v>1343.0</v>
      </c>
      <c r="X136" s="96">
        <v>1054.0</v>
      </c>
      <c r="Y136" s="97">
        <v>382.0</v>
      </c>
      <c r="Z136" s="97">
        <v>389.86</v>
      </c>
      <c r="AA136" s="97">
        <v>-7.86</v>
      </c>
      <c r="AB136" s="254">
        <f t="shared" ref="AB136:AB151" si="40">Z136/W136*100</f>
        <v>29.02903946</v>
      </c>
      <c r="AC136" s="54"/>
      <c r="AD136" s="54"/>
    </row>
    <row r="137">
      <c r="A137" s="68"/>
      <c r="B137" s="112">
        <v>2025.0</v>
      </c>
      <c r="J137" s="66"/>
      <c r="K137" s="204"/>
      <c r="L137" s="91"/>
      <c r="M137" s="66"/>
      <c r="N137" s="66"/>
      <c r="O137" s="66"/>
      <c r="P137" s="66"/>
      <c r="Q137" s="66"/>
      <c r="R137" s="382"/>
      <c r="S137" s="377"/>
      <c r="T137" s="94">
        <v>45629.0</v>
      </c>
      <c r="U137" s="96" t="s">
        <v>315</v>
      </c>
      <c r="V137" s="96">
        <v>1620715.0</v>
      </c>
      <c r="W137" s="96">
        <v>1444.0</v>
      </c>
      <c r="X137" s="96">
        <v>1044.0</v>
      </c>
      <c r="Y137" s="97">
        <v>410.0</v>
      </c>
      <c r="Z137" s="97">
        <v>397.8</v>
      </c>
      <c r="AA137" s="97">
        <v>12.2</v>
      </c>
      <c r="AB137" s="254">
        <f t="shared" si="40"/>
        <v>27.54847645</v>
      </c>
      <c r="AC137" s="54"/>
      <c r="AD137" s="54"/>
    </row>
    <row r="138">
      <c r="A138" s="68"/>
      <c r="B138" s="203" t="str">
        <f>IF(L138=4,"АПРЕЛЬ",IF(L138=5,"МАЙ",IF(L138=1,"ЯНВАРЬ",IF(L138=2,"ФЕВРАЛЬ",IF(L138=3,"МАРТ",IF(L138=6,"ИЮНЬ",IF(L138=7,"ИЮЛЬ",IF(L138=8,"АВГУСТ",IF(L138=9,"СЕНТЯБРЬ",IF(L138=10,"ОКТЯБРЬ",IF(L138=11,"НОЯБРЬ",IF(L138=12,"ДЕКАБРЬ"))))))))))))</f>
        <v>ЯНВАРЬ</v>
      </c>
      <c r="J138" s="66"/>
      <c r="K138" s="204"/>
      <c r="L138" s="91">
        <f>MONTH(B139)</f>
        <v>1</v>
      </c>
      <c r="M138" s="66"/>
      <c r="N138" s="66"/>
      <c r="O138" s="66"/>
      <c r="P138" s="66"/>
      <c r="Q138" s="66"/>
      <c r="R138" s="382"/>
      <c r="S138" s="377"/>
      <c r="T138" s="94">
        <v>45631.0</v>
      </c>
      <c r="U138" s="96" t="s">
        <v>315</v>
      </c>
      <c r="V138" s="96">
        <v>1621899.0</v>
      </c>
      <c r="W138" s="96">
        <v>1184.0</v>
      </c>
      <c r="X138" s="96">
        <v>1047.0</v>
      </c>
      <c r="Y138" s="97">
        <v>358.0</v>
      </c>
      <c r="Z138" s="97">
        <v>369.03</v>
      </c>
      <c r="AA138" s="97">
        <v>-11.03</v>
      </c>
      <c r="AB138" s="254">
        <f t="shared" si="40"/>
        <v>31.16807432</v>
      </c>
      <c r="AC138" s="54"/>
      <c r="AD138" s="54"/>
    </row>
    <row r="139">
      <c r="A139" s="54"/>
      <c r="B139" s="398">
        <v>45664.0</v>
      </c>
      <c r="C139" s="398"/>
      <c r="D139" s="99"/>
      <c r="E139" s="100">
        <v>1765624.0</v>
      </c>
      <c r="F139" s="99">
        <f>E139-E136</f>
        <v>886</v>
      </c>
      <c r="G139" s="100">
        <v>489.0</v>
      </c>
      <c r="H139" s="101">
        <v>280.0</v>
      </c>
      <c r="I139" s="101">
        <v>300.0</v>
      </c>
      <c r="J139" s="168">
        <f t="shared" ref="J139:J146" si="41">H139-I139</f>
        <v>-20</v>
      </c>
      <c r="K139" s="170">
        <f t="shared" ref="K139:K146" si="42">I139/F139*100</f>
        <v>33.86004515</v>
      </c>
      <c r="L139" s="54"/>
      <c r="M139" s="82" t="str">
        <f>"тотал"&amp;" "&amp;B138&amp;" "&amp;RIGHT(YEAR(B139),2)</f>
        <v>тотал ЯНВАРЬ 25</v>
      </c>
      <c r="N139" s="75"/>
      <c r="O139" s="75"/>
      <c r="P139" s="75"/>
      <c r="Q139" s="76"/>
      <c r="R139" s="382"/>
      <c r="S139" s="377"/>
      <c r="T139" s="94">
        <v>45633.0</v>
      </c>
      <c r="U139" s="96" t="s">
        <v>315</v>
      </c>
      <c r="V139" s="96">
        <v>1623080.0</v>
      </c>
      <c r="W139" s="96">
        <v>1181.0</v>
      </c>
      <c r="X139" s="96">
        <v>1043.0</v>
      </c>
      <c r="Y139" s="97">
        <v>354.0</v>
      </c>
      <c r="Z139" s="97">
        <v>350.0</v>
      </c>
      <c r="AA139" s="97">
        <v>4.0</v>
      </c>
      <c r="AB139" s="254">
        <f t="shared" si="40"/>
        <v>29.63590178</v>
      </c>
      <c r="AC139" s="54"/>
      <c r="AD139" s="54"/>
    </row>
    <row r="140">
      <c r="A140" s="54"/>
      <c r="B140" s="398">
        <v>45668.0</v>
      </c>
      <c r="C140" s="398"/>
      <c r="D140" s="99"/>
      <c r="E140" s="100">
        <v>1766780.0</v>
      </c>
      <c r="F140" s="99">
        <f t="shared" ref="F140:F146" si="43">E140-E139</f>
        <v>1156</v>
      </c>
      <c r="G140" s="100">
        <v>453.0</v>
      </c>
      <c r="H140" s="101">
        <v>296.0</v>
      </c>
      <c r="I140" s="101">
        <v>300.0</v>
      </c>
      <c r="J140" s="168">
        <f t="shared" si="41"/>
        <v>-4</v>
      </c>
      <c r="K140" s="170">
        <f t="shared" si="42"/>
        <v>25.95155709</v>
      </c>
      <c r="L140" s="54"/>
      <c r="M140" s="84" t="s">
        <v>70</v>
      </c>
      <c r="N140" s="84" t="s">
        <v>71</v>
      </c>
      <c r="O140" s="84" t="s">
        <v>27</v>
      </c>
      <c r="P140" s="77" t="s">
        <v>28</v>
      </c>
      <c r="Q140" s="12" t="s">
        <v>78</v>
      </c>
      <c r="R140" s="382"/>
      <c r="S140" s="377"/>
      <c r="T140" s="94">
        <v>45634.0</v>
      </c>
      <c r="U140" s="96" t="s">
        <v>315</v>
      </c>
      <c r="V140" s="96">
        <v>1624267.0</v>
      </c>
      <c r="W140" s="96">
        <v>1187.0</v>
      </c>
      <c r="X140" s="96">
        <v>1054.0</v>
      </c>
      <c r="Y140" s="97">
        <v>389.0</v>
      </c>
      <c r="Z140" s="97">
        <v>400.0</v>
      </c>
      <c r="AA140" s="97">
        <v>-11.0</v>
      </c>
      <c r="AB140" s="254">
        <f t="shared" si="40"/>
        <v>33.69839933</v>
      </c>
      <c r="AC140" s="54"/>
      <c r="AD140" s="54"/>
    </row>
    <row r="141">
      <c r="A141" s="54"/>
      <c r="B141" s="398">
        <v>45670.0</v>
      </c>
      <c r="C141" s="398"/>
      <c r="D141" s="99"/>
      <c r="E141" s="100">
        <v>1767630.0</v>
      </c>
      <c r="F141" s="99">
        <f t="shared" si="43"/>
        <v>850</v>
      </c>
      <c r="G141" s="100">
        <v>485.0</v>
      </c>
      <c r="H141" s="101">
        <v>266.0</v>
      </c>
      <c r="I141" s="101">
        <v>275.49</v>
      </c>
      <c r="J141" s="168">
        <f t="shared" si="41"/>
        <v>-9.49</v>
      </c>
      <c r="K141" s="170">
        <f t="shared" si="42"/>
        <v>32.41058824</v>
      </c>
      <c r="L141" s="54"/>
      <c r="M141" s="84">
        <f>SUM(F139:F146)</f>
        <v>9055</v>
      </c>
      <c r="N141" s="84">
        <f>SUM(I139:I146)</f>
        <v>2741.59</v>
      </c>
      <c r="O141" s="85">
        <f>N141/M141*100</f>
        <v>30.27708448</v>
      </c>
      <c r="P141" s="79">
        <f>(M141/100)*(O141-Q141)</f>
        <v>70.365</v>
      </c>
      <c r="Q141" s="78">
        <v>29.5</v>
      </c>
      <c r="R141" s="382"/>
      <c r="S141" s="377"/>
      <c r="T141" s="94">
        <v>45635.0</v>
      </c>
      <c r="U141" s="96" t="s">
        <v>315</v>
      </c>
      <c r="V141" s="96">
        <v>1625196.0</v>
      </c>
      <c r="W141" s="96">
        <v>929.0</v>
      </c>
      <c r="X141" s="96">
        <v>1017.0</v>
      </c>
      <c r="Y141" s="97">
        <v>302.0</v>
      </c>
      <c r="Z141" s="97">
        <v>301.64</v>
      </c>
      <c r="AA141" s="97">
        <v>0.36</v>
      </c>
      <c r="AB141" s="254">
        <f t="shared" si="40"/>
        <v>32.46932185</v>
      </c>
      <c r="AC141" s="54"/>
      <c r="AD141" s="54"/>
    </row>
    <row r="142">
      <c r="A142" s="54"/>
      <c r="B142" s="398">
        <v>45675.0</v>
      </c>
      <c r="C142" s="398"/>
      <c r="D142" s="99"/>
      <c r="E142" s="100">
        <v>1768923.0</v>
      </c>
      <c r="F142" s="99">
        <f t="shared" si="43"/>
        <v>1293</v>
      </c>
      <c r="G142" s="100">
        <v>469.0</v>
      </c>
      <c r="H142" s="101">
        <v>395.0</v>
      </c>
      <c r="I142" s="101">
        <v>400.0</v>
      </c>
      <c r="J142" s="168">
        <f t="shared" si="41"/>
        <v>-5</v>
      </c>
      <c r="K142" s="170">
        <f t="shared" si="42"/>
        <v>30.9358082</v>
      </c>
      <c r="L142" s="54"/>
      <c r="M142" s="54"/>
      <c r="N142" s="54"/>
      <c r="O142" s="54"/>
      <c r="P142" s="54"/>
      <c r="Q142" s="54"/>
      <c r="R142" s="382"/>
      <c r="S142" s="377"/>
      <c r="T142" s="395">
        <v>45636.0</v>
      </c>
      <c r="U142" s="96" t="s">
        <v>315</v>
      </c>
      <c r="V142" s="96">
        <v>1626127.0</v>
      </c>
      <c r="W142" s="96">
        <v>931.0</v>
      </c>
      <c r="X142" s="96">
        <v>1050.0</v>
      </c>
      <c r="Y142" s="97">
        <v>373.0</v>
      </c>
      <c r="Z142" s="97">
        <v>380.8</v>
      </c>
      <c r="AA142" s="97">
        <v>-7.8</v>
      </c>
      <c r="AB142" s="254">
        <f t="shared" si="40"/>
        <v>40.90225564</v>
      </c>
      <c r="AC142" s="54"/>
      <c r="AD142" s="54"/>
    </row>
    <row r="143">
      <c r="A143" s="54"/>
      <c r="B143" s="398">
        <v>45677.0</v>
      </c>
      <c r="C143" s="398"/>
      <c r="D143" s="99"/>
      <c r="E143" s="100">
        <v>1769964.0</v>
      </c>
      <c r="F143" s="99">
        <f t="shared" si="43"/>
        <v>1041</v>
      </c>
      <c r="G143" s="100">
        <v>484.0</v>
      </c>
      <c r="H143" s="101">
        <v>324.0</v>
      </c>
      <c r="I143" s="101">
        <v>328.99</v>
      </c>
      <c r="J143" s="168">
        <f t="shared" si="41"/>
        <v>-4.99</v>
      </c>
      <c r="K143" s="170">
        <f t="shared" si="42"/>
        <v>31.60326609</v>
      </c>
      <c r="L143" s="60"/>
      <c r="M143" s="60"/>
      <c r="N143" s="60"/>
      <c r="O143" s="54"/>
      <c r="P143" s="54"/>
      <c r="Q143" s="54"/>
      <c r="R143" s="382"/>
      <c r="S143" s="377"/>
      <c r="T143" s="395">
        <v>45639.0</v>
      </c>
      <c r="U143" s="96" t="s">
        <v>315</v>
      </c>
      <c r="V143" s="96">
        <v>1627230.0</v>
      </c>
      <c r="W143" s="96">
        <v>1103.0</v>
      </c>
      <c r="X143" s="96">
        <v>1052.0</v>
      </c>
      <c r="Y143" s="97">
        <v>350.0</v>
      </c>
      <c r="Z143" s="97">
        <v>357.15</v>
      </c>
      <c r="AA143" s="97">
        <v>-7.15</v>
      </c>
      <c r="AB143" s="254">
        <f t="shared" si="40"/>
        <v>32.37987307</v>
      </c>
      <c r="AC143" s="54"/>
      <c r="AD143" s="54"/>
    </row>
    <row r="144">
      <c r="A144" s="54"/>
      <c r="B144" s="398">
        <v>45681.0</v>
      </c>
      <c r="C144" s="398"/>
      <c r="D144" s="99"/>
      <c r="E144" s="100">
        <v>1771317.0</v>
      </c>
      <c r="F144" s="99">
        <f t="shared" si="43"/>
        <v>1353</v>
      </c>
      <c r="G144" s="100">
        <v>490.0</v>
      </c>
      <c r="H144" s="101">
        <v>395.0</v>
      </c>
      <c r="I144" s="101">
        <v>400.0</v>
      </c>
      <c r="J144" s="168">
        <f t="shared" si="41"/>
        <v>-5</v>
      </c>
      <c r="K144" s="170">
        <f t="shared" si="42"/>
        <v>29.563932</v>
      </c>
      <c r="L144" s="54"/>
      <c r="M144" s="60"/>
      <c r="N144" s="60"/>
      <c r="O144" s="54"/>
      <c r="P144" s="54"/>
      <c r="Q144" s="54"/>
      <c r="R144" s="382"/>
      <c r="S144" s="377"/>
      <c r="T144" s="395">
        <v>45640.0</v>
      </c>
      <c r="U144" s="96" t="s">
        <v>315</v>
      </c>
      <c r="V144" s="96">
        <v>1628353.0</v>
      </c>
      <c r="W144" s="96">
        <v>1123.0</v>
      </c>
      <c r="X144" s="96">
        <v>1050.0</v>
      </c>
      <c r="Y144" s="97">
        <v>379.0</v>
      </c>
      <c r="Z144" s="97">
        <v>388.75</v>
      </c>
      <c r="AA144" s="97">
        <v>-9.75</v>
      </c>
      <c r="AB144" s="254">
        <f t="shared" si="40"/>
        <v>34.61709706</v>
      </c>
      <c r="AC144" s="54"/>
      <c r="AD144" s="54"/>
    </row>
    <row r="145">
      <c r="A145" s="54"/>
      <c r="B145" s="398">
        <v>45684.0</v>
      </c>
      <c r="C145" s="398"/>
      <c r="D145" s="99"/>
      <c r="E145" s="100">
        <v>1772439.0</v>
      </c>
      <c r="F145" s="99">
        <f t="shared" si="43"/>
        <v>1122</v>
      </c>
      <c r="G145" s="100">
        <v>487.0</v>
      </c>
      <c r="H145" s="101">
        <v>327.0</v>
      </c>
      <c r="I145" s="101">
        <v>337.11</v>
      </c>
      <c r="J145" s="168">
        <f t="shared" si="41"/>
        <v>-10.11</v>
      </c>
      <c r="K145" s="170">
        <f t="shared" si="42"/>
        <v>30.04545455</v>
      </c>
      <c r="L145" s="54"/>
      <c r="M145" s="54"/>
      <c r="N145" s="54"/>
      <c r="O145" s="54"/>
      <c r="P145" s="54"/>
      <c r="Q145" s="54"/>
      <c r="R145" s="382"/>
      <c r="S145" s="377"/>
      <c r="T145" s="395">
        <v>45641.0</v>
      </c>
      <c r="U145" s="96" t="s">
        <v>315</v>
      </c>
      <c r="V145" s="96">
        <v>1629433.0</v>
      </c>
      <c r="W145" s="96">
        <v>1080.0</v>
      </c>
      <c r="X145" s="96">
        <v>1052.0</v>
      </c>
      <c r="Y145" s="97">
        <v>350.0</v>
      </c>
      <c r="Z145" s="97">
        <v>358.01</v>
      </c>
      <c r="AA145" s="97">
        <v>-8.01</v>
      </c>
      <c r="AB145" s="254">
        <f t="shared" si="40"/>
        <v>33.14907407</v>
      </c>
      <c r="AC145" s="54"/>
      <c r="AD145" s="54"/>
    </row>
    <row r="146">
      <c r="A146" s="54"/>
      <c r="B146" s="110">
        <v>45688.0</v>
      </c>
      <c r="C146" s="110"/>
      <c r="D146" s="99"/>
      <c r="E146" s="100">
        <v>1773793.0</v>
      </c>
      <c r="F146" s="99">
        <f t="shared" si="43"/>
        <v>1354</v>
      </c>
      <c r="G146" s="100">
        <v>483.0</v>
      </c>
      <c r="H146" s="101">
        <v>403.0</v>
      </c>
      <c r="I146" s="101">
        <v>400.0</v>
      </c>
      <c r="J146" s="168">
        <f t="shared" si="41"/>
        <v>3</v>
      </c>
      <c r="K146" s="170">
        <f t="shared" si="42"/>
        <v>29.54209749</v>
      </c>
      <c r="L146" s="54"/>
      <c r="M146" s="54"/>
      <c r="N146" s="54"/>
      <c r="O146" s="54"/>
      <c r="P146" s="54"/>
      <c r="Q146" s="54"/>
      <c r="R146" s="382"/>
      <c r="S146" s="377"/>
      <c r="T146" s="395">
        <v>45643.0</v>
      </c>
      <c r="U146" s="96" t="s">
        <v>315</v>
      </c>
      <c r="V146" s="96">
        <v>1630625.0</v>
      </c>
      <c r="W146" s="96">
        <v>1192.0</v>
      </c>
      <c r="X146" s="96">
        <v>1053.0</v>
      </c>
      <c r="Y146" s="97">
        <v>355.0</v>
      </c>
      <c r="Z146" s="97">
        <v>364.87</v>
      </c>
      <c r="AA146" s="97">
        <v>-9.87</v>
      </c>
      <c r="AB146" s="254">
        <f t="shared" si="40"/>
        <v>30.60989933</v>
      </c>
      <c r="AC146" s="54"/>
      <c r="AD146" s="54"/>
    </row>
    <row r="147">
      <c r="A147" s="68"/>
      <c r="B147" s="203" t="str">
        <f>IF(L147=4,"АПРЕЛЬ",IF(L147=5,"МАЙ",IF(L147=1,"ЯНВАРЬ",IF(L147=2,"ФЕВРАЛЬ",IF(L147=3,"МАРТ",IF(L147=6,"ИЮНЬ",IF(L147=7,"ИЮЛЬ",IF(L147=8,"АВГУСТ",IF(L147=9,"СЕНТЯБРЬ",IF(L147=10,"ОКТЯБРЬ",IF(L147=11,"НОЯБРЬ",IF(L147=12,"ДЕКАБРЬ"))))))))))))</f>
        <v>ФЕВРАЛЬ</v>
      </c>
      <c r="J147" s="66"/>
      <c r="K147" s="204"/>
      <c r="L147" s="91">
        <f>MONTH(B148)</f>
        <v>2</v>
      </c>
      <c r="M147" s="66"/>
      <c r="N147" s="66"/>
      <c r="O147" s="66"/>
      <c r="P147" s="66"/>
      <c r="Q147" s="66"/>
      <c r="R147" s="382"/>
      <c r="S147" s="377"/>
      <c r="T147" s="395">
        <v>45645.0</v>
      </c>
      <c r="U147" s="96" t="s">
        <v>315</v>
      </c>
      <c r="V147" s="96">
        <v>1631810.0</v>
      </c>
      <c r="W147" s="96">
        <v>1185.0</v>
      </c>
      <c r="X147" s="96">
        <v>1046.0</v>
      </c>
      <c r="Y147" s="97">
        <v>358.0</v>
      </c>
      <c r="Z147" s="97">
        <v>370.0</v>
      </c>
      <c r="AA147" s="97">
        <v>-12.0</v>
      </c>
      <c r="AB147" s="254">
        <f t="shared" si="40"/>
        <v>31.22362869</v>
      </c>
      <c r="AC147" s="54"/>
      <c r="AD147" s="54"/>
    </row>
    <row r="148">
      <c r="A148" s="54"/>
      <c r="B148" s="398">
        <v>45691.0</v>
      </c>
      <c r="C148" s="398"/>
      <c r="D148" s="99"/>
      <c r="E148" s="100">
        <v>1774908.0</v>
      </c>
      <c r="F148" s="99">
        <f>E148-E146</f>
        <v>1115</v>
      </c>
      <c r="G148" s="100">
        <v>488.0</v>
      </c>
      <c r="H148" s="101">
        <v>336.0</v>
      </c>
      <c r="I148" s="101">
        <v>350.0</v>
      </c>
      <c r="J148" s="102">
        <f t="shared" ref="J148:J160" si="44">H148-I148</f>
        <v>-14</v>
      </c>
      <c r="K148" s="103">
        <f t="shared" ref="K148:K160" si="45">I148/F148*100</f>
        <v>31.39013453</v>
      </c>
      <c r="L148" s="54"/>
      <c r="M148" s="82" t="str">
        <f>"тотал"&amp;" "&amp;B147&amp;" "&amp;RIGHT(YEAR(B148),2)</f>
        <v>тотал ФЕВРАЛЬ 25</v>
      </c>
      <c r="N148" s="75"/>
      <c r="O148" s="75"/>
      <c r="P148" s="75"/>
      <c r="Q148" s="76"/>
      <c r="R148" s="382"/>
      <c r="S148" s="377"/>
      <c r="T148" s="395">
        <v>45647.0</v>
      </c>
      <c r="U148" s="96" t="s">
        <v>315</v>
      </c>
      <c r="V148" s="96">
        <v>1632990.0</v>
      </c>
      <c r="W148" s="96">
        <v>1180.0</v>
      </c>
      <c r="X148" s="96">
        <v>1048.0</v>
      </c>
      <c r="Y148" s="97">
        <v>359.0</v>
      </c>
      <c r="Z148" s="97">
        <v>369.5</v>
      </c>
      <c r="AA148" s="97">
        <v>-10.5</v>
      </c>
      <c r="AB148" s="254">
        <f t="shared" si="40"/>
        <v>31.31355932</v>
      </c>
      <c r="AC148" s="54"/>
      <c r="AD148" s="54"/>
    </row>
    <row r="149">
      <c r="A149" s="54"/>
      <c r="B149" s="398">
        <v>45696.0</v>
      </c>
      <c r="C149" s="398"/>
      <c r="D149" s="99"/>
      <c r="E149" s="100">
        <v>1776128.0</v>
      </c>
      <c r="F149" s="99">
        <f t="shared" ref="F149:F160" si="46">E149-E148</f>
        <v>1220</v>
      </c>
      <c r="G149" s="100">
        <v>469.0</v>
      </c>
      <c r="H149" s="101">
        <v>349.0</v>
      </c>
      <c r="I149" s="101">
        <v>350.0</v>
      </c>
      <c r="J149" s="102">
        <f t="shared" si="44"/>
        <v>-1</v>
      </c>
      <c r="K149" s="103">
        <f t="shared" si="45"/>
        <v>28.68852459</v>
      </c>
      <c r="L149" s="54"/>
      <c r="M149" s="84" t="s">
        <v>70</v>
      </c>
      <c r="N149" s="84" t="s">
        <v>71</v>
      </c>
      <c r="O149" s="84" t="s">
        <v>27</v>
      </c>
      <c r="P149" s="77" t="s">
        <v>28</v>
      </c>
      <c r="Q149" s="12" t="s">
        <v>78</v>
      </c>
      <c r="R149" s="382"/>
      <c r="S149" s="377"/>
      <c r="T149" s="395">
        <v>45648.0</v>
      </c>
      <c r="U149" s="96" t="s">
        <v>315</v>
      </c>
      <c r="V149" s="96">
        <v>1634186.0</v>
      </c>
      <c r="W149" s="96">
        <v>1196.0</v>
      </c>
      <c r="X149" s="96">
        <v>1051.0</v>
      </c>
      <c r="Y149" s="97">
        <v>370.0</v>
      </c>
      <c r="Z149" s="97">
        <v>369.5</v>
      </c>
      <c r="AA149" s="97">
        <v>0.5</v>
      </c>
      <c r="AB149" s="254">
        <f t="shared" si="40"/>
        <v>30.89464883</v>
      </c>
      <c r="AC149" s="54"/>
      <c r="AD149" s="54"/>
    </row>
    <row r="150">
      <c r="A150" s="54"/>
      <c r="B150" s="398">
        <v>45698.0</v>
      </c>
      <c r="C150" s="398"/>
      <c r="D150" s="99"/>
      <c r="E150" s="100">
        <v>1777168.0</v>
      </c>
      <c r="F150" s="99">
        <f t="shared" si="46"/>
        <v>1040</v>
      </c>
      <c r="G150" s="100">
        <v>486.0</v>
      </c>
      <c r="H150" s="101">
        <v>317.0</v>
      </c>
      <c r="I150" s="101">
        <v>323.28</v>
      </c>
      <c r="J150" s="102">
        <f t="shared" si="44"/>
        <v>-6.28</v>
      </c>
      <c r="K150" s="103">
        <f t="shared" si="45"/>
        <v>31.08461538</v>
      </c>
      <c r="L150" s="54"/>
      <c r="M150" s="84">
        <f>SUM(F148:F160)</f>
        <v>11160</v>
      </c>
      <c r="N150" s="84">
        <f>SUM(I148:I160)</f>
        <v>3354.79</v>
      </c>
      <c r="O150" s="85">
        <f>N150/M150*100</f>
        <v>30.06084229</v>
      </c>
      <c r="P150" s="79">
        <f>(M150/100)*(O150-Q150)</f>
        <v>178.654</v>
      </c>
      <c r="Q150" s="78">
        <v>28.46</v>
      </c>
      <c r="R150" s="382"/>
      <c r="S150" s="377"/>
      <c r="T150" s="395">
        <v>45650.0</v>
      </c>
      <c r="U150" s="96" t="s">
        <v>315</v>
      </c>
      <c r="V150" s="96">
        <v>1635384.0</v>
      </c>
      <c r="W150" s="96">
        <v>1198.0</v>
      </c>
      <c r="X150" s="96">
        <v>1053.0</v>
      </c>
      <c r="Y150" s="97">
        <v>361.0</v>
      </c>
      <c r="Z150" s="97">
        <v>369.5</v>
      </c>
      <c r="AA150" s="97">
        <v>-8.5</v>
      </c>
      <c r="AB150" s="254">
        <f t="shared" si="40"/>
        <v>30.84307179</v>
      </c>
      <c r="AC150" s="54"/>
      <c r="AD150" s="54"/>
    </row>
    <row r="151">
      <c r="A151" s="54"/>
      <c r="B151" s="398">
        <v>45703.0</v>
      </c>
      <c r="C151" s="398"/>
      <c r="D151" s="99"/>
      <c r="E151" s="100">
        <v>1778530.0</v>
      </c>
      <c r="F151" s="99">
        <f t="shared" si="46"/>
        <v>1362</v>
      </c>
      <c r="G151" s="100">
        <v>467.0</v>
      </c>
      <c r="H151" s="101">
        <v>403.0</v>
      </c>
      <c r="I151" s="101">
        <v>400.0</v>
      </c>
      <c r="J151" s="102">
        <f t="shared" si="44"/>
        <v>3</v>
      </c>
      <c r="K151" s="103">
        <f t="shared" si="45"/>
        <v>29.36857562</v>
      </c>
      <c r="L151" s="54"/>
      <c r="M151" s="54"/>
      <c r="N151" s="54"/>
      <c r="O151" s="54"/>
      <c r="P151" s="54"/>
      <c r="Q151" s="54"/>
      <c r="R151" s="382"/>
      <c r="S151" s="377"/>
      <c r="T151" s="395">
        <v>45651.0</v>
      </c>
      <c r="U151" s="96" t="s">
        <v>315</v>
      </c>
      <c r="V151" s="96">
        <v>1636626.0</v>
      </c>
      <c r="W151" s="96">
        <v>1242.0</v>
      </c>
      <c r="X151" s="96">
        <v>1046.0</v>
      </c>
      <c r="Y151" s="97">
        <v>347.0</v>
      </c>
      <c r="Z151" s="97">
        <v>369.5</v>
      </c>
      <c r="AA151" s="97">
        <v>-22.5</v>
      </c>
      <c r="AB151" s="254">
        <f t="shared" si="40"/>
        <v>29.75040258</v>
      </c>
      <c r="AC151" s="54"/>
      <c r="AD151" s="54"/>
    </row>
    <row r="152">
      <c r="A152" s="54"/>
      <c r="B152" s="398">
        <v>45705.0</v>
      </c>
      <c r="C152" s="398"/>
      <c r="D152" s="99"/>
      <c r="E152" s="100">
        <v>1779500.0</v>
      </c>
      <c r="F152" s="99">
        <f t="shared" si="46"/>
        <v>970</v>
      </c>
      <c r="G152" s="100">
        <v>489.0</v>
      </c>
      <c r="H152" s="101">
        <v>319.0</v>
      </c>
      <c r="I152" s="101">
        <v>332.14</v>
      </c>
      <c r="J152" s="102">
        <f t="shared" si="44"/>
        <v>-13.14</v>
      </c>
      <c r="K152" s="103">
        <f t="shared" si="45"/>
        <v>34.24123711</v>
      </c>
      <c r="L152" s="60"/>
      <c r="M152" s="60"/>
      <c r="N152" s="60"/>
      <c r="O152" s="54"/>
      <c r="P152" s="54"/>
      <c r="Q152" s="54"/>
      <c r="R152" s="382"/>
      <c r="S152" s="377"/>
      <c r="T152" s="54"/>
      <c r="U152" s="54"/>
      <c r="V152" s="54"/>
      <c r="W152" s="54"/>
      <c r="X152" s="54"/>
      <c r="Y152" s="54"/>
      <c r="Z152" s="54"/>
      <c r="AA152" s="54"/>
      <c r="AB152" s="287"/>
      <c r="AC152" s="54"/>
      <c r="AD152" s="54"/>
    </row>
    <row r="153">
      <c r="A153" s="54"/>
      <c r="B153" s="398">
        <v>45707.0</v>
      </c>
      <c r="C153" s="398"/>
      <c r="D153" s="99"/>
      <c r="E153" s="100">
        <v>1780921.0</v>
      </c>
      <c r="F153" s="99">
        <f t="shared" si="46"/>
        <v>1421</v>
      </c>
      <c r="G153" s="100">
        <v>360.0</v>
      </c>
      <c r="H153" s="101">
        <v>275.0</v>
      </c>
      <c r="I153" s="101">
        <v>274.37</v>
      </c>
      <c r="J153" s="102">
        <f t="shared" si="44"/>
        <v>0.63</v>
      </c>
      <c r="K153" s="103">
        <f t="shared" si="45"/>
        <v>19.30823364</v>
      </c>
      <c r="L153" s="54"/>
      <c r="M153" s="60"/>
      <c r="N153" s="60"/>
      <c r="O153" s="54"/>
      <c r="P153" s="54"/>
      <c r="Q153" s="54"/>
      <c r="R153" s="382"/>
      <c r="S153" s="377"/>
      <c r="T153" s="54"/>
      <c r="U153" s="54"/>
      <c r="V153" s="54"/>
      <c r="W153" s="54"/>
      <c r="X153" s="54"/>
      <c r="Y153" s="54"/>
      <c r="Z153" s="54"/>
      <c r="AA153" s="54"/>
      <c r="AB153" s="287"/>
      <c r="AC153" s="54"/>
      <c r="AD153" s="54"/>
    </row>
    <row r="154">
      <c r="A154" s="54"/>
      <c r="B154" s="398">
        <v>45708.0</v>
      </c>
      <c r="C154" s="398"/>
      <c r="D154" s="99"/>
      <c r="E154" s="100">
        <v>1781112.0</v>
      </c>
      <c r="F154" s="99">
        <f t="shared" si="46"/>
        <v>191</v>
      </c>
      <c r="G154" s="100">
        <v>429.0</v>
      </c>
      <c r="H154" s="101">
        <v>124.0</v>
      </c>
      <c r="I154" s="101">
        <v>125.0</v>
      </c>
      <c r="J154" s="102">
        <f t="shared" si="44"/>
        <v>-1</v>
      </c>
      <c r="K154" s="103">
        <f t="shared" si="45"/>
        <v>65.44502618</v>
      </c>
      <c r="L154" s="54"/>
      <c r="M154" s="54"/>
      <c r="N154" s="54"/>
      <c r="O154" s="54"/>
      <c r="P154" s="54"/>
      <c r="Q154" s="54"/>
      <c r="R154" s="382"/>
      <c r="S154" s="377"/>
      <c r="T154" s="54"/>
      <c r="U154" s="54"/>
      <c r="V154" s="54"/>
      <c r="W154" s="54"/>
      <c r="X154" s="54"/>
      <c r="Y154" s="54"/>
      <c r="Z154" s="54"/>
      <c r="AA154" s="54"/>
      <c r="AB154" s="287"/>
      <c r="AC154" s="54"/>
      <c r="AD154" s="54"/>
    </row>
    <row r="155">
      <c r="A155" s="54"/>
      <c r="B155" s="398">
        <v>45709.0</v>
      </c>
      <c r="C155" s="398"/>
      <c r="D155" s="99"/>
      <c r="E155" s="100">
        <v>1781956.0</v>
      </c>
      <c r="F155" s="99">
        <f t="shared" si="46"/>
        <v>844</v>
      </c>
      <c r="G155" s="100">
        <v>380.0</v>
      </c>
      <c r="H155" s="101">
        <v>199.0</v>
      </c>
      <c r="I155" s="101">
        <v>200.0</v>
      </c>
      <c r="J155" s="102">
        <f t="shared" si="44"/>
        <v>-1</v>
      </c>
      <c r="K155" s="103">
        <f t="shared" si="45"/>
        <v>23.69668246</v>
      </c>
      <c r="L155" s="54"/>
      <c r="M155" s="54"/>
      <c r="N155" s="54"/>
      <c r="O155" s="54"/>
      <c r="P155" s="54"/>
      <c r="Q155" s="54"/>
      <c r="R155" s="382"/>
      <c r="S155" s="377"/>
      <c r="T155" s="54"/>
      <c r="U155" s="54"/>
      <c r="V155" s="54"/>
      <c r="W155" s="54"/>
      <c r="X155" s="54"/>
      <c r="Y155" s="54"/>
      <c r="Z155" s="54"/>
      <c r="AA155" s="54"/>
      <c r="AB155" s="287"/>
      <c r="AC155" s="54"/>
      <c r="AD155" s="54"/>
    </row>
    <row r="156">
      <c r="A156" s="54"/>
      <c r="B156" s="398">
        <v>45709.0</v>
      </c>
      <c r="C156" s="398"/>
      <c r="D156" s="99"/>
      <c r="E156" s="100">
        <v>1782451.0</v>
      </c>
      <c r="F156" s="99">
        <f t="shared" si="46"/>
        <v>495</v>
      </c>
      <c r="G156" s="100">
        <v>432.0</v>
      </c>
      <c r="H156" s="101">
        <v>199.0</v>
      </c>
      <c r="I156" s="101">
        <v>200.0</v>
      </c>
      <c r="J156" s="102">
        <f t="shared" si="44"/>
        <v>-1</v>
      </c>
      <c r="K156" s="103">
        <f t="shared" si="45"/>
        <v>40.4040404</v>
      </c>
      <c r="L156" s="54"/>
      <c r="M156" s="63"/>
      <c r="N156" s="54"/>
      <c r="O156" s="54"/>
      <c r="P156" s="54"/>
      <c r="Q156" s="54"/>
      <c r="R156" s="382"/>
      <c r="S156" s="377"/>
      <c r="T156" s="54"/>
      <c r="U156" s="54"/>
      <c r="V156" s="54"/>
      <c r="W156" s="54"/>
      <c r="X156" s="54"/>
      <c r="Y156" s="54"/>
      <c r="Z156" s="54"/>
      <c r="AA156" s="54"/>
      <c r="AB156" s="287"/>
      <c r="AC156" s="54"/>
      <c r="AD156" s="54"/>
    </row>
    <row r="157">
      <c r="A157" s="54"/>
      <c r="B157" s="398">
        <v>45710.0</v>
      </c>
      <c r="C157" s="398"/>
      <c r="D157" s="99"/>
      <c r="E157" s="100">
        <v>1783431.0</v>
      </c>
      <c r="F157" s="99">
        <f t="shared" si="46"/>
        <v>980</v>
      </c>
      <c r="G157" s="100">
        <v>439.0</v>
      </c>
      <c r="H157" s="101">
        <v>304.0</v>
      </c>
      <c r="I157" s="101">
        <v>300.0</v>
      </c>
      <c r="J157" s="102">
        <f t="shared" si="44"/>
        <v>4</v>
      </c>
      <c r="K157" s="103">
        <f t="shared" si="45"/>
        <v>30.6122449</v>
      </c>
      <c r="L157" s="54"/>
      <c r="M157" s="54"/>
      <c r="N157" s="54"/>
      <c r="O157" s="54"/>
      <c r="P157" s="54"/>
      <c r="Q157" s="54"/>
      <c r="R157" s="382"/>
      <c r="S157" s="377"/>
      <c r="T157" s="54"/>
      <c r="U157" s="54"/>
      <c r="V157" s="54"/>
      <c r="W157" s="54"/>
      <c r="X157" s="54"/>
      <c r="Y157" s="54"/>
      <c r="Z157" s="54"/>
      <c r="AA157" s="54"/>
      <c r="AB157" s="287"/>
      <c r="AC157" s="54"/>
      <c r="AD157" s="54"/>
    </row>
    <row r="158">
      <c r="A158" s="54"/>
      <c r="B158" s="398">
        <v>45711.0</v>
      </c>
      <c r="C158" s="398"/>
      <c r="D158" s="99"/>
      <c r="E158" s="100">
        <v>1783803.0</v>
      </c>
      <c r="F158" s="99">
        <f t="shared" si="46"/>
        <v>372</v>
      </c>
      <c r="G158" s="100">
        <v>425.0</v>
      </c>
      <c r="H158" s="101">
        <v>99.0</v>
      </c>
      <c r="I158" s="101">
        <v>100.0</v>
      </c>
      <c r="J158" s="102">
        <f t="shared" si="44"/>
        <v>-1</v>
      </c>
      <c r="K158" s="103">
        <f t="shared" si="45"/>
        <v>26.88172043</v>
      </c>
      <c r="L158" s="54"/>
      <c r="M158" s="54"/>
      <c r="N158" s="54"/>
      <c r="O158" s="54"/>
      <c r="P158" s="54"/>
      <c r="Q158" s="54"/>
      <c r="R158" s="382"/>
      <c r="S158" s="377"/>
      <c r="T158" s="54"/>
      <c r="U158" s="54"/>
      <c r="V158" s="54"/>
      <c r="W158" s="54"/>
      <c r="X158" s="54"/>
      <c r="Y158" s="54"/>
      <c r="Z158" s="54"/>
      <c r="AA158" s="54"/>
      <c r="AB158" s="287"/>
      <c r="AC158" s="54"/>
      <c r="AD158" s="54"/>
    </row>
    <row r="159">
      <c r="A159" s="54"/>
      <c r="B159" s="398">
        <v>45712.0</v>
      </c>
      <c r="C159" s="398"/>
      <c r="D159" s="99"/>
      <c r="E159" s="100">
        <v>1784628.0</v>
      </c>
      <c r="F159" s="99">
        <f t="shared" si="46"/>
        <v>825</v>
      </c>
      <c r="G159" s="100">
        <v>458.0</v>
      </c>
      <c r="H159" s="101">
        <v>304.0</v>
      </c>
      <c r="I159" s="101">
        <v>300.0</v>
      </c>
      <c r="J159" s="102">
        <f t="shared" si="44"/>
        <v>4</v>
      </c>
      <c r="K159" s="103">
        <f t="shared" si="45"/>
        <v>36.36363636</v>
      </c>
      <c r="L159" s="54"/>
      <c r="M159" s="54"/>
      <c r="N159" s="54"/>
      <c r="O159" s="54"/>
      <c r="P159" s="54"/>
      <c r="Q159" s="54"/>
      <c r="R159" s="382"/>
      <c r="S159" s="377"/>
      <c r="T159" s="54"/>
      <c r="U159" s="54"/>
      <c r="V159" s="54"/>
      <c r="W159" s="54"/>
      <c r="X159" s="54"/>
      <c r="Y159" s="54"/>
      <c r="Z159" s="54"/>
      <c r="AA159" s="54"/>
      <c r="AB159" s="287"/>
      <c r="AC159" s="54"/>
      <c r="AD159" s="54"/>
    </row>
    <row r="160">
      <c r="A160" s="54"/>
      <c r="B160" s="398">
        <v>45712.0</v>
      </c>
      <c r="C160" s="398"/>
      <c r="D160" s="99"/>
      <c r="E160" s="100">
        <v>1784953.0</v>
      </c>
      <c r="F160" s="99">
        <f t="shared" si="46"/>
        <v>325</v>
      </c>
      <c r="G160" s="100">
        <v>459.0</v>
      </c>
      <c r="H160" s="101">
        <v>94.0</v>
      </c>
      <c r="I160" s="9">
        <v>100.0</v>
      </c>
      <c r="J160" s="102">
        <f t="shared" si="44"/>
        <v>-6</v>
      </c>
      <c r="K160" s="103">
        <f t="shared" si="45"/>
        <v>30.76923077</v>
      </c>
      <c r="L160" s="54"/>
      <c r="M160" s="54"/>
      <c r="N160" s="54"/>
      <c r="O160" s="54"/>
      <c r="P160" s="54"/>
      <c r="Q160" s="54"/>
      <c r="R160" s="382"/>
      <c r="S160" s="377"/>
      <c r="T160" s="54"/>
      <c r="U160" s="54"/>
      <c r="V160" s="54"/>
      <c r="W160" s="54"/>
      <c r="X160" s="54"/>
      <c r="Y160" s="54"/>
      <c r="Z160" s="54"/>
      <c r="AA160" s="54"/>
      <c r="AB160" s="287"/>
      <c r="AC160" s="54"/>
      <c r="AD160" s="54"/>
    </row>
    <row r="161">
      <c r="A161" s="68"/>
      <c r="B161" s="203" t="str">
        <f>IF(L161=4,"АПРЕЛЬ",IF(L161=5,"МАЙ",IF(L161=1,"ЯНВАРЬ",IF(L161=2,"ФЕВРАЛЬ",IF(L161=3,"МАРТ",IF(L161=6,"ИЮНЬ",IF(L161=7,"ИЮЛЬ",IF(L161=8,"АВГУСТ",IF(L161=9,"СЕНТЯБРЬ",IF(L161=10,"ОКТЯБРЬ",IF(L161=11,"НОЯБРЬ",IF(L161=12,"ДЕКАБРЬ"))))))))))))</f>
        <v>МАРТ</v>
      </c>
      <c r="J161" s="66"/>
      <c r="K161" s="204"/>
      <c r="L161" s="91">
        <f>MONTH(B162)</f>
        <v>3</v>
      </c>
      <c r="M161" s="66"/>
      <c r="N161" s="66"/>
      <c r="O161" s="66"/>
      <c r="P161" s="66"/>
      <c r="Q161" s="66"/>
      <c r="R161" s="382"/>
      <c r="S161" s="377"/>
      <c r="T161" s="54"/>
      <c r="U161" s="54"/>
      <c r="V161" s="54"/>
      <c r="W161" s="54"/>
      <c r="X161" s="54"/>
      <c r="Y161" s="54"/>
      <c r="Z161" s="54"/>
      <c r="AA161" s="54"/>
      <c r="AB161" s="287"/>
      <c r="AC161" s="54"/>
      <c r="AD161" s="54"/>
    </row>
    <row r="162">
      <c r="A162" s="54"/>
      <c r="B162" s="398">
        <v>45717.0</v>
      </c>
      <c r="C162" s="398"/>
      <c r="D162" s="99"/>
      <c r="E162" s="100">
        <v>1785998.0</v>
      </c>
      <c r="F162" s="99">
        <f>E162-E160</f>
        <v>1045</v>
      </c>
      <c r="G162" s="100">
        <v>430.0</v>
      </c>
      <c r="H162" s="101">
        <v>302.0</v>
      </c>
      <c r="I162" s="101">
        <v>300.0</v>
      </c>
      <c r="J162" s="102">
        <f t="shared" ref="J162:J181" si="47">H162-I162</f>
        <v>2</v>
      </c>
      <c r="K162" s="103">
        <f t="shared" ref="K162:K181" si="48">I162/F162*100</f>
        <v>28.70813397</v>
      </c>
      <c r="L162" s="54"/>
      <c r="M162" s="82" t="str">
        <f>"тотал"&amp;" "&amp;B161&amp;" "&amp;RIGHT(YEAR(B162),2)</f>
        <v>тотал МАРТ 25</v>
      </c>
      <c r="N162" s="75"/>
      <c r="O162" s="75"/>
      <c r="P162" s="75"/>
      <c r="Q162" s="76"/>
      <c r="R162" s="382"/>
      <c r="S162" s="377"/>
      <c r="T162" s="54"/>
      <c r="U162" s="54"/>
      <c r="V162" s="54"/>
      <c r="W162" s="54"/>
      <c r="X162" s="54"/>
      <c r="Y162" s="54"/>
      <c r="Z162" s="54"/>
      <c r="AA162" s="54"/>
      <c r="AB162" s="287"/>
      <c r="AC162" s="54"/>
      <c r="AD162" s="54"/>
    </row>
    <row r="163">
      <c r="A163" s="54"/>
      <c r="B163" s="398">
        <v>45718.0</v>
      </c>
      <c r="C163" s="398"/>
      <c r="D163" s="99"/>
      <c r="E163" s="100">
        <v>1786369.0</v>
      </c>
      <c r="F163" s="99">
        <f t="shared" ref="F163:F181" si="49">E163-E162</f>
        <v>371</v>
      </c>
      <c r="G163" s="100">
        <v>429.0</v>
      </c>
      <c r="H163" s="101">
        <v>100.0</v>
      </c>
      <c r="I163" s="101">
        <v>100.0</v>
      </c>
      <c r="J163" s="102">
        <f t="shared" si="47"/>
        <v>0</v>
      </c>
      <c r="K163" s="103">
        <f t="shared" si="48"/>
        <v>26.9541779</v>
      </c>
      <c r="L163" s="54"/>
      <c r="M163" s="84" t="s">
        <v>70</v>
      </c>
      <c r="N163" s="84" t="s">
        <v>71</v>
      </c>
      <c r="O163" s="84" t="s">
        <v>27</v>
      </c>
      <c r="P163" s="77" t="s">
        <v>28</v>
      </c>
      <c r="Q163" s="12" t="s">
        <v>78</v>
      </c>
      <c r="R163" s="382"/>
      <c r="S163" s="377"/>
      <c r="T163" s="54"/>
      <c r="U163" s="54"/>
      <c r="V163" s="54"/>
      <c r="W163" s="54"/>
      <c r="X163" s="54"/>
      <c r="Y163" s="54"/>
      <c r="Z163" s="54"/>
      <c r="AA163" s="54"/>
      <c r="AB163" s="287"/>
      <c r="AC163" s="54"/>
      <c r="AD163" s="54"/>
    </row>
    <row r="164">
      <c r="A164" s="54"/>
      <c r="B164" s="398">
        <v>45719.0</v>
      </c>
      <c r="C164" s="398"/>
      <c r="D164" s="99"/>
      <c r="E164" s="100">
        <v>1787194.0</v>
      </c>
      <c r="F164" s="99">
        <f t="shared" si="49"/>
        <v>825</v>
      </c>
      <c r="G164" s="100">
        <v>486.0</v>
      </c>
      <c r="H164" s="101">
        <v>290.0</v>
      </c>
      <c r="I164" s="101">
        <v>300.0</v>
      </c>
      <c r="J164" s="102">
        <f t="shared" si="47"/>
        <v>-10</v>
      </c>
      <c r="K164" s="103">
        <f t="shared" si="48"/>
        <v>36.36363636</v>
      </c>
      <c r="L164" s="54"/>
      <c r="M164" s="84">
        <f>SUM(F162:F181)</f>
        <v>16542</v>
      </c>
      <c r="N164" s="84">
        <f>SUM(I162:I181)</f>
        <v>4777.51</v>
      </c>
      <c r="O164" s="85">
        <f>N164/M164*100</f>
        <v>28.88109056</v>
      </c>
      <c r="P164" s="79">
        <f>(M164/100)*(O164-Q164)</f>
        <v>46.498</v>
      </c>
      <c r="Q164" s="78">
        <v>28.6</v>
      </c>
      <c r="R164" s="382"/>
      <c r="S164" s="377"/>
      <c r="T164" s="54"/>
      <c r="U164" s="54"/>
      <c r="V164" s="54"/>
      <c r="W164" s="54"/>
      <c r="X164" s="54"/>
      <c r="Y164" s="54"/>
      <c r="Z164" s="54"/>
      <c r="AA164" s="54"/>
      <c r="AB164" s="287"/>
      <c r="AC164" s="54"/>
      <c r="AD164" s="54"/>
    </row>
    <row r="165">
      <c r="A165" s="54"/>
      <c r="B165" s="398">
        <v>45720.0</v>
      </c>
      <c r="C165" s="398"/>
      <c r="D165" s="99"/>
      <c r="E165" s="100">
        <v>1788248.0</v>
      </c>
      <c r="F165" s="99">
        <f t="shared" si="49"/>
        <v>1054</v>
      </c>
      <c r="G165" s="100">
        <v>489.0</v>
      </c>
      <c r="H165" s="101">
        <v>280.0</v>
      </c>
      <c r="I165" s="101">
        <v>296.45</v>
      </c>
      <c r="J165" s="102">
        <f t="shared" si="47"/>
        <v>-16.45</v>
      </c>
      <c r="K165" s="103">
        <f t="shared" si="48"/>
        <v>28.12618596</v>
      </c>
      <c r="L165" s="54"/>
      <c r="M165" s="54"/>
      <c r="N165" s="54"/>
      <c r="O165" s="54"/>
      <c r="P165" s="54"/>
      <c r="Q165" s="54"/>
      <c r="R165" s="382"/>
      <c r="S165" s="377"/>
      <c r="T165" s="54"/>
      <c r="U165" s="54"/>
      <c r="V165" s="54"/>
      <c r="W165" s="54"/>
      <c r="X165" s="54"/>
      <c r="Y165" s="54"/>
      <c r="Z165" s="54"/>
      <c r="AA165" s="54"/>
      <c r="AB165" s="287"/>
      <c r="AC165" s="54"/>
      <c r="AD165" s="54"/>
    </row>
    <row r="166">
      <c r="A166" s="54"/>
      <c r="B166" s="398">
        <v>45721.0</v>
      </c>
      <c r="C166" s="398"/>
      <c r="D166" s="99"/>
      <c r="E166" s="100">
        <v>1789232.0</v>
      </c>
      <c r="F166" s="99">
        <f t="shared" si="49"/>
        <v>984</v>
      </c>
      <c r="G166" s="100">
        <v>487.0</v>
      </c>
      <c r="H166" s="101">
        <v>270.0</v>
      </c>
      <c r="I166" s="101">
        <v>284.67</v>
      </c>
      <c r="J166" s="102">
        <f t="shared" si="47"/>
        <v>-14.67</v>
      </c>
      <c r="K166" s="103">
        <f t="shared" si="48"/>
        <v>28.92987805</v>
      </c>
      <c r="L166" s="60"/>
      <c r="M166" s="60"/>
      <c r="N166" s="60"/>
      <c r="O166" s="54"/>
      <c r="P166" s="54"/>
      <c r="Q166" s="54"/>
      <c r="R166" s="382"/>
      <c r="S166" s="377"/>
      <c r="T166" s="54"/>
      <c r="U166" s="54"/>
      <c r="V166" s="54"/>
      <c r="W166" s="54"/>
      <c r="X166" s="54"/>
      <c r="Y166" s="54"/>
      <c r="Z166" s="54"/>
      <c r="AA166" s="54"/>
      <c r="AB166" s="287"/>
      <c r="AC166" s="54"/>
      <c r="AD166" s="54"/>
    </row>
    <row r="167">
      <c r="A167" s="54"/>
      <c r="B167" s="398">
        <v>45724.0</v>
      </c>
      <c r="C167" s="398"/>
      <c r="D167" s="99"/>
      <c r="E167" s="100">
        <v>1790077.0</v>
      </c>
      <c r="F167" s="99">
        <f t="shared" si="49"/>
        <v>845</v>
      </c>
      <c r="G167" s="100">
        <v>438.0</v>
      </c>
      <c r="H167" s="101">
        <v>199.0</v>
      </c>
      <c r="I167" s="101">
        <v>200.0</v>
      </c>
      <c r="J167" s="102">
        <f t="shared" si="47"/>
        <v>-1</v>
      </c>
      <c r="K167" s="103">
        <f t="shared" si="48"/>
        <v>23.66863905</v>
      </c>
      <c r="L167" s="54"/>
      <c r="M167" s="60"/>
      <c r="N167" s="60"/>
      <c r="O167" s="54"/>
      <c r="P167" s="54"/>
      <c r="Q167" s="54"/>
      <c r="R167" s="382"/>
      <c r="S167" s="377"/>
      <c r="T167" s="54"/>
      <c r="U167" s="54"/>
      <c r="V167" s="54"/>
      <c r="W167" s="54"/>
      <c r="X167" s="54"/>
      <c r="Y167" s="54"/>
      <c r="Z167" s="54"/>
      <c r="AA167" s="54"/>
      <c r="AB167" s="287"/>
      <c r="AC167" s="54"/>
      <c r="AD167" s="54"/>
    </row>
    <row r="168">
      <c r="A168" s="54"/>
      <c r="B168" s="398">
        <v>45725.0</v>
      </c>
      <c r="C168" s="398"/>
      <c r="D168" s="99"/>
      <c r="E168" s="100">
        <v>1790621.0</v>
      </c>
      <c r="F168" s="99">
        <f t="shared" si="49"/>
        <v>544</v>
      </c>
      <c r="G168" s="100">
        <v>481.0</v>
      </c>
      <c r="H168" s="101">
        <v>196.0</v>
      </c>
      <c r="I168" s="101">
        <v>200.0</v>
      </c>
      <c r="J168" s="102">
        <f t="shared" si="47"/>
        <v>-4</v>
      </c>
      <c r="K168" s="103">
        <f t="shared" si="48"/>
        <v>36.76470588</v>
      </c>
      <c r="L168" s="54"/>
      <c r="M168" s="54"/>
      <c r="N168" s="54"/>
      <c r="O168" s="54"/>
      <c r="P168" s="54"/>
      <c r="Q168" s="54"/>
      <c r="R168" s="382"/>
      <c r="S168" s="377"/>
      <c r="T168" s="54"/>
      <c r="U168" s="54"/>
      <c r="V168" s="54"/>
      <c r="W168" s="54"/>
      <c r="X168" s="54"/>
      <c r="Y168" s="54"/>
      <c r="Z168" s="54"/>
      <c r="AA168" s="54"/>
      <c r="AB168" s="287"/>
      <c r="AC168" s="54"/>
      <c r="AD168" s="54"/>
    </row>
    <row r="169">
      <c r="A169" s="54"/>
      <c r="B169" s="398">
        <v>45726.0</v>
      </c>
      <c r="C169" s="398"/>
      <c r="D169" s="99"/>
      <c r="E169" s="100">
        <v>1791604.0</v>
      </c>
      <c r="F169" s="99">
        <f t="shared" si="49"/>
        <v>983</v>
      </c>
      <c r="G169" s="100">
        <v>489.0</v>
      </c>
      <c r="H169" s="101">
        <v>273.0</v>
      </c>
      <c r="I169" s="399">
        <v>286.62</v>
      </c>
      <c r="J169" s="102">
        <f t="shared" si="47"/>
        <v>-13.62</v>
      </c>
      <c r="K169" s="103">
        <f t="shared" si="48"/>
        <v>29.15768057</v>
      </c>
      <c r="L169" s="54"/>
      <c r="M169" s="54"/>
      <c r="N169" s="54"/>
      <c r="O169" s="54"/>
      <c r="P169" s="54"/>
      <c r="Q169" s="54"/>
      <c r="R169" s="382"/>
      <c r="S169" s="377"/>
      <c r="T169" s="54"/>
      <c r="U169" s="54"/>
      <c r="V169" s="54"/>
      <c r="W169" s="54"/>
      <c r="X169" s="54"/>
      <c r="Y169" s="54"/>
      <c r="Z169" s="54"/>
      <c r="AA169" s="54"/>
      <c r="AB169" s="287"/>
      <c r="AC169" s="54"/>
      <c r="AD169" s="54"/>
    </row>
    <row r="170">
      <c r="A170" s="54"/>
      <c r="B170" s="398">
        <v>45731.0</v>
      </c>
      <c r="C170" s="398"/>
      <c r="D170" s="99"/>
      <c r="E170" s="100">
        <v>1792537.0</v>
      </c>
      <c r="F170" s="99">
        <f t="shared" si="49"/>
        <v>933</v>
      </c>
      <c r="G170" s="100">
        <v>422.0</v>
      </c>
      <c r="H170" s="101">
        <v>201.0</v>
      </c>
      <c r="I170" s="399">
        <v>200.0</v>
      </c>
      <c r="J170" s="102">
        <f t="shared" si="47"/>
        <v>1</v>
      </c>
      <c r="K170" s="103">
        <f t="shared" si="48"/>
        <v>21.43622722</v>
      </c>
      <c r="L170" s="54"/>
      <c r="M170" s="54"/>
      <c r="N170" s="54"/>
      <c r="O170" s="54"/>
      <c r="P170" s="54"/>
      <c r="Q170" s="54"/>
      <c r="R170" s="382"/>
      <c r="S170" s="377"/>
      <c r="T170" s="54"/>
      <c r="U170" s="54"/>
      <c r="V170" s="54"/>
      <c r="W170" s="54"/>
      <c r="X170" s="54"/>
      <c r="Y170" s="54"/>
      <c r="Z170" s="54"/>
      <c r="AA170" s="54"/>
      <c r="AB170" s="287"/>
      <c r="AC170" s="54"/>
      <c r="AD170" s="54"/>
    </row>
    <row r="171">
      <c r="A171" s="54"/>
      <c r="B171" s="398">
        <v>45732.0</v>
      </c>
      <c r="C171" s="398"/>
      <c r="D171" s="99"/>
      <c r="E171" s="100">
        <v>1793484.0</v>
      </c>
      <c r="F171" s="99">
        <f t="shared" si="49"/>
        <v>947</v>
      </c>
      <c r="G171" s="100">
        <v>488.0</v>
      </c>
      <c r="H171" s="101">
        <v>342.0</v>
      </c>
      <c r="I171" s="399">
        <v>350.0</v>
      </c>
      <c r="J171" s="102">
        <f t="shared" si="47"/>
        <v>-8</v>
      </c>
      <c r="K171" s="103">
        <f t="shared" si="48"/>
        <v>36.95881732</v>
      </c>
      <c r="L171" s="54"/>
      <c r="M171" s="54"/>
      <c r="N171" s="54"/>
      <c r="O171" s="54"/>
      <c r="P171" s="54"/>
      <c r="Q171" s="54"/>
      <c r="R171" s="382"/>
      <c r="S171" s="377"/>
      <c r="T171" s="54"/>
      <c r="U171" s="54"/>
      <c r="V171" s="54"/>
      <c r="W171" s="54"/>
      <c r="X171" s="54"/>
      <c r="Y171" s="54"/>
      <c r="Z171" s="54"/>
      <c r="AA171" s="54"/>
      <c r="AB171" s="287"/>
      <c r="AC171" s="54"/>
      <c r="AD171" s="54"/>
    </row>
    <row r="172">
      <c r="A172" s="54"/>
      <c r="B172" s="398">
        <v>45735.0</v>
      </c>
      <c r="C172" s="398"/>
      <c r="D172" s="99"/>
      <c r="E172" s="100">
        <v>1794658.0</v>
      </c>
      <c r="F172" s="99">
        <f t="shared" si="49"/>
        <v>1174</v>
      </c>
      <c r="G172" s="100">
        <v>471.0</v>
      </c>
      <c r="H172" s="101">
        <v>301.0</v>
      </c>
      <c r="I172" s="399">
        <v>300.0</v>
      </c>
      <c r="J172" s="102">
        <f t="shared" si="47"/>
        <v>1</v>
      </c>
      <c r="K172" s="103">
        <f t="shared" si="48"/>
        <v>25.55366269</v>
      </c>
      <c r="L172" s="54"/>
      <c r="M172" s="54"/>
      <c r="N172" s="54"/>
      <c r="O172" s="54"/>
      <c r="P172" s="54"/>
      <c r="Q172" s="54"/>
      <c r="R172" s="382"/>
      <c r="S172" s="377"/>
      <c r="T172" s="54"/>
      <c r="U172" s="54"/>
      <c r="V172" s="54"/>
      <c r="W172" s="54"/>
      <c r="X172" s="54"/>
      <c r="Y172" s="54"/>
      <c r="Z172" s="54"/>
      <c r="AA172" s="54"/>
      <c r="AB172" s="287"/>
      <c r="AC172" s="54"/>
      <c r="AD172" s="54"/>
    </row>
    <row r="173">
      <c r="A173" s="54"/>
      <c r="B173" s="398">
        <v>45736.0</v>
      </c>
      <c r="C173" s="398"/>
      <c r="D173" s="99"/>
      <c r="E173" s="100">
        <v>1795676.0</v>
      </c>
      <c r="F173" s="99">
        <f t="shared" si="49"/>
        <v>1018</v>
      </c>
      <c r="G173" s="100">
        <v>360.0</v>
      </c>
      <c r="H173" s="101">
        <v>202.0</v>
      </c>
      <c r="I173" s="399">
        <v>200.0</v>
      </c>
      <c r="J173" s="102">
        <f t="shared" si="47"/>
        <v>2</v>
      </c>
      <c r="K173" s="103">
        <f t="shared" si="48"/>
        <v>19.64636542</v>
      </c>
      <c r="L173" s="54"/>
      <c r="M173" s="54"/>
      <c r="N173" s="54"/>
      <c r="O173" s="54"/>
      <c r="P173" s="54"/>
      <c r="Q173" s="54"/>
      <c r="R173" s="382"/>
      <c r="S173" s="377"/>
      <c r="T173" s="54"/>
      <c r="U173" s="54"/>
      <c r="V173" s="54"/>
      <c r="W173" s="54"/>
      <c r="X173" s="54"/>
      <c r="Y173" s="54"/>
      <c r="Z173" s="54"/>
      <c r="AA173" s="54"/>
      <c r="AB173" s="287"/>
      <c r="AC173" s="54"/>
      <c r="AD173" s="54"/>
    </row>
    <row r="174">
      <c r="A174" s="54"/>
      <c r="B174" s="398">
        <v>45736.0</v>
      </c>
      <c r="C174" s="398"/>
      <c r="D174" s="99"/>
      <c r="E174" s="100">
        <v>1795948.0</v>
      </c>
      <c r="F174" s="99">
        <f t="shared" si="49"/>
        <v>272</v>
      </c>
      <c r="G174" s="100">
        <v>484.0</v>
      </c>
      <c r="H174" s="101">
        <v>193.0</v>
      </c>
      <c r="I174" s="101">
        <v>200.0</v>
      </c>
      <c r="J174" s="102">
        <f t="shared" si="47"/>
        <v>-7</v>
      </c>
      <c r="K174" s="103">
        <f t="shared" si="48"/>
        <v>73.52941176</v>
      </c>
      <c r="L174" s="54"/>
      <c r="M174" s="54"/>
      <c r="N174" s="54"/>
      <c r="O174" s="54"/>
      <c r="P174" s="54"/>
      <c r="Q174" s="54"/>
      <c r="R174" s="382"/>
      <c r="S174" s="377"/>
      <c r="T174" s="54"/>
      <c r="U174" s="54"/>
      <c r="V174" s="54"/>
      <c r="W174" s="54"/>
      <c r="X174" s="54"/>
      <c r="Y174" s="54"/>
      <c r="Z174" s="54"/>
      <c r="AA174" s="54"/>
      <c r="AB174" s="287"/>
      <c r="AC174" s="54"/>
      <c r="AD174" s="54"/>
    </row>
    <row r="175">
      <c r="A175" s="54"/>
      <c r="B175" s="398">
        <v>45738.0</v>
      </c>
      <c r="C175" s="398"/>
      <c r="D175" s="99"/>
      <c r="E175" s="100">
        <v>1797225.0</v>
      </c>
      <c r="F175" s="99">
        <f t="shared" si="49"/>
        <v>1277</v>
      </c>
      <c r="G175" s="100">
        <v>334.0</v>
      </c>
      <c r="H175" s="101">
        <v>200.0</v>
      </c>
      <c r="I175" s="101">
        <v>200.0</v>
      </c>
      <c r="J175" s="102">
        <f t="shared" si="47"/>
        <v>0</v>
      </c>
      <c r="K175" s="103">
        <f t="shared" si="48"/>
        <v>15.66170713</v>
      </c>
      <c r="L175" s="54"/>
      <c r="M175" s="54"/>
      <c r="N175" s="54"/>
      <c r="O175" s="54"/>
      <c r="P175" s="54"/>
      <c r="Q175" s="54"/>
      <c r="R175" s="382"/>
      <c r="S175" s="377"/>
      <c r="T175" s="54"/>
      <c r="U175" s="54"/>
      <c r="V175" s="54"/>
      <c r="W175" s="54"/>
      <c r="X175" s="54"/>
      <c r="Y175" s="54"/>
      <c r="Z175" s="54"/>
      <c r="AA175" s="54"/>
      <c r="AB175" s="287"/>
      <c r="AC175" s="54"/>
      <c r="AD175" s="54"/>
    </row>
    <row r="176">
      <c r="A176" s="54"/>
      <c r="B176" s="398">
        <v>45738.0</v>
      </c>
      <c r="C176" s="398"/>
      <c r="D176" s="99"/>
      <c r="E176" s="100">
        <v>1797394.0</v>
      </c>
      <c r="F176" s="99">
        <f t="shared" si="49"/>
        <v>169</v>
      </c>
      <c r="G176" s="100">
        <v>482.0</v>
      </c>
      <c r="H176" s="101">
        <v>195.0</v>
      </c>
      <c r="I176" s="101">
        <v>200.0</v>
      </c>
      <c r="J176" s="102">
        <f t="shared" si="47"/>
        <v>-5</v>
      </c>
      <c r="K176" s="103">
        <f t="shared" si="48"/>
        <v>118.3431953</v>
      </c>
      <c r="L176" s="54"/>
      <c r="M176" s="54"/>
      <c r="N176" s="54"/>
      <c r="O176" s="54"/>
      <c r="P176" s="54"/>
      <c r="Q176" s="54"/>
      <c r="R176" s="382"/>
      <c r="S176" s="377"/>
      <c r="T176" s="54"/>
      <c r="U176" s="54"/>
      <c r="V176" s="54"/>
      <c r="W176" s="54"/>
      <c r="X176" s="54"/>
      <c r="Y176" s="54"/>
      <c r="Z176" s="54"/>
      <c r="AA176" s="54"/>
      <c r="AB176" s="287"/>
      <c r="AC176" s="54"/>
      <c r="AD176" s="54"/>
    </row>
    <row r="177">
      <c r="A177" s="54"/>
      <c r="B177" s="398">
        <v>45739.0</v>
      </c>
      <c r="C177" s="398"/>
      <c r="D177" s="99"/>
      <c r="E177" s="100">
        <v>1798093.0</v>
      </c>
      <c r="F177" s="99">
        <f t="shared" si="49"/>
        <v>699</v>
      </c>
      <c r="G177" s="100">
        <v>483.0</v>
      </c>
      <c r="H177" s="101">
        <v>196.0</v>
      </c>
      <c r="I177" s="101">
        <v>200.0</v>
      </c>
      <c r="J177" s="102">
        <f t="shared" si="47"/>
        <v>-4</v>
      </c>
      <c r="K177" s="103">
        <f t="shared" si="48"/>
        <v>28.61230329</v>
      </c>
      <c r="L177" s="54"/>
      <c r="M177" s="54"/>
      <c r="N177" s="54"/>
      <c r="O177" s="54"/>
      <c r="P177" s="54"/>
      <c r="Q177" s="54"/>
      <c r="R177" s="382"/>
      <c r="S177" s="377"/>
      <c r="T177" s="54"/>
      <c r="U177" s="54"/>
      <c r="V177" s="54"/>
      <c r="W177" s="54"/>
      <c r="X177" s="54"/>
      <c r="Y177" s="54"/>
      <c r="Z177" s="54"/>
      <c r="AA177" s="54"/>
      <c r="AB177" s="287"/>
      <c r="AC177" s="54"/>
      <c r="AD177" s="54"/>
    </row>
    <row r="178">
      <c r="A178" s="54"/>
      <c r="B178" s="398">
        <v>45739.0</v>
      </c>
      <c r="C178" s="398"/>
      <c r="D178" s="99"/>
      <c r="E178" s="100">
        <v>1798589.0</v>
      </c>
      <c r="F178" s="99">
        <f t="shared" si="49"/>
        <v>496</v>
      </c>
      <c r="G178" s="100">
        <v>490.0</v>
      </c>
      <c r="H178" s="101">
        <v>161.0</v>
      </c>
      <c r="I178" s="101">
        <v>178.59</v>
      </c>
      <c r="J178" s="102">
        <f t="shared" si="47"/>
        <v>-17.59</v>
      </c>
      <c r="K178" s="103">
        <f t="shared" si="48"/>
        <v>36.00604839</v>
      </c>
      <c r="L178" s="54"/>
      <c r="M178" s="54"/>
      <c r="N178" s="54"/>
      <c r="O178" s="54"/>
      <c r="P178" s="54"/>
      <c r="Q178" s="54"/>
      <c r="R178" s="382"/>
      <c r="S178" s="377"/>
      <c r="T178" s="54"/>
      <c r="U178" s="54"/>
      <c r="V178" s="54"/>
      <c r="W178" s="54"/>
      <c r="X178" s="54"/>
      <c r="Y178" s="54"/>
      <c r="Z178" s="54"/>
      <c r="AA178" s="54"/>
      <c r="AB178" s="287"/>
      <c r="AC178" s="54"/>
      <c r="AD178" s="54"/>
    </row>
    <row r="179">
      <c r="A179" s="54"/>
      <c r="B179" s="398">
        <v>45740.0</v>
      </c>
      <c r="C179" s="398"/>
      <c r="D179" s="99"/>
      <c r="E179" s="100">
        <v>1799384.0</v>
      </c>
      <c r="F179" s="99">
        <f t="shared" si="49"/>
        <v>795</v>
      </c>
      <c r="G179" s="100">
        <v>488.0</v>
      </c>
      <c r="H179" s="101">
        <v>217.0</v>
      </c>
      <c r="I179" s="101">
        <v>205.59</v>
      </c>
      <c r="J179" s="102">
        <f t="shared" si="47"/>
        <v>11.41</v>
      </c>
      <c r="K179" s="103">
        <f t="shared" si="48"/>
        <v>25.86037736</v>
      </c>
      <c r="L179" s="54"/>
      <c r="M179" s="54"/>
      <c r="N179" s="54"/>
      <c r="O179" s="54"/>
      <c r="P179" s="54"/>
      <c r="Q179" s="54"/>
      <c r="R179" s="382"/>
      <c r="S179" s="377"/>
      <c r="T179" s="54"/>
      <c r="U179" s="54"/>
      <c r="V179" s="54"/>
      <c r="W179" s="54"/>
      <c r="X179" s="54"/>
      <c r="Y179" s="54"/>
      <c r="Z179" s="54"/>
      <c r="AA179" s="54"/>
      <c r="AB179" s="287"/>
      <c r="AC179" s="54"/>
      <c r="AD179" s="54"/>
    </row>
    <row r="180">
      <c r="A180" s="54"/>
      <c r="B180" s="398">
        <v>45746.0</v>
      </c>
      <c r="C180" s="398"/>
      <c r="D180" s="99"/>
      <c r="E180" s="100">
        <v>1800206.0</v>
      </c>
      <c r="F180" s="99">
        <f t="shared" si="49"/>
        <v>822</v>
      </c>
      <c r="G180" s="100">
        <v>489.0</v>
      </c>
      <c r="H180" s="101">
        <v>336.0</v>
      </c>
      <c r="I180" s="101">
        <v>229.74</v>
      </c>
      <c r="J180" s="102">
        <f t="shared" si="47"/>
        <v>106.26</v>
      </c>
      <c r="K180" s="103">
        <f t="shared" si="48"/>
        <v>27.94890511</v>
      </c>
      <c r="L180" s="54"/>
      <c r="M180" s="54"/>
      <c r="N180" s="54"/>
      <c r="O180" s="54"/>
      <c r="P180" s="54"/>
      <c r="Q180" s="54"/>
      <c r="R180" s="382"/>
      <c r="S180" s="377"/>
      <c r="T180" s="54"/>
      <c r="U180" s="54"/>
      <c r="V180" s="54"/>
      <c r="W180" s="54"/>
      <c r="X180" s="54"/>
      <c r="Y180" s="54"/>
      <c r="Z180" s="54"/>
      <c r="AA180" s="54"/>
      <c r="AB180" s="287"/>
      <c r="AC180" s="54"/>
      <c r="AD180" s="54"/>
    </row>
    <row r="181">
      <c r="A181" s="54"/>
      <c r="B181" s="398">
        <v>45747.0</v>
      </c>
      <c r="C181" s="398"/>
      <c r="D181" s="99"/>
      <c r="E181" s="100">
        <v>1801495.0</v>
      </c>
      <c r="F181" s="99">
        <f t="shared" si="49"/>
        <v>1289</v>
      </c>
      <c r="G181" s="100">
        <v>489.0</v>
      </c>
      <c r="H181" s="101">
        <v>336.0</v>
      </c>
      <c r="I181" s="101">
        <v>345.85</v>
      </c>
      <c r="J181" s="102">
        <f t="shared" si="47"/>
        <v>-9.85</v>
      </c>
      <c r="K181" s="103">
        <f t="shared" si="48"/>
        <v>26.83087665</v>
      </c>
      <c r="L181" s="54"/>
      <c r="M181" s="54"/>
      <c r="N181" s="54"/>
      <c r="O181" s="54"/>
      <c r="P181" s="54"/>
      <c r="Q181" s="54"/>
      <c r="R181" s="382"/>
      <c r="S181" s="377"/>
      <c r="T181" s="54"/>
      <c r="U181" s="54"/>
      <c r="V181" s="54"/>
      <c r="W181" s="54"/>
      <c r="X181" s="54"/>
      <c r="Y181" s="54"/>
      <c r="Z181" s="54"/>
      <c r="AA181" s="54"/>
      <c r="AB181" s="287"/>
      <c r="AC181" s="54"/>
      <c r="AD181" s="54"/>
    </row>
    <row r="182">
      <c r="A182" s="68"/>
      <c r="B182" s="203" t="str">
        <f>IF(L182=4,"АПРЕЛЬ",IF(L182=5,"МАЙ",IF(L182=1,"ЯНВАРЬ",IF(L182=2,"ФЕВРАЛЬ",IF(L182=3,"МАРТ",IF(L182=6,"ИЮНЬ",IF(L182=7,"ИЮЛЬ",IF(L182=8,"АВГУСТ",IF(L182=9,"СЕНТЯБРЬ",IF(L182=10,"ОКТЯБРЬ",IF(L182=11,"НОЯБРЬ",IF(L182=12,"ДЕКАБРЬ"))))))))))))</f>
        <v>АПРЕЛЬ</v>
      </c>
      <c r="J182" s="66"/>
      <c r="K182" s="204"/>
      <c r="L182" s="91">
        <f>MONTH(B183)</f>
        <v>4</v>
      </c>
      <c r="M182" s="66"/>
      <c r="N182" s="66"/>
      <c r="O182" s="66"/>
      <c r="P182" s="66"/>
      <c r="Q182" s="66"/>
      <c r="R182" s="382"/>
      <c r="S182" s="377"/>
      <c r="T182" s="54"/>
      <c r="U182" s="54"/>
      <c r="V182" s="54"/>
      <c r="W182" s="54"/>
      <c r="X182" s="54"/>
      <c r="Y182" s="54"/>
      <c r="Z182" s="54"/>
      <c r="AA182" s="54"/>
      <c r="AB182" s="287"/>
      <c r="AC182" s="54"/>
      <c r="AD182" s="54"/>
    </row>
    <row r="183">
      <c r="A183" s="54"/>
      <c r="B183" s="398">
        <v>45752.0</v>
      </c>
      <c r="C183" s="398"/>
      <c r="D183" s="99"/>
      <c r="E183" s="100">
        <v>1802730.0</v>
      </c>
      <c r="F183" s="99">
        <f>E183-E181</f>
        <v>1235</v>
      </c>
      <c r="G183" s="100">
        <v>462.0</v>
      </c>
      <c r="H183" s="101">
        <v>304.0</v>
      </c>
      <c r="I183" s="101">
        <v>300.0</v>
      </c>
      <c r="J183" s="102">
        <f t="shared" ref="J183:J192" si="50">H183-I183</f>
        <v>4</v>
      </c>
      <c r="K183" s="103">
        <f t="shared" ref="K183:K192" si="51">I183/F183*100</f>
        <v>24.29149798</v>
      </c>
      <c r="L183" s="54"/>
      <c r="M183" s="82" t="str">
        <f>"тотал"&amp;" "&amp;B182&amp;" "&amp;RIGHT(YEAR(B183),2)</f>
        <v>тотал АПРЕЛЬ 25</v>
      </c>
      <c r="N183" s="75"/>
      <c r="O183" s="75"/>
      <c r="P183" s="75"/>
      <c r="Q183" s="76"/>
      <c r="R183" s="382"/>
      <c r="S183" s="377"/>
      <c r="T183" s="54"/>
      <c r="U183" s="54"/>
      <c r="V183" s="54"/>
      <c r="W183" s="54"/>
      <c r="X183" s="54"/>
      <c r="Y183" s="54"/>
      <c r="Z183" s="54"/>
      <c r="AA183" s="54"/>
      <c r="AB183" s="287"/>
      <c r="AC183" s="54"/>
      <c r="AD183" s="54"/>
    </row>
    <row r="184">
      <c r="A184" s="54"/>
      <c r="B184" s="398">
        <v>45753.0</v>
      </c>
      <c r="C184" s="398"/>
      <c r="D184" s="99"/>
      <c r="E184" s="100">
        <v>1803101.0</v>
      </c>
      <c r="F184" s="99">
        <f t="shared" ref="F184:F192" si="52">E184-E183</f>
        <v>371</v>
      </c>
      <c r="G184" s="100">
        <v>456.0</v>
      </c>
      <c r="H184" s="101">
        <v>101.0</v>
      </c>
      <c r="I184" s="101">
        <v>100.0</v>
      </c>
      <c r="J184" s="102">
        <f t="shared" si="50"/>
        <v>1</v>
      </c>
      <c r="K184" s="103">
        <f t="shared" si="51"/>
        <v>26.9541779</v>
      </c>
      <c r="L184" s="54"/>
      <c r="M184" s="84" t="s">
        <v>70</v>
      </c>
      <c r="N184" s="84" t="s">
        <v>71</v>
      </c>
      <c r="O184" s="84" t="s">
        <v>27</v>
      </c>
      <c r="P184" s="77" t="s">
        <v>28</v>
      </c>
      <c r="Q184" s="12" t="s">
        <v>78</v>
      </c>
      <c r="R184" s="382"/>
      <c r="S184" s="377"/>
      <c r="T184" s="54"/>
      <c r="U184" s="54"/>
      <c r="V184" s="54"/>
      <c r="W184" s="54"/>
      <c r="X184" s="54"/>
      <c r="Y184" s="54"/>
      <c r="Z184" s="54"/>
      <c r="AA184" s="54"/>
      <c r="AB184" s="287"/>
      <c r="AC184" s="54"/>
      <c r="AD184" s="54"/>
    </row>
    <row r="185">
      <c r="A185" s="54"/>
      <c r="B185" s="398">
        <v>45754.0</v>
      </c>
      <c r="C185" s="398"/>
      <c r="D185" s="99"/>
      <c r="E185" s="100">
        <v>1804262.0</v>
      </c>
      <c r="F185" s="99">
        <f t="shared" si="52"/>
        <v>1161</v>
      </c>
      <c r="G185" s="100">
        <v>492.0</v>
      </c>
      <c r="H185" s="101">
        <v>364.0</v>
      </c>
      <c r="I185" s="101">
        <v>376.95</v>
      </c>
      <c r="J185" s="102">
        <f t="shared" si="50"/>
        <v>-12.95</v>
      </c>
      <c r="K185" s="103">
        <f t="shared" si="51"/>
        <v>32.46770026</v>
      </c>
      <c r="L185" s="54"/>
      <c r="M185" s="84">
        <f>SUM(F183:F192)</f>
        <v>10179</v>
      </c>
      <c r="N185" s="84">
        <f>SUM(I183:I192)</f>
        <v>2762.92</v>
      </c>
      <c r="O185" s="85">
        <f>N185/M185*100</f>
        <v>27.14333432</v>
      </c>
      <c r="P185" s="79">
        <f>(M185/100)*(O185-Q185)</f>
        <v>-148.274</v>
      </c>
      <c r="Q185" s="78">
        <v>28.6</v>
      </c>
      <c r="R185" s="382"/>
      <c r="S185" s="377"/>
      <c r="T185" s="54"/>
      <c r="U185" s="54"/>
      <c r="V185" s="54"/>
      <c r="W185" s="54"/>
      <c r="X185" s="54"/>
      <c r="Y185" s="54"/>
      <c r="Z185" s="54"/>
      <c r="AA185" s="54"/>
      <c r="AB185" s="287"/>
      <c r="AC185" s="54"/>
      <c r="AD185" s="54"/>
    </row>
    <row r="186">
      <c r="A186" s="54"/>
      <c r="B186" s="398">
        <v>45759.0</v>
      </c>
      <c r="C186" s="398"/>
      <c r="D186" s="99"/>
      <c r="E186" s="100">
        <v>1805461.0</v>
      </c>
      <c r="F186" s="99">
        <f t="shared" si="52"/>
        <v>1199</v>
      </c>
      <c r="G186" s="100">
        <v>491.0</v>
      </c>
      <c r="H186" s="101">
        <v>345.0</v>
      </c>
      <c r="I186" s="101">
        <v>355.7</v>
      </c>
      <c r="J186" s="102">
        <f t="shared" si="50"/>
        <v>-10.7</v>
      </c>
      <c r="K186" s="103">
        <f t="shared" si="51"/>
        <v>29.66638866</v>
      </c>
      <c r="L186" s="54"/>
      <c r="M186" s="54"/>
      <c r="N186" s="54"/>
      <c r="O186" s="54"/>
      <c r="P186" s="54"/>
      <c r="Q186" s="54"/>
      <c r="R186" s="382"/>
      <c r="S186" s="377"/>
      <c r="T186" s="54"/>
      <c r="U186" s="54"/>
      <c r="V186" s="54"/>
      <c r="W186" s="54"/>
      <c r="X186" s="54"/>
      <c r="Y186" s="54"/>
      <c r="Z186" s="54"/>
      <c r="AA186" s="54"/>
      <c r="AB186" s="287"/>
      <c r="AC186" s="54"/>
      <c r="AD186" s="54"/>
    </row>
    <row r="187">
      <c r="A187" s="54"/>
      <c r="B187" s="398">
        <v>45761.0</v>
      </c>
      <c r="C187" s="398"/>
      <c r="D187" s="99"/>
      <c r="E187" s="100">
        <v>1806718.0</v>
      </c>
      <c r="F187" s="99">
        <f t="shared" si="52"/>
        <v>1257</v>
      </c>
      <c r="G187" s="100">
        <v>491.0</v>
      </c>
      <c r="H187" s="101">
        <v>329.0</v>
      </c>
      <c r="I187" s="101">
        <v>343.34</v>
      </c>
      <c r="J187" s="102">
        <f t="shared" si="50"/>
        <v>-14.34</v>
      </c>
      <c r="K187" s="103">
        <f t="shared" si="51"/>
        <v>27.31424025</v>
      </c>
      <c r="L187" s="60"/>
      <c r="M187" s="60"/>
      <c r="N187" s="60"/>
      <c r="O187" s="54"/>
      <c r="P187" s="54"/>
      <c r="Q187" s="54"/>
      <c r="R187" s="382"/>
      <c r="S187" s="377"/>
      <c r="T187" s="54"/>
      <c r="U187" s="54"/>
      <c r="V187" s="54"/>
      <c r="W187" s="54"/>
      <c r="X187" s="54"/>
      <c r="Y187" s="54"/>
      <c r="Z187" s="54"/>
      <c r="AA187" s="54"/>
      <c r="AB187" s="287"/>
      <c r="AC187" s="54"/>
      <c r="AD187" s="54"/>
    </row>
    <row r="188">
      <c r="A188" s="54"/>
      <c r="B188" s="398">
        <v>45767.0</v>
      </c>
      <c r="C188" s="398"/>
      <c r="D188" s="99"/>
      <c r="E188" s="100">
        <v>1808150.0</v>
      </c>
      <c r="F188" s="99">
        <f t="shared" si="52"/>
        <v>1432</v>
      </c>
      <c r="G188" s="100">
        <v>216.0</v>
      </c>
      <c r="H188" s="101">
        <v>98.0</v>
      </c>
      <c r="I188" s="101">
        <v>100.0</v>
      </c>
      <c r="J188" s="102">
        <f t="shared" si="50"/>
        <v>-2</v>
      </c>
      <c r="K188" s="103">
        <f t="shared" si="51"/>
        <v>6.983240223</v>
      </c>
      <c r="L188" s="54"/>
      <c r="M188" s="60"/>
      <c r="N188" s="60"/>
      <c r="O188" s="54"/>
      <c r="P188" s="54"/>
      <c r="Q188" s="54"/>
      <c r="R188" s="382"/>
      <c r="S188" s="377"/>
      <c r="T188" s="54"/>
      <c r="U188" s="54"/>
      <c r="V188" s="54"/>
      <c r="W188" s="54"/>
      <c r="X188" s="54"/>
      <c r="Y188" s="54"/>
      <c r="Z188" s="54"/>
      <c r="AA188" s="54"/>
      <c r="AB188" s="287"/>
      <c r="AC188" s="54"/>
      <c r="AD188" s="54"/>
    </row>
    <row r="189">
      <c r="A189" s="54"/>
      <c r="B189" s="398">
        <v>45767.0</v>
      </c>
      <c r="C189" s="398"/>
      <c r="D189" s="99"/>
      <c r="E189" s="100">
        <v>1808298.0</v>
      </c>
      <c r="F189" s="99">
        <f t="shared" si="52"/>
        <v>148</v>
      </c>
      <c r="G189" s="100">
        <v>382.0</v>
      </c>
      <c r="H189" s="101">
        <v>203.0</v>
      </c>
      <c r="I189" s="101">
        <v>200.0</v>
      </c>
      <c r="J189" s="102">
        <f t="shared" si="50"/>
        <v>3</v>
      </c>
      <c r="K189" s="103">
        <f t="shared" si="51"/>
        <v>135.1351351</v>
      </c>
      <c r="L189" s="54"/>
      <c r="M189" s="54"/>
      <c r="N189" s="54"/>
      <c r="O189" s="54"/>
      <c r="P189" s="54"/>
      <c r="Q189" s="54"/>
      <c r="R189" s="382"/>
      <c r="S189" s="377"/>
      <c r="T189" s="54"/>
      <c r="U189" s="54"/>
      <c r="V189" s="54"/>
      <c r="W189" s="54"/>
      <c r="X189" s="54"/>
      <c r="Y189" s="54"/>
      <c r="Z189" s="54"/>
      <c r="AA189" s="54"/>
      <c r="AB189" s="287"/>
      <c r="AC189" s="54"/>
      <c r="AD189" s="54"/>
    </row>
    <row r="190">
      <c r="A190" s="54"/>
      <c r="B190" s="398">
        <v>45768.0</v>
      </c>
      <c r="C190" s="398"/>
      <c r="D190" s="99"/>
      <c r="E190" s="100">
        <v>1809176.0</v>
      </c>
      <c r="F190" s="99">
        <f t="shared" si="52"/>
        <v>878</v>
      </c>
      <c r="G190" s="100">
        <v>488.0</v>
      </c>
      <c r="H190" s="101">
        <v>327.0</v>
      </c>
      <c r="I190" s="101">
        <v>336.94</v>
      </c>
      <c r="J190" s="102">
        <f t="shared" si="50"/>
        <v>-9.94</v>
      </c>
      <c r="K190" s="103">
        <f t="shared" si="51"/>
        <v>38.37585421</v>
      </c>
      <c r="L190" s="54"/>
      <c r="M190" s="54"/>
      <c r="N190" s="54"/>
      <c r="O190" s="54"/>
      <c r="P190" s="54"/>
      <c r="Q190" s="54"/>
      <c r="R190" s="382"/>
      <c r="S190" s="377"/>
      <c r="T190" s="54"/>
      <c r="U190" s="54"/>
      <c r="V190" s="54"/>
      <c r="W190" s="54"/>
      <c r="X190" s="54"/>
      <c r="Y190" s="54"/>
      <c r="Z190" s="54"/>
      <c r="AA190" s="54"/>
      <c r="AB190" s="287"/>
      <c r="AC190" s="54"/>
      <c r="AD190" s="54"/>
    </row>
    <row r="191">
      <c r="A191" s="54"/>
      <c r="B191" s="398">
        <v>45773.0</v>
      </c>
      <c r="C191" s="398"/>
      <c r="D191" s="99"/>
      <c r="E191" s="100">
        <v>1810424.0</v>
      </c>
      <c r="F191" s="99">
        <f t="shared" si="52"/>
        <v>1248</v>
      </c>
      <c r="G191" s="100">
        <v>461.0</v>
      </c>
      <c r="H191" s="101">
        <v>304.0</v>
      </c>
      <c r="I191" s="101">
        <v>300.0</v>
      </c>
      <c r="J191" s="102">
        <f t="shared" si="50"/>
        <v>4</v>
      </c>
      <c r="K191" s="103">
        <f t="shared" si="51"/>
        <v>24.03846154</v>
      </c>
      <c r="L191" s="54"/>
      <c r="M191" s="54"/>
      <c r="N191" s="54"/>
      <c r="O191" s="54"/>
      <c r="P191" s="54"/>
      <c r="Q191" s="54"/>
      <c r="R191" s="382"/>
      <c r="S191" s="377"/>
      <c r="T191" s="54"/>
      <c r="U191" s="54"/>
      <c r="V191" s="54"/>
      <c r="W191" s="54"/>
      <c r="X191" s="54"/>
      <c r="Y191" s="54"/>
      <c r="Z191" s="54"/>
      <c r="AA191" s="54"/>
      <c r="AB191" s="287"/>
      <c r="AC191" s="54"/>
      <c r="AD191" s="54"/>
    </row>
    <row r="192">
      <c r="A192" s="54"/>
      <c r="B192" s="398">
        <v>45775.0</v>
      </c>
      <c r="C192" s="398"/>
      <c r="D192" s="99"/>
      <c r="E192" s="100">
        <v>1811674.0</v>
      </c>
      <c r="F192" s="99">
        <f t="shared" si="52"/>
        <v>1250</v>
      </c>
      <c r="G192" s="100">
        <v>478.0</v>
      </c>
      <c r="H192" s="101">
        <v>353.0</v>
      </c>
      <c r="I192" s="101">
        <v>349.99</v>
      </c>
      <c r="J192" s="102">
        <f t="shared" si="50"/>
        <v>3.01</v>
      </c>
      <c r="K192" s="103">
        <f t="shared" si="51"/>
        <v>27.9992</v>
      </c>
      <c r="L192" s="54"/>
      <c r="M192" s="54"/>
      <c r="N192" s="54"/>
      <c r="O192" s="54"/>
      <c r="P192" s="54"/>
      <c r="Q192" s="54"/>
      <c r="R192" s="382"/>
      <c r="S192" s="377"/>
      <c r="T192" s="54"/>
      <c r="U192" s="54"/>
      <c r="V192" s="54"/>
      <c r="W192" s="54"/>
      <c r="X192" s="54"/>
      <c r="Y192" s="54"/>
      <c r="Z192" s="54"/>
      <c r="AA192" s="54"/>
      <c r="AB192" s="287"/>
      <c r="AC192" s="54"/>
      <c r="AD192" s="54"/>
    </row>
    <row r="193">
      <c r="A193" s="68"/>
      <c r="B193" s="203" t="str">
        <f>IF(L193=4,"АПРЕЛЬ",IF(L193=5,"МАЙ",IF(L193=1,"ЯНВАРЬ",IF(L193=2,"ФЕВРАЛЬ",IF(L193=3,"МАРТ",IF(L193=6,"ИЮНЬ",IF(L193=7,"ИЮЛЬ",IF(L193=8,"АВГУСТ",IF(L193=9,"СЕНТЯБРЬ",IF(L193=10,"ОКТЯБРЬ",IF(L193=11,"НОЯБРЬ",IF(L193=12,"ДЕКАБРЬ"))))))))))))</f>
        <v>МАЙ</v>
      </c>
      <c r="J193" s="66"/>
      <c r="K193" s="204"/>
      <c r="L193" s="91">
        <f>MONTH(B194)</f>
        <v>5</v>
      </c>
      <c r="M193" s="66"/>
      <c r="N193" s="66"/>
      <c r="O193" s="66"/>
      <c r="P193" s="66"/>
      <c r="Q193" s="66"/>
      <c r="R193" s="382"/>
      <c r="S193" s="377"/>
      <c r="T193" s="54"/>
      <c r="U193" s="54"/>
      <c r="V193" s="54"/>
      <c r="W193" s="54"/>
      <c r="X193" s="54"/>
      <c r="Y193" s="54"/>
      <c r="Z193" s="54"/>
      <c r="AA193" s="54"/>
      <c r="AB193" s="287"/>
      <c r="AC193" s="54"/>
      <c r="AD193" s="54"/>
    </row>
    <row r="194">
      <c r="A194" s="54"/>
      <c r="B194" s="398">
        <v>45780.0</v>
      </c>
      <c r="C194" s="305" t="s">
        <v>126</v>
      </c>
      <c r="D194" s="100" t="s">
        <v>315</v>
      </c>
      <c r="E194" s="100">
        <v>1812930.0</v>
      </c>
      <c r="F194" s="99">
        <f>E194-E192</f>
        <v>1256</v>
      </c>
      <c r="G194" s="100">
        <v>477.0</v>
      </c>
      <c r="H194" s="101">
        <v>356.0</v>
      </c>
      <c r="I194" s="101">
        <v>350.0</v>
      </c>
      <c r="J194" s="102">
        <f t="shared" ref="J194:J201" si="53">H194-I194</f>
        <v>6</v>
      </c>
      <c r="K194" s="103">
        <f t="shared" ref="K194:K201" si="54">I194/F194*100</f>
        <v>27.86624204</v>
      </c>
      <c r="L194" s="54"/>
      <c r="M194" s="82" t="str">
        <f>"тотал"&amp;" "&amp;B193&amp;" "&amp;RIGHT(YEAR(B194),2)</f>
        <v>тотал МАЙ 25</v>
      </c>
      <c r="N194" s="75"/>
      <c r="O194" s="75"/>
      <c r="P194" s="75"/>
      <c r="Q194" s="76"/>
      <c r="R194" s="382"/>
      <c r="S194" s="377"/>
      <c r="T194" s="54"/>
      <c r="U194" s="54"/>
      <c r="V194" s="54"/>
      <c r="W194" s="54"/>
      <c r="X194" s="54"/>
      <c r="Y194" s="54"/>
      <c r="Z194" s="54"/>
      <c r="AA194" s="54"/>
      <c r="AB194" s="287"/>
      <c r="AC194" s="54"/>
      <c r="AD194" s="54"/>
    </row>
    <row r="195">
      <c r="A195" s="54"/>
      <c r="B195" s="398">
        <v>45782.0</v>
      </c>
      <c r="C195" s="305" t="s">
        <v>126</v>
      </c>
      <c r="D195" s="100" t="s">
        <v>315</v>
      </c>
      <c r="E195" s="100">
        <v>1814201.0</v>
      </c>
      <c r="F195" s="99">
        <f t="shared" ref="F195:F201" si="55">E195-E194</f>
        <v>1271</v>
      </c>
      <c r="G195" s="100">
        <v>481.0</v>
      </c>
      <c r="H195" s="101">
        <v>351.0</v>
      </c>
      <c r="I195" s="101">
        <v>349.99</v>
      </c>
      <c r="J195" s="102">
        <f t="shared" si="53"/>
        <v>1.01</v>
      </c>
      <c r="K195" s="103">
        <f t="shared" si="54"/>
        <v>27.53658537</v>
      </c>
      <c r="L195" s="54"/>
      <c r="M195" s="84" t="s">
        <v>70</v>
      </c>
      <c r="N195" s="84" t="s">
        <v>71</v>
      </c>
      <c r="O195" s="84" t="s">
        <v>27</v>
      </c>
      <c r="P195" s="77" t="s">
        <v>28</v>
      </c>
      <c r="Q195" s="12" t="s">
        <v>78</v>
      </c>
      <c r="R195" s="382"/>
      <c r="S195" s="377"/>
      <c r="T195" s="54"/>
      <c r="U195" s="54"/>
      <c r="V195" s="54"/>
      <c r="W195" s="54"/>
      <c r="X195" s="54"/>
      <c r="Y195" s="54"/>
      <c r="Z195" s="54"/>
      <c r="AA195" s="54"/>
      <c r="AB195" s="287"/>
      <c r="AC195" s="54"/>
      <c r="AD195" s="54"/>
    </row>
    <row r="196">
      <c r="A196" s="54"/>
      <c r="B196" s="398">
        <v>45790.0</v>
      </c>
      <c r="C196" s="305" t="s">
        <v>126</v>
      </c>
      <c r="D196" s="100" t="s">
        <v>315</v>
      </c>
      <c r="E196" s="100">
        <v>1815341.0</v>
      </c>
      <c r="F196" s="99">
        <f t="shared" si="55"/>
        <v>1140</v>
      </c>
      <c r="G196" s="100">
        <v>488.0</v>
      </c>
      <c r="H196" s="101">
        <v>344.0</v>
      </c>
      <c r="I196" s="101">
        <v>350.0</v>
      </c>
      <c r="J196" s="102">
        <f t="shared" si="53"/>
        <v>-6</v>
      </c>
      <c r="K196" s="103">
        <f t="shared" si="54"/>
        <v>30.70175439</v>
      </c>
      <c r="L196" s="54"/>
      <c r="M196" s="84">
        <f>SUM(F194:F201)</f>
        <v>9134</v>
      </c>
      <c r="N196" s="84">
        <f>SUM(I194:I201)</f>
        <v>2501.83</v>
      </c>
      <c r="O196" s="85">
        <f>N196/M196*100</f>
        <v>27.39029998</v>
      </c>
      <c r="P196" s="79">
        <f>(M196/100)*(O196-Q196)</f>
        <v>-192.7</v>
      </c>
      <c r="Q196" s="78">
        <v>29.5</v>
      </c>
      <c r="R196" s="382"/>
      <c r="S196" s="377"/>
      <c r="T196" s="54"/>
      <c r="U196" s="54"/>
      <c r="V196" s="54"/>
      <c r="W196" s="54"/>
      <c r="X196" s="54"/>
      <c r="Y196" s="54"/>
      <c r="Z196" s="54"/>
      <c r="AA196" s="54"/>
      <c r="AB196" s="287"/>
      <c r="AC196" s="54"/>
      <c r="AD196" s="54"/>
    </row>
    <row r="197">
      <c r="A197" s="54"/>
      <c r="B197" s="398">
        <v>45795.0</v>
      </c>
      <c r="C197" s="305" t="s">
        <v>126</v>
      </c>
      <c r="D197" s="100" t="s">
        <v>315</v>
      </c>
      <c r="E197" s="100">
        <v>1816295.0</v>
      </c>
      <c r="F197" s="99">
        <f t="shared" si="55"/>
        <v>954</v>
      </c>
      <c r="G197" s="100">
        <v>490.0</v>
      </c>
      <c r="H197" s="101">
        <v>269.0</v>
      </c>
      <c r="I197" s="101">
        <v>283.35</v>
      </c>
      <c r="J197" s="102">
        <f t="shared" si="53"/>
        <v>-14.35</v>
      </c>
      <c r="K197" s="103">
        <f t="shared" si="54"/>
        <v>29.70125786</v>
      </c>
      <c r="L197" s="60"/>
      <c r="M197" s="60"/>
      <c r="N197" s="60"/>
      <c r="O197" s="54"/>
      <c r="P197" s="54"/>
      <c r="Q197" s="54"/>
      <c r="R197" s="382"/>
      <c r="S197" s="377"/>
      <c r="T197" s="54"/>
      <c r="U197" s="54"/>
      <c r="V197" s="54"/>
      <c r="W197" s="54"/>
      <c r="X197" s="54"/>
      <c r="Y197" s="54"/>
      <c r="Z197" s="54"/>
      <c r="AA197" s="54"/>
      <c r="AB197" s="287"/>
      <c r="AC197" s="54"/>
      <c r="AD197" s="54"/>
    </row>
    <row r="198">
      <c r="A198" s="54"/>
      <c r="B198" s="110">
        <v>45797.0</v>
      </c>
      <c r="C198" s="305" t="s">
        <v>126</v>
      </c>
      <c r="D198" s="100" t="s">
        <v>315</v>
      </c>
      <c r="E198" s="100">
        <v>1817561.0</v>
      </c>
      <c r="F198" s="99">
        <f t="shared" si="55"/>
        <v>1266</v>
      </c>
      <c r="G198" s="100">
        <v>489.0</v>
      </c>
      <c r="H198" s="101">
        <v>299.0</v>
      </c>
      <c r="I198" s="101">
        <v>309.58</v>
      </c>
      <c r="J198" s="102">
        <f t="shared" si="53"/>
        <v>-10.58</v>
      </c>
      <c r="K198" s="103">
        <f t="shared" si="54"/>
        <v>24.45339652</v>
      </c>
      <c r="L198" s="54"/>
      <c r="M198" s="60"/>
      <c r="N198" s="60"/>
      <c r="O198" s="54"/>
      <c r="P198" s="54"/>
      <c r="Q198" s="54"/>
      <c r="R198" s="382"/>
      <c r="S198" s="377"/>
      <c r="T198" s="54"/>
      <c r="U198" s="54"/>
      <c r="V198" s="54"/>
      <c r="W198" s="54"/>
      <c r="X198" s="54"/>
      <c r="Y198" s="54"/>
      <c r="Z198" s="54"/>
      <c r="AA198" s="54"/>
      <c r="AB198" s="287"/>
      <c r="AC198" s="54"/>
      <c r="AD198" s="54"/>
    </row>
    <row r="199">
      <c r="A199" s="54"/>
      <c r="B199" s="110">
        <v>45801.0</v>
      </c>
      <c r="C199" s="305" t="s">
        <v>126</v>
      </c>
      <c r="D199" s="100" t="s">
        <v>315</v>
      </c>
      <c r="E199" s="100">
        <v>1818374.0</v>
      </c>
      <c r="F199" s="99">
        <f t="shared" si="55"/>
        <v>813</v>
      </c>
      <c r="G199" s="100">
        <v>488.0</v>
      </c>
      <c r="H199" s="101">
        <v>219.0</v>
      </c>
      <c r="I199" s="101">
        <v>230.96</v>
      </c>
      <c r="J199" s="102">
        <f t="shared" si="53"/>
        <v>-11.96</v>
      </c>
      <c r="K199" s="103">
        <f t="shared" si="54"/>
        <v>28.40836408</v>
      </c>
      <c r="L199" s="54"/>
      <c r="M199" s="54"/>
      <c r="N199" s="54"/>
      <c r="O199" s="54"/>
      <c r="P199" s="54"/>
      <c r="Q199" s="54"/>
      <c r="R199" s="382"/>
      <c r="S199" s="377"/>
      <c r="T199" s="54"/>
      <c r="U199" s="54"/>
      <c r="V199" s="54"/>
      <c r="W199" s="54"/>
      <c r="X199" s="54"/>
      <c r="Y199" s="54"/>
      <c r="Z199" s="54"/>
      <c r="AA199" s="54"/>
      <c r="AB199" s="287"/>
      <c r="AC199" s="54"/>
      <c r="AD199" s="54"/>
    </row>
    <row r="200">
      <c r="A200" s="54"/>
      <c r="B200" s="110">
        <v>45803.0</v>
      </c>
      <c r="C200" s="305" t="s">
        <v>126</v>
      </c>
      <c r="D200" s="100" t="s">
        <v>315</v>
      </c>
      <c r="E200" s="100">
        <v>1819626.0</v>
      </c>
      <c r="F200" s="99">
        <f t="shared" si="55"/>
        <v>1252</v>
      </c>
      <c r="G200" s="100">
        <v>487.0</v>
      </c>
      <c r="H200" s="101">
        <v>314.0</v>
      </c>
      <c r="I200" s="101">
        <v>327.95</v>
      </c>
      <c r="J200" s="102">
        <f t="shared" si="53"/>
        <v>-13.95</v>
      </c>
      <c r="K200" s="103">
        <f t="shared" si="54"/>
        <v>26.19408946</v>
      </c>
      <c r="L200" s="54"/>
      <c r="M200" s="54"/>
      <c r="N200" s="54"/>
      <c r="O200" s="54"/>
      <c r="P200" s="54"/>
      <c r="Q200" s="54"/>
      <c r="R200" s="382"/>
      <c r="S200" s="377"/>
      <c r="T200" s="54"/>
      <c r="U200" s="54"/>
      <c r="V200" s="54"/>
      <c r="W200" s="54"/>
      <c r="X200" s="54"/>
      <c r="Y200" s="54"/>
      <c r="Z200" s="54"/>
      <c r="AA200" s="54"/>
      <c r="AB200" s="287"/>
      <c r="AC200" s="54"/>
      <c r="AD200" s="54"/>
    </row>
    <row r="201">
      <c r="A201" s="54"/>
      <c r="B201" s="110">
        <v>45808.0</v>
      </c>
      <c r="C201" s="100" t="s">
        <v>126</v>
      </c>
      <c r="D201" s="100" t="s">
        <v>315</v>
      </c>
      <c r="E201" s="100">
        <v>1820808.0</v>
      </c>
      <c r="F201" s="99">
        <f t="shared" si="55"/>
        <v>1182</v>
      </c>
      <c r="G201" s="100">
        <v>482.0</v>
      </c>
      <c r="H201" s="101">
        <v>304.0</v>
      </c>
      <c r="I201" s="101">
        <v>300.0</v>
      </c>
      <c r="J201" s="102">
        <f t="shared" si="53"/>
        <v>4</v>
      </c>
      <c r="K201" s="103">
        <f t="shared" si="54"/>
        <v>25.38071066</v>
      </c>
      <c r="L201" s="54"/>
      <c r="M201" s="54"/>
      <c r="N201" s="54"/>
      <c r="O201" s="54"/>
      <c r="P201" s="54"/>
      <c r="Q201" s="54"/>
      <c r="R201" s="382"/>
      <c r="S201" s="377"/>
      <c r="T201" s="54"/>
      <c r="U201" s="54"/>
      <c r="V201" s="54"/>
      <c r="W201" s="54"/>
      <c r="X201" s="54"/>
      <c r="Y201" s="54"/>
      <c r="Z201" s="54"/>
      <c r="AA201" s="54"/>
      <c r="AB201" s="287"/>
      <c r="AC201" s="54"/>
      <c r="AD201" s="54"/>
    </row>
    <row r="202">
      <c r="A202" s="68"/>
      <c r="B202" s="203" t="str">
        <f>IF(L202=4,"АПРЕЛЬ",IF(L202=5,"МАЙ",IF(L202=1,"ЯНВАРЬ",IF(L202=2,"ФЕВРАЛЬ",IF(L202=3,"МАРТ",IF(L202=6,"ИЮНЬ",IF(L202=7,"ИЮЛЬ",IF(L202=8,"АВГУСТ",IF(L202=9,"СЕНТЯБРЬ",IF(L202=10,"ОКТЯБРЬ",IF(L202=11,"НОЯБРЬ",IF(L202=12,"ДЕКАБРЬ"))))))))))))</f>
        <v>ИЮНЬ</v>
      </c>
      <c r="J202" s="66"/>
      <c r="K202" s="204"/>
      <c r="L202" s="91">
        <f>MONTH(B203)</f>
        <v>6</v>
      </c>
      <c r="M202" s="66"/>
      <c r="N202" s="66"/>
      <c r="O202" s="66"/>
      <c r="P202" s="66"/>
      <c r="Q202" s="66"/>
      <c r="R202" s="382"/>
      <c r="S202" s="377"/>
      <c r="T202" s="54"/>
      <c r="U202" s="54"/>
      <c r="V202" s="54"/>
      <c r="W202" s="54"/>
      <c r="X202" s="54"/>
      <c r="Y202" s="54"/>
      <c r="Z202" s="54"/>
      <c r="AA202" s="54"/>
      <c r="AB202" s="287"/>
      <c r="AC202" s="54"/>
      <c r="AD202" s="54"/>
    </row>
    <row r="203">
      <c r="A203" s="54"/>
      <c r="B203" s="110">
        <v>45829.0</v>
      </c>
      <c r="C203" s="100" t="s">
        <v>127</v>
      </c>
      <c r="D203" s="100" t="s">
        <v>315</v>
      </c>
      <c r="E203" s="100">
        <v>1821627.0</v>
      </c>
      <c r="F203" s="99">
        <f>E203-E201</f>
        <v>819</v>
      </c>
      <c r="G203" s="100">
        <v>489.0</v>
      </c>
      <c r="H203" s="101">
        <v>237.0</v>
      </c>
      <c r="I203" s="101">
        <v>247.84</v>
      </c>
      <c r="J203" s="102">
        <f t="shared" ref="J203:J206" si="56">H203-I203</f>
        <v>-10.84</v>
      </c>
      <c r="K203" s="103">
        <f t="shared" ref="K203:K206" si="57">I203/F203*100</f>
        <v>30.26129426</v>
      </c>
      <c r="L203" s="54"/>
      <c r="M203" s="82" t="str">
        <f>"тотал"&amp;" "&amp;B202&amp;" "&amp;RIGHT(YEAR(B203),2)</f>
        <v>тотал ИЮНЬ 25</v>
      </c>
      <c r="N203" s="75"/>
      <c r="O203" s="75"/>
      <c r="P203" s="75"/>
      <c r="Q203" s="76"/>
      <c r="R203" s="382"/>
      <c r="S203" s="377"/>
      <c r="T203" s="54"/>
      <c r="U203" s="54"/>
      <c r="V203" s="54"/>
      <c r="W203" s="54"/>
      <c r="X203" s="54"/>
      <c r="Y203" s="54"/>
      <c r="Z203" s="54"/>
      <c r="AA203" s="54"/>
      <c r="AB203" s="287"/>
      <c r="AC203" s="54"/>
      <c r="AD203" s="54"/>
    </row>
    <row r="204">
      <c r="A204" s="54"/>
      <c r="B204" s="110">
        <v>45831.0</v>
      </c>
      <c r="C204" s="100" t="s">
        <v>127</v>
      </c>
      <c r="D204" s="100" t="s">
        <v>315</v>
      </c>
      <c r="E204" s="100">
        <v>1822878.0</v>
      </c>
      <c r="F204" s="99">
        <f t="shared" ref="F204:F206" si="58">E204-E203</f>
        <v>1251</v>
      </c>
      <c r="G204" s="100">
        <v>471.0</v>
      </c>
      <c r="H204" s="101">
        <v>303.0</v>
      </c>
      <c r="I204" s="101">
        <v>300.0</v>
      </c>
      <c r="J204" s="102">
        <f t="shared" si="56"/>
        <v>3</v>
      </c>
      <c r="K204" s="103">
        <f t="shared" si="57"/>
        <v>23.98081535</v>
      </c>
      <c r="L204" s="54"/>
      <c r="M204" s="84" t="s">
        <v>70</v>
      </c>
      <c r="N204" s="84" t="s">
        <v>71</v>
      </c>
      <c r="O204" s="84" t="s">
        <v>27</v>
      </c>
      <c r="P204" s="77" t="s">
        <v>28</v>
      </c>
      <c r="Q204" s="12" t="s">
        <v>78</v>
      </c>
      <c r="R204" s="382"/>
      <c r="S204" s="377"/>
      <c r="T204" s="54"/>
      <c r="U204" s="54"/>
      <c r="V204" s="54"/>
      <c r="W204" s="54"/>
      <c r="X204" s="54"/>
      <c r="Y204" s="54"/>
      <c r="Z204" s="54"/>
      <c r="AA204" s="54"/>
      <c r="AB204" s="287"/>
      <c r="AC204" s="54"/>
      <c r="AD204" s="54"/>
    </row>
    <row r="205">
      <c r="A205" s="54"/>
      <c r="B205" s="110">
        <v>45836.0</v>
      </c>
      <c r="C205" s="100" t="s">
        <v>127</v>
      </c>
      <c r="D205" s="100" t="s">
        <v>315</v>
      </c>
      <c r="E205" s="100">
        <v>1824138.0</v>
      </c>
      <c r="F205" s="99">
        <f t="shared" si="58"/>
        <v>1260</v>
      </c>
      <c r="G205" s="100">
        <v>448.0</v>
      </c>
      <c r="H205" s="101">
        <v>306.0</v>
      </c>
      <c r="I205" s="101">
        <v>300.0</v>
      </c>
      <c r="J205" s="102">
        <f t="shared" si="56"/>
        <v>6</v>
      </c>
      <c r="K205" s="103">
        <f t="shared" si="57"/>
        <v>23.80952381</v>
      </c>
      <c r="L205" s="54"/>
      <c r="M205" s="84">
        <f>SUM(F203:F206)</f>
        <v>4410</v>
      </c>
      <c r="N205" s="84">
        <f>SUM(I203:I206)</f>
        <v>1147.84</v>
      </c>
      <c r="O205" s="85">
        <f>N205/M205*100</f>
        <v>26.02811791</v>
      </c>
      <c r="P205" s="79">
        <f>(M205/100)*(O205-Q205)</f>
        <v>-86.96</v>
      </c>
      <c r="Q205" s="78">
        <v>28.0</v>
      </c>
      <c r="R205" s="382"/>
      <c r="S205" s="377"/>
      <c r="T205" s="54"/>
      <c r="U205" s="54"/>
      <c r="V205" s="54"/>
      <c r="W205" s="54"/>
      <c r="X205" s="54"/>
      <c r="Y205" s="54"/>
      <c r="Z205" s="54"/>
      <c r="AA205" s="54"/>
      <c r="AB205" s="287"/>
      <c r="AC205" s="54"/>
      <c r="AD205" s="54"/>
    </row>
    <row r="206">
      <c r="A206" s="54"/>
      <c r="B206" s="110">
        <v>45838.0</v>
      </c>
      <c r="C206" s="100" t="s">
        <v>127</v>
      </c>
      <c r="D206" s="100" t="s">
        <v>315</v>
      </c>
      <c r="E206" s="100">
        <v>1825218.0</v>
      </c>
      <c r="F206" s="99">
        <f t="shared" si="58"/>
        <v>1080</v>
      </c>
      <c r="G206" s="100">
        <v>475.0</v>
      </c>
      <c r="H206" s="101">
        <v>307.0</v>
      </c>
      <c r="I206" s="101">
        <v>300.0</v>
      </c>
      <c r="J206" s="102">
        <f t="shared" si="56"/>
        <v>7</v>
      </c>
      <c r="K206" s="103">
        <f t="shared" si="57"/>
        <v>27.77777778</v>
      </c>
      <c r="L206" s="54"/>
      <c r="M206" s="54"/>
      <c r="N206" s="54"/>
      <c r="O206" s="54"/>
      <c r="P206" s="54"/>
      <c r="Q206" s="54"/>
      <c r="R206" s="382"/>
      <c r="S206" s="377"/>
      <c r="T206" s="54"/>
      <c r="U206" s="54"/>
      <c r="V206" s="54"/>
      <c r="W206" s="54"/>
      <c r="X206" s="54"/>
      <c r="Y206" s="54"/>
      <c r="Z206" s="54"/>
      <c r="AA206" s="54"/>
      <c r="AB206" s="287"/>
      <c r="AC206" s="54"/>
      <c r="AD206" s="54"/>
    </row>
    <row r="207">
      <c r="A207" s="68"/>
      <c r="B207" s="203" t="str">
        <f>IF(L207=4,"АПРЕЛЬ",IF(L207=5,"МАЙ",IF(L207=1,"ЯНВАРЬ",IF(L207=2,"ФЕВРАЛЬ",IF(L207=3,"МАРТ",IF(L207=6,"ИЮНЬ",IF(L207=7,"ИЮЛЬ",IF(L207=8,"АВГУСТ",IF(L207=9,"СЕНТЯБРЬ",IF(L207=10,"ОКТЯБРЬ",IF(L207=11,"НОЯБРЬ",IF(L207=12,"ДЕКАБРЬ"))))))))))))</f>
        <v>ИЮЛЬ</v>
      </c>
      <c r="J207" s="66"/>
      <c r="K207" s="204"/>
      <c r="L207" s="91">
        <f>MONTH(B208)</f>
        <v>7</v>
      </c>
      <c r="M207" s="66"/>
      <c r="N207" s="66"/>
      <c r="O207" s="66"/>
      <c r="P207" s="66"/>
      <c r="Q207" s="66"/>
      <c r="R207" s="382"/>
      <c r="S207" s="377"/>
      <c r="T207" s="54"/>
      <c r="U207" s="54"/>
      <c r="V207" s="54"/>
      <c r="W207" s="54"/>
      <c r="X207" s="54"/>
      <c r="Y207" s="54"/>
      <c r="Z207" s="54"/>
      <c r="AA207" s="54"/>
      <c r="AB207" s="287"/>
      <c r="AC207" s="54"/>
      <c r="AD207" s="54"/>
    </row>
    <row r="208">
      <c r="A208" s="54"/>
      <c r="B208" s="110">
        <v>45839.0</v>
      </c>
      <c r="C208" s="100" t="s">
        <v>127</v>
      </c>
      <c r="D208" s="100" t="s">
        <v>315</v>
      </c>
      <c r="E208" s="100">
        <v>1826548.0</v>
      </c>
      <c r="F208" s="99">
        <f>E208-E206</f>
        <v>1330</v>
      </c>
      <c r="G208" s="100">
        <v>369.0</v>
      </c>
      <c r="H208" s="101">
        <v>254.0</v>
      </c>
      <c r="I208" s="101">
        <v>249.61</v>
      </c>
      <c r="J208" s="102">
        <f t="shared" ref="J208:J215" si="59">H208-I208</f>
        <v>4.39</v>
      </c>
      <c r="K208" s="103">
        <f t="shared" ref="K208:K215" si="60">I208/F208*100</f>
        <v>18.76766917</v>
      </c>
      <c r="L208" s="54"/>
      <c r="M208" s="82" t="str">
        <f>"тотал"&amp;" "&amp;B207&amp;" "&amp;RIGHT(YEAR(B208),2)</f>
        <v>тотал ИЮЛЬ 25</v>
      </c>
      <c r="N208" s="75"/>
      <c r="O208" s="75"/>
      <c r="P208" s="75"/>
      <c r="Q208" s="76"/>
      <c r="R208" s="382"/>
      <c r="S208" s="377"/>
      <c r="T208" s="54"/>
      <c r="U208" s="54"/>
      <c r="V208" s="54"/>
      <c r="W208" s="54"/>
      <c r="X208" s="54"/>
      <c r="Y208" s="54"/>
      <c r="Z208" s="54"/>
      <c r="AA208" s="54"/>
      <c r="AB208" s="287"/>
      <c r="AC208" s="54"/>
      <c r="AD208" s="54"/>
    </row>
    <row r="209">
      <c r="A209" s="54"/>
      <c r="B209" s="110">
        <v>45841.0</v>
      </c>
      <c r="C209" s="305" t="s">
        <v>126</v>
      </c>
      <c r="D209" s="100" t="s">
        <v>315</v>
      </c>
      <c r="E209" s="100">
        <v>1827581.0</v>
      </c>
      <c r="F209" s="99">
        <f t="shared" ref="F209:F215" si="61">E209-E208</f>
        <v>1033</v>
      </c>
      <c r="G209" s="100">
        <v>488.0</v>
      </c>
      <c r="H209" s="101">
        <v>397.0</v>
      </c>
      <c r="I209" s="101">
        <v>400.0</v>
      </c>
      <c r="J209" s="102">
        <f t="shared" si="59"/>
        <v>-3</v>
      </c>
      <c r="K209" s="103">
        <f t="shared" si="60"/>
        <v>38.72216844</v>
      </c>
      <c r="L209" s="54"/>
      <c r="M209" s="84" t="s">
        <v>70</v>
      </c>
      <c r="N209" s="84" t="s">
        <v>71</v>
      </c>
      <c r="O209" s="84" t="s">
        <v>27</v>
      </c>
      <c r="P209" s="77" t="s">
        <v>28</v>
      </c>
      <c r="Q209" s="12" t="s">
        <v>78</v>
      </c>
      <c r="R209" s="382"/>
      <c r="S209" s="377"/>
      <c r="T209" s="54"/>
      <c r="U209" s="54"/>
      <c r="V209" s="54"/>
      <c r="W209" s="54"/>
      <c r="X209" s="54"/>
      <c r="Y209" s="54"/>
      <c r="Z209" s="54"/>
      <c r="AA209" s="54"/>
      <c r="AB209" s="287"/>
      <c r="AC209" s="54"/>
      <c r="AD209" s="54"/>
    </row>
    <row r="210">
      <c r="A210" s="54"/>
      <c r="B210" s="110">
        <v>45844.0</v>
      </c>
      <c r="C210" s="100" t="s">
        <v>127</v>
      </c>
      <c r="D210" s="100" t="s">
        <v>315</v>
      </c>
      <c r="E210" s="100">
        <v>1828905.0</v>
      </c>
      <c r="F210" s="99">
        <f t="shared" si="61"/>
        <v>1324</v>
      </c>
      <c r="G210" s="100">
        <v>487.0</v>
      </c>
      <c r="H210" s="101">
        <v>343.0</v>
      </c>
      <c r="I210" s="101">
        <v>350.0</v>
      </c>
      <c r="J210" s="102">
        <f t="shared" si="59"/>
        <v>-7</v>
      </c>
      <c r="K210" s="103">
        <f t="shared" si="60"/>
        <v>26.43504532</v>
      </c>
      <c r="L210" s="54"/>
      <c r="M210" s="84">
        <f>SUM(F208:F215)</f>
        <v>10061</v>
      </c>
      <c r="N210" s="84">
        <f>SUM(I208:I215)</f>
        <v>2547.05</v>
      </c>
      <c r="O210" s="85">
        <f>N210/M210*100</f>
        <v>25.31607196</v>
      </c>
      <c r="P210" s="79">
        <f>(M210/100)*(O210-Q210)</f>
        <v>-270.03</v>
      </c>
      <c r="Q210" s="78">
        <v>28.0</v>
      </c>
      <c r="R210" s="382"/>
      <c r="S210" s="377"/>
      <c r="T210" s="54"/>
      <c r="U210" s="54"/>
      <c r="V210" s="54"/>
      <c r="W210" s="54"/>
      <c r="X210" s="54"/>
      <c r="Y210" s="54"/>
      <c r="Z210" s="54"/>
      <c r="AA210" s="54"/>
      <c r="AB210" s="287"/>
      <c r="AC210" s="54"/>
      <c r="AD210" s="54"/>
    </row>
    <row r="211">
      <c r="A211" s="54"/>
      <c r="B211" s="110">
        <v>45846.0</v>
      </c>
      <c r="C211" s="321" t="s">
        <v>123</v>
      </c>
      <c r="D211" s="100" t="s">
        <v>315</v>
      </c>
      <c r="E211" s="100">
        <v>1830095.0</v>
      </c>
      <c r="F211" s="99">
        <f t="shared" si="61"/>
        <v>1190</v>
      </c>
      <c r="G211" s="100">
        <v>459.0</v>
      </c>
      <c r="H211" s="101">
        <v>302.0</v>
      </c>
      <c r="I211" s="101">
        <v>300.0</v>
      </c>
      <c r="J211" s="102">
        <f t="shared" si="59"/>
        <v>2</v>
      </c>
      <c r="K211" s="103">
        <f t="shared" si="60"/>
        <v>25.21008403</v>
      </c>
      <c r="L211" s="54"/>
      <c r="M211" s="54"/>
      <c r="N211" s="54"/>
      <c r="O211" s="54"/>
      <c r="P211" s="54"/>
      <c r="Q211" s="54"/>
      <c r="R211" s="382"/>
      <c r="S211" s="377"/>
      <c r="T211" s="54"/>
      <c r="U211" s="54"/>
      <c r="V211" s="54"/>
      <c r="W211" s="54"/>
      <c r="X211" s="54"/>
      <c r="Y211" s="54"/>
      <c r="Z211" s="54"/>
      <c r="AA211" s="54"/>
      <c r="AB211" s="287"/>
      <c r="AC211" s="54"/>
      <c r="AD211" s="54"/>
    </row>
    <row r="212">
      <c r="A212" s="54"/>
      <c r="B212" s="110">
        <v>45849.0</v>
      </c>
      <c r="C212" s="305" t="s">
        <v>126</v>
      </c>
      <c r="D212" s="100" t="s">
        <v>315</v>
      </c>
      <c r="E212" s="100">
        <v>1831449.0</v>
      </c>
      <c r="F212" s="99">
        <f t="shared" si="61"/>
        <v>1354</v>
      </c>
      <c r="G212" s="100">
        <v>444.0</v>
      </c>
      <c r="H212" s="101">
        <v>302.0</v>
      </c>
      <c r="I212" s="102">
        <f>4.27+295</f>
        <v>299.27</v>
      </c>
      <c r="J212" s="102">
        <f t="shared" si="59"/>
        <v>2.73</v>
      </c>
      <c r="K212" s="103">
        <f t="shared" si="60"/>
        <v>22.10265879</v>
      </c>
      <c r="L212" s="54"/>
      <c r="M212" s="54"/>
      <c r="N212" s="54"/>
      <c r="O212" s="54"/>
      <c r="P212" s="54"/>
      <c r="Q212" s="54"/>
      <c r="R212" s="382"/>
      <c r="S212" s="377"/>
      <c r="T212" s="54"/>
      <c r="U212" s="54"/>
      <c r="V212" s="54"/>
      <c r="W212" s="54"/>
      <c r="X212" s="54"/>
      <c r="Y212" s="54"/>
      <c r="Z212" s="54"/>
      <c r="AA212" s="54"/>
      <c r="AB212" s="287"/>
      <c r="AC212" s="54"/>
      <c r="AD212" s="54"/>
    </row>
    <row r="213">
      <c r="A213" s="54"/>
      <c r="B213" s="110">
        <v>45851.0</v>
      </c>
      <c r="C213" s="100" t="s">
        <v>127</v>
      </c>
      <c r="D213" s="100" t="s">
        <v>315</v>
      </c>
      <c r="E213" s="100">
        <v>1832638.0</v>
      </c>
      <c r="F213" s="99">
        <f t="shared" si="61"/>
        <v>1189</v>
      </c>
      <c r="G213" s="100">
        <v>472.0</v>
      </c>
      <c r="H213" s="101">
        <v>352.0</v>
      </c>
      <c r="I213" s="101">
        <v>348.09</v>
      </c>
      <c r="J213" s="102">
        <f t="shared" si="59"/>
        <v>3.91</v>
      </c>
      <c r="K213" s="103">
        <f t="shared" si="60"/>
        <v>29.27586207</v>
      </c>
      <c r="L213" s="54"/>
      <c r="M213" s="54"/>
      <c r="N213" s="54"/>
      <c r="O213" s="54"/>
      <c r="P213" s="54"/>
      <c r="Q213" s="54"/>
      <c r="R213" s="382"/>
      <c r="S213" s="377"/>
      <c r="T213" s="54"/>
      <c r="U213" s="54"/>
      <c r="V213" s="54"/>
      <c r="W213" s="54"/>
      <c r="X213" s="54"/>
      <c r="Y213" s="54"/>
      <c r="Z213" s="54"/>
      <c r="AA213" s="54"/>
      <c r="AB213" s="287"/>
      <c r="AC213" s="54"/>
      <c r="AD213" s="54"/>
    </row>
    <row r="214">
      <c r="A214" s="54"/>
      <c r="B214" s="110">
        <v>45860.0</v>
      </c>
      <c r="C214" s="100" t="s">
        <v>276</v>
      </c>
      <c r="D214" s="100" t="s">
        <v>271</v>
      </c>
      <c r="E214" s="100">
        <v>1834115.0</v>
      </c>
      <c r="F214" s="99">
        <f t="shared" si="61"/>
        <v>1477</v>
      </c>
      <c r="G214" s="100">
        <v>490.0</v>
      </c>
      <c r="H214" s="101">
        <v>388.0</v>
      </c>
      <c r="I214" s="101">
        <v>400.08</v>
      </c>
      <c r="J214" s="102">
        <f t="shared" si="59"/>
        <v>-12.08</v>
      </c>
      <c r="K214" s="103">
        <f t="shared" si="60"/>
        <v>27.0873392</v>
      </c>
      <c r="L214" s="54"/>
      <c r="M214" s="54"/>
      <c r="N214" s="54"/>
      <c r="O214" s="54"/>
      <c r="P214" s="54"/>
      <c r="Q214" s="54"/>
      <c r="R214" s="382"/>
      <c r="S214" s="377"/>
      <c r="T214" s="54"/>
      <c r="U214" s="54"/>
      <c r="V214" s="54"/>
      <c r="W214" s="54"/>
      <c r="X214" s="54"/>
      <c r="Y214" s="54"/>
      <c r="Z214" s="54"/>
      <c r="AA214" s="54"/>
      <c r="AB214" s="287"/>
      <c r="AC214" s="54"/>
      <c r="AD214" s="54"/>
    </row>
    <row r="215">
      <c r="A215" s="54"/>
      <c r="B215" s="110">
        <v>45861.0</v>
      </c>
      <c r="C215" s="100" t="s">
        <v>276</v>
      </c>
      <c r="D215" s="100" t="s">
        <v>271</v>
      </c>
      <c r="E215" s="100">
        <v>1835279.0</v>
      </c>
      <c r="F215" s="99">
        <f t="shared" si="61"/>
        <v>1164</v>
      </c>
      <c r="G215" s="100">
        <v>383.0</v>
      </c>
      <c r="H215" s="101">
        <v>201.0</v>
      </c>
      <c r="I215" s="101">
        <v>200.0</v>
      </c>
      <c r="J215" s="102">
        <f t="shared" si="59"/>
        <v>1</v>
      </c>
      <c r="K215" s="103">
        <f t="shared" si="60"/>
        <v>17.18213058</v>
      </c>
      <c r="L215" s="54"/>
      <c r="M215" s="54"/>
      <c r="N215" s="54"/>
      <c r="O215" s="54"/>
      <c r="P215" s="54"/>
      <c r="Q215" s="54"/>
      <c r="R215" s="382"/>
      <c r="S215" s="377"/>
      <c r="T215" s="54"/>
      <c r="U215" s="54"/>
      <c r="V215" s="54"/>
      <c r="W215" s="54"/>
      <c r="X215" s="54"/>
      <c r="Y215" s="54"/>
      <c r="Z215" s="54"/>
      <c r="AA215" s="54"/>
      <c r="AB215" s="287"/>
      <c r="AC215" s="54"/>
      <c r="AD215" s="54"/>
    </row>
    <row r="216">
      <c r="A216" s="68"/>
      <c r="B216" s="203" t="str">
        <f>IF(L216=4,"АПРЕЛЬ",IF(L216=5,"МАЙ",IF(L216=1,"ЯНВАРЬ",IF(L216=2,"ФЕВРАЛЬ",IF(L216=3,"МАРТ",IF(L216=6,"ИЮНЬ",IF(L216=7,"ИЮЛЬ",IF(L216=8,"АВГУСТ",IF(L216=9,"СЕНТЯБРЬ",IF(L216=10,"ОКТЯБРЬ",IF(L216=11,"НОЯБРЬ",IF(L216=12,"ДЕКАБРЬ"))))))))))))</f>
        <v>АВГУСТ</v>
      </c>
      <c r="J216" s="66"/>
      <c r="K216" s="204"/>
      <c r="L216" s="91">
        <f>MONTH(B217)</f>
        <v>8</v>
      </c>
      <c r="M216" s="66"/>
      <c r="N216" s="66"/>
      <c r="O216" s="66"/>
      <c r="P216" s="66"/>
      <c r="Q216" s="66"/>
      <c r="R216" s="382"/>
      <c r="S216" s="377"/>
      <c r="T216" s="54"/>
      <c r="U216" s="54"/>
      <c r="V216" s="54"/>
      <c r="W216" s="54"/>
      <c r="X216" s="54"/>
      <c r="Y216" s="54"/>
      <c r="Z216" s="54"/>
      <c r="AA216" s="54"/>
      <c r="AB216" s="287"/>
      <c r="AC216" s="54"/>
      <c r="AD216" s="54"/>
    </row>
    <row r="217">
      <c r="A217" s="54"/>
      <c r="B217" s="110">
        <v>45873.0</v>
      </c>
      <c r="C217" s="100" t="s">
        <v>127</v>
      </c>
      <c r="D217" s="100" t="s">
        <v>315</v>
      </c>
      <c r="E217" s="100">
        <v>1836102.0</v>
      </c>
      <c r="F217" s="99">
        <f>E217-E215</f>
        <v>823</v>
      </c>
      <c r="G217" s="100">
        <v>487.0</v>
      </c>
      <c r="H217" s="101">
        <v>334.0</v>
      </c>
      <c r="I217" s="101">
        <v>339.06</v>
      </c>
      <c r="J217" s="102">
        <f t="shared" ref="J217:J229" si="62">H217-I217</f>
        <v>-5.06</v>
      </c>
      <c r="K217" s="103">
        <f t="shared" ref="K217:K229" si="63">I217/F217*100</f>
        <v>41.19805589</v>
      </c>
      <c r="L217" s="54"/>
      <c r="M217" s="82" t="str">
        <f>"тотал"&amp;" "&amp;B216&amp;" "&amp;RIGHT(YEAR(B217),2)</f>
        <v>тотал АВГУСТ 25</v>
      </c>
      <c r="N217" s="75"/>
      <c r="O217" s="75"/>
      <c r="P217" s="75"/>
      <c r="Q217" s="76"/>
      <c r="R217" s="382"/>
      <c r="S217" s="377"/>
      <c r="T217" s="54"/>
      <c r="U217" s="54"/>
      <c r="V217" s="54"/>
      <c r="W217" s="54"/>
      <c r="X217" s="54"/>
      <c r="Y217" s="54"/>
      <c r="Z217" s="54"/>
      <c r="AA217" s="54"/>
      <c r="AB217" s="287"/>
      <c r="AC217" s="54"/>
      <c r="AD217" s="54"/>
    </row>
    <row r="218">
      <c r="A218" s="54"/>
      <c r="B218" s="110">
        <v>45875.0</v>
      </c>
      <c r="C218" s="400" t="s">
        <v>126</v>
      </c>
      <c r="D218" s="321" t="s">
        <v>315</v>
      </c>
      <c r="E218" s="100">
        <v>1837373.0</v>
      </c>
      <c r="F218" s="99">
        <f t="shared" ref="F218:F229" si="64">E218-E217</f>
        <v>1271</v>
      </c>
      <c r="G218" s="100">
        <v>420.0</v>
      </c>
      <c r="H218" s="101">
        <v>251.0</v>
      </c>
      <c r="I218" s="101">
        <v>250.0</v>
      </c>
      <c r="J218" s="102">
        <f t="shared" si="62"/>
        <v>1</v>
      </c>
      <c r="K218" s="103">
        <f t="shared" si="63"/>
        <v>19.66955153</v>
      </c>
      <c r="L218" s="54"/>
      <c r="M218" s="84" t="s">
        <v>70</v>
      </c>
      <c r="N218" s="84" t="s">
        <v>71</v>
      </c>
      <c r="O218" s="84" t="s">
        <v>27</v>
      </c>
      <c r="P218" s="77" t="s">
        <v>28</v>
      </c>
      <c r="Q218" s="12" t="s">
        <v>78</v>
      </c>
      <c r="R218" s="382"/>
      <c r="S218" s="377"/>
      <c r="T218" s="54"/>
      <c r="U218" s="54"/>
      <c r="V218" s="54"/>
      <c r="W218" s="54"/>
      <c r="X218" s="54"/>
      <c r="Y218" s="54"/>
      <c r="Z218" s="54"/>
      <c r="AA218" s="54"/>
      <c r="AB218" s="287"/>
      <c r="AC218" s="54"/>
      <c r="AD218" s="54"/>
    </row>
    <row r="219">
      <c r="A219" s="54"/>
      <c r="B219" s="110">
        <v>45878.0</v>
      </c>
      <c r="C219" s="100" t="s">
        <v>127</v>
      </c>
      <c r="D219" s="100" t="s">
        <v>315</v>
      </c>
      <c r="E219" s="100">
        <v>1838522.0</v>
      </c>
      <c r="F219" s="99">
        <f t="shared" si="64"/>
        <v>1149</v>
      </c>
      <c r="G219" s="100">
        <v>490.0</v>
      </c>
      <c r="H219" s="101">
        <v>375.0</v>
      </c>
      <c r="I219" s="101">
        <v>388.4</v>
      </c>
      <c r="J219" s="102">
        <f t="shared" si="62"/>
        <v>-13.4</v>
      </c>
      <c r="K219" s="103">
        <f t="shared" si="63"/>
        <v>33.80330722</v>
      </c>
      <c r="L219" s="54"/>
      <c r="M219" s="84">
        <f>SUM(F217:F229)</f>
        <v>16491</v>
      </c>
      <c r="N219" s="84">
        <f>SUM(I217:I229)</f>
        <v>4502.66</v>
      </c>
      <c r="O219" s="85">
        <f>N219/M219*100</f>
        <v>27.30374143</v>
      </c>
      <c r="P219" s="79">
        <f>(M219/100)*(O219-Q219)</f>
        <v>-114.82</v>
      </c>
      <c r="Q219" s="78">
        <v>28.0</v>
      </c>
      <c r="R219" s="382"/>
      <c r="S219" s="377"/>
      <c r="T219" s="54"/>
      <c r="U219" s="54"/>
      <c r="V219" s="54"/>
      <c r="W219" s="54"/>
      <c r="X219" s="54"/>
      <c r="Y219" s="54"/>
      <c r="Z219" s="54"/>
      <c r="AA219" s="54"/>
      <c r="AB219" s="287"/>
      <c r="AC219" s="54"/>
      <c r="AD219" s="54"/>
    </row>
    <row r="220">
      <c r="A220" s="54"/>
      <c r="B220" s="110">
        <v>45880.0</v>
      </c>
      <c r="C220" s="100" t="s">
        <v>127</v>
      </c>
      <c r="D220" s="100" t="s">
        <v>315</v>
      </c>
      <c r="E220" s="100">
        <v>1840212.0</v>
      </c>
      <c r="F220" s="99">
        <f t="shared" si="64"/>
        <v>1690</v>
      </c>
      <c r="G220" s="100">
        <v>493.0</v>
      </c>
      <c r="H220" s="101">
        <v>416.0</v>
      </c>
      <c r="I220" s="101">
        <v>430.02</v>
      </c>
      <c r="J220" s="102">
        <f t="shared" si="62"/>
        <v>-14.02</v>
      </c>
      <c r="K220" s="103">
        <f t="shared" si="63"/>
        <v>25.44497041</v>
      </c>
      <c r="L220" s="54"/>
      <c r="M220" s="54"/>
      <c r="N220" s="54"/>
      <c r="O220" s="54"/>
      <c r="P220" s="54"/>
      <c r="Q220" s="54"/>
      <c r="R220" s="382"/>
      <c r="S220" s="377"/>
      <c r="T220" s="54"/>
      <c r="U220" s="54"/>
      <c r="V220" s="54"/>
      <c r="W220" s="54"/>
      <c r="X220" s="54"/>
      <c r="Y220" s="54"/>
      <c r="Z220" s="54"/>
      <c r="AA220" s="54"/>
      <c r="AB220" s="287"/>
      <c r="AC220" s="54"/>
      <c r="AD220" s="54"/>
    </row>
    <row r="221">
      <c r="A221" s="54"/>
      <c r="B221" s="110">
        <v>45882.0</v>
      </c>
      <c r="C221" s="321" t="s">
        <v>123</v>
      </c>
      <c r="D221" s="100" t="s">
        <v>315</v>
      </c>
      <c r="E221" s="100">
        <v>1841701.0</v>
      </c>
      <c r="F221" s="99">
        <f t="shared" si="64"/>
        <v>1489</v>
      </c>
      <c r="G221" s="100">
        <v>491.0</v>
      </c>
      <c r="H221" s="101">
        <v>366.0</v>
      </c>
      <c r="I221" s="101">
        <v>380.07</v>
      </c>
      <c r="J221" s="102">
        <f t="shared" si="62"/>
        <v>-14.07</v>
      </c>
      <c r="K221" s="103">
        <f t="shared" si="63"/>
        <v>25.52518469</v>
      </c>
      <c r="L221" s="54"/>
      <c r="M221" s="54"/>
      <c r="N221" s="54"/>
      <c r="O221" s="54"/>
      <c r="P221" s="54"/>
      <c r="Q221" s="54"/>
      <c r="R221" s="382"/>
      <c r="S221" s="377"/>
      <c r="T221" s="54"/>
      <c r="U221" s="54"/>
      <c r="V221" s="54"/>
      <c r="W221" s="54"/>
      <c r="X221" s="54"/>
      <c r="Y221" s="54"/>
      <c r="Z221" s="54"/>
      <c r="AA221" s="54"/>
      <c r="AB221" s="287"/>
      <c r="AC221" s="54"/>
      <c r="AD221" s="54"/>
    </row>
    <row r="222">
      <c r="A222" s="54"/>
      <c r="B222" s="110">
        <v>45885.0</v>
      </c>
      <c r="C222" s="400" t="s">
        <v>126</v>
      </c>
      <c r="D222" s="321" t="s">
        <v>315</v>
      </c>
      <c r="E222" s="100">
        <v>1843049.0</v>
      </c>
      <c r="F222" s="99">
        <f t="shared" si="64"/>
        <v>1348</v>
      </c>
      <c r="G222" s="100">
        <v>454.0</v>
      </c>
      <c r="H222" s="101">
        <v>304.0</v>
      </c>
      <c r="I222" s="101">
        <v>300.0</v>
      </c>
      <c r="J222" s="102">
        <f t="shared" si="62"/>
        <v>4</v>
      </c>
      <c r="K222" s="103">
        <f t="shared" si="63"/>
        <v>22.25519288</v>
      </c>
      <c r="L222" s="54"/>
      <c r="M222" s="54"/>
      <c r="N222" s="54"/>
      <c r="O222" s="54"/>
      <c r="P222" s="54"/>
      <c r="Q222" s="54"/>
      <c r="R222" s="382"/>
      <c r="S222" s="377"/>
      <c r="T222" s="54"/>
      <c r="U222" s="54"/>
      <c r="V222" s="54"/>
      <c r="W222" s="54"/>
      <c r="X222" s="54"/>
      <c r="Y222" s="54"/>
      <c r="Z222" s="54"/>
      <c r="AA222" s="54"/>
      <c r="AB222" s="287"/>
      <c r="AC222" s="54"/>
      <c r="AD222" s="54"/>
    </row>
    <row r="223">
      <c r="A223" s="54"/>
      <c r="B223" s="110">
        <v>45887.0</v>
      </c>
      <c r="C223" s="100" t="s">
        <v>127</v>
      </c>
      <c r="D223" s="100" t="s">
        <v>315</v>
      </c>
      <c r="E223" s="100">
        <v>1844201.0</v>
      </c>
      <c r="F223" s="99">
        <f t="shared" si="64"/>
        <v>1152</v>
      </c>
      <c r="G223" s="100">
        <v>491.0</v>
      </c>
      <c r="H223" s="101">
        <v>339.0</v>
      </c>
      <c r="I223" s="101">
        <v>350.0</v>
      </c>
      <c r="J223" s="102">
        <f t="shared" si="62"/>
        <v>-11</v>
      </c>
      <c r="K223" s="103">
        <f t="shared" si="63"/>
        <v>30.38194444</v>
      </c>
      <c r="L223" s="54"/>
      <c r="M223" s="54"/>
      <c r="N223" s="54"/>
      <c r="O223" s="54"/>
      <c r="P223" s="54"/>
      <c r="Q223" s="54"/>
      <c r="R223" s="382"/>
      <c r="S223" s="377"/>
      <c r="T223" s="54"/>
      <c r="U223" s="54"/>
      <c r="V223" s="54"/>
      <c r="W223" s="54"/>
      <c r="X223" s="54"/>
      <c r="Y223" s="54"/>
      <c r="Z223" s="54"/>
      <c r="AA223" s="54"/>
      <c r="AB223" s="287"/>
      <c r="AC223" s="54"/>
      <c r="AD223" s="54"/>
    </row>
    <row r="224">
      <c r="A224" s="54"/>
      <c r="B224" s="110">
        <v>45889.0</v>
      </c>
      <c r="C224" s="100" t="s">
        <v>127</v>
      </c>
      <c r="D224" s="100" t="s">
        <v>315</v>
      </c>
      <c r="E224" s="100">
        <v>1845634.0</v>
      </c>
      <c r="F224" s="99">
        <f t="shared" si="64"/>
        <v>1433</v>
      </c>
      <c r="G224" s="100">
        <v>492.0</v>
      </c>
      <c r="H224" s="101">
        <v>374.0</v>
      </c>
      <c r="I224" s="101">
        <v>386.32</v>
      </c>
      <c r="J224" s="102">
        <f t="shared" si="62"/>
        <v>-12.32</v>
      </c>
      <c r="K224" s="103">
        <f t="shared" si="63"/>
        <v>26.95882763</v>
      </c>
      <c r="L224" s="54"/>
      <c r="M224" s="54"/>
      <c r="N224" s="54"/>
      <c r="O224" s="54"/>
      <c r="P224" s="54"/>
      <c r="Q224" s="54"/>
      <c r="R224" s="382"/>
      <c r="S224" s="377"/>
      <c r="T224" s="54"/>
      <c r="U224" s="54"/>
      <c r="V224" s="54"/>
      <c r="W224" s="54"/>
      <c r="X224" s="54"/>
      <c r="Y224" s="54"/>
      <c r="Z224" s="54"/>
      <c r="AA224" s="54"/>
      <c r="AB224" s="287"/>
      <c r="AC224" s="54"/>
      <c r="AD224" s="54"/>
    </row>
    <row r="225">
      <c r="A225" s="54"/>
      <c r="B225" s="110">
        <v>45893.0</v>
      </c>
      <c r="C225" s="100" t="s">
        <v>127</v>
      </c>
      <c r="D225" s="100" t="s">
        <v>315</v>
      </c>
      <c r="E225" s="100">
        <v>1847030.0</v>
      </c>
      <c r="F225" s="99">
        <f t="shared" si="64"/>
        <v>1396</v>
      </c>
      <c r="G225" s="100">
        <v>483.0</v>
      </c>
      <c r="H225" s="101">
        <v>353.0</v>
      </c>
      <c r="I225" s="101">
        <v>350.0</v>
      </c>
      <c r="J225" s="102">
        <f t="shared" si="62"/>
        <v>3</v>
      </c>
      <c r="K225" s="103">
        <f t="shared" si="63"/>
        <v>25.07163324</v>
      </c>
      <c r="L225" s="54"/>
      <c r="M225" s="54"/>
      <c r="N225" s="54"/>
      <c r="O225" s="54"/>
      <c r="P225" s="54"/>
      <c r="Q225" s="54"/>
      <c r="R225" s="382"/>
      <c r="S225" s="377"/>
      <c r="T225" s="54"/>
      <c r="U225" s="54"/>
      <c r="V225" s="54"/>
      <c r="W225" s="54"/>
      <c r="X225" s="54"/>
      <c r="Y225" s="54"/>
      <c r="Z225" s="54"/>
      <c r="AA225" s="54"/>
      <c r="AB225" s="287"/>
      <c r="AC225" s="54"/>
      <c r="AD225" s="54"/>
    </row>
    <row r="226">
      <c r="A226" s="54"/>
      <c r="B226" s="110">
        <v>45895.0</v>
      </c>
      <c r="C226" s="100" t="s">
        <v>127</v>
      </c>
      <c r="D226" s="100" t="s">
        <v>315</v>
      </c>
      <c r="E226" s="100">
        <v>1848299.0</v>
      </c>
      <c r="F226" s="99">
        <f t="shared" si="64"/>
        <v>1269</v>
      </c>
      <c r="G226" s="100">
        <v>441.0</v>
      </c>
      <c r="H226" s="101">
        <v>300.0</v>
      </c>
      <c r="I226" s="101">
        <v>300.0</v>
      </c>
      <c r="J226" s="102">
        <f t="shared" si="62"/>
        <v>0</v>
      </c>
      <c r="K226" s="103">
        <f t="shared" si="63"/>
        <v>23.64066194</v>
      </c>
      <c r="L226" s="54"/>
      <c r="M226" s="54"/>
      <c r="N226" s="54"/>
      <c r="O226" s="54"/>
      <c r="P226" s="54"/>
      <c r="Q226" s="54"/>
      <c r="R226" s="382"/>
      <c r="S226" s="377"/>
      <c r="T226" s="54"/>
      <c r="U226" s="54"/>
      <c r="V226" s="54"/>
      <c r="W226" s="54"/>
      <c r="X226" s="54"/>
      <c r="Y226" s="54"/>
      <c r="Z226" s="54"/>
      <c r="AA226" s="54"/>
      <c r="AB226" s="287"/>
      <c r="AC226" s="54"/>
      <c r="AD226" s="54"/>
    </row>
    <row r="227">
      <c r="A227" s="54"/>
      <c r="B227" s="110">
        <v>45896.0</v>
      </c>
      <c r="C227" s="100" t="s">
        <v>127</v>
      </c>
      <c r="D227" s="100" t="s">
        <v>315</v>
      </c>
      <c r="E227" s="100">
        <v>1849245.0</v>
      </c>
      <c r="F227" s="99">
        <f t="shared" si="64"/>
        <v>946</v>
      </c>
      <c r="G227" s="100">
        <v>481.0</v>
      </c>
      <c r="H227" s="101">
        <v>305.0</v>
      </c>
      <c r="I227" s="101">
        <v>300.0</v>
      </c>
      <c r="J227" s="102">
        <f t="shared" si="62"/>
        <v>5</v>
      </c>
      <c r="K227" s="103">
        <f t="shared" si="63"/>
        <v>31.71247357</v>
      </c>
      <c r="L227" s="54"/>
      <c r="M227" s="54"/>
      <c r="N227" s="54"/>
      <c r="O227" s="54"/>
      <c r="P227" s="54"/>
      <c r="Q227" s="54"/>
      <c r="R227" s="382"/>
      <c r="S227" s="377"/>
      <c r="T227" s="54"/>
      <c r="U227" s="54"/>
      <c r="V227" s="54"/>
      <c r="W227" s="54"/>
      <c r="X227" s="54"/>
      <c r="Y227" s="54"/>
      <c r="Z227" s="54"/>
      <c r="AA227" s="54"/>
      <c r="AB227" s="287"/>
      <c r="AC227" s="54"/>
      <c r="AD227" s="54"/>
    </row>
    <row r="228">
      <c r="A228" s="54"/>
      <c r="B228" s="110">
        <v>45897.0</v>
      </c>
      <c r="C228" s="400" t="s">
        <v>126</v>
      </c>
      <c r="D228" s="100" t="s">
        <v>315</v>
      </c>
      <c r="E228" s="100">
        <v>1850501.0</v>
      </c>
      <c r="F228" s="99">
        <f t="shared" si="64"/>
        <v>1256</v>
      </c>
      <c r="G228" s="100">
        <v>482.0</v>
      </c>
      <c r="H228" s="101">
        <v>353.0</v>
      </c>
      <c r="I228" s="101">
        <v>350.0</v>
      </c>
      <c r="J228" s="102">
        <f t="shared" si="62"/>
        <v>3</v>
      </c>
      <c r="K228" s="103">
        <f t="shared" si="63"/>
        <v>27.86624204</v>
      </c>
      <c r="L228" s="54"/>
      <c r="M228" s="54"/>
      <c r="N228" s="54"/>
      <c r="O228" s="54"/>
      <c r="P228" s="54"/>
      <c r="Q228" s="54"/>
      <c r="R228" s="382"/>
      <c r="S228" s="377"/>
      <c r="T228" s="54"/>
      <c r="U228" s="54"/>
      <c r="V228" s="54"/>
      <c r="W228" s="54"/>
      <c r="X228" s="54"/>
      <c r="Y228" s="54"/>
      <c r="Z228" s="54"/>
      <c r="AA228" s="54"/>
      <c r="AB228" s="287"/>
      <c r="AC228" s="54"/>
      <c r="AD228" s="54"/>
    </row>
    <row r="229">
      <c r="A229" s="54"/>
      <c r="B229" s="110">
        <v>45900.0</v>
      </c>
      <c r="C229" s="100" t="s">
        <v>127</v>
      </c>
      <c r="D229" s="100" t="s">
        <v>315</v>
      </c>
      <c r="E229" s="100">
        <v>1851770.0</v>
      </c>
      <c r="F229" s="99">
        <f t="shared" si="64"/>
        <v>1269</v>
      </c>
      <c r="G229" s="100">
        <v>490.0</v>
      </c>
      <c r="H229" s="101">
        <v>366.0</v>
      </c>
      <c r="I229" s="101">
        <v>378.79</v>
      </c>
      <c r="J229" s="102">
        <f t="shared" si="62"/>
        <v>-12.79</v>
      </c>
      <c r="K229" s="103">
        <f t="shared" si="63"/>
        <v>29.84948779</v>
      </c>
      <c r="L229" s="54"/>
      <c r="M229" s="54"/>
      <c r="N229" s="54"/>
      <c r="O229" s="54"/>
      <c r="P229" s="54"/>
      <c r="Q229" s="54"/>
      <c r="R229" s="382"/>
      <c r="S229" s="377"/>
      <c r="T229" s="54"/>
      <c r="U229" s="54"/>
      <c r="V229" s="54"/>
      <c r="W229" s="54"/>
      <c r="X229" s="54"/>
      <c r="Y229" s="54"/>
      <c r="Z229" s="54"/>
      <c r="AA229" s="54"/>
      <c r="AB229" s="287"/>
      <c r="AC229" s="54"/>
      <c r="AD229" s="54"/>
    </row>
    <row r="230">
      <c r="A230" s="68"/>
      <c r="B230" s="203" t="str">
        <f>IF(L230=4,"АПРЕЛЬ",IF(L230=5,"МАЙ",IF(L230=1,"ЯНВАРЬ",IF(L230=2,"ФЕВРАЛЬ",IF(L230=3,"МАРТ",IF(L230=6,"ИЮНЬ",IF(L230=7,"ИЮЛЬ",IF(L230=8,"АВГУСТ",IF(L230=9,"СЕНТЯБРЬ",IF(L230=10,"ОКТЯБРЬ",IF(L230=11,"НОЯБРЬ",IF(L230=12,"ДЕКАБРЬ"))))))))))))</f>
        <v>СЕНТЯБРЬ</v>
      </c>
      <c r="J230" s="66"/>
      <c r="K230" s="204"/>
      <c r="L230" s="91">
        <f>MONTH(B231)</f>
        <v>9</v>
      </c>
      <c r="M230" s="66"/>
      <c r="N230" s="66"/>
      <c r="O230" s="66"/>
      <c r="P230" s="66"/>
      <c r="Q230" s="66"/>
      <c r="R230" s="382"/>
      <c r="S230" s="377"/>
      <c r="T230" s="54"/>
      <c r="U230" s="54"/>
      <c r="V230" s="54"/>
      <c r="W230" s="54"/>
      <c r="X230" s="54"/>
      <c r="Y230" s="54"/>
      <c r="Z230" s="54"/>
      <c r="AA230" s="54"/>
      <c r="AB230" s="287"/>
      <c r="AC230" s="54"/>
      <c r="AD230" s="54"/>
    </row>
    <row r="231">
      <c r="A231" s="54"/>
      <c r="B231" s="110">
        <v>45904.0</v>
      </c>
      <c r="C231" s="400" t="s">
        <v>126</v>
      </c>
      <c r="D231" s="100" t="s">
        <v>315</v>
      </c>
      <c r="E231" s="100">
        <v>1853107.0</v>
      </c>
      <c r="F231" s="100">
        <f>E231-E229</f>
        <v>1337</v>
      </c>
      <c r="G231" s="100">
        <v>481.0</v>
      </c>
      <c r="H231" s="101">
        <v>357.0</v>
      </c>
      <c r="I231" s="101">
        <v>350.0</v>
      </c>
      <c r="J231" s="102">
        <f t="shared" ref="J231:J241" si="65">H231-I231</f>
        <v>7</v>
      </c>
      <c r="K231" s="103">
        <f t="shared" ref="K231:K241" si="66">I231/F231*100</f>
        <v>26.17801047</v>
      </c>
      <c r="L231" s="54"/>
      <c r="M231" s="82" t="str">
        <f>"тотал"&amp;" "&amp;B230&amp;" "&amp;RIGHT(YEAR(B231),2)</f>
        <v>тотал СЕНТЯБРЬ 25</v>
      </c>
      <c r="N231" s="75"/>
      <c r="O231" s="75"/>
      <c r="P231" s="75"/>
      <c r="Q231" s="76"/>
      <c r="R231" s="382"/>
      <c r="S231" s="377"/>
      <c r="T231" s="54"/>
      <c r="U231" s="54"/>
      <c r="V231" s="54"/>
      <c r="W231" s="54"/>
      <c r="X231" s="54"/>
      <c r="Y231" s="54"/>
      <c r="Z231" s="54"/>
      <c r="AA231" s="54"/>
      <c r="AB231" s="287"/>
      <c r="AC231" s="54"/>
      <c r="AD231" s="54"/>
    </row>
    <row r="232">
      <c r="A232" s="54"/>
      <c r="B232" s="110">
        <v>45907.0</v>
      </c>
      <c r="C232" s="100" t="s">
        <v>127</v>
      </c>
      <c r="D232" s="100" t="s">
        <v>315</v>
      </c>
      <c r="E232" s="100">
        <v>1854297.0</v>
      </c>
      <c r="F232" s="99">
        <f t="shared" ref="F232:F241" si="67">E232-E231</f>
        <v>1190</v>
      </c>
      <c r="G232" s="100">
        <v>488.0</v>
      </c>
      <c r="H232" s="101">
        <v>392.0</v>
      </c>
      <c r="I232" s="101">
        <v>400.0</v>
      </c>
      <c r="J232" s="102">
        <f t="shared" si="65"/>
        <v>-8</v>
      </c>
      <c r="K232" s="103">
        <f t="shared" si="66"/>
        <v>33.61344538</v>
      </c>
      <c r="L232" s="54"/>
      <c r="M232" s="84" t="s">
        <v>70</v>
      </c>
      <c r="N232" s="84" t="s">
        <v>71</v>
      </c>
      <c r="O232" s="84" t="s">
        <v>27</v>
      </c>
      <c r="P232" s="77" t="s">
        <v>28</v>
      </c>
      <c r="Q232" s="12" t="s">
        <v>78</v>
      </c>
      <c r="R232" s="382"/>
      <c r="S232" s="377"/>
      <c r="T232" s="54"/>
      <c r="U232" s="54"/>
      <c r="V232" s="54"/>
      <c r="W232" s="54"/>
      <c r="X232" s="54"/>
      <c r="Y232" s="54"/>
      <c r="Z232" s="54"/>
      <c r="AA232" s="54"/>
      <c r="AB232" s="287"/>
      <c r="AC232" s="54"/>
      <c r="AD232" s="54"/>
    </row>
    <row r="233">
      <c r="A233" s="54"/>
      <c r="B233" s="110">
        <v>45912.0</v>
      </c>
      <c r="C233" s="100" t="s">
        <v>276</v>
      </c>
      <c r="D233" s="100" t="s">
        <v>271</v>
      </c>
      <c r="E233" s="100">
        <v>1855581.0</v>
      </c>
      <c r="F233" s="99">
        <f t="shared" si="67"/>
        <v>1284</v>
      </c>
      <c r="G233" s="100">
        <v>489.0</v>
      </c>
      <c r="H233" s="101">
        <v>357.0</v>
      </c>
      <c r="I233" s="101">
        <v>370.47</v>
      </c>
      <c r="J233" s="102">
        <f t="shared" si="65"/>
        <v>-13.47</v>
      </c>
      <c r="K233" s="103">
        <f t="shared" si="66"/>
        <v>28.85280374</v>
      </c>
      <c r="L233" s="54"/>
      <c r="M233" s="84">
        <f>SUM(F231:F241)</f>
        <v>12789</v>
      </c>
      <c r="N233" s="84">
        <f>SUM(I231:I241)</f>
        <v>3581.62</v>
      </c>
      <c r="O233" s="85">
        <f>N233/M233*100</f>
        <v>28.00547345</v>
      </c>
      <c r="P233" s="79">
        <f>(M233/100)*(O233-Q233)</f>
        <v>0.7</v>
      </c>
      <c r="Q233" s="78">
        <v>28.0</v>
      </c>
      <c r="R233" s="382"/>
      <c r="S233" s="377"/>
      <c r="T233" s="54"/>
      <c r="U233" s="54"/>
      <c r="V233" s="54"/>
      <c r="W233" s="54"/>
      <c r="X233" s="54"/>
      <c r="Y233" s="54"/>
      <c r="Z233" s="54"/>
      <c r="AA233" s="54"/>
      <c r="AB233" s="287"/>
      <c r="AC233" s="54"/>
      <c r="AD233" s="54"/>
    </row>
    <row r="234">
      <c r="A234" s="54"/>
      <c r="B234" s="110">
        <v>45913.0</v>
      </c>
      <c r="C234" s="100" t="s">
        <v>276</v>
      </c>
      <c r="D234" s="100" t="s">
        <v>271</v>
      </c>
      <c r="E234" s="100">
        <v>1856967.0</v>
      </c>
      <c r="F234" s="99">
        <f t="shared" si="67"/>
        <v>1386</v>
      </c>
      <c r="G234" s="100">
        <v>492.0</v>
      </c>
      <c r="H234" s="101">
        <v>377.0</v>
      </c>
      <c r="I234" s="101">
        <v>394.54</v>
      </c>
      <c r="J234" s="102">
        <f t="shared" si="65"/>
        <v>-17.54</v>
      </c>
      <c r="K234" s="103">
        <f t="shared" si="66"/>
        <v>28.46608947</v>
      </c>
      <c r="L234" s="54"/>
      <c r="M234" s="54"/>
      <c r="N234" s="54"/>
      <c r="O234" s="54"/>
      <c r="P234" s="54"/>
      <c r="Q234" s="54"/>
      <c r="R234" s="382"/>
      <c r="S234" s="377"/>
      <c r="T234" s="54"/>
      <c r="U234" s="54"/>
      <c r="V234" s="54"/>
      <c r="W234" s="54"/>
      <c r="X234" s="54"/>
      <c r="Y234" s="54"/>
      <c r="Z234" s="54"/>
      <c r="AA234" s="54"/>
      <c r="AB234" s="287"/>
      <c r="AC234" s="54"/>
      <c r="AD234" s="54"/>
    </row>
    <row r="235">
      <c r="A235" s="54"/>
      <c r="B235" s="110">
        <v>45914.0</v>
      </c>
      <c r="C235" s="100" t="s">
        <v>276</v>
      </c>
      <c r="D235" s="100" t="s">
        <v>271</v>
      </c>
      <c r="E235" s="100">
        <v>1857784.0</v>
      </c>
      <c r="F235" s="99">
        <f t="shared" si="67"/>
        <v>817</v>
      </c>
      <c r="G235" s="100">
        <v>485.0</v>
      </c>
      <c r="H235" s="101">
        <v>193.0</v>
      </c>
      <c r="I235" s="101">
        <v>200.0</v>
      </c>
      <c r="J235" s="102">
        <f t="shared" si="65"/>
        <v>-7</v>
      </c>
      <c r="K235" s="103">
        <f t="shared" si="66"/>
        <v>24.47980416</v>
      </c>
      <c r="L235" s="54"/>
      <c r="M235" s="54"/>
      <c r="N235" s="54"/>
      <c r="O235" s="54"/>
      <c r="P235" s="54"/>
      <c r="Q235" s="54"/>
      <c r="R235" s="382"/>
      <c r="S235" s="377"/>
      <c r="T235" s="54"/>
      <c r="U235" s="54"/>
      <c r="V235" s="54"/>
      <c r="W235" s="54"/>
      <c r="X235" s="54"/>
      <c r="Y235" s="54"/>
      <c r="Z235" s="54"/>
      <c r="AA235" s="54"/>
      <c r="AB235" s="287"/>
      <c r="AC235" s="54"/>
      <c r="AD235" s="54"/>
    </row>
    <row r="236">
      <c r="A236" s="54"/>
      <c r="B236" s="110">
        <v>45915.0</v>
      </c>
      <c r="C236" s="100" t="s">
        <v>276</v>
      </c>
      <c r="D236" s="100" t="s">
        <v>271</v>
      </c>
      <c r="E236" s="100">
        <v>1859033.0</v>
      </c>
      <c r="F236" s="99">
        <f t="shared" si="67"/>
        <v>1249</v>
      </c>
      <c r="G236" s="100">
        <v>486.0</v>
      </c>
      <c r="H236" s="101">
        <v>335.0</v>
      </c>
      <c r="I236" s="101">
        <v>343.31</v>
      </c>
      <c r="J236" s="102">
        <f t="shared" si="65"/>
        <v>-8.31</v>
      </c>
      <c r="K236" s="103">
        <f t="shared" si="66"/>
        <v>27.48678943</v>
      </c>
      <c r="L236" s="54"/>
      <c r="M236" s="54"/>
      <c r="N236" s="54"/>
      <c r="O236" s="54"/>
      <c r="P236" s="54"/>
      <c r="Q236" s="54"/>
      <c r="R236" s="382"/>
      <c r="S236" s="377"/>
      <c r="T236" s="54"/>
      <c r="U236" s="54"/>
      <c r="V236" s="54"/>
      <c r="W236" s="54"/>
      <c r="X236" s="54"/>
      <c r="Y236" s="54"/>
      <c r="Z236" s="54"/>
      <c r="AA236" s="54"/>
      <c r="AB236" s="287"/>
      <c r="AC236" s="54"/>
      <c r="AD236" s="54"/>
    </row>
    <row r="237">
      <c r="A237" s="54"/>
      <c r="B237" s="110">
        <v>45916.0</v>
      </c>
      <c r="C237" s="100" t="s">
        <v>276</v>
      </c>
      <c r="D237" s="100" t="s">
        <v>271</v>
      </c>
      <c r="E237" s="100">
        <v>1859889.0</v>
      </c>
      <c r="F237" s="99">
        <f t="shared" si="67"/>
        <v>856</v>
      </c>
      <c r="G237" s="100">
        <v>485.0</v>
      </c>
      <c r="H237" s="101">
        <v>212.0</v>
      </c>
      <c r="I237" s="101">
        <v>216.89</v>
      </c>
      <c r="J237" s="102">
        <f t="shared" si="65"/>
        <v>-4.89</v>
      </c>
      <c r="K237" s="103">
        <f t="shared" si="66"/>
        <v>25.33761682</v>
      </c>
      <c r="L237" s="54"/>
      <c r="M237" s="54"/>
      <c r="N237" s="54"/>
      <c r="O237" s="54"/>
      <c r="P237" s="54"/>
      <c r="Q237" s="54"/>
      <c r="R237" s="382"/>
      <c r="S237" s="377"/>
      <c r="T237" s="54"/>
      <c r="U237" s="54"/>
      <c r="V237" s="54"/>
      <c r="W237" s="54"/>
      <c r="X237" s="54"/>
      <c r="Y237" s="54"/>
      <c r="Z237" s="54"/>
      <c r="AA237" s="54"/>
      <c r="AB237" s="287"/>
      <c r="AC237" s="54"/>
      <c r="AD237" s="54"/>
    </row>
    <row r="238">
      <c r="A238" s="54"/>
      <c r="B238" s="110">
        <v>45917.0</v>
      </c>
      <c r="C238" s="100" t="s">
        <v>276</v>
      </c>
      <c r="D238" s="100" t="s">
        <v>271</v>
      </c>
      <c r="E238" s="100">
        <v>1861137.0</v>
      </c>
      <c r="F238" s="99">
        <f t="shared" si="67"/>
        <v>1248</v>
      </c>
      <c r="G238" s="100">
        <v>485.0</v>
      </c>
      <c r="H238" s="101">
        <v>343.0</v>
      </c>
      <c r="I238" s="101">
        <v>352.26</v>
      </c>
      <c r="J238" s="102">
        <f t="shared" si="65"/>
        <v>-9.26</v>
      </c>
      <c r="K238" s="103">
        <f t="shared" si="66"/>
        <v>28.22596154</v>
      </c>
      <c r="L238" s="54"/>
      <c r="M238" s="54"/>
      <c r="N238" s="54"/>
      <c r="O238" s="54"/>
      <c r="P238" s="54"/>
      <c r="Q238" s="54"/>
      <c r="R238" s="382"/>
      <c r="S238" s="377"/>
      <c r="T238" s="54"/>
      <c r="U238" s="54"/>
      <c r="V238" s="54"/>
      <c r="W238" s="54"/>
      <c r="X238" s="54"/>
      <c r="Y238" s="54"/>
      <c r="Z238" s="54"/>
      <c r="AA238" s="54"/>
      <c r="AB238" s="287"/>
      <c r="AC238" s="54"/>
      <c r="AD238" s="54"/>
    </row>
    <row r="239">
      <c r="A239" s="54"/>
      <c r="B239" s="110">
        <v>45918.0</v>
      </c>
      <c r="C239" s="100" t="s">
        <v>276</v>
      </c>
      <c r="D239" s="100" t="s">
        <v>271</v>
      </c>
      <c r="E239" s="100">
        <v>1862001.0</v>
      </c>
      <c r="F239" s="99">
        <f t="shared" si="67"/>
        <v>864</v>
      </c>
      <c r="G239" s="100">
        <v>487.0</v>
      </c>
      <c r="H239" s="101">
        <v>234.0</v>
      </c>
      <c r="I239" s="101">
        <v>241.32</v>
      </c>
      <c r="J239" s="102">
        <f t="shared" si="65"/>
        <v>-7.32</v>
      </c>
      <c r="K239" s="103">
        <f t="shared" si="66"/>
        <v>27.93055556</v>
      </c>
      <c r="L239" s="54"/>
      <c r="M239" s="54"/>
      <c r="N239" s="54"/>
      <c r="O239" s="54"/>
      <c r="P239" s="54"/>
      <c r="Q239" s="54"/>
      <c r="R239" s="382"/>
      <c r="S239" s="377"/>
      <c r="T239" s="54"/>
      <c r="U239" s="54"/>
      <c r="V239" s="54"/>
      <c r="W239" s="54"/>
      <c r="X239" s="54"/>
      <c r="Y239" s="54"/>
      <c r="Z239" s="54"/>
      <c r="AA239" s="54"/>
      <c r="AB239" s="287"/>
      <c r="AC239" s="54"/>
      <c r="AD239" s="54"/>
    </row>
    <row r="240">
      <c r="A240" s="54"/>
      <c r="B240" s="110">
        <v>45919.0</v>
      </c>
      <c r="C240" s="100" t="s">
        <v>276</v>
      </c>
      <c r="D240" s="100" t="s">
        <v>271</v>
      </c>
      <c r="E240" s="100">
        <v>1863250.0</v>
      </c>
      <c r="F240" s="99">
        <f t="shared" si="67"/>
        <v>1249</v>
      </c>
      <c r="G240" s="100">
        <v>487.0</v>
      </c>
      <c r="H240" s="101">
        <v>341.0</v>
      </c>
      <c r="I240" s="101">
        <v>352.81</v>
      </c>
      <c r="J240" s="102">
        <f t="shared" si="65"/>
        <v>-11.81</v>
      </c>
      <c r="K240" s="103">
        <f t="shared" si="66"/>
        <v>28.24739792</v>
      </c>
      <c r="L240" s="54"/>
      <c r="M240" s="54"/>
      <c r="N240" s="54"/>
      <c r="O240" s="54"/>
      <c r="P240" s="54"/>
      <c r="Q240" s="54"/>
      <c r="R240" s="382"/>
      <c r="S240" s="377"/>
      <c r="T240" s="54"/>
      <c r="U240" s="54"/>
      <c r="V240" s="54"/>
      <c r="W240" s="54"/>
      <c r="X240" s="54"/>
      <c r="Y240" s="54"/>
      <c r="Z240" s="54"/>
      <c r="AA240" s="54"/>
      <c r="AB240" s="287"/>
      <c r="AC240" s="54"/>
      <c r="AD240" s="54"/>
    </row>
    <row r="241">
      <c r="A241" s="54"/>
      <c r="B241" s="110">
        <v>45929.0</v>
      </c>
      <c r="C241" s="100" t="s">
        <v>123</v>
      </c>
      <c r="D241" s="100" t="s">
        <v>315</v>
      </c>
      <c r="E241" s="100">
        <v>1864559.0</v>
      </c>
      <c r="F241" s="99">
        <f t="shared" si="67"/>
        <v>1309</v>
      </c>
      <c r="G241" s="100">
        <v>492.0</v>
      </c>
      <c r="H241" s="101">
        <v>345.0</v>
      </c>
      <c r="I241" s="101">
        <v>360.02</v>
      </c>
      <c r="J241" s="102">
        <f t="shared" si="65"/>
        <v>-15.02</v>
      </c>
      <c r="K241" s="103">
        <f t="shared" si="66"/>
        <v>27.50343774</v>
      </c>
      <c r="L241" s="54"/>
      <c r="M241" s="54"/>
      <c r="N241" s="54"/>
      <c r="O241" s="54"/>
      <c r="P241" s="54"/>
      <c r="Q241" s="54"/>
      <c r="R241" s="382"/>
      <c r="S241" s="377"/>
      <c r="T241" s="54"/>
      <c r="U241" s="54"/>
      <c r="V241" s="54"/>
      <c r="W241" s="54"/>
      <c r="X241" s="54"/>
      <c r="Y241" s="54"/>
      <c r="Z241" s="54"/>
      <c r="AA241" s="54"/>
      <c r="AB241" s="287"/>
      <c r="AC241" s="54"/>
      <c r="AD241" s="54"/>
    </row>
    <row r="242">
      <c r="A242" s="68"/>
      <c r="B242" s="203" t="str">
        <f>IF(L242=4,"АПРЕЛЬ",IF(L242=5,"МАЙ",IF(L242=1,"ЯНВАРЬ",IF(L242=2,"ФЕВРАЛЬ",IF(L242=3,"МАРТ",IF(L242=6,"ИЮНЬ",IF(L242=7,"ИЮЛЬ",IF(L242=8,"АВГУСТ",IF(L242=9,"СЕНТЯБРЬ",IF(L242=10,"ОКТЯБРЬ",IF(L242=11,"НОЯБРЬ",IF(L242=12,"ДЕКАБРЬ"))))))))))))</f>
        <v>ОКТЯБРЬ</v>
      </c>
      <c r="J242" s="66"/>
      <c r="K242" s="204"/>
      <c r="L242" s="91">
        <f>MONTH(B243)</f>
        <v>10</v>
      </c>
      <c r="M242" s="66"/>
      <c r="N242" s="66"/>
      <c r="O242" s="66"/>
      <c r="P242" s="66"/>
      <c r="Q242" s="66"/>
      <c r="R242" s="382"/>
      <c r="S242" s="377"/>
      <c r="T242" s="54"/>
      <c r="U242" s="54"/>
      <c r="V242" s="54"/>
      <c r="W242" s="54"/>
      <c r="X242" s="54"/>
      <c r="Y242" s="54"/>
      <c r="Z242" s="54"/>
      <c r="AA242" s="54"/>
      <c r="AB242" s="287"/>
      <c r="AC242" s="54"/>
      <c r="AD242" s="54"/>
    </row>
    <row r="243">
      <c r="A243" s="54"/>
      <c r="B243" s="110">
        <v>45931.0</v>
      </c>
      <c r="C243" s="100" t="s">
        <v>390</v>
      </c>
      <c r="D243" s="100" t="s">
        <v>315</v>
      </c>
      <c r="E243" s="100">
        <v>1865893.0</v>
      </c>
      <c r="F243" s="99">
        <f>E243-E241</f>
        <v>1334</v>
      </c>
      <c r="G243" s="100">
        <v>489.0</v>
      </c>
      <c r="H243" s="101">
        <v>342.0</v>
      </c>
      <c r="I243" s="102">
        <f>142.89*2--64</f>
        <v>349.78</v>
      </c>
      <c r="J243" s="102">
        <f t="shared" ref="J243:J245" si="68">H243-I243</f>
        <v>-7.78</v>
      </c>
      <c r="K243" s="103">
        <f t="shared" ref="K243:K245" si="69">I243/F243*100</f>
        <v>26.22038981</v>
      </c>
      <c r="L243" s="54"/>
      <c r="M243" s="82" t="str">
        <f>"тотал"&amp;" "&amp;B242&amp;" "&amp;RIGHT(YEAR(B243),2)</f>
        <v>тотал ОКТЯБРЬ 25</v>
      </c>
      <c r="N243" s="75"/>
      <c r="O243" s="75"/>
      <c r="P243" s="75"/>
      <c r="Q243" s="76"/>
      <c r="R243" s="382"/>
      <c r="S243" s="377"/>
      <c r="T243" s="54"/>
      <c r="U243" s="54"/>
      <c r="V243" s="54"/>
      <c r="W243" s="54"/>
      <c r="X243" s="54"/>
      <c r="Y243" s="54"/>
      <c r="Z243" s="54"/>
      <c r="AA243" s="54"/>
      <c r="AB243" s="287"/>
      <c r="AC243" s="54"/>
      <c r="AD243" s="54"/>
    </row>
    <row r="244">
      <c r="A244" s="54"/>
      <c r="B244" s="110">
        <v>45935.0</v>
      </c>
      <c r="C244" s="100" t="s">
        <v>123</v>
      </c>
      <c r="D244" s="100" t="s">
        <v>315</v>
      </c>
      <c r="E244" s="100">
        <v>1867250.0</v>
      </c>
      <c r="F244" s="99">
        <f t="shared" ref="F244:F245" si="70">E244-E243</f>
        <v>1357</v>
      </c>
      <c r="G244" s="100">
        <v>490.0</v>
      </c>
      <c r="H244" s="101">
        <v>379.0</v>
      </c>
      <c r="I244" s="101">
        <v>390.18</v>
      </c>
      <c r="J244" s="102">
        <f t="shared" si="68"/>
        <v>-11.18</v>
      </c>
      <c r="K244" s="103">
        <f t="shared" si="69"/>
        <v>28.75313191</v>
      </c>
      <c r="L244" s="54"/>
      <c r="M244" s="84" t="s">
        <v>70</v>
      </c>
      <c r="N244" s="84" t="s">
        <v>71</v>
      </c>
      <c r="O244" s="84" t="s">
        <v>27</v>
      </c>
      <c r="P244" s="77" t="s">
        <v>28</v>
      </c>
      <c r="Q244" s="12" t="s">
        <v>78</v>
      </c>
      <c r="R244" s="382"/>
      <c r="S244" s="377"/>
      <c r="T244" s="54"/>
      <c r="U244" s="54"/>
      <c r="V244" s="54"/>
      <c r="W244" s="54"/>
      <c r="X244" s="54"/>
      <c r="Y244" s="54"/>
      <c r="Z244" s="54"/>
      <c r="AA244" s="54"/>
      <c r="AB244" s="287"/>
      <c r="AC244" s="54"/>
      <c r="AD244" s="54"/>
    </row>
    <row r="245">
      <c r="A245" s="54"/>
      <c r="B245" s="110">
        <v>45941.0</v>
      </c>
      <c r="C245" s="100" t="s">
        <v>123</v>
      </c>
      <c r="D245" s="100" t="s">
        <v>315</v>
      </c>
      <c r="E245" s="100">
        <v>1868591.0</v>
      </c>
      <c r="F245" s="99">
        <f t="shared" si="70"/>
        <v>1341</v>
      </c>
      <c r="G245" s="100">
        <v>494.0</v>
      </c>
      <c r="H245" s="101">
        <v>370.0</v>
      </c>
      <c r="I245" s="101">
        <v>384.06</v>
      </c>
      <c r="J245" s="102">
        <f t="shared" si="68"/>
        <v>-14.06</v>
      </c>
      <c r="K245" s="103">
        <f t="shared" si="69"/>
        <v>28.63982103</v>
      </c>
      <c r="L245" s="54"/>
      <c r="M245" s="84">
        <f>SUM(F243:F253)</f>
        <v>4032</v>
      </c>
      <c r="N245" s="84">
        <f>SUM(I243:I253)</f>
        <v>1124.02</v>
      </c>
      <c r="O245" s="85">
        <f>N245/M245*100</f>
        <v>27.87748016</v>
      </c>
      <c r="P245" s="79">
        <f>(M245/100)*(O245-Q245)</f>
        <v>-4.94</v>
      </c>
      <c r="Q245" s="78">
        <v>28.0</v>
      </c>
      <c r="R245" s="382"/>
      <c r="S245" s="377"/>
      <c r="T245" s="54"/>
      <c r="U245" s="54"/>
      <c r="V245" s="54"/>
      <c r="W245" s="54"/>
      <c r="X245" s="54"/>
      <c r="Y245" s="54"/>
      <c r="Z245" s="54"/>
      <c r="AA245" s="54"/>
      <c r="AB245" s="287"/>
      <c r="AC245" s="54"/>
      <c r="AD245" s="54"/>
    </row>
    <row r="246">
      <c r="A246" s="54"/>
      <c r="B246" s="99"/>
      <c r="C246" s="99"/>
      <c r="D246" s="99"/>
      <c r="E246" s="99"/>
      <c r="F246" s="99"/>
      <c r="G246" s="99"/>
      <c r="H246" s="102"/>
      <c r="I246" s="102"/>
      <c r="J246" s="102"/>
      <c r="K246" s="102"/>
      <c r="L246" s="54"/>
      <c r="M246" s="54"/>
      <c r="N246" s="54"/>
      <c r="O246" s="54"/>
      <c r="P246" s="54"/>
      <c r="Q246" s="54"/>
      <c r="R246" s="382"/>
      <c r="S246" s="377"/>
      <c r="T246" s="54"/>
      <c r="U246" s="54"/>
      <c r="V246" s="54"/>
      <c r="W246" s="54"/>
      <c r="X246" s="54"/>
      <c r="Y246" s="54"/>
      <c r="Z246" s="54"/>
      <c r="AA246" s="54"/>
      <c r="AB246" s="287"/>
      <c r="AC246" s="54"/>
      <c r="AD246" s="54"/>
    </row>
    <row r="247">
      <c r="A247" s="54"/>
      <c r="B247" s="99"/>
      <c r="C247" s="99"/>
      <c r="D247" s="99"/>
      <c r="E247" s="99"/>
      <c r="F247" s="99"/>
      <c r="G247" s="99"/>
      <c r="H247" s="102"/>
      <c r="I247" s="102"/>
      <c r="J247" s="102"/>
      <c r="K247" s="102"/>
      <c r="L247" s="54"/>
      <c r="M247" s="54"/>
      <c r="N247" s="54"/>
      <c r="O247" s="54"/>
      <c r="P247" s="54"/>
      <c r="Q247" s="54"/>
      <c r="R247" s="382"/>
      <c r="S247" s="377"/>
      <c r="T247" s="54"/>
      <c r="U247" s="54"/>
      <c r="V247" s="54"/>
      <c r="W247" s="54"/>
      <c r="X247" s="54"/>
      <c r="Y247" s="54"/>
      <c r="Z247" s="54"/>
      <c r="AA247" s="54"/>
      <c r="AB247" s="287"/>
      <c r="AC247" s="54"/>
      <c r="AD247" s="54"/>
    </row>
    <row r="248">
      <c r="A248" s="54"/>
      <c r="B248" s="99"/>
      <c r="C248" s="99"/>
      <c r="D248" s="99"/>
      <c r="E248" s="99"/>
      <c r="F248" s="99"/>
      <c r="G248" s="99"/>
      <c r="H248" s="102"/>
      <c r="I248" s="102"/>
      <c r="J248" s="102"/>
      <c r="K248" s="102"/>
      <c r="L248" s="54"/>
      <c r="M248" s="54"/>
      <c r="N248" s="54"/>
      <c r="O248" s="54"/>
      <c r="P248" s="54"/>
      <c r="Q248" s="54"/>
      <c r="R248" s="382"/>
      <c r="S248" s="377"/>
      <c r="T248" s="54"/>
      <c r="U248" s="54"/>
      <c r="V248" s="54"/>
      <c r="W248" s="54"/>
      <c r="X248" s="54"/>
      <c r="Y248" s="54"/>
      <c r="Z248" s="54"/>
      <c r="AA248" s="54"/>
      <c r="AB248" s="287"/>
      <c r="AC248" s="54"/>
      <c r="AD248" s="54"/>
    </row>
    <row r="249">
      <c r="A249" s="54"/>
      <c r="B249" s="99"/>
      <c r="C249" s="99"/>
      <c r="D249" s="99"/>
      <c r="E249" s="99"/>
      <c r="F249" s="99"/>
      <c r="G249" s="99"/>
      <c r="H249" s="102"/>
      <c r="I249" s="102"/>
      <c r="J249" s="102"/>
      <c r="K249" s="102"/>
      <c r="L249" s="54"/>
      <c r="M249" s="54"/>
      <c r="N249" s="54"/>
      <c r="O249" s="54"/>
      <c r="P249" s="54"/>
      <c r="Q249" s="54"/>
      <c r="R249" s="382"/>
      <c r="S249" s="377"/>
      <c r="T249" s="54"/>
      <c r="U249" s="54"/>
      <c r="V249" s="54"/>
      <c r="W249" s="54"/>
      <c r="X249" s="54"/>
      <c r="Y249" s="54"/>
      <c r="Z249" s="54"/>
      <c r="AA249" s="54"/>
      <c r="AB249" s="287"/>
      <c r="AC249" s="54"/>
      <c r="AD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  <c r="N250" s="54"/>
      <c r="O250" s="54"/>
      <c r="P250" s="54"/>
      <c r="Q250" s="54"/>
      <c r="R250" s="382"/>
      <c r="S250" s="377"/>
      <c r="T250" s="54"/>
      <c r="U250" s="54"/>
      <c r="V250" s="54"/>
      <c r="W250" s="54"/>
      <c r="X250" s="54"/>
      <c r="Y250" s="54"/>
      <c r="Z250" s="54"/>
      <c r="AA250" s="54"/>
      <c r="AB250" s="287"/>
      <c r="AC250" s="54"/>
      <c r="AD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  <c r="N251" s="54"/>
      <c r="O251" s="54"/>
      <c r="P251" s="54"/>
      <c r="Q251" s="54"/>
      <c r="R251" s="382"/>
      <c r="S251" s="377"/>
      <c r="T251" s="54"/>
      <c r="U251" s="54"/>
      <c r="V251" s="54"/>
      <c r="W251" s="54"/>
      <c r="X251" s="54"/>
      <c r="Y251" s="54"/>
      <c r="Z251" s="54"/>
      <c r="AA251" s="54"/>
      <c r="AB251" s="287"/>
      <c r="AC251" s="54"/>
      <c r="AD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  <c r="N252" s="54"/>
      <c r="O252" s="54"/>
      <c r="P252" s="54"/>
      <c r="Q252" s="54"/>
      <c r="R252" s="382"/>
      <c r="S252" s="377"/>
      <c r="T252" s="54"/>
      <c r="U252" s="54"/>
      <c r="V252" s="54"/>
      <c r="W252" s="54"/>
      <c r="X252" s="54"/>
      <c r="Y252" s="54"/>
      <c r="Z252" s="54"/>
      <c r="AA252" s="54"/>
      <c r="AB252" s="287"/>
      <c r="AC252" s="54"/>
      <c r="AD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  <c r="N253" s="54"/>
      <c r="O253" s="54"/>
      <c r="P253" s="54"/>
      <c r="Q253" s="54"/>
      <c r="R253" s="382"/>
      <c r="S253" s="377"/>
      <c r="T253" s="54"/>
      <c r="U253" s="54"/>
      <c r="V253" s="54"/>
      <c r="W253" s="54"/>
      <c r="X253" s="54"/>
      <c r="Y253" s="54"/>
      <c r="Z253" s="54"/>
      <c r="AA253" s="54"/>
      <c r="AB253" s="287"/>
      <c r="AC253" s="54"/>
      <c r="AD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  <c r="N254" s="54"/>
      <c r="O254" s="54"/>
      <c r="P254" s="54"/>
      <c r="Q254" s="54"/>
      <c r="R254" s="382"/>
      <c r="S254" s="377"/>
      <c r="T254" s="54"/>
      <c r="U254" s="54"/>
      <c r="V254" s="54"/>
      <c r="W254" s="54"/>
      <c r="X254" s="54"/>
      <c r="Y254" s="54"/>
      <c r="Z254" s="54"/>
      <c r="AA254" s="54"/>
      <c r="AB254" s="287"/>
      <c r="AC254" s="54"/>
      <c r="AD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  <c r="N255" s="54"/>
      <c r="O255" s="54"/>
      <c r="P255" s="54"/>
      <c r="Q255" s="54"/>
      <c r="R255" s="382"/>
      <c r="S255" s="377"/>
      <c r="T255" s="54"/>
      <c r="U255" s="54"/>
      <c r="V255" s="54"/>
      <c r="W255" s="54"/>
      <c r="X255" s="54"/>
      <c r="Y255" s="54"/>
      <c r="Z255" s="54"/>
      <c r="AA255" s="54"/>
      <c r="AB255" s="287"/>
      <c r="AC255" s="54"/>
      <c r="AD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  <c r="N256" s="54"/>
      <c r="O256" s="54"/>
      <c r="P256" s="54"/>
      <c r="Q256" s="54"/>
      <c r="R256" s="382"/>
      <c r="S256" s="377"/>
      <c r="T256" s="54"/>
      <c r="U256" s="54"/>
      <c r="V256" s="54"/>
      <c r="W256" s="54"/>
      <c r="X256" s="54"/>
      <c r="Y256" s="54"/>
      <c r="Z256" s="54"/>
      <c r="AA256" s="54"/>
      <c r="AB256" s="287"/>
      <c r="AC256" s="54"/>
      <c r="AD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  <c r="N257" s="54"/>
      <c r="O257" s="54"/>
      <c r="P257" s="54"/>
      <c r="Q257" s="54"/>
      <c r="R257" s="382"/>
      <c r="S257" s="377"/>
      <c r="T257" s="54"/>
      <c r="U257" s="54"/>
      <c r="V257" s="54"/>
      <c r="W257" s="54"/>
      <c r="X257" s="54"/>
      <c r="Y257" s="54"/>
      <c r="Z257" s="54"/>
      <c r="AA257" s="54"/>
      <c r="AB257" s="287"/>
      <c r="AC257" s="54"/>
      <c r="AD257" s="54"/>
    </row>
    <row r="258">
      <c r="A258" s="54"/>
      <c r="B258" s="99"/>
      <c r="C258" s="99"/>
      <c r="D258" s="99"/>
      <c r="E258" s="99"/>
      <c r="F258" s="99"/>
      <c r="G258" s="99"/>
      <c r="H258" s="102"/>
      <c r="I258" s="102"/>
      <c r="J258" s="102"/>
      <c r="K258" s="102"/>
      <c r="L258" s="54"/>
      <c r="M258" s="54"/>
      <c r="N258" s="54"/>
      <c r="O258" s="54"/>
      <c r="P258" s="54"/>
      <c r="Q258" s="54"/>
      <c r="R258" s="382"/>
      <c r="S258" s="377"/>
      <c r="T258" s="54"/>
      <c r="U258" s="54"/>
      <c r="V258" s="54"/>
      <c r="W258" s="54"/>
      <c r="X258" s="54"/>
      <c r="Y258" s="54"/>
      <c r="Z258" s="54"/>
      <c r="AA258" s="54"/>
      <c r="AB258" s="287"/>
      <c r="AC258" s="54"/>
      <c r="AD258" s="54"/>
    </row>
    <row r="259">
      <c r="A259" s="54"/>
      <c r="B259" s="99"/>
      <c r="C259" s="99"/>
      <c r="D259" s="99"/>
      <c r="E259" s="99"/>
      <c r="F259" s="99"/>
      <c r="G259" s="99"/>
      <c r="H259" s="102"/>
      <c r="I259" s="102"/>
      <c r="J259" s="102"/>
      <c r="K259" s="102"/>
      <c r="L259" s="54"/>
      <c r="M259" s="54"/>
      <c r="N259" s="54"/>
      <c r="O259" s="54"/>
      <c r="P259" s="54"/>
      <c r="Q259" s="54"/>
      <c r="R259" s="382"/>
      <c r="S259" s="377"/>
      <c r="T259" s="54"/>
      <c r="U259" s="54"/>
      <c r="V259" s="54"/>
      <c r="W259" s="54"/>
      <c r="X259" s="54"/>
      <c r="Y259" s="54"/>
      <c r="Z259" s="54"/>
      <c r="AA259" s="54"/>
      <c r="AB259" s="287"/>
      <c r="AC259" s="54"/>
      <c r="AD259" s="54"/>
    </row>
    <row r="260">
      <c r="A260" s="54"/>
      <c r="B260" s="99"/>
      <c r="C260" s="99"/>
      <c r="D260" s="99"/>
      <c r="E260" s="99"/>
      <c r="F260" s="99"/>
      <c r="G260" s="99"/>
      <c r="H260" s="102"/>
      <c r="I260" s="102"/>
      <c r="J260" s="102"/>
      <c r="K260" s="102"/>
      <c r="L260" s="54"/>
      <c r="M260" s="54"/>
      <c r="N260" s="54"/>
      <c r="O260" s="54"/>
      <c r="P260" s="54"/>
      <c r="Q260" s="54"/>
      <c r="R260" s="382"/>
      <c r="S260" s="377"/>
      <c r="T260" s="54"/>
      <c r="U260" s="54"/>
      <c r="V260" s="54"/>
      <c r="W260" s="54"/>
      <c r="X260" s="54"/>
      <c r="Y260" s="54"/>
      <c r="Z260" s="54"/>
      <c r="AA260" s="54"/>
      <c r="AB260" s="287"/>
      <c r="AC260" s="54"/>
      <c r="AD260" s="54"/>
    </row>
    <row r="261">
      <c r="A261" s="54"/>
      <c r="B261" s="99"/>
      <c r="C261" s="99"/>
      <c r="D261" s="99"/>
      <c r="E261" s="99"/>
      <c r="F261" s="99"/>
      <c r="G261" s="99"/>
      <c r="H261" s="102"/>
      <c r="I261" s="102"/>
      <c r="J261" s="102"/>
      <c r="K261" s="102"/>
      <c r="L261" s="54"/>
      <c r="M261" s="54"/>
      <c r="N261" s="54"/>
      <c r="O261" s="54"/>
      <c r="P261" s="54"/>
      <c r="Q261" s="54"/>
      <c r="R261" s="382"/>
      <c r="S261" s="377"/>
      <c r="T261" s="54"/>
      <c r="U261" s="54"/>
      <c r="V261" s="54"/>
      <c r="W261" s="54"/>
      <c r="X261" s="54"/>
      <c r="Y261" s="54"/>
      <c r="Z261" s="54"/>
      <c r="AA261" s="54"/>
      <c r="AB261" s="287"/>
      <c r="AC261" s="54"/>
      <c r="AD261" s="54"/>
    </row>
    <row r="262">
      <c r="A262" s="54"/>
      <c r="B262" s="99"/>
      <c r="C262" s="99"/>
      <c r="D262" s="99"/>
      <c r="E262" s="99"/>
      <c r="F262" s="99"/>
      <c r="G262" s="99"/>
      <c r="H262" s="102"/>
      <c r="I262" s="102"/>
      <c r="J262" s="102"/>
      <c r="K262" s="102"/>
      <c r="L262" s="54"/>
      <c r="M262" s="54"/>
      <c r="N262" s="54"/>
      <c r="O262" s="54"/>
      <c r="P262" s="54"/>
      <c r="Q262" s="54"/>
      <c r="R262" s="382"/>
      <c r="S262" s="377"/>
      <c r="T262" s="54"/>
      <c r="U262" s="54"/>
      <c r="V262" s="54"/>
      <c r="W262" s="54"/>
      <c r="X262" s="54"/>
      <c r="Y262" s="54"/>
      <c r="Z262" s="54"/>
      <c r="AA262" s="54"/>
      <c r="AB262" s="287"/>
      <c r="AC262" s="54"/>
      <c r="AD262" s="54"/>
    </row>
    <row r="263">
      <c r="A263" s="54"/>
      <c r="B263" s="99"/>
      <c r="C263" s="99"/>
      <c r="D263" s="99"/>
      <c r="E263" s="99"/>
      <c r="F263" s="99"/>
      <c r="G263" s="99"/>
      <c r="H263" s="102"/>
      <c r="I263" s="102"/>
      <c r="J263" s="102"/>
      <c r="K263" s="102"/>
      <c r="L263" s="54"/>
      <c r="M263" s="54"/>
      <c r="N263" s="54"/>
      <c r="O263" s="54"/>
      <c r="P263" s="54"/>
      <c r="Q263" s="54"/>
      <c r="R263" s="382"/>
      <c r="S263" s="377"/>
      <c r="T263" s="54"/>
      <c r="U263" s="54"/>
      <c r="V263" s="54"/>
      <c r="W263" s="54"/>
      <c r="X263" s="54"/>
      <c r="Y263" s="54"/>
      <c r="Z263" s="54"/>
      <c r="AA263" s="54"/>
      <c r="AB263" s="287"/>
      <c r="AC263" s="54"/>
      <c r="AD263" s="54"/>
    </row>
    <row r="264">
      <c r="A264" s="54"/>
      <c r="B264" s="99"/>
      <c r="C264" s="99"/>
      <c r="D264" s="99"/>
      <c r="E264" s="99"/>
      <c r="F264" s="99"/>
      <c r="G264" s="99"/>
      <c r="H264" s="102"/>
      <c r="I264" s="102"/>
      <c r="J264" s="102"/>
      <c r="K264" s="102"/>
      <c r="L264" s="54"/>
      <c r="M264" s="54"/>
      <c r="N264" s="54"/>
      <c r="O264" s="54"/>
      <c r="P264" s="54"/>
      <c r="Q264" s="54"/>
      <c r="R264" s="382"/>
      <c r="S264" s="377"/>
      <c r="T264" s="54"/>
      <c r="U264" s="54"/>
      <c r="V264" s="54"/>
      <c r="W264" s="54"/>
      <c r="X264" s="54"/>
      <c r="Y264" s="54"/>
      <c r="Z264" s="54"/>
      <c r="AA264" s="54"/>
      <c r="AB264" s="287"/>
      <c r="AC264" s="54"/>
      <c r="AD264" s="54"/>
    </row>
    <row r="265">
      <c r="A265" s="54"/>
      <c r="B265" s="99"/>
      <c r="C265" s="99"/>
      <c r="D265" s="99"/>
      <c r="E265" s="99"/>
      <c r="F265" s="99"/>
      <c r="G265" s="99"/>
      <c r="H265" s="102"/>
      <c r="I265" s="102"/>
      <c r="J265" s="102"/>
      <c r="K265" s="102"/>
      <c r="L265" s="54"/>
      <c r="M265" s="54"/>
      <c r="N265" s="54"/>
      <c r="O265" s="54"/>
      <c r="P265" s="54"/>
      <c r="Q265" s="54"/>
      <c r="R265" s="382"/>
      <c r="S265" s="377"/>
      <c r="T265" s="54"/>
      <c r="U265" s="54"/>
      <c r="V265" s="54"/>
      <c r="W265" s="54"/>
      <c r="X265" s="54"/>
      <c r="Y265" s="54"/>
      <c r="Z265" s="54"/>
      <c r="AA265" s="54"/>
      <c r="AB265" s="287"/>
      <c r="AC265" s="54"/>
      <c r="AD265" s="54"/>
    </row>
    <row r="266">
      <c r="A266" s="54"/>
      <c r="B266" s="99"/>
      <c r="C266" s="99"/>
      <c r="D266" s="99"/>
      <c r="E266" s="99"/>
      <c r="F266" s="99"/>
      <c r="G266" s="99"/>
      <c r="H266" s="102"/>
      <c r="I266" s="102"/>
      <c r="J266" s="102"/>
      <c r="K266" s="102"/>
      <c r="L266" s="54"/>
      <c r="M266" s="54"/>
      <c r="N266" s="54"/>
      <c r="O266" s="54"/>
      <c r="P266" s="54"/>
      <c r="Q266" s="54"/>
      <c r="R266" s="382"/>
      <c r="S266" s="377"/>
      <c r="T266" s="54"/>
      <c r="U266" s="54"/>
      <c r="V266" s="54"/>
      <c r="W266" s="54"/>
      <c r="X266" s="54"/>
      <c r="Y266" s="54"/>
      <c r="Z266" s="54"/>
      <c r="AA266" s="54"/>
      <c r="AB266" s="287"/>
      <c r="AC266" s="54"/>
      <c r="AD266" s="54"/>
    </row>
    <row r="267">
      <c r="A267" s="54"/>
      <c r="B267" s="99"/>
      <c r="C267" s="99"/>
      <c r="D267" s="99"/>
      <c r="E267" s="99"/>
      <c r="F267" s="99"/>
      <c r="G267" s="99"/>
      <c r="H267" s="102"/>
      <c r="I267" s="102"/>
      <c r="J267" s="102"/>
      <c r="K267" s="102"/>
      <c r="L267" s="54"/>
      <c r="M267" s="54"/>
      <c r="N267" s="54"/>
      <c r="O267" s="54"/>
      <c r="P267" s="54"/>
      <c r="Q267" s="54"/>
      <c r="R267" s="382"/>
      <c r="S267" s="377"/>
      <c r="T267" s="54"/>
      <c r="U267" s="54"/>
      <c r="V267" s="54"/>
      <c r="W267" s="54"/>
      <c r="X267" s="54"/>
      <c r="Y267" s="54"/>
      <c r="Z267" s="54"/>
      <c r="AA267" s="54"/>
      <c r="AB267" s="287"/>
      <c r="AC267" s="54"/>
      <c r="AD267" s="54"/>
    </row>
    <row r="268">
      <c r="A268" s="54"/>
      <c r="B268" s="99"/>
      <c r="C268" s="99"/>
      <c r="D268" s="99"/>
      <c r="E268" s="99"/>
      <c r="F268" s="99"/>
      <c r="G268" s="99"/>
      <c r="H268" s="102"/>
      <c r="I268" s="102"/>
      <c r="J268" s="102"/>
      <c r="K268" s="102"/>
      <c r="L268" s="54"/>
      <c r="M268" s="54"/>
      <c r="N268" s="54"/>
      <c r="O268" s="54"/>
      <c r="P268" s="54"/>
      <c r="Q268" s="54"/>
      <c r="R268" s="382"/>
      <c r="S268" s="377"/>
      <c r="T268" s="54"/>
      <c r="U268" s="54"/>
      <c r="V268" s="54"/>
      <c r="W268" s="54"/>
      <c r="X268" s="54"/>
      <c r="Y268" s="54"/>
      <c r="Z268" s="54"/>
      <c r="AA268" s="54"/>
      <c r="AB268" s="287"/>
      <c r="AC268" s="54"/>
      <c r="AD268" s="54"/>
    </row>
    <row r="269">
      <c r="A269" s="54"/>
      <c r="B269" s="99"/>
      <c r="C269" s="99"/>
      <c r="D269" s="99"/>
      <c r="E269" s="99"/>
      <c r="F269" s="99"/>
      <c r="G269" s="99"/>
      <c r="H269" s="102"/>
      <c r="I269" s="102"/>
      <c r="J269" s="102"/>
      <c r="K269" s="102"/>
      <c r="L269" s="54"/>
      <c r="M269" s="54"/>
      <c r="N269" s="54"/>
      <c r="O269" s="54"/>
      <c r="P269" s="54"/>
      <c r="Q269" s="54"/>
      <c r="R269" s="382"/>
      <c r="S269" s="377"/>
      <c r="T269" s="54"/>
      <c r="U269" s="54"/>
      <c r="V269" s="54"/>
      <c r="W269" s="54"/>
      <c r="X269" s="54"/>
      <c r="Y269" s="54"/>
      <c r="Z269" s="54"/>
      <c r="AA269" s="54"/>
      <c r="AB269" s="287"/>
      <c r="AC269" s="54"/>
      <c r="AD269" s="54"/>
    </row>
    <row r="270">
      <c r="A270" s="54"/>
      <c r="B270" s="99"/>
      <c r="C270" s="99"/>
      <c r="D270" s="99"/>
      <c r="E270" s="99"/>
      <c r="F270" s="99"/>
      <c r="G270" s="99"/>
      <c r="H270" s="102"/>
      <c r="I270" s="102"/>
      <c r="J270" s="102"/>
      <c r="K270" s="102"/>
      <c r="L270" s="54"/>
      <c r="M270" s="54"/>
      <c r="N270" s="54"/>
      <c r="O270" s="54"/>
      <c r="P270" s="54"/>
      <c r="Q270" s="54"/>
      <c r="R270" s="382"/>
      <c r="S270" s="377"/>
      <c r="T270" s="54"/>
      <c r="U270" s="54"/>
      <c r="V270" s="54"/>
      <c r="W270" s="54"/>
      <c r="X270" s="54"/>
      <c r="Y270" s="54"/>
      <c r="Z270" s="54"/>
      <c r="AA270" s="54"/>
      <c r="AB270" s="287"/>
      <c r="AC270" s="54"/>
      <c r="AD270" s="54"/>
    </row>
    <row r="271">
      <c r="A271" s="54"/>
      <c r="B271" s="99"/>
      <c r="C271" s="99"/>
      <c r="D271" s="99"/>
      <c r="E271" s="99"/>
      <c r="F271" s="99"/>
      <c r="G271" s="99"/>
      <c r="H271" s="102"/>
      <c r="I271" s="102"/>
      <c r="J271" s="102"/>
      <c r="K271" s="102"/>
      <c r="L271" s="54"/>
      <c r="M271" s="54"/>
      <c r="N271" s="54"/>
      <c r="O271" s="54"/>
      <c r="P271" s="54"/>
      <c r="Q271" s="54"/>
      <c r="R271" s="382"/>
      <c r="S271" s="377"/>
      <c r="T271" s="54"/>
      <c r="U271" s="54"/>
      <c r="V271" s="54"/>
      <c r="W271" s="54"/>
      <c r="X271" s="54"/>
      <c r="Y271" s="54"/>
      <c r="Z271" s="54"/>
      <c r="AA271" s="54"/>
      <c r="AB271" s="287"/>
      <c r="AC271" s="54"/>
      <c r="AD271" s="54"/>
    </row>
    <row r="272">
      <c r="A272" s="54"/>
      <c r="B272" s="114"/>
      <c r="C272" s="114"/>
      <c r="D272" s="114"/>
      <c r="E272" s="114"/>
      <c r="F272" s="114"/>
      <c r="G272" s="11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382"/>
      <c r="S272" s="377"/>
      <c r="T272" s="54"/>
      <c r="U272" s="54"/>
      <c r="V272" s="54"/>
      <c r="W272" s="54"/>
      <c r="X272" s="54"/>
      <c r="Y272" s="54"/>
      <c r="Z272" s="54"/>
      <c r="AA272" s="54"/>
      <c r="AB272" s="287"/>
      <c r="AC272" s="54"/>
      <c r="AD272" s="54"/>
    </row>
    <row r="273">
      <c r="A273" s="54"/>
      <c r="B273" s="114"/>
      <c r="C273" s="114"/>
      <c r="D273" s="114"/>
      <c r="E273" s="114"/>
      <c r="F273" s="114"/>
      <c r="G273" s="11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382"/>
      <c r="S273" s="377"/>
      <c r="T273" s="54"/>
      <c r="U273" s="54"/>
      <c r="V273" s="54"/>
      <c r="W273" s="54"/>
      <c r="X273" s="54"/>
      <c r="Y273" s="54"/>
      <c r="Z273" s="54"/>
      <c r="AA273" s="54"/>
      <c r="AB273" s="287"/>
      <c r="AC273" s="54"/>
      <c r="AD273" s="54"/>
    </row>
    <row r="274">
      <c r="A274" s="54"/>
      <c r="B274" s="114"/>
      <c r="C274" s="114"/>
      <c r="D274" s="114"/>
      <c r="E274" s="114"/>
      <c r="F274" s="114"/>
      <c r="G274" s="11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382"/>
      <c r="S274" s="377"/>
      <c r="T274" s="54"/>
      <c r="U274" s="54"/>
      <c r="V274" s="54"/>
      <c r="W274" s="54"/>
      <c r="X274" s="54"/>
      <c r="Y274" s="54"/>
      <c r="Z274" s="54"/>
      <c r="AA274" s="54"/>
      <c r="AB274" s="287"/>
      <c r="AC274" s="54"/>
      <c r="AD274" s="54"/>
    </row>
    <row r="275">
      <c r="A275" s="54"/>
      <c r="B275" s="114"/>
      <c r="C275" s="114"/>
      <c r="D275" s="114"/>
      <c r="E275" s="114"/>
      <c r="F275" s="114"/>
      <c r="G275" s="11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382"/>
      <c r="S275" s="377"/>
      <c r="T275" s="54"/>
      <c r="U275" s="54"/>
      <c r="V275" s="54"/>
      <c r="W275" s="54"/>
      <c r="X275" s="54"/>
      <c r="Y275" s="54"/>
      <c r="Z275" s="54"/>
      <c r="AA275" s="54"/>
      <c r="AB275" s="287"/>
      <c r="AC275" s="54"/>
      <c r="AD275" s="54"/>
    </row>
    <row r="276">
      <c r="A276" s="54"/>
      <c r="B276" s="114"/>
      <c r="C276" s="114"/>
      <c r="D276" s="114"/>
      <c r="E276" s="114"/>
      <c r="F276" s="114"/>
      <c r="G276" s="11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382"/>
      <c r="S276" s="377"/>
      <c r="T276" s="54"/>
      <c r="U276" s="54"/>
      <c r="V276" s="54"/>
      <c r="W276" s="54"/>
      <c r="X276" s="54"/>
      <c r="Y276" s="54"/>
      <c r="Z276" s="54"/>
      <c r="AA276" s="54"/>
      <c r="AB276" s="287"/>
      <c r="AC276" s="54"/>
      <c r="AD276" s="54"/>
    </row>
    <row r="277">
      <c r="A277" s="54"/>
      <c r="B277" s="114"/>
      <c r="C277" s="114"/>
      <c r="D277" s="114"/>
      <c r="E277" s="114"/>
      <c r="F277" s="114"/>
      <c r="G277" s="11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382"/>
      <c r="S277" s="377"/>
      <c r="T277" s="54"/>
      <c r="U277" s="54"/>
      <c r="V277" s="54"/>
      <c r="W277" s="54"/>
      <c r="X277" s="54"/>
      <c r="Y277" s="54"/>
      <c r="Z277" s="54"/>
      <c r="AA277" s="54"/>
      <c r="AB277" s="287"/>
      <c r="AC277" s="54"/>
      <c r="AD277" s="54"/>
    </row>
    <row r="278">
      <c r="A278" s="54"/>
      <c r="B278" s="114"/>
      <c r="C278" s="114"/>
      <c r="D278" s="114"/>
      <c r="E278" s="114"/>
      <c r="F278" s="114"/>
      <c r="G278" s="11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382"/>
      <c r="S278" s="377"/>
      <c r="T278" s="54"/>
      <c r="U278" s="54"/>
      <c r="V278" s="54"/>
      <c r="W278" s="54"/>
      <c r="X278" s="54"/>
      <c r="Y278" s="54"/>
      <c r="Z278" s="54"/>
      <c r="AA278" s="54"/>
      <c r="AB278" s="287"/>
      <c r="AC278" s="54"/>
      <c r="AD278" s="54"/>
    </row>
    <row r="279">
      <c r="A279" s="54"/>
      <c r="B279" s="114"/>
      <c r="C279" s="114"/>
      <c r="D279" s="114"/>
      <c r="E279" s="114"/>
      <c r="F279" s="114"/>
      <c r="G279" s="11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382"/>
      <c r="S279" s="377"/>
      <c r="T279" s="54"/>
      <c r="U279" s="54"/>
      <c r="V279" s="54"/>
      <c r="W279" s="54"/>
      <c r="X279" s="54"/>
      <c r="Y279" s="54"/>
      <c r="Z279" s="54"/>
      <c r="AA279" s="54"/>
      <c r="AB279" s="287"/>
      <c r="AC279" s="54"/>
      <c r="AD279" s="54"/>
    </row>
    <row r="280">
      <c r="A280" s="54"/>
      <c r="B280" s="114"/>
      <c r="C280" s="114"/>
      <c r="D280" s="114"/>
      <c r="E280" s="114"/>
      <c r="F280" s="114"/>
      <c r="G280" s="11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382"/>
      <c r="S280" s="377"/>
      <c r="T280" s="54"/>
      <c r="U280" s="54"/>
      <c r="V280" s="54"/>
      <c r="W280" s="54"/>
      <c r="X280" s="54"/>
      <c r="Y280" s="54"/>
      <c r="Z280" s="54"/>
      <c r="AA280" s="54"/>
      <c r="AB280" s="287"/>
      <c r="AC280" s="54"/>
      <c r="AD280" s="54"/>
    </row>
    <row r="281">
      <c r="A281" s="54"/>
      <c r="B281" s="114"/>
      <c r="C281" s="114"/>
      <c r="D281" s="114"/>
      <c r="E281" s="114"/>
      <c r="F281" s="114"/>
      <c r="G281" s="11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382"/>
      <c r="S281" s="377"/>
      <c r="T281" s="54"/>
      <c r="U281" s="54"/>
      <c r="V281" s="54"/>
      <c r="W281" s="54"/>
      <c r="X281" s="54"/>
      <c r="Y281" s="54"/>
      <c r="Z281" s="54"/>
      <c r="AA281" s="54"/>
      <c r="AB281" s="287"/>
      <c r="AC281" s="54"/>
      <c r="AD281" s="54"/>
    </row>
    <row r="282">
      <c r="A282" s="54"/>
      <c r="B282" s="114"/>
      <c r="C282" s="114"/>
      <c r="D282" s="114"/>
      <c r="E282" s="114"/>
      <c r="F282" s="114"/>
      <c r="G282" s="11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382"/>
      <c r="S282" s="377"/>
      <c r="T282" s="54"/>
      <c r="U282" s="54"/>
      <c r="V282" s="54"/>
      <c r="W282" s="54"/>
      <c r="X282" s="54"/>
      <c r="Y282" s="54"/>
      <c r="Z282" s="54"/>
      <c r="AA282" s="54"/>
      <c r="AB282" s="287"/>
      <c r="AC282" s="54"/>
      <c r="AD282" s="54"/>
    </row>
    <row r="283">
      <c r="A283" s="54"/>
      <c r="B283" s="114"/>
      <c r="C283" s="114"/>
      <c r="D283" s="114"/>
      <c r="E283" s="114"/>
      <c r="F283" s="114"/>
      <c r="G283" s="11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382"/>
      <c r="S283" s="377"/>
      <c r="T283" s="54"/>
      <c r="U283" s="54"/>
      <c r="V283" s="54"/>
      <c r="W283" s="54"/>
      <c r="X283" s="54"/>
      <c r="Y283" s="54"/>
      <c r="Z283" s="54"/>
      <c r="AA283" s="54"/>
      <c r="AB283" s="287"/>
      <c r="AC283" s="54"/>
      <c r="AD283" s="54"/>
    </row>
    <row r="284">
      <c r="A284" s="54"/>
      <c r="B284" s="114"/>
      <c r="C284" s="114"/>
      <c r="D284" s="114"/>
      <c r="E284" s="114"/>
      <c r="F284" s="114"/>
      <c r="G284" s="11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382"/>
      <c r="S284" s="377"/>
      <c r="T284" s="54"/>
      <c r="U284" s="54"/>
      <c r="V284" s="54"/>
      <c r="W284" s="54"/>
      <c r="X284" s="54"/>
      <c r="Y284" s="54"/>
      <c r="Z284" s="54"/>
      <c r="AA284" s="54"/>
      <c r="AB284" s="287"/>
      <c r="AC284" s="54"/>
      <c r="AD284" s="54"/>
    </row>
    <row r="285">
      <c r="A285" s="54"/>
      <c r="B285" s="114"/>
      <c r="C285" s="114"/>
      <c r="D285" s="114"/>
      <c r="E285" s="114"/>
      <c r="F285" s="114"/>
      <c r="G285" s="11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382"/>
      <c r="S285" s="377"/>
      <c r="T285" s="54"/>
      <c r="U285" s="54"/>
      <c r="V285" s="54"/>
      <c r="W285" s="54"/>
      <c r="X285" s="54"/>
      <c r="Y285" s="54"/>
      <c r="Z285" s="54"/>
      <c r="AA285" s="54"/>
      <c r="AB285" s="287"/>
      <c r="AC285" s="54"/>
      <c r="AD285" s="54"/>
    </row>
    <row r="286">
      <c r="A286" s="54"/>
      <c r="B286" s="114"/>
      <c r="C286" s="114"/>
      <c r="D286" s="114"/>
      <c r="E286" s="114"/>
      <c r="F286" s="114"/>
      <c r="G286" s="11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382"/>
      <c r="S286" s="377"/>
      <c r="T286" s="54"/>
      <c r="U286" s="54"/>
      <c r="V286" s="54"/>
      <c r="W286" s="54"/>
      <c r="X286" s="54"/>
      <c r="Y286" s="54"/>
      <c r="Z286" s="54"/>
      <c r="AA286" s="54"/>
      <c r="AB286" s="287"/>
      <c r="AC286" s="54"/>
      <c r="AD286" s="54"/>
    </row>
    <row r="287">
      <c r="A287" s="54"/>
      <c r="B287" s="114"/>
      <c r="C287" s="114"/>
      <c r="D287" s="114"/>
      <c r="E287" s="114"/>
      <c r="F287" s="114"/>
      <c r="G287" s="11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382"/>
      <c r="S287" s="377"/>
      <c r="T287" s="54"/>
      <c r="U287" s="54"/>
      <c r="V287" s="54"/>
      <c r="W287" s="54"/>
      <c r="X287" s="54"/>
      <c r="Y287" s="54"/>
      <c r="Z287" s="54"/>
      <c r="AA287" s="54"/>
      <c r="AB287" s="287"/>
      <c r="AC287" s="54"/>
      <c r="AD287" s="54"/>
    </row>
    <row r="288">
      <c r="A288" s="54"/>
      <c r="B288" s="114"/>
      <c r="C288" s="114"/>
      <c r="D288" s="114"/>
      <c r="E288" s="114"/>
      <c r="F288" s="114"/>
      <c r="G288" s="11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382"/>
      <c r="S288" s="377"/>
      <c r="T288" s="54"/>
      <c r="U288" s="54"/>
      <c r="V288" s="54"/>
      <c r="W288" s="54"/>
      <c r="X288" s="54"/>
      <c r="Y288" s="54"/>
      <c r="Z288" s="54"/>
      <c r="AA288" s="54"/>
      <c r="AB288" s="287"/>
      <c r="AC288" s="54"/>
      <c r="AD288" s="54"/>
    </row>
    <row r="289">
      <c r="A289" s="54"/>
      <c r="B289" s="114"/>
      <c r="C289" s="114"/>
      <c r="D289" s="114"/>
      <c r="E289" s="114"/>
      <c r="F289" s="114"/>
      <c r="G289" s="11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382"/>
      <c r="S289" s="377"/>
      <c r="T289" s="54"/>
      <c r="U289" s="54"/>
      <c r="V289" s="54"/>
      <c r="W289" s="54"/>
      <c r="X289" s="54"/>
      <c r="Y289" s="54"/>
      <c r="Z289" s="54"/>
      <c r="AA289" s="54"/>
      <c r="AB289" s="287"/>
      <c r="AC289" s="54"/>
      <c r="AD289" s="54"/>
    </row>
    <row r="290">
      <c r="A290" s="54"/>
      <c r="B290" s="114"/>
      <c r="C290" s="114"/>
      <c r="D290" s="114"/>
      <c r="E290" s="114"/>
      <c r="F290" s="114"/>
      <c r="G290" s="11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382"/>
      <c r="S290" s="377"/>
      <c r="T290" s="54"/>
      <c r="U290" s="54"/>
      <c r="V290" s="54"/>
      <c r="W290" s="54"/>
      <c r="X290" s="54"/>
      <c r="Y290" s="54"/>
      <c r="Z290" s="54"/>
      <c r="AA290" s="54"/>
      <c r="AB290" s="287"/>
      <c r="AC290" s="54"/>
      <c r="AD290" s="54"/>
    </row>
    <row r="291">
      <c r="A291" s="54"/>
      <c r="B291" s="114"/>
      <c r="C291" s="114"/>
      <c r="D291" s="114"/>
      <c r="E291" s="114"/>
      <c r="F291" s="114"/>
      <c r="G291" s="11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382"/>
      <c r="S291" s="377"/>
      <c r="T291" s="54"/>
      <c r="U291" s="54"/>
      <c r="V291" s="54"/>
      <c r="W291" s="54"/>
      <c r="X291" s="54"/>
      <c r="Y291" s="54"/>
      <c r="Z291" s="54"/>
      <c r="AA291" s="54"/>
      <c r="AB291" s="287"/>
      <c r="AC291" s="54"/>
      <c r="AD291" s="54"/>
    </row>
    <row r="292">
      <c r="A292" s="54"/>
      <c r="B292" s="114"/>
      <c r="C292" s="114"/>
      <c r="D292" s="114"/>
      <c r="E292" s="114"/>
      <c r="F292" s="114"/>
      <c r="G292" s="11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382"/>
      <c r="S292" s="377"/>
      <c r="T292" s="54"/>
      <c r="U292" s="54"/>
      <c r="V292" s="54"/>
      <c r="W292" s="54"/>
      <c r="X292" s="54"/>
      <c r="Y292" s="54"/>
      <c r="Z292" s="54"/>
      <c r="AA292" s="54"/>
      <c r="AB292" s="287"/>
      <c r="AC292" s="54"/>
      <c r="AD292" s="54"/>
    </row>
    <row r="293">
      <c r="A293" s="54"/>
      <c r="B293" s="114"/>
      <c r="C293" s="114"/>
      <c r="D293" s="114"/>
      <c r="E293" s="114"/>
      <c r="F293" s="114"/>
      <c r="G293" s="11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382"/>
      <c r="S293" s="377"/>
      <c r="T293" s="54"/>
      <c r="U293" s="54"/>
      <c r="V293" s="54"/>
      <c r="W293" s="54"/>
      <c r="X293" s="54"/>
      <c r="Y293" s="54"/>
      <c r="Z293" s="54"/>
      <c r="AA293" s="54"/>
      <c r="AB293" s="287"/>
      <c r="AC293" s="54"/>
      <c r="AD293" s="54"/>
    </row>
    <row r="294">
      <c r="A294" s="54"/>
      <c r="B294" s="114"/>
      <c r="C294" s="114"/>
      <c r="D294" s="114"/>
      <c r="E294" s="114"/>
      <c r="F294" s="114"/>
      <c r="G294" s="11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382"/>
      <c r="S294" s="377"/>
      <c r="T294" s="54"/>
      <c r="U294" s="54"/>
      <c r="V294" s="54"/>
      <c r="W294" s="54"/>
      <c r="X294" s="54"/>
      <c r="Y294" s="54"/>
      <c r="Z294" s="54"/>
      <c r="AA294" s="54"/>
      <c r="AB294" s="287"/>
      <c r="AC294" s="54"/>
      <c r="AD294" s="54"/>
    </row>
    <row r="295">
      <c r="A295" s="54"/>
      <c r="B295" s="114"/>
      <c r="C295" s="114"/>
      <c r="D295" s="114"/>
      <c r="E295" s="114"/>
      <c r="F295" s="114"/>
      <c r="G295" s="11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382"/>
      <c r="S295" s="377"/>
      <c r="T295" s="54"/>
      <c r="U295" s="54"/>
      <c r="V295" s="54"/>
      <c r="W295" s="54"/>
      <c r="X295" s="54"/>
      <c r="Y295" s="54"/>
      <c r="Z295" s="54"/>
      <c r="AA295" s="54"/>
      <c r="AB295" s="287"/>
      <c r="AC295" s="54"/>
      <c r="AD295" s="54"/>
    </row>
    <row r="296">
      <c r="A296" s="54"/>
      <c r="B296" s="114"/>
      <c r="C296" s="114"/>
      <c r="D296" s="114"/>
      <c r="E296" s="114"/>
      <c r="F296" s="114"/>
      <c r="G296" s="11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382"/>
      <c r="S296" s="377"/>
      <c r="T296" s="54"/>
      <c r="U296" s="54"/>
      <c r="V296" s="54"/>
      <c r="W296" s="54"/>
      <c r="X296" s="54"/>
      <c r="Y296" s="54"/>
      <c r="Z296" s="54"/>
      <c r="AA296" s="54"/>
      <c r="AB296" s="287"/>
      <c r="AC296" s="54"/>
      <c r="AD296" s="54"/>
    </row>
    <row r="297">
      <c r="A297" s="54"/>
      <c r="B297" s="114"/>
      <c r="C297" s="114"/>
      <c r="D297" s="114"/>
      <c r="E297" s="114"/>
      <c r="F297" s="114"/>
      <c r="G297" s="11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382"/>
      <c r="S297" s="377"/>
      <c r="T297" s="54"/>
      <c r="U297" s="54"/>
      <c r="V297" s="54"/>
      <c r="W297" s="54"/>
      <c r="X297" s="54"/>
      <c r="Y297" s="54"/>
      <c r="Z297" s="54"/>
      <c r="AA297" s="54"/>
      <c r="AB297" s="287"/>
      <c r="AC297" s="54"/>
      <c r="AD297" s="54"/>
    </row>
    <row r="298">
      <c r="A298" s="54"/>
      <c r="B298" s="114"/>
      <c r="C298" s="114"/>
      <c r="D298" s="114"/>
      <c r="E298" s="114"/>
      <c r="F298" s="114"/>
      <c r="G298" s="11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382"/>
      <c r="S298" s="377"/>
      <c r="T298" s="54"/>
      <c r="U298" s="54"/>
      <c r="V298" s="54"/>
      <c r="W298" s="54"/>
      <c r="X298" s="54"/>
      <c r="Y298" s="54"/>
      <c r="Z298" s="54"/>
      <c r="AA298" s="54"/>
      <c r="AB298" s="287"/>
      <c r="AC298" s="54"/>
      <c r="AD298" s="54"/>
    </row>
    <row r="299">
      <c r="A299" s="54"/>
      <c r="B299" s="114"/>
      <c r="C299" s="114"/>
      <c r="D299" s="114"/>
      <c r="E299" s="114"/>
      <c r="F299" s="114"/>
      <c r="G299" s="11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382"/>
      <c r="S299" s="377"/>
      <c r="T299" s="54"/>
      <c r="U299" s="54"/>
      <c r="V299" s="54"/>
      <c r="W299" s="54"/>
      <c r="X299" s="54"/>
      <c r="Y299" s="54"/>
      <c r="Z299" s="54"/>
      <c r="AA299" s="54"/>
      <c r="AB299" s="287"/>
      <c r="AC299" s="54"/>
      <c r="AD299" s="54"/>
    </row>
    <row r="300">
      <c r="A300" s="54"/>
      <c r="B300" s="114"/>
      <c r="C300" s="114"/>
      <c r="D300" s="114"/>
      <c r="E300" s="114"/>
      <c r="F300" s="114"/>
      <c r="G300" s="11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382"/>
      <c r="S300" s="377"/>
      <c r="T300" s="54"/>
      <c r="U300" s="54"/>
      <c r="V300" s="54"/>
      <c r="W300" s="54"/>
      <c r="X300" s="54"/>
      <c r="Y300" s="54"/>
      <c r="Z300" s="54"/>
      <c r="AA300" s="54"/>
      <c r="AB300" s="287"/>
      <c r="AC300" s="54"/>
      <c r="AD300" s="54"/>
    </row>
    <row r="301">
      <c r="A301" s="54"/>
      <c r="B301" s="114"/>
      <c r="C301" s="114"/>
      <c r="D301" s="114"/>
      <c r="E301" s="114"/>
      <c r="F301" s="114"/>
      <c r="G301" s="11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382"/>
      <c r="S301" s="377"/>
      <c r="T301" s="54"/>
      <c r="U301" s="54"/>
      <c r="V301" s="54"/>
      <c r="W301" s="54"/>
      <c r="X301" s="54"/>
      <c r="Y301" s="54"/>
      <c r="Z301" s="54"/>
      <c r="AA301" s="54"/>
      <c r="AB301" s="287"/>
      <c r="AC301" s="54"/>
      <c r="AD301" s="54"/>
    </row>
    <row r="302">
      <c r="A302" s="54"/>
      <c r="B302" s="114"/>
      <c r="C302" s="114"/>
      <c r="D302" s="114"/>
      <c r="E302" s="114"/>
      <c r="F302" s="114"/>
      <c r="G302" s="11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382"/>
      <c r="S302" s="377"/>
      <c r="T302" s="54"/>
      <c r="U302" s="54"/>
      <c r="V302" s="54"/>
      <c r="W302" s="54"/>
      <c r="X302" s="54"/>
      <c r="Y302" s="54"/>
      <c r="Z302" s="54"/>
      <c r="AA302" s="54"/>
      <c r="AB302" s="287"/>
      <c r="AC302" s="54"/>
      <c r="AD302" s="54"/>
    </row>
    <row r="303">
      <c r="A303" s="54"/>
      <c r="B303" s="114"/>
      <c r="C303" s="114"/>
      <c r="D303" s="114"/>
      <c r="E303" s="114"/>
      <c r="F303" s="114"/>
      <c r="G303" s="11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382"/>
      <c r="S303" s="377"/>
      <c r="T303" s="54"/>
      <c r="U303" s="54"/>
      <c r="V303" s="54"/>
      <c r="W303" s="54"/>
      <c r="X303" s="54"/>
      <c r="Y303" s="54"/>
      <c r="Z303" s="54"/>
      <c r="AA303" s="54"/>
      <c r="AB303" s="287"/>
      <c r="AC303" s="54"/>
      <c r="AD303" s="54"/>
    </row>
    <row r="304">
      <c r="A304" s="54"/>
      <c r="B304" s="114"/>
      <c r="C304" s="114"/>
      <c r="D304" s="114"/>
      <c r="E304" s="114"/>
      <c r="F304" s="114"/>
      <c r="G304" s="11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382"/>
      <c r="S304" s="377"/>
      <c r="T304" s="54"/>
      <c r="U304" s="54"/>
      <c r="V304" s="54"/>
      <c r="W304" s="54"/>
      <c r="X304" s="54"/>
      <c r="Y304" s="54"/>
      <c r="Z304" s="54"/>
      <c r="AA304" s="54"/>
      <c r="AB304" s="287"/>
      <c r="AC304" s="54"/>
      <c r="AD304" s="54"/>
    </row>
    <row r="305">
      <c r="A305" s="54"/>
      <c r="B305" s="114"/>
      <c r="C305" s="114"/>
      <c r="D305" s="114"/>
      <c r="E305" s="114"/>
      <c r="F305" s="114"/>
      <c r="G305" s="11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382"/>
      <c r="S305" s="377"/>
      <c r="T305" s="54"/>
      <c r="U305" s="54"/>
      <c r="V305" s="54"/>
      <c r="W305" s="54"/>
      <c r="X305" s="54"/>
      <c r="Y305" s="54"/>
      <c r="Z305" s="54"/>
      <c r="AA305" s="54"/>
      <c r="AB305" s="287"/>
      <c r="AC305" s="54"/>
      <c r="AD305" s="54"/>
    </row>
    <row r="306">
      <c r="A306" s="54"/>
      <c r="B306" s="114"/>
      <c r="C306" s="114"/>
      <c r="D306" s="114"/>
      <c r="E306" s="114"/>
      <c r="F306" s="114"/>
      <c r="G306" s="11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382"/>
      <c r="S306" s="377"/>
      <c r="T306" s="54"/>
      <c r="U306" s="54"/>
      <c r="V306" s="54"/>
      <c r="W306" s="54"/>
      <c r="X306" s="54"/>
      <c r="Y306" s="54"/>
      <c r="Z306" s="54"/>
      <c r="AA306" s="54"/>
      <c r="AB306" s="287"/>
      <c r="AC306" s="54"/>
      <c r="AD306" s="54"/>
    </row>
    <row r="307">
      <c r="A307" s="54"/>
      <c r="B307" s="114"/>
      <c r="C307" s="114"/>
      <c r="D307" s="114"/>
      <c r="E307" s="114"/>
      <c r="F307" s="114"/>
      <c r="G307" s="11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382"/>
      <c r="S307" s="377"/>
      <c r="T307" s="54"/>
      <c r="U307" s="54"/>
      <c r="V307" s="54"/>
      <c r="W307" s="54"/>
      <c r="X307" s="54"/>
      <c r="Y307" s="54"/>
      <c r="Z307" s="54"/>
      <c r="AA307" s="54"/>
      <c r="AB307" s="287"/>
      <c r="AC307" s="54"/>
      <c r="AD307" s="54"/>
    </row>
    <row r="308">
      <c r="A308" s="54"/>
      <c r="B308" s="114"/>
      <c r="C308" s="114"/>
      <c r="D308" s="114"/>
      <c r="E308" s="114"/>
      <c r="F308" s="114"/>
      <c r="G308" s="11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382"/>
      <c r="S308" s="377"/>
      <c r="T308" s="54"/>
      <c r="U308" s="54"/>
      <c r="V308" s="54"/>
      <c r="W308" s="54"/>
      <c r="X308" s="54"/>
      <c r="Y308" s="54"/>
      <c r="Z308" s="54"/>
      <c r="AA308" s="54"/>
      <c r="AB308" s="287"/>
      <c r="AC308" s="54"/>
      <c r="AD308" s="54"/>
    </row>
    <row r="309">
      <c r="A309" s="54"/>
      <c r="B309" s="114"/>
      <c r="C309" s="114"/>
      <c r="D309" s="114"/>
      <c r="E309" s="114"/>
      <c r="F309" s="114"/>
      <c r="G309" s="11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382"/>
      <c r="S309" s="377"/>
      <c r="T309" s="54"/>
      <c r="U309" s="54"/>
      <c r="V309" s="54"/>
      <c r="W309" s="54"/>
      <c r="X309" s="54"/>
      <c r="Y309" s="54"/>
      <c r="Z309" s="54"/>
      <c r="AA309" s="54"/>
      <c r="AB309" s="287"/>
      <c r="AC309" s="54"/>
      <c r="AD309" s="54"/>
    </row>
    <row r="310">
      <c r="A310" s="54"/>
      <c r="B310" s="114"/>
      <c r="C310" s="114"/>
      <c r="D310" s="114"/>
      <c r="E310" s="114"/>
      <c r="F310" s="114"/>
      <c r="G310" s="11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382"/>
      <c r="S310" s="377"/>
      <c r="T310" s="54"/>
      <c r="U310" s="54"/>
      <c r="V310" s="54"/>
      <c r="W310" s="54"/>
      <c r="X310" s="54"/>
      <c r="Y310" s="54"/>
      <c r="Z310" s="54"/>
      <c r="AA310" s="54"/>
      <c r="AB310" s="287"/>
      <c r="AC310" s="54"/>
      <c r="AD310" s="54"/>
    </row>
    <row r="311">
      <c r="A311" s="54"/>
      <c r="B311" s="114"/>
      <c r="C311" s="114"/>
      <c r="D311" s="114"/>
      <c r="E311" s="114"/>
      <c r="F311" s="114"/>
      <c r="G311" s="11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382"/>
      <c r="S311" s="377"/>
      <c r="T311" s="54"/>
      <c r="U311" s="54"/>
      <c r="V311" s="54"/>
      <c r="W311" s="54"/>
      <c r="X311" s="54"/>
      <c r="Y311" s="54"/>
      <c r="Z311" s="54"/>
      <c r="AA311" s="54"/>
      <c r="AB311" s="287"/>
      <c r="AC311" s="54"/>
      <c r="AD311" s="54"/>
    </row>
    <row r="312">
      <c r="A312" s="54"/>
      <c r="B312" s="114"/>
      <c r="C312" s="114"/>
      <c r="D312" s="114"/>
      <c r="E312" s="114"/>
      <c r="F312" s="114"/>
      <c r="G312" s="11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382"/>
      <c r="S312" s="377"/>
      <c r="T312" s="54"/>
      <c r="U312" s="54"/>
      <c r="V312" s="54"/>
      <c r="W312" s="54"/>
      <c r="X312" s="54"/>
      <c r="Y312" s="54"/>
      <c r="Z312" s="54"/>
      <c r="AA312" s="54"/>
      <c r="AB312" s="287"/>
      <c r="AC312" s="54"/>
      <c r="AD312" s="54"/>
    </row>
    <row r="313">
      <c r="A313" s="54"/>
      <c r="B313" s="114"/>
      <c r="C313" s="114"/>
      <c r="D313" s="114"/>
      <c r="E313" s="114"/>
      <c r="F313" s="114"/>
      <c r="G313" s="11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382"/>
      <c r="S313" s="377"/>
      <c r="T313" s="54"/>
      <c r="U313" s="54"/>
      <c r="V313" s="54"/>
      <c r="W313" s="54"/>
      <c r="X313" s="54"/>
      <c r="Y313" s="54"/>
      <c r="Z313" s="54"/>
      <c r="AA313" s="54"/>
      <c r="AB313" s="287"/>
      <c r="AC313" s="54"/>
      <c r="AD313" s="54"/>
    </row>
    <row r="314">
      <c r="A314" s="54"/>
      <c r="B314" s="114"/>
      <c r="C314" s="114"/>
      <c r="D314" s="114"/>
      <c r="E314" s="114"/>
      <c r="F314" s="114"/>
      <c r="G314" s="11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382"/>
      <c r="S314" s="377"/>
      <c r="T314" s="54"/>
      <c r="U314" s="54"/>
      <c r="V314" s="54"/>
      <c r="W314" s="54"/>
      <c r="X314" s="54"/>
      <c r="Y314" s="54"/>
      <c r="Z314" s="54"/>
      <c r="AA314" s="54"/>
      <c r="AB314" s="287"/>
      <c r="AC314" s="54"/>
      <c r="AD314" s="54"/>
    </row>
    <row r="315">
      <c r="A315" s="54"/>
      <c r="B315" s="114"/>
      <c r="C315" s="114"/>
      <c r="D315" s="114"/>
      <c r="E315" s="114"/>
      <c r="F315" s="114"/>
      <c r="G315" s="11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382"/>
      <c r="S315" s="377"/>
      <c r="T315" s="54"/>
      <c r="U315" s="54"/>
      <c r="V315" s="54"/>
      <c r="W315" s="54"/>
      <c r="X315" s="54"/>
      <c r="Y315" s="54"/>
      <c r="Z315" s="54"/>
      <c r="AA315" s="54"/>
      <c r="AB315" s="287"/>
      <c r="AC315" s="54"/>
      <c r="AD315" s="54"/>
    </row>
    <row r="316">
      <c r="A316" s="54"/>
      <c r="B316" s="114"/>
      <c r="C316" s="114"/>
      <c r="D316" s="114"/>
      <c r="E316" s="114"/>
      <c r="F316" s="114"/>
      <c r="G316" s="11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382"/>
      <c r="S316" s="377"/>
      <c r="T316" s="54"/>
      <c r="U316" s="54"/>
      <c r="V316" s="54"/>
      <c r="W316" s="54"/>
      <c r="X316" s="54"/>
      <c r="Y316" s="54"/>
      <c r="Z316" s="54"/>
      <c r="AA316" s="54"/>
      <c r="AB316" s="287"/>
      <c r="AC316" s="54"/>
      <c r="AD316" s="54"/>
    </row>
    <row r="317">
      <c r="A317" s="54"/>
      <c r="B317" s="114"/>
      <c r="C317" s="114"/>
      <c r="D317" s="114"/>
      <c r="E317" s="114"/>
      <c r="F317" s="114"/>
      <c r="G317" s="11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382"/>
      <c r="S317" s="377"/>
      <c r="T317" s="54"/>
      <c r="U317" s="54"/>
      <c r="V317" s="54"/>
      <c r="W317" s="54"/>
      <c r="X317" s="54"/>
      <c r="Y317" s="54"/>
      <c r="Z317" s="54"/>
      <c r="AA317" s="54"/>
      <c r="AB317" s="287"/>
      <c r="AC317" s="54"/>
      <c r="AD317" s="54"/>
    </row>
    <row r="318">
      <c r="A318" s="54"/>
      <c r="B318" s="114"/>
      <c r="C318" s="114"/>
      <c r="D318" s="114"/>
      <c r="E318" s="114"/>
      <c r="F318" s="114"/>
      <c r="G318" s="11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382"/>
      <c r="S318" s="377"/>
      <c r="T318" s="54"/>
      <c r="U318" s="54"/>
      <c r="V318" s="54"/>
      <c r="W318" s="54"/>
      <c r="X318" s="54"/>
      <c r="Y318" s="54"/>
      <c r="Z318" s="54"/>
      <c r="AA318" s="54"/>
      <c r="AB318" s="287"/>
      <c r="AC318" s="54"/>
      <c r="AD318" s="54"/>
    </row>
    <row r="319">
      <c r="A319" s="54"/>
      <c r="B319" s="114"/>
      <c r="C319" s="114"/>
      <c r="D319" s="114"/>
      <c r="E319" s="114"/>
      <c r="F319" s="114"/>
      <c r="G319" s="11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382"/>
      <c r="S319" s="377"/>
      <c r="T319" s="54"/>
      <c r="U319" s="54"/>
      <c r="V319" s="54"/>
      <c r="W319" s="54"/>
      <c r="X319" s="54"/>
      <c r="Y319" s="54"/>
      <c r="Z319" s="54"/>
      <c r="AA319" s="54"/>
      <c r="AB319" s="287"/>
      <c r="AC319" s="54"/>
      <c r="AD319" s="54"/>
    </row>
    <row r="320">
      <c r="A320" s="54"/>
      <c r="B320" s="114"/>
      <c r="C320" s="114"/>
      <c r="D320" s="114"/>
      <c r="E320" s="114"/>
      <c r="F320" s="114"/>
      <c r="G320" s="11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382"/>
      <c r="S320" s="377"/>
      <c r="T320" s="54"/>
      <c r="U320" s="54"/>
      <c r="V320" s="54"/>
      <c r="W320" s="54"/>
      <c r="X320" s="54"/>
      <c r="Y320" s="54"/>
      <c r="Z320" s="54"/>
      <c r="AA320" s="54"/>
      <c r="AB320" s="287"/>
      <c r="AC320" s="54"/>
      <c r="AD320" s="54"/>
    </row>
    <row r="321">
      <c r="A321" s="54"/>
      <c r="B321" s="114"/>
      <c r="C321" s="114"/>
      <c r="D321" s="114"/>
      <c r="E321" s="114"/>
      <c r="F321" s="114"/>
      <c r="G321" s="11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382"/>
      <c r="S321" s="377"/>
      <c r="T321" s="54"/>
      <c r="U321" s="54"/>
      <c r="V321" s="54"/>
      <c r="W321" s="54"/>
      <c r="X321" s="54"/>
      <c r="Y321" s="54"/>
      <c r="Z321" s="54"/>
      <c r="AA321" s="54"/>
      <c r="AB321" s="287"/>
      <c r="AC321" s="54"/>
      <c r="AD321" s="54"/>
    </row>
    <row r="322">
      <c r="A322" s="54"/>
      <c r="B322" s="114"/>
      <c r="C322" s="114"/>
      <c r="D322" s="114"/>
      <c r="E322" s="114"/>
      <c r="F322" s="114"/>
      <c r="G322" s="11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382"/>
      <c r="S322" s="377"/>
      <c r="T322" s="54"/>
      <c r="U322" s="54"/>
      <c r="V322" s="54"/>
      <c r="W322" s="54"/>
      <c r="X322" s="54"/>
      <c r="Y322" s="54"/>
      <c r="Z322" s="54"/>
      <c r="AA322" s="54"/>
      <c r="AB322" s="287"/>
      <c r="AC322" s="54"/>
      <c r="AD322" s="54"/>
    </row>
    <row r="323">
      <c r="A323" s="54"/>
      <c r="B323" s="114"/>
      <c r="C323" s="114"/>
      <c r="D323" s="114"/>
      <c r="E323" s="114"/>
      <c r="F323" s="114"/>
      <c r="G323" s="11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382"/>
      <c r="S323" s="377"/>
      <c r="T323" s="54"/>
      <c r="U323" s="54"/>
      <c r="V323" s="54"/>
      <c r="W323" s="54"/>
      <c r="X323" s="54"/>
      <c r="Y323" s="54"/>
      <c r="Z323" s="54"/>
      <c r="AA323" s="54"/>
      <c r="AB323" s="287"/>
      <c r="AC323" s="54"/>
      <c r="AD323" s="54"/>
    </row>
    <row r="324">
      <c r="A324" s="54"/>
      <c r="B324" s="114"/>
      <c r="C324" s="114"/>
      <c r="D324" s="114"/>
      <c r="E324" s="114"/>
      <c r="F324" s="114"/>
      <c r="G324" s="11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382"/>
      <c r="S324" s="377"/>
      <c r="T324" s="54"/>
      <c r="U324" s="54"/>
      <c r="V324" s="54"/>
      <c r="W324" s="54"/>
      <c r="X324" s="54"/>
      <c r="Y324" s="54"/>
      <c r="Z324" s="54"/>
      <c r="AA324" s="54"/>
      <c r="AB324" s="287"/>
      <c r="AC324" s="54"/>
      <c r="AD324" s="54"/>
    </row>
    <row r="325">
      <c r="A325" s="54"/>
      <c r="B325" s="114"/>
      <c r="C325" s="114"/>
      <c r="D325" s="114"/>
      <c r="E325" s="114"/>
      <c r="F325" s="114"/>
      <c r="G325" s="11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382"/>
      <c r="S325" s="377"/>
      <c r="T325" s="54"/>
      <c r="U325" s="54"/>
      <c r="V325" s="54"/>
      <c r="W325" s="54"/>
      <c r="X325" s="54"/>
      <c r="Y325" s="54"/>
      <c r="Z325" s="54"/>
      <c r="AA325" s="54"/>
      <c r="AB325" s="287"/>
      <c r="AC325" s="54"/>
      <c r="AD325" s="54"/>
    </row>
    <row r="326">
      <c r="A326" s="54"/>
      <c r="B326" s="114"/>
      <c r="C326" s="114"/>
      <c r="D326" s="114"/>
      <c r="E326" s="114"/>
      <c r="F326" s="114"/>
      <c r="G326" s="11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382"/>
      <c r="S326" s="377"/>
      <c r="T326" s="54"/>
      <c r="U326" s="54"/>
      <c r="V326" s="54"/>
      <c r="W326" s="54"/>
      <c r="X326" s="54"/>
      <c r="Y326" s="54"/>
      <c r="Z326" s="54"/>
      <c r="AA326" s="54"/>
      <c r="AB326" s="287"/>
      <c r="AC326" s="54"/>
      <c r="AD326" s="54"/>
    </row>
    <row r="327">
      <c r="A327" s="54"/>
      <c r="B327" s="114"/>
      <c r="C327" s="114"/>
      <c r="D327" s="114"/>
      <c r="E327" s="114"/>
      <c r="F327" s="114"/>
      <c r="G327" s="11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382"/>
      <c r="S327" s="377"/>
      <c r="T327" s="54"/>
      <c r="U327" s="54"/>
      <c r="V327" s="54"/>
      <c r="W327" s="54"/>
      <c r="X327" s="54"/>
      <c r="Y327" s="54"/>
      <c r="Z327" s="54"/>
      <c r="AA327" s="54"/>
      <c r="AB327" s="287"/>
      <c r="AC327" s="54"/>
      <c r="AD327" s="54"/>
    </row>
    <row r="328">
      <c r="A328" s="54"/>
      <c r="B328" s="114"/>
      <c r="C328" s="114"/>
      <c r="D328" s="114"/>
      <c r="E328" s="114"/>
      <c r="F328" s="114"/>
      <c r="G328" s="11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382"/>
      <c r="S328" s="377"/>
      <c r="T328" s="54"/>
      <c r="U328" s="54"/>
      <c r="V328" s="54"/>
      <c r="W328" s="54"/>
      <c r="X328" s="54"/>
      <c r="Y328" s="54"/>
      <c r="Z328" s="54"/>
      <c r="AA328" s="54"/>
      <c r="AB328" s="287"/>
      <c r="AC328" s="54"/>
      <c r="AD328" s="54"/>
    </row>
    <row r="329">
      <c r="A329" s="54"/>
      <c r="B329" s="114"/>
      <c r="C329" s="114"/>
      <c r="D329" s="114"/>
      <c r="E329" s="114"/>
      <c r="F329" s="114"/>
      <c r="G329" s="11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382"/>
      <c r="S329" s="377"/>
      <c r="T329" s="54"/>
      <c r="U329" s="54"/>
      <c r="V329" s="54"/>
      <c r="W329" s="54"/>
      <c r="X329" s="54"/>
      <c r="Y329" s="54"/>
      <c r="Z329" s="54"/>
      <c r="AA329" s="54"/>
      <c r="AB329" s="287"/>
      <c r="AC329" s="54"/>
      <c r="AD329" s="54"/>
    </row>
    <row r="330">
      <c r="A330" s="54"/>
      <c r="B330" s="114"/>
      <c r="C330" s="114"/>
      <c r="D330" s="114"/>
      <c r="E330" s="114"/>
      <c r="F330" s="114"/>
      <c r="G330" s="11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382"/>
      <c r="S330" s="377"/>
      <c r="T330" s="54"/>
      <c r="U330" s="54"/>
      <c r="V330" s="54"/>
      <c r="W330" s="54"/>
      <c r="X330" s="54"/>
      <c r="Y330" s="54"/>
      <c r="Z330" s="54"/>
      <c r="AA330" s="54"/>
      <c r="AB330" s="287"/>
      <c r="AC330" s="54"/>
      <c r="AD330" s="54"/>
    </row>
    <row r="331">
      <c r="A331" s="54"/>
      <c r="B331" s="114"/>
      <c r="C331" s="114"/>
      <c r="D331" s="114"/>
      <c r="E331" s="114"/>
      <c r="F331" s="114"/>
      <c r="G331" s="11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382"/>
      <c r="S331" s="377"/>
      <c r="T331" s="54"/>
      <c r="U331" s="54"/>
      <c r="V331" s="54"/>
      <c r="W331" s="54"/>
      <c r="X331" s="54"/>
      <c r="Y331" s="54"/>
      <c r="Z331" s="54"/>
      <c r="AA331" s="54"/>
      <c r="AB331" s="287"/>
      <c r="AC331" s="54"/>
      <c r="AD331" s="54"/>
    </row>
    <row r="332">
      <c r="A332" s="54"/>
      <c r="B332" s="114"/>
      <c r="C332" s="114"/>
      <c r="D332" s="114"/>
      <c r="E332" s="114"/>
      <c r="F332" s="114"/>
      <c r="G332" s="11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382"/>
      <c r="S332" s="377"/>
      <c r="T332" s="54"/>
      <c r="U332" s="54"/>
      <c r="V332" s="54"/>
      <c r="W332" s="54"/>
      <c r="X332" s="54"/>
      <c r="Y332" s="54"/>
      <c r="Z332" s="54"/>
      <c r="AA332" s="54"/>
      <c r="AB332" s="287"/>
      <c r="AC332" s="54"/>
      <c r="AD332" s="54"/>
    </row>
    <row r="333">
      <c r="A333" s="54"/>
      <c r="B333" s="114"/>
      <c r="C333" s="114"/>
      <c r="D333" s="114"/>
      <c r="E333" s="114"/>
      <c r="F333" s="114"/>
      <c r="G333" s="11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382"/>
      <c r="S333" s="377"/>
      <c r="T333" s="54"/>
      <c r="U333" s="54"/>
      <c r="V333" s="54"/>
      <c r="W333" s="54"/>
      <c r="X333" s="54"/>
      <c r="Y333" s="54"/>
      <c r="Z333" s="54"/>
      <c r="AA333" s="54"/>
      <c r="AB333" s="287"/>
      <c r="AC333" s="54"/>
      <c r="AD333" s="54"/>
    </row>
    <row r="334">
      <c r="A334" s="54"/>
      <c r="B334" s="114"/>
      <c r="C334" s="114"/>
      <c r="D334" s="114"/>
      <c r="E334" s="114"/>
      <c r="F334" s="114"/>
      <c r="G334" s="11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382"/>
      <c r="S334" s="377"/>
      <c r="T334" s="54"/>
      <c r="U334" s="54"/>
      <c r="V334" s="54"/>
      <c r="W334" s="54"/>
      <c r="X334" s="54"/>
      <c r="Y334" s="54"/>
      <c r="Z334" s="54"/>
      <c r="AA334" s="54"/>
      <c r="AB334" s="287"/>
      <c r="AC334" s="54"/>
      <c r="AD334" s="54"/>
    </row>
    <row r="335">
      <c r="A335" s="54"/>
      <c r="B335" s="114"/>
      <c r="C335" s="114"/>
      <c r="D335" s="114"/>
      <c r="E335" s="114"/>
      <c r="F335" s="114"/>
      <c r="G335" s="11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382"/>
      <c r="S335" s="377"/>
      <c r="T335" s="54"/>
      <c r="U335" s="54"/>
      <c r="V335" s="54"/>
      <c r="W335" s="54"/>
      <c r="X335" s="54"/>
      <c r="Y335" s="54"/>
      <c r="Z335" s="54"/>
      <c r="AA335" s="54"/>
      <c r="AB335" s="287"/>
      <c r="AC335" s="54"/>
      <c r="AD335" s="54"/>
    </row>
    <row r="336">
      <c r="A336" s="54"/>
      <c r="B336" s="114"/>
      <c r="C336" s="114"/>
      <c r="D336" s="114"/>
      <c r="E336" s="114"/>
      <c r="F336" s="114"/>
      <c r="G336" s="11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382"/>
      <c r="S336" s="377"/>
      <c r="T336" s="54"/>
      <c r="U336" s="54"/>
      <c r="V336" s="54"/>
      <c r="W336" s="54"/>
      <c r="X336" s="54"/>
      <c r="Y336" s="54"/>
      <c r="Z336" s="54"/>
      <c r="AA336" s="54"/>
      <c r="AB336" s="287"/>
      <c r="AC336" s="54"/>
      <c r="AD336" s="54"/>
    </row>
    <row r="337">
      <c r="A337" s="54"/>
      <c r="B337" s="114"/>
      <c r="C337" s="114"/>
      <c r="D337" s="114"/>
      <c r="E337" s="114"/>
      <c r="F337" s="114"/>
      <c r="G337" s="11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382"/>
      <c r="S337" s="377"/>
      <c r="T337" s="54"/>
      <c r="U337" s="54"/>
      <c r="V337" s="54"/>
      <c r="W337" s="54"/>
      <c r="X337" s="54"/>
      <c r="Y337" s="54"/>
      <c r="Z337" s="54"/>
      <c r="AA337" s="54"/>
      <c r="AB337" s="287"/>
      <c r="AC337" s="54"/>
      <c r="AD337" s="54"/>
    </row>
    <row r="338">
      <c r="A338" s="54"/>
      <c r="B338" s="114"/>
      <c r="C338" s="114"/>
      <c r="D338" s="114"/>
      <c r="E338" s="114"/>
      <c r="F338" s="114"/>
      <c r="G338" s="11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382"/>
      <c r="S338" s="377"/>
      <c r="T338" s="54"/>
      <c r="U338" s="54"/>
      <c r="V338" s="54"/>
      <c r="W338" s="54"/>
      <c r="X338" s="54"/>
      <c r="Y338" s="54"/>
      <c r="Z338" s="54"/>
      <c r="AA338" s="54"/>
      <c r="AB338" s="287"/>
      <c r="AC338" s="54"/>
      <c r="AD338" s="54"/>
    </row>
    <row r="339">
      <c r="A339" s="54"/>
      <c r="B339" s="114"/>
      <c r="C339" s="114"/>
      <c r="D339" s="114"/>
      <c r="E339" s="114"/>
      <c r="F339" s="114"/>
      <c r="G339" s="11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382"/>
      <c r="S339" s="377"/>
      <c r="T339" s="54"/>
      <c r="U339" s="54"/>
      <c r="V339" s="54"/>
      <c r="W339" s="54"/>
      <c r="X339" s="54"/>
      <c r="Y339" s="54"/>
      <c r="Z339" s="54"/>
      <c r="AA339" s="54"/>
      <c r="AB339" s="287"/>
      <c r="AC339" s="54"/>
      <c r="AD339" s="54"/>
    </row>
    <row r="340">
      <c r="A340" s="54"/>
      <c r="B340" s="114"/>
      <c r="C340" s="114"/>
      <c r="D340" s="114"/>
      <c r="E340" s="114"/>
      <c r="F340" s="114"/>
      <c r="G340" s="11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382"/>
      <c r="S340" s="377"/>
      <c r="T340" s="54"/>
      <c r="U340" s="54"/>
      <c r="V340" s="54"/>
      <c r="W340" s="54"/>
      <c r="X340" s="54"/>
      <c r="Y340" s="54"/>
      <c r="Z340" s="54"/>
      <c r="AA340" s="54"/>
      <c r="AB340" s="287"/>
      <c r="AC340" s="54"/>
      <c r="AD340" s="54"/>
    </row>
    <row r="341">
      <c r="A341" s="54"/>
      <c r="B341" s="114"/>
      <c r="C341" s="114"/>
      <c r="D341" s="114"/>
      <c r="E341" s="114"/>
      <c r="F341" s="114"/>
      <c r="G341" s="11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382"/>
      <c r="S341" s="377"/>
      <c r="T341" s="54"/>
      <c r="U341" s="54"/>
      <c r="V341" s="54"/>
      <c r="W341" s="54"/>
      <c r="X341" s="54"/>
      <c r="Y341" s="54"/>
      <c r="Z341" s="54"/>
      <c r="AA341" s="54"/>
      <c r="AB341" s="287"/>
      <c r="AC341" s="54"/>
      <c r="AD341" s="54"/>
    </row>
    <row r="342">
      <c r="A342" s="54"/>
      <c r="B342" s="114"/>
      <c r="C342" s="114"/>
      <c r="D342" s="114"/>
      <c r="E342" s="114"/>
      <c r="F342" s="114"/>
      <c r="G342" s="11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382"/>
      <c r="S342" s="377"/>
      <c r="T342" s="54"/>
      <c r="U342" s="54"/>
      <c r="V342" s="54"/>
      <c r="W342" s="54"/>
      <c r="X342" s="54"/>
      <c r="Y342" s="54"/>
      <c r="Z342" s="54"/>
      <c r="AA342" s="54"/>
      <c r="AB342" s="287"/>
      <c r="AC342" s="54"/>
      <c r="AD342" s="54"/>
    </row>
    <row r="343">
      <c r="A343" s="54"/>
      <c r="B343" s="114"/>
      <c r="C343" s="114"/>
      <c r="D343" s="114"/>
      <c r="E343" s="114"/>
      <c r="F343" s="114"/>
      <c r="G343" s="11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382"/>
      <c r="S343" s="377"/>
      <c r="T343" s="54"/>
      <c r="U343" s="54"/>
      <c r="V343" s="54"/>
      <c r="W343" s="54"/>
      <c r="X343" s="54"/>
      <c r="Y343" s="54"/>
      <c r="Z343" s="54"/>
      <c r="AA343" s="54"/>
      <c r="AB343" s="287"/>
      <c r="AC343" s="54"/>
      <c r="AD343" s="54"/>
    </row>
    <row r="344">
      <c r="A344" s="54"/>
      <c r="B344" s="114"/>
      <c r="C344" s="114"/>
      <c r="D344" s="114"/>
      <c r="E344" s="114"/>
      <c r="F344" s="114"/>
      <c r="G344" s="11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382"/>
      <c r="S344" s="377"/>
      <c r="T344" s="54"/>
      <c r="U344" s="54"/>
      <c r="V344" s="54"/>
      <c r="W344" s="54"/>
      <c r="X344" s="54"/>
      <c r="Y344" s="54"/>
      <c r="Z344" s="54"/>
      <c r="AA344" s="54"/>
      <c r="AB344" s="287"/>
      <c r="AC344" s="54"/>
      <c r="AD344" s="54"/>
    </row>
    <row r="345">
      <c r="A345" s="54"/>
      <c r="B345" s="114"/>
      <c r="C345" s="114"/>
      <c r="D345" s="114"/>
      <c r="E345" s="114"/>
      <c r="F345" s="114"/>
      <c r="G345" s="11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382"/>
      <c r="S345" s="377"/>
      <c r="T345" s="54"/>
      <c r="U345" s="54"/>
      <c r="V345" s="54"/>
      <c r="W345" s="54"/>
      <c r="X345" s="54"/>
      <c r="Y345" s="54"/>
      <c r="Z345" s="54"/>
      <c r="AA345" s="54"/>
      <c r="AB345" s="287"/>
      <c r="AC345" s="54"/>
      <c r="AD345" s="54"/>
    </row>
    <row r="346">
      <c r="A346" s="54"/>
      <c r="B346" s="114"/>
      <c r="C346" s="114"/>
      <c r="D346" s="114"/>
      <c r="E346" s="114"/>
      <c r="F346" s="114"/>
      <c r="G346" s="11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382"/>
      <c r="S346" s="377"/>
      <c r="T346" s="54"/>
      <c r="U346" s="54"/>
      <c r="V346" s="54"/>
      <c r="W346" s="54"/>
      <c r="X346" s="54"/>
      <c r="Y346" s="54"/>
      <c r="Z346" s="54"/>
      <c r="AA346" s="54"/>
      <c r="AB346" s="287"/>
      <c r="AC346" s="54"/>
      <c r="AD346" s="54"/>
    </row>
    <row r="347">
      <c r="A347" s="54"/>
      <c r="B347" s="114"/>
      <c r="C347" s="114"/>
      <c r="D347" s="114"/>
      <c r="E347" s="114"/>
      <c r="F347" s="114"/>
      <c r="G347" s="11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382"/>
      <c r="S347" s="377"/>
      <c r="T347" s="54"/>
      <c r="U347" s="54"/>
      <c r="V347" s="54"/>
      <c r="W347" s="54"/>
      <c r="X347" s="54"/>
      <c r="Y347" s="54"/>
      <c r="Z347" s="54"/>
      <c r="AA347" s="54"/>
      <c r="AB347" s="287"/>
      <c r="AC347" s="54"/>
      <c r="AD347" s="54"/>
    </row>
    <row r="348">
      <c r="A348" s="54"/>
      <c r="B348" s="114"/>
      <c r="C348" s="114"/>
      <c r="D348" s="114"/>
      <c r="E348" s="114"/>
      <c r="F348" s="114"/>
      <c r="G348" s="11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382"/>
      <c r="S348" s="377"/>
      <c r="T348" s="54"/>
      <c r="U348" s="54"/>
      <c r="V348" s="54"/>
      <c r="W348" s="54"/>
      <c r="X348" s="54"/>
      <c r="Y348" s="54"/>
      <c r="Z348" s="54"/>
      <c r="AA348" s="54"/>
      <c r="AB348" s="287"/>
      <c r="AC348" s="54"/>
      <c r="AD348" s="54"/>
    </row>
    <row r="349">
      <c r="A349" s="54"/>
      <c r="B349" s="114"/>
      <c r="C349" s="114"/>
      <c r="D349" s="114"/>
      <c r="E349" s="114"/>
      <c r="F349" s="114"/>
      <c r="G349" s="11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382"/>
      <c r="S349" s="377"/>
      <c r="T349" s="54"/>
      <c r="U349" s="54"/>
      <c r="V349" s="54"/>
      <c r="W349" s="54"/>
      <c r="X349" s="54"/>
      <c r="Y349" s="54"/>
      <c r="Z349" s="54"/>
      <c r="AA349" s="54"/>
      <c r="AB349" s="287"/>
      <c r="AC349" s="54"/>
      <c r="AD349" s="54"/>
    </row>
    <row r="350">
      <c r="A350" s="54"/>
      <c r="B350" s="114"/>
      <c r="C350" s="114"/>
      <c r="D350" s="114"/>
      <c r="E350" s="114"/>
      <c r="F350" s="114"/>
      <c r="G350" s="11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382"/>
      <c r="S350" s="377"/>
      <c r="T350" s="54"/>
      <c r="U350" s="54"/>
      <c r="V350" s="54"/>
      <c r="W350" s="54"/>
      <c r="X350" s="54"/>
      <c r="Y350" s="54"/>
      <c r="Z350" s="54"/>
      <c r="AA350" s="54"/>
      <c r="AB350" s="287"/>
      <c r="AC350" s="54"/>
      <c r="AD350" s="54"/>
    </row>
    <row r="351">
      <c r="A351" s="54"/>
      <c r="B351" s="114"/>
      <c r="C351" s="114"/>
      <c r="D351" s="114"/>
      <c r="E351" s="114"/>
      <c r="F351" s="114"/>
      <c r="G351" s="11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382"/>
      <c r="S351" s="377"/>
      <c r="T351" s="54"/>
      <c r="U351" s="54"/>
      <c r="V351" s="54"/>
      <c r="W351" s="54"/>
      <c r="X351" s="54"/>
      <c r="Y351" s="54"/>
      <c r="Z351" s="54"/>
      <c r="AA351" s="54"/>
      <c r="AB351" s="287"/>
      <c r="AC351" s="54"/>
      <c r="AD351" s="54"/>
    </row>
    <row r="352">
      <c r="A352" s="54"/>
      <c r="B352" s="114"/>
      <c r="C352" s="114"/>
      <c r="D352" s="114"/>
      <c r="E352" s="114"/>
      <c r="F352" s="114"/>
      <c r="G352" s="11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382"/>
      <c r="S352" s="377"/>
      <c r="T352" s="54"/>
      <c r="U352" s="54"/>
      <c r="V352" s="54"/>
      <c r="W352" s="54"/>
      <c r="X352" s="54"/>
      <c r="Y352" s="54"/>
      <c r="Z352" s="54"/>
      <c r="AA352" s="54"/>
      <c r="AB352" s="287"/>
      <c r="AC352" s="54"/>
      <c r="AD352" s="54"/>
    </row>
    <row r="353">
      <c r="A353" s="54"/>
      <c r="B353" s="114"/>
      <c r="C353" s="114"/>
      <c r="D353" s="114"/>
      <c r="E353" s="114"/>
      <c r="F353" s="114"/>
      <c r="G353" s="11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382"/>
      <c r="S353" s="377"/>
      <c r="T353" s="54"/>
      <c r="U353" s="54"/>
      <c r="V353" s="54"/>
      <c r="W353" s="54"/>
      <c r="X353" s="54"/>
      <c r="Y353" s="54"/>
      <c r="Z353" s="54"/>
      <c r="AA353" s="54"/>
      <c r="AB353" s="287"/>
      <c r="AC353" s="54"/>
      <c r="AD353" s="54"/>
    </row>
    <row r="354">
      <c r="A354" s="54"/>
      <c r="B354" s="114"/>
      <c r="C354" s="114"/>
      <c r="D354" s="114"/>
      <c r="E354" s="114"/>
      <c r="F354" s="114"/>
      <c r="G354" s="11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382"/>
      <c r="S354" s="377"/>
      <c r="T354" s="54"/>
      <c r="U354" s="54"/>
      <c r="V354" s="54"/>
      <c r="W354" s="54"/>
      <c r="X354" s="54"/>
      <c r="Y354" s="54"/>
      <c r="Z354" s="54"/>
      <c r="AA354" s="54"/>
      <c r="AB354" s="287"/>
      <c r="AC354" s="54"/>
      <c r="AD354" s="54"/>
    </row>
    <row r="355">
      <c r="A355" s="54"/>
      <c r="B355" s="114"/>
      <c r="C355" s="114"/>
      <c r="D355" s="114"/>
      <c r="E355" s="114"/>
      <c r="F355" s="114"/>
      <c r="G355" s="11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382"/>
      <c r="S355" s="377"/>
      <c r="T355" s="54"/>
      <c r="U355" s="54"/>
      <c r="V355" s="54"/>
      <c r="W355" s="54"/>
      <c r="X355" s="54"/>
      <c r="Y355" s="54"/>
      <c r="Z355" s="54"/>
      <c r="AA355" s="54"/>
      <c r="AB355" s="287"/>
      <c r="AC355" s="54"/>
      <c r="AD355" s="54"/>
    </row>
    <row r="356">
      <c r="A356" s="54"/>
      <c r="B356" s="114"/>
      <c r="C356" s="114"/>
      <c r="D356" s="114"/>
      <c r="E356" s="114"/>
      <c r="F356" s="114"/>
      <c r="G356" s="11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382"/>
      <c r="S356" s="377"/>
      <c r="T356" s="54"/>
      <c r="U356" s="54"/>
      <c r="V356" s="54"/>
      <c r="W356" s="54"/>
      <c r="X356" s="54"/>
      <c r="Y356" s="54"/>
      <c r="Z356" s="54"/>
      <c r="AA356" s="54"/>
      <c r="AB356" s="287"/>
      <c r="AC356" s="54"/>
      <c r="AD356" s="54"/>
    </row>
    <row r="357">
      <c r="A357" s="54"/>
      <c r="B357" s="114"/>
      <c r="C357" s="114"/>
      <c r="D357" s="114"/>
      <c r="E357" s="114"/>
      <c r="F357" s="114"/>
      <c r="G357" s="11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382"/>
      <c r="S357" s="377"/>
      <c r="T357" s="54"/>
      <c r="U357" s="54"/>
      <c r="V357" s="54"/>
      <c r="W357" s="54"/>
      <c r="X357" s="54"/>
      <c r="Y357" s="54"/>
      <c r="Z357" s="54"/>
      <c r="AA357" s="54"/>
      <c r="AB357" s="287"/>
      <c r="AC357" s="54"/>
      <c r="AD357" s="54"/>
    </row>
    <row r="358">
      <c r="A358" s="54"/>
      <c r="B358" s="114"/>
      <c r="C358" s="114"/>
      <c r="D358" s="114"/>
      <c r="E358" s="114"/>
      <c r="F358" s="114"/>
      <c r="G358" s="11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382"/>
      <c r="S358" s="377"/>
      <c r="T358" s="54"/>
      <c r="U358" s="54"/>
      <c r="V358" s="54"/>
      <c r="W358" s="54"/>
      <c r="X358" s="54"/>
      <c r="Y358" s="54"/>
      <c r="Z358" s="54"/>
      <c r="AA358" s="54"/>
      <c r="AB358" s="287"/>
      <c r="AC358" s="54"/>
      <c r="AD358" s="54"/>
    </row>
    <row r="359">
      <c r="A359" s="54"/>
      <c r="B359" s="114"/>
      <c r="C359" s="114"/>
      <c r="D359" s="114"/>
      <c r="E359" s="114"/>
      <c r="F359" s="114"/>
      <c r="G359" s="11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382"/>
      <c r="S359" s="377"/>
      <c r="T359" s="54"/>
      <c r="U359" s="54"/>
      <c r="V359" s="54"/>
      <c r="W359" s="54"/>
      <c r="X359" s="54"/>
      <c r="Y359" s="54"/>
      <c r="Z359" s="54"/>
      <c r="AA359" s="54"/>
      <c r="AB359" s="287"/>
      <c r="AC359" s="54"/>
      <c r="AD359" s="54"/>
    </row>
    <row r="360">
      <c r="A360" s="54"/>
      <c r="B360" s="114"/>
      <c r="C360" s="114"/>
      <c r="D360" s="114"/>
      <c r="E360" s="114"/>
      <c r="F360" s="114"/>
      <c r="G360" s="11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382"/>
      <c r="S360" s="377"/>
      <c r="T360" s="54"/>
      <c r="U360" s="54"/>
      <c r="V360" s="54"/>
      <c r="W360" s="54"/>
      <c r="X360" s="54"/>
      <c r="Y360" s="54"/>
      <c r="Z360" s="54"/>
      <c r="AA360" s="54"/>
      <c r="AB360" s="287"/>
      <c r="AC360" s="54"/>
      <c r="AD360" s="54"/>
    </row>
    <row r="361">
      <c r="A361" s="54"/>
      <c r="B361" s="114"/>
      <c r="C361" s="114"/>
      <c r="D361" s="114"/>
      <c r="E361" s="114"/>
      <c r="F361" s="114"/>
      <c r="G361" s="11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382"/>
      <c r="S361" s="377"/>
      <c r="T361" s="54"/>
      <c r="U361" s="54"/>
      <c r="V361" s="54"/>
      <c r="W361" s="54"/>
      <c r="X361" s="54"/>
      <c r="Y361" s="54"/>
      <c r="Z361" s="54"/>
      <c r="AA361" s="54"/>
      <c r="AB361" s="287"/>
      <c r="AC361" s="54"/>
      <c r="AD361" s="54"/>
    </row>
    <row r="362">
      <c r="A362" s="54"/>
      <c r="B362" s="114"/>
      <c r="C362" s="114"/>
      <c r="D362" s="114"/>
      <c r="E362" s="114"/>
      <c r="F362" s="114"/>
      <c r="G362" s="11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382"/>
      <c r="S362" s="377"/>
      <c r="T362" s="54"/>
      <c r="U362" s="54"/>
      <c r="V362" s="54"/>
      <c r="W362" s="54"/>
      <c r="X362" s="54"/>
      <c r="Y362" s="54"/>
      <c r="Z362" s="54"/>
      <c r="AA362" s="54"/>
      <c r="AB362" s="287"/>
      <c r="AC362" s="54"/>
      <c r="AD362" s="54"/>
    </row>
    <row r="363">
      <c r="A363" s="54"/>
      <c r="B363" s="114"/>
      <c r="C363" s="114"/>
      <c r="D363" s="114"/>
      <c r="E363" s="114"/>
      <c r="F363" s="114"/>
      <c r="G363" s="11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382"/>
      <c r="S363" s="377"/>
      <c r="T363" s="54"/>
      <c r="U363" s="54"/>
      <c r="V363" s="54"/>
      <c r="W363" s="54"/>
      <c r="X363" s="54"/>
      <c r="Y363" s="54"/>
      <c r="Z363" s="54"/>
      <c r="AA363" s="54"/>
      <c r="AB363" s="287"/>
      <c r="AC363" s="54"/>
      <c r="AD363" s="54"/>
    </row>
    <row r="364">
      <c r="A364" s="54"/>
      <c r="B364" s="114"/>
      <c r="C364" s="114"/>
      <c r="D364" s="114"/>
      <c r="E364" s="114"/>
      <c r="F364" s="114"/>
      <c r="G364" s="11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382"/>
      <c r="S364" s="377"/>
      <c r="T364" s="54"/>
      <c r="U364" s="54"/>
      <c r="V364" s="54"/>
      <c r="W364" s="54"/>
      <c r="X364" s="54"/>
      <c r="Y364" s="54"/>
      <c r="Z364" s="54"/>
      <c r="AA364" s="54"/>
      <c r="AB364" s="287"/>
      <c r="AC364" s="54"/>
      <c r="AD364" s="54"/>
    </row>
    <row r="365">
      <c r="A365" s="54"/>
      <c r="B365" s="114"/>
      <c r="C365" s="114"/>
      <c r="D365" s="114"/>
      <c r="E365" s="114"/>
      <c r="F365" s="114"/>
      <c r="G365" s="11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382"/>
      <c r="S365" s="377"/>
      <c r="T365" s="54"/>
      <c r="U365" s="54"/>
      <c r="V365" s="54"/>
      <c r="W365" s="54"/>
      <c r="X365" s="54"/>
      <c r="Y365" s="54"/>
      <c r="Z365" s="54"/>
      <c r="AA365" s="54"/>
      <c r="AB365" s="287"/>
      <c r="AC365" s="54"/>
      <c r="AD365" s="54"/>
    </row>
    <row r="366">
      <c r="A366" s="54"/>
      <c r="B366" s="114"/>
      <c r="C366" s="114"/>
      <c r="D366" s="114"/>
      <c r="E366" s="114"/>
      <c r="F366" s="114"/>
      <c r="G366" s="11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382"/>
      <c r="S366" s="377"/>
      <c r="T366" s="54"/>
      <c r="U366" s="54"/>
      <c r="V366" s="54"/>
      <c r="W366" s="54"/>
      <c r="X366" s="54"/>
      <c r="Y366" s="54"/>
      <c r="Z366" s="54"/>
      <c r="AA366" s="54"/>
      <c r="AB366" s="287"/>
      <c r="AC366" s="54"/>
      <c r="AD366" s="54"/>
    </row>
    <row r="367">
      <c r="A367" s="54"/>
      <c r="B367" s="114"/>
      <c r="C367" s="114"/>
      <c r="D367" s="114"/>
      <c r="E367" s="114"/>
      <c r="F367" s="114"/>
      <c r="G367" s="11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382"/>
      <c r="S367" s="377"/>
      <c r="T367" s="54"/>
      <c r="U367" s="54"/>
      <c r="V367" s="54"/>
      <c r="W367" s="54"/>
      <c r="X367" s="54"/>
      <c r="Y367" s="54"/>
      <c r="Z367" s="54"/>
      <c r="AA367" s="54"/>
      <c r="AB367" s="287"/>
      <c r="AC367" s="54"/>
      <c r="AD367" s="54"/>
    </row>
    <row r="368">
      <c r="A368" s="54"/>
      <c r="B368" s="114"/>
      <c r="C368" s="114"/>
      <c r="D368" s="114"/>
      <c r="E368" s="114"/>
      <c r="F368" s="114"/>
      <c r="G368" s="11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382"/>
      <c r="S368" s="377"/>
      <c r="T368" s="54"/>
      <c r="U368" s="54"/>
      <c r="V368" s="54"/>
      <c r="W368" s="54"/>
      <c r="X368" s="54"/>
      <c r="Y368" s="54"/>
      <c r="Z368" s="54"/>
      <c r="AA368" s="54"/>
      <c r="AB368" s="287"/>
      <c r="AC368" s="54"/>
      <c r="AD368" s="54"/>
    </row>
    <row r="369">
      <c r="A369" s="54"/>
      <c r="B369" s="114"/>
      <c r="C369" s="114"/>
      <c r="D369" s="114"/>
      <c r="E369" s="114"/>
      <c r="F369" s="114"/>
      <c r="G369" s="11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382"/>
      <c r="S369" s="377"/>
      <c r="T369" s="54"/>
      <c r="U369" s="54"/>
      <c r="V369" s="54"/>
      <c r="W369" s="54"/>
      <c r="X369" s="54"/>
      <c r="Y369" s="54"/>
      <c r="Z369" s="54"/>
      <c r="AA369" s="54"/>
      <c r="AB369" s="287"/>
      <c r="AC369" s="54"/>
      <c r="AD369" s="54"/>
    </row>
    <row r="370">
      <c r="A370" s="54"/>
      <c r="B370" s="114"/>
      <c r="C370" s="114"/>
      <c r="D370" s="114"/>
      <c r="E370" s="114"/>
      <c r="F370" s="114"/>
      <c r="G370" s="11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382"/>
      <c r="S370" s="377"/>
      <c r="T370" s="54"/>
      <c r="U370" s="54"/>
      <c r="V370" s="54"/>
      <c r="W370" s="54"/>
      <c r="X370" s="54"/>
      <c r="Y370" s="54"/>
      <c r="Z370" s="54"/>
      <c r="AA370" s="54"/>
      <c r="AB370" s="287"/>
      <c r="AC370" s="54"/>
      <c r="AD370" s="54"/>
    </row>
    <row r="371">
      <c r="A371" s="54"/>
      <c r="B371" s="114"/>
      <c r="C371" s="114"/>
      <c r="D371" s="114"/>
      <c r="E371" s="114"/>
      <c r="F371" s="114"/>
      <c r="G371" s="11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382"/>
      <c r="S371" s="377"/>
      <c r="T371" s="54"/>
      <c r="U371" s="54"/>
      <c r="V371" s="54"/>
      <c r="W371" s="54"/>
      <c r="X371" s="54"/>
      <c r="Y371" s="54"/>
      <c r="Z371" s="54"/>
      <c r="AA371" s="54"/>
      <c r="AB371" s="287"/>
      <c r="AC371" s="54"/>
      <c r="AD371" s="54"/>
    </row>
    <row r="372">
      <c r="A372" s="54"/>
      <c r="B372" s="114"/>
      <c r="C372" s="114"/>
      <c r="D372" s="114"/>
      <c r="E372" s="114"/>
      <c r="F372" s="114"/>
      <c r="G372" s="11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382"/>
      <c r="S372" s="377"/>
      <c r="T372" s="54"/>
      <c r="U372" s="54"/>
      <c r="V372" s="54"/>
      <c r="W372" s="54"/>
      <c r="X372" s="54"/>
      <c r="Y372" s="54"/>
      <c r="Z372" s="54"/>
      <c r="AA372" s="54"/>
      <c r="AB372" s="287"/>
      <c r="AC372" s="54"/>
      <c r="AD372" s="54"/>
    </row>
    <row r="373">
      <c r="A373" s="54"/>
      <c r="B373" s="114"/>
      <c r="C373" s="114"/>
      <c r="D373" s="114"/>
      <c r="E373" s="114"/>
      <c r="F373" s="114"/>
      <c r="G373" s="11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382"/>
      <c r="S373" s="377"/>
      <c r="T373" s="54"/>
      <c r="U373" s="54"/>
      <c r="V373" s="54"/>
      <c r="W373" s="54"/>
      <c r="X373" s="54"/>
      <c r="Y373" s="54"/>
      <c r="Z373" s="54"/>
      <c r="AA373" s="54"/>
      <c r="AB373" s="287"/>
      <c r="AC373" s="54"/>
      <c r="AD373" s="54"/>
    </row>
    <row r="374">
      <c r="A374" s="54"/>
      <c r="B374" s="114"/>
      <c r="C374" s="114"/>
      <c r="D374" s="114"/>
      <c r="E374" s="114"/>
      <c r="F374" s="114"/>
      <c r="G374" s="11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382"/>
      <c r="S374" s="377"/>
      <c r="T374" s="54"/>
      <c r="U374" s="54"/>
      <c r="V374" s="54"/>
      <c r="W374" s="54"/>
      <c r="X374" s="54"/>
      <c r="Y374" s="54"/>
      <c r="Z374" s="54"/>
      <c r="AA374" s="54"/>
      <c r="AB374" s="287"/>
      <c r="AC374" s="54"/>
      <c r="AD374" s="54"/>
    </row>
    <row r="375">
      <c r="A375" s="54"/>
      <c r="B375" s="114"/>
      <c r="C375" s="114"/>
      <c r="D375" s="114"/>
      <c r="E375" s="114"/>
      <c r="F375" s="114"/>
      <c r="G375" s="11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382"/>
      <c r="S375" s="377"/>
      <c r="T375" s="54"/>
      <c r="U375" s="54"/>
      <c r="V375" s="54"/>
      <c r="W375" s="54"/>
      <c r="X375" s="54"/>
      <c r="Y375" s="54"/>
      <c r="Z375" s="54"/>
      <c r="AA375" s="54"/>
      <c r="AB375" s="287"/>
      <c r="AC375" s="54"/>
      <c r="AD375" s="54"/>
    </row>
    <row r="376">
      <c r="A376" s="54"/>
      <c r="B376" s="114"/>
      <c r="C376" s="114"/>
      <c r="D376" s="114"/>
      <c r="E376" s="114"/>
      <c r="F376" s="114"/>
      <c r="G376" s="11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382"/>
      <c r="S376" s="377"/>
      <c r="T376" s="54"/>
      <c r="U376" s="54"/>
      <c r="V376" s="54"/>
      <c r="W376" s="54"/>
      <c r="X376" s="54"/>
      <c r="Y376" s="54"/>
      <c r="Z376" s="54"/>
      <c r="AA376" s="54"/>
      <c r="AB376" s="287"/>
      <c r="AC376" s="54"/>
      <c r="AD376" s="54"/>
    </row>
    <row r="377">
      <c r="A377" s="54"/>
      <c r="B377" s="114"/>
      <c r="C377" s="114"/>
      <c r="D377" s="114"/>
      <c r="E377" s="114"/>
      <c r="F377" s="114"/>
      <c r="G377" s="11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382"/>
      <c r="S377" s="377"/>
      <c r="T377" s="54"/>
      <c r="U377" s="54"/>
      <c r="V377" s="54"/>
      <c r="W377" s="54"/>
      <c r="X377" s="54"/>
      <c r="Y377" s="54"/>
      <c r="Z377" s="54"/>
      <c r="AA377" s="54"/>
      <c r="AB377" s="287"/>
      <c r="AC377" s="54"/>
      <c r="AD377" s="54"/>
    </row>
    <row r="378">
      <c r="A378" s="54"/>
      <c r="B378" s="114"/>
      <c r="C378" s="114"/>
      <c r="D378" s="114"/>
      <c r="E378" s="114"/>
      <c r="F378" s="114"/>
      <c r="G378" s="11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382"/>
      <c r="S378" s="377"/>
      <c r="T378" s="54"/>
      <c r="U378" s="54"/>
      <c r="V378" s="54"/>
      <c r="W378" s="54"/>
      <c r="X378" s="54"/>
      <c r="Y378" s="54"/>
      <c r="Z378" s="54"/>
      <c r="AA378" s="54"/>
      <c r="AB378" s="287"/>
      <c r="AC378" s="54"/>
      <c r="AD378" s="54"/>
    </row>
    <row r="379">
      <c r="A379" s="54"/>
      <c r="B379" s="114"/>
      <c r="C379" s="114"/>
      <c r="D379" s="114"/>
      <c r="E379" s="114"/>
      <c r="F379" s="114"/>
      <c r="G379" s="11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382"/>
      <c r="S379" s="377"/>
      <c r="T379" s="54"/>
      <c r="U379" s="54"/>
      <c r="V379" s="54"/>
      <c r="W379" s="54"/>
      <c r="X379" s="54"/>
      <c r="Y379" s="54"/>
      <c r="Z379" s="54"/>
      <c r="AA379" s="54"/>
      <c r="AB379" s="287"/>
      <c r="AC379" s="54"/>
      <c r="AD379" s="54"/>
    </row>
    <row r="380">
      <c r="A380" s="54"/>
      <c r="B380" s="114"/>
      <c r="C380" s="114"/>
      <c r="D380" s="114"/>
      <c r="E380" s="114"/>
      <c r="F380" s="114"/>
      <c r="G380" s="11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382"/>
      <c r="S380" s="377"/>
      <c r="T380" s="54"/>
      <c r="U380" s="54"/>
      <c r="V380" s="54"/>
      <c r="W380" s="54"/>
      <c r="X380" s="54"/>
      <c r="Y380" s="54"/>
      <c r="Z380" s="54"/>
      <c r="AA380" s="54"/>
      <c r="AB380" s="287"/>
      <c r="AC380" s="54"/>
      <c r="AD380" s="54"/>
    </row>
    <row r="381">
      <c r="A381" s="54"/>
      <c r="B381" s="114"/>
      <c r="C381" s="114"/>
      <c r="D381" s="114"/>
      <c r="E381" s="114"/>
      <c r="F381" s="114"/>
      <c r="G381" s="11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382"/>
      <c r="S381" s="377"/>
      <c r="T381" s="54"/>
      <c r="U381" s="54"/>
      <c r="V381" s="54"/>
      <c r="W381" s="54"/>
      <c r="X381" s="54"/>
      <c r="Y381" s="54"/>
      <c r="Z381" s="54"/>
      <c r="AA381" s="54"/>
      <c r="AB381" s="287"/>
      <c r="AC381" s="54"/>
      <c r="AD381" s="54"/>
    </row>
    <row r="382">
      <c r="A382" s="54"/>
      <c r="B382" s="114"/>
      <c r="C382" s="114"/>
      <c r="D382" s="114"/>
      <c r="E382" s="114"/>
      <c r="F382" s="114"/>
      <c r="G382" s="11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382"/>
      <c r="S382" s="377"/>
      <c r="T382" s="54"/>
      <c r="U382" s="54"/>
      <c r="V382" s="54"/>
      <c r="W382" s="54"/>
      <c r="X382" s="54"/>
      <c r="Y382" s="54"/>
      <c r="Z382" s="54"/>
      <c r="AA382" s="54"/>
      <c r="AB382" s="287"/>
      <c r="AC382" s="54"/>
      <c r="AD382" s="54"/>
    </row>
    <row r="383">
      <c r="A383" s="54"/>
      <c r="B383" s="114"/>
      <c r="C383" s="114"/>
      <c r="D383" s="114"/>
      <c r="E383" s="114"/>
      <c r="F383" s="114"/>
      <c r="G383" s="11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382"/>
      <c r="S383" s="377"/>
      <c r="T383" s="54"/>
      <c r="U383" s="54"/>
      <c r="V383" s="54"/>
      <c r="W383" s="54"/>
      <c r="X383" s="54"/>
      <c r="Y383" s="54"/>
      <c r="Z383" s="54"/>
      <c r="AA383" s="54"/>
      <c r="AB383" s="287"/>
      <c r="AC383" s="54"/>
      <c r="AD383" s="54"/>
    </row>
    <row r="384">
      <c r="A384" s="54"/>
      <c r="B384" s="114"/>
      <c r="C384" s="114"/>
      <c r="D384" s="114"/>
      <c r="E384" s="114"/>
      <c r="F384" s="114"/>
      <c r="G384" s="11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382"/>
      <c r="S384" s="377"/>
      <c r="T384" s="54"/>
      <c r="U384" s="54"/>
      <c r="V384" s="54"/>
      <c r="W384" s="54"/>
      <c r="X384" s="54"/>
      <c r="Y384" s="54"/>
      <c r="Z384" s="54"/>
      <c r="AA384" s="54"/>
      <c r="AB384" s="287"/>
      <c r="AC384" s="54"/>
      <c r="AD384" s="54"/>
    </row>
    <row r="385">
      <c r="A385" s="54"/>
      <c r="B385" s="114"/>
      <c r="C385" s="114"/>
      <c r="D385" s="114"/>
      <c r="E385" s="114"/>
      <c r="F385" s="114"/>
      <c r="G385" s="11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382"/>
      <c r="S385" s="377"/>
      <c r="T385" s="54"/>
      <c r="U385" s="54"/>
      <c r="V385" s="54"/>
      <c r="W385" s="54"/>
      <c r="X385" s="54"/>
      <c r="Y385" s="54"/>
      <c r="Z385" s="54"/>
      <c r="AA385" s="54"/>
      <c r="AB385" s="287"/>
      <c r="AC385" s="54"/>
      <c r="AD385" s="54"/>
    </row>
    <row r="386">
      <c r="A386" s="54"/>
      <c r="B386" s="114"/>
      <c r="C386" s="114"/>
      <c r="D386" s="114"/>
      <c r="E386" s="114"/>
      <c r="F386" s="114"/>
      <c r="G386" s="11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382"/>
      <c r="S386" s="377"/>
      <c r="T386" s="54"/>
      <c r="U386" s="54"/>
      <c r="V386" s="54"/>
      <c r="W386" s="54"/>
      <c r="X386" s="54"/>
      <c r="Y386" s="54"/>
      <c r="Z386" s="54"/>
      <c r="AA386" s="54"/>
      <c r="AB386" s="287"/>
      <c r="AC386" s="54"/>
      <c r="AD386" s="54"/>
    </row>
    <row r="387">
      <c r="A387" s="54"/>
      <c r="B387" s="114"/>
      <c r="C387" s="114"/>
      <c r="D387" s="114"/>
      <c r="E387" s="114"/>
      <c r="F387" s="114"/>
      <c r="G387" s="11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382"/>
      <c r="S387" s="377"/>
      <c r="T387" s="54"/>
      <c r="U387" s="54"/>
      <c r="V387" s="54"/>
      <c r="W387" s="54"/>
      <c r="X387" s="54"/>
      <c r="Y387" s="54"/>
      <c r="Z387" s="54"/>
      <c r="AA387" s="54"/>
      <c r="AB387" s="287"/>
      <c r="AC387" s="54"/>
      <c r="AD387" s="54"/>
    </row>
    <row r="388">
      <c r="A388" s="54"/>
      <c r="B388" s="114"/>
      <c r="C388" s="114"/>
      <c r="D388" s="114"/>
      <c r="E388" s="114"/>
      <c r="F388" s="114"/>
      <c r="G388" s="11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382"/>
      <c r="S388" s="377"/>
      <c r="T388" s="54"/>
      <c r="U388" s="54"/>
      <c r="V388" s="54"/>
      <c r="W388" s="54"/>
      <c r="X388" s="54"/>
      <c r="Y388" s="54"/>
      <c r="Z388" s="54"/>
      <c r="AA388" s="54"/>
      <c r="AB388" s="287"/>
      <c r="AC388" s="54"/>
      <c r="AD388" s="54"/>
    </row>
    <row r="389">
      <c r="A389" s="54"/>
      <c r="B389" s="114"/>
      <c r="C389" s="114"/>
      <c r="D389" s="114"/>
      <c r="E389" s="114"/>
      <c r="F389" s="114"/>
      <c r="G389" s="11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382"/>
      <c r="S389" s="377"/>
      <c r="T389" s="54"/>
      <c r="U389" s="54"/>
      <c r="V389" s="54"/>
      <c r="W389" s="54"/>
      <c r="X389" s="54"/>
      <c r="Y389" s="54"/>
      <c r="Z389" s="54"/>
      <c r="AA389" s="54"/>
      <c r="AB389" s="287"/>
      <c r="AC389" s="54"/>
      <c r="AD389" s="54"/>
    </row>
    <row r="390">
      <c r="A390" s="54"/>
      <c r="B390" s="114"/>
      <c r="C390" s="114"/>
      <c r="D390" s="114"/>
      <c r="E390" s="114"/>
      <c r="F390" s="114"/>
      <c r="G390" s="11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382"/>
      <c r="S390" s="377"/>
      <c r="T390" s="54"/>
      <c r="U390" s="54"/>
      <c r="V390" s="54"/>
      <c r="W390" s="54"/>
      <c r="X390" s="54"/>
      <c r="Y390" s="54"/>
      <c r="Z390" s="54"/>
      <c r="AA390" s="54"/>
      <c r="AB390" s="287"/>
      <c r="AC390" s="54"/>
      <c r="AD390" s="54"/>
    </row>
    <row r="391">
      <c r="A391" s="54"/>
      <c r="B391" s="114"/>
      <c r="C391" s="114"/>
      <c r="D391" s="114"/>
      <c r="E391" s="114"/>
      <c r="F391" s="114"/>
      <c r="G391" s="11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382"/>
      <c r="S391" s="377"/>
      <c r="T391" s="54"/>
      <c r="U391" s="54"/>
      <c r="V391" s="54"/>
      <c r="W391" s="54"/>
      <c r="X391" s="54"/>
      <c r="Y391" s="54"/>
      <c r="Z391" s="54"/>
      <c r="AA391" s="54"/>
      <c r="AB391" s="287"/>
      <c r="AC391" s="54"/>
      <c r="AD391" s="54"/>
    </row>
    <row r="392">
      <c r="A392" s="54"/>
      <c r="B392" s="114"/>
      <c r="C392" s="114"/>
      <c r="D392" s="114"/>
      <c r="E392" s="114"/>
      <c r="F392" s="114"/>
      <c r="G392" s="11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382"/>
      <c r="S392" s="377"/>
      <c r="T392" s="54"/>
      <c r="U392" s="54"/>
      <c r="V392" s="54"/>
      <c r="W392" s="54"/>
      <c r="X392" s="54"/>
      <c r="Y392" s="54"/>
      <c r="Z392" s="54"/>
      <c r="AA392" s="54"/>
      <c r="AB392" s="287"/>
      <c r="AC392" s="54"/>
      <c r="AD392" s="54"/>
    </row>
    <row r="393">
      <c r="A393" s="54"/>
      <c r="B393" s="114"/>
      <c r="C393" s="114"/>
      <c r="D393" s="114"/>
      <c r="E393" s="114"/>
      <c r="F393" s="114"/>
      <c r="G393" s="11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382"/>
      <c r="S393" s="377"/>
      <c r="T393" s="54"/>
      <c r="U393" s="54"/>
      <c r="V393" s="54"/>
      <c r="W393" s="54"/>
      <c r="X393" s="54"/>
      <c r="Y393" s="54"/>
      <c r="Z393" s="54"/>
      <c r="AA393" s="54"/>
      <c r="AB393" s="287"/>
      <c r="AC393" s="54"/>
      <c r="AD393" s="54"/>
    </row>
    <row r="394">
      <c r="A394" s="54"/>
      <c r="B394" s="114"/>
      <c r="C394" s="114"/>
      <c r="D394" s="114"/>
      <c r="E394" s="114"/>
      <c r="F394" s="114"/>
      <c r="G394" s="11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382"/>
      <c r="S394" s="377"/>
      <c r="T394" s="54"/>
      <c r="U394" s="54"/>
      <c r="V394" s="54"/>
      <c r="W394" s="54"/>
      <c r="X394" s="54"/>
      <c r="Y394" s="54"/>
      <c r="Z394" s="54"/>
      <c r="AA394" s="54"/>
      <c r="AB394" s="287"/>
      <c r="AC394" s="54"/>
      <c r="AD394" s="54"/>
    </row>
    <row r="395">
      <c r="A395" s="54"/>
      <c r="B395" s="114"/>
      <c r="C395" s="114"/>
      <c r="D395" s="114"/>
      <c r="E395" s="114"/>
      <c r="F395" s="114"/>
      <c r="G395" s="11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382"/>
      <c r="S395" s="377"/>
      <c r="T395" s="54"/>
      <c r="U395" s="54"/>
      <c r="V395" s="54"/>
      <c r="W395" s="54"/>
      <c r="X395" s="54"/>
      <c r="Y395" s="54"/>
      <c r="Z395" s="54"/>
      <c r="AA395" s="54"/>
      <c r="AB395" s="287"/>
      <c r="AC395" s="54"/>
      <c r="AD395" s="54"/>
    </row>
    <row r="396">
      <c r="A396" s="54"/>
      <c r="B396" s="114"/>
      <c r="C396" s="114"/>
      <c r="D396" s="114"/>
      <c r="E396" s="114"/>
      <c r="F396" s="114"/>
      <c r="G396" s="11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382"/>
      <c r="S396" s="377"/>
      <c r="T396" s="54"/>
      <c r="U396" s="54"/>
      <c r="V396" s="54"/>
      <c r="W396" s="54"/>
      <c r="X396" s="54"/>
      <c r="Y396" s="54"/>
      <c r="Z396" s="54"/>
      <c r="AA396" s="54"/>
      <c r="AB396" s="287"/>
      <c r="AC396" s="54"/>
      <c r="AD396" s="54"/>
    </row>
    <row r="397">
      <c r="A397" s="54"/>
      <c r="B397" s="114"/>
      <c r="C397" s="114"/>
      <c r="D397" s="114"/>
      <c r="E397" s="114"/>
      <c r="F397" s="114"/>
      <c r="G397" s="11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382"/>
      <c r="S397" s="377"/>
      <c r="T397" s="54"/>
      <c r="U397" s="54"/>
      <c r="V397" s="54"/>
      <c r="W397" s="54"/>
      <c r="X397" s="54"/>
      <c r="Y397" s="54"/>
      <c r="Z397" s="54"/>
      <c r="AA397" s="54"/>
      <c r="AB397" s="287"/>
      <c r="AC397" s="54"/>
      <c r="AD397" s="54"/>
    </row>
    <row r="398">
      <c r="A398" s="54"/>
      <c r="B398" s="114"/>
      <c r="C398" s="114"/>
      <c r="D398" s="114"/>
      <c r="E398" s="114"/>
      <c r="F398" s="114"/>
      <c r="G398" s="11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382"/>
      <c r="S398" s="377"/>
      <c r="T398" s="54"/>
      <c r="U398" s="54"/>
      <c r="V398" s="54"/>
      <c r="W398" s="54"/>
      <c r="X398" s="54"/>
      <c r="Y398" s="54"/>
      <c r="Z398" s="54"/>
      <c r="AA398" s="54"/>
      <c r="AB398" s="287"/>
      <c r="AC398" s="54"/>
      <c r="AD398" s="54"/>
    </row>
    <row r="399">
      <c r="A399" s="54"/>
      <c r="B399" s="114"/>
      <c r="C399" s="114"/>
      <c r="D399" s="114"/>
      <c r="E399" s="114"/>
      <c r="F399" s="114"/>
      <c r="G399" s="11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382"/>
      <c r="S399" s="377"/>
      <c r="T399" s="54"/>
      <c r="U399" s="54"/>
      <c r="V399" s="54"/>
      <c r="W399" s="54"/>
      <c r="X399" s="54"/>
      <c r="Y399" s="54"/>
      <c r="Z399" s="54"/>
      <c r="AA399" s="54"/>
      <c r="AB399" s="287"/>
      <c r="AC399" s="54"/>
      <c r="AD399" s="54"/>
    </row>
    <row r="400">
      <c r="A400" s="54"/>
      <c r="B400" s="114"/>
      <c r="C400" s="114"/>
      <c r="D400" s="114"/>
      <c r="E400" s="114"/>
      <c r="F400" s="114"/>
      <c r="G400" s="11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382"/>
      <c r="S400" s="377"/>
      <c r="T400" s="54"/>
      <c r="U400" s="54"/>
      <c r="V400" s="54"/>
      <c r="W400" s="54"/>
      <c r="X400" s="54"/>
      <c r="Y400" s="54"/>
      <c r="Z400" s="54"/>
      <c r="AA400" s="54"/>
      <c r="AB400" s="287"/>
      <c r="AC400" s="54"/>
      <c r="AD400" s="54"/>
    </row>
    <row r="401">
      <c r="A401" s="54"/>
      <c r="B401" s="114"/>
      <c r="C401" s="114"/>
      <c r="D401" s="114"/>
      <c r="E401" s="114"/>
      <c r="F401" s="114"/>
      <c r="G401" s="11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382"/>
      <c r="S401" s="377"/>
      <c r="T401" s="54"/>
      <c r="U401" s="54"/>
      <c r="V401" s="54"/>
      <c r="W401" s="54"/>
      <c r="X401" s="54"/>
      <c r="Y401" s="54"/>
      <c r="Z401" s="54"/>
      <c r="AA401" s="54"/>
      <c r="AB401" s="287"/>
      <c r="AC401" s="54"/>
      <c r="AD401" s="54"/>
    </row>
    <row r="402">
      <c r="A402" s="54"/>
      <c r="B402" s="114"/>
      <c r="C402" s="114"/>
      <c r="D402" s="114"/>
      <c r="E402" s="114"/>
      <c r="F402" s="114"/>
      <c r="G402" s="11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382"/>
      <c r="S402" s="377"/>
      <c r="T402" s="54"/>
      <c r="U402" s="54"/>
      <c r="V402" s="54"/>
      <c r="W402" s="54"/>
      <c r="X402" s="54"/>
      <c r="Y402" s="54"/>
      <c r="Z402" s="54"/>
      <c r="AA402" s="54"/>
      <c r="AB402" s="287"/>
      <c r="AC402" s="54"/>
      <c r="AD402" s="54"/>
    </row>
    <row r="403">
      <c r="A403" s="54"/>
      <c r="B403" s="114"/>
      <c r="C403" s="114"/>
      <c r="D403" s="114"/>
      <c r="E403" s="114"/>
      <c r="F403" s="114"/>
      <c r="G403" s="11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382"/>
      <c r="S403" s="377"/>
      <c r="T403" s="54"/>
      <c r="U403" s="54"/>
      <c r="V403" s="54"/>
      <c r="W403" s="54"/>
      <c r="X403" s="54"/>
      <c r="Y403" s="54"/>
      <c r="Z403" s="54"/>
      <c r="AA403" s="54"/>
      <c r="AB403" s="287"/>
      <c r="AC403" s="54"/>
      <c r="AD403" s="54"/>
    </row>
    <row r="404">
      <c r="A404" s="54"/>
      <c r="B404" s="114"/>
      <c r="C404" s="114"/>
      <c r="D404" s="114"/>
      <c r="E404" s="114"/>
      <c r="F404" s="114"/>
      <c r="G404" s="11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382"/>
      <c r="S404" s="377"/>
      <c r="T404" s="54"/>
      <c r="U404" s="54"/>
      <c r="V404" s="54"/>
      <c r="W404" s="54"/>
      <c r="X404" s="54"/>
      <c r="Y404" s="54"/>
      <c r="Z404" s="54"/>
      <c r="AA404" s="54"/>
      <c r="AB404" s="287"/>
      <c r="AC404" s="54"/>
      <c r="AD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382"/>
      <c r="S405" s="377"/>
      <c r="T405" s="54"/>
      <c r="U405" s="54"/>
      <c r="V405" s="54"/>
      <c r="W405" s="54"/>
      <c r="X405" s="54"/>
      <c r="Y405" s="54"/>
      <c r="Z405" s="54"/>
      <c r="AA405" s="54"/>
      <c r="AB405" s="287"/>
      <c r="AC405" s="54"/>
      <c r="AD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382"/>
      <c r="S406" s="377"/>
      <c r="T406" s="54"/>
      <c r="U406" s="54"/>
      <c r="V406" s="54"/>
      <c r="W406" s="54"/>
      <c r="X406" s="54"/>
      <c r="Y406" s="54"/>
      <c r="Z406" s="54"/>
      <c r="AA406" s="54"/>
      <c r="AB406" s="287"/>
      <c r="AC406" s="54"/>
      <c r="AD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382"/>
      <c r="S407" s="377"/>
      <c r="T407" s="54"/>
      <c r="U407" s="54"/>
      <c r="V407" s="54"/>
      <c r="W407" s="54"/>
      <c r="X407" s="54"/>
      <c r="Y407" s="54"/>
      <c r="Z407" s="54"/>
      <c r="AA407" s="54"/>
      <c r="AB407" s="287"/>
      <c r="AC407" s="54"/>
      <c r="AD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382"/>
      <c r="S408" s="377"/>
      <c r="T408" s="54"/>
      <c r="U408" s="54"/>
      <c r="V408" s="54"/>
      <c r="W408" s="54"/>
      <c r="X408" s="54"/>
      <c r="Y408" s="54"/>
      <c r="Z408" s="54"/>
      <c r="AA408" s="54"/>
      <c r="AB408" s="287"/>
      <c r="AC408" s="54"/>
      <c r="AD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382"/>
      <c r="S409" s="377"/>
      <c r="T409" s="54"/>
      <c r="U409" s="54"/>
      <c r="V409" s="54"/>
      <c r="W409" s="54"/>
      <c r="X409" s="54"/>
      <c r="Y409" s="54"/>
      <c r="Z409" s="54"/>
      <c r="AA409" s="54"/>
      <c r="AB409" s="287"/>
      <c r="AC409" s="54"/>
      <c r="AD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382"/>
      <c r="S410" s="377"/>
      <c r="T410" s="54"/>
      <c r="U410" s="54"/>
      <c r="V410" s="54"/>
      <c r="W410" s="54"/>
      <c r="X410" s="54"/>
      <c r="Y410" s="54"/>
      <c r="Z410" s="54"/>
      <c r="AA410" s="54"/>
      <c r="AB410" s="287"/>
      <c r="AC410" s="54"/>
      <c r="AD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382"/>
      <c r="S411" s="377"/>
      <c r="T411" s="54"/>
      <c r="U411" s="54"/>
      <c r="V411" s="54"/>
      <c r="W411" s="54"/>
      <c r="X411" s="54"/>
      <c r="Y411" s="54"/>
      <c r="Z411" s="54"/>
      <c r="AA411" s="54"/>
      <c r="AB411" s="287"/>
      <c r="AC411" s="54"/>
      <c r="AD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382"/>
      <c r="S412" s="377"/>
      <c r="T412" s="54"/>
      <c r="U412" s="54"/>
      <c r="V412" s="54"/>
      <c r="W412" s="54"/>
      <c r="X412" s="54"/>
      <c r="Y412" s="54"/>
      <c r="Z412" s="54"/>
      <c r="AA412" s="54"/>
      <c r="AB412" s="287"/>
      <c r="AC412" s="54"/>
      <c r="AD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382"/>
      <c r="S413" s="377"/>
      <c r="T413" s="54"/>
      <c r="U413" s="54"/>
      <c r="V413" s="54"/>
      <c r="W413" s="54"/>
      <c r="X413" s="54"/>
      <c r="Y413" s="54"/>
      <c r="Z413" s="54"/>
      <c r="AA413" s="54"/>
      <c r="AB413" s="287"/>
      <c r="AC413" s="54"/>
      <c r="AD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382"/>
      <c r="S414" s="377"/>
      <c r="T414" s="54"/>
      <c r="U414" s="54"/>
      <c r="V414" s="54"/>
      <c r="W414" s="54"/>
      <c r="X414" s="54"/>
      <c r="Y414" s="54"/>
      <c r="Z414" s="54"/>
      <c r="AA414" s="54"/>
      <c r="AB414" s="287"/>
      <c r="AC414" s="54"/>
      <c r="AD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382"/>
      <c r="S415" s="377"/>
      <c r="T415" s="54"/>
      <c r="U415" s="54"/>
      <c r="V415" s="54"/>
      <c r="W415" s="54"/>
      <c r="X415" s="54"/>
      <c r="Y415" s="54"/>
      <c r="Z415" s="54"/>
      <c r="AA415" s="54"/>
      <c r="AB415" s="287"/>
      <c r="AC415" s="54"/>
      <c r="AD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382"/>
      <c r="S416" s="377"/>
      <c r="T416" s="54"/>
      <c r="U416" s="54"/>
      <c r="V416" s="54"/>
      <c r="W416" s="54"/>
      <c r="X416" s="54"/>
      <c r="Y416" s="54"/>
      <c r="Z416" s="54"/>
      <c r="AA416" s="54"/>
      <c r="AB416" s="287"/>
      <c r="AC416" s="54"/>
      <c r="AD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382"/>
      <c r="S417" s="377"/>
      <c r="T417" s="54"/>
      <c r="U417" s="54"/>
      <c r="V417" s="54"/>
      <c r="W417" s="54"/>
      <c r="X417" s="54"/>
      <c r="Y417" s="54"/>
      <c r="Z417" s="54"/>
      <c r="AA417" s="54"/>
      <c r="AB417" s="287"/>
      <c r="AC417" s="54"/>
      <c r="AD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382"/>
      <c r="S418" s="377"/>
      <c r="T418" s="54"/>
      <c r="U418" s="54"/>
      <c r="V418" s="54"/>
      <c r="W418" s="54"/>
      <c r="X418" s="54"/>
      <c r="Y418" s="54"/>
      <c r="Z418" s="54"/>
      <c r="AA418" s="54"/>
      <c r="AB418" s="287"/>
      <c r="AC418" s="54"/>
      <c r="AD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382"/>
      <c r="S419" s="377"/>
      <c r="T419" s="54"/>
      <c r="U419" s="54"/>
      <c r="V419" s="54"/>
      <c r="W419" s="54"/>
      <c r="X419" s="54"/>
      <c r="Y419" s="54"/>
      <c r="Z419" s="54"/>
      <c r="AA419" s="54"/>
      <c r="AB419" s="287"/>
      <c r="AC419" s="54"/>
      <c r="AD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382"/>
      <c r="S420" s="377"/>
      <c r="T420" s="54"/>
      <c r="U420" s="54"/>
      <c r="V420" s="54"/>
      <c r="W420" s="54"/>
      <c r="X420" s="54"/>
      <c r="Y420" s="54"/>
      <c r="Z420" s="54"/>
      <c r="AA420" s="54"/>
      <c r="AB420" s="287"/>
      <c r="AC420" s="54"/>
      <c r="AD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382"/>
      <c r="S421" s="377"/>
      <c r="T421" s="54"/>
      <c r="U421" s="54"/>
      <c r="V421" s="54"/>
      <c r="W421" s="54"/>
      <c r="X421" s="54"/>
      <c r="Y421" s="54"/>
      <c r="Z421" s="54"/>
      <c r="AA421" s="54"/>
      <c r="AB421" s="287"/>
      <c r="AC421" s="54"/>
      <c r="AD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382"/>
      <c r="S422" s="377"/>
      <c r="T422" s="54"/>
      <c r="U422" s="54"/>
      <c r="V422" s="54"/>
      <c r="W422" s="54"/>
      <c r="X422" s="54"/>
      <c r="Y422" s="54"/>
      <c r="Z422" s="54"/>
      <c r="AA422" s="54"/>
      <c r="AB422" s="287"/>
      <c r="AC422" s="54"/>
      <c r="AD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382"/>
      <c r="S423" s="377"/>
      <c r="T423" s="54"/>
      <c r="U423" s="54"/>
      <c r="V423" s="54"/>
      <c r="W423" s="54"/>
      <c r="X423" s="54"/>
      <c r="Y423" s="54"/>
      <c r="Z423" s="54"/>
      <c r="AA423" s="54"/>
      <c r="AB423" s="287"/>
      <c r="AC423" s="54"/>
      <c r="AD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382"/>
      <c r="S424" s="377"/>
      <c r="T424" s="54"/>
      <c r="U424" s="54"/>
      <c r="V424" s="54"/>
      <c r="W424" s="54"/>
      <c r="X424" s="54"/>
      <c r="Y424" s="54"/>
      <c r="Z424" s="54"/>
      <c r="AA424" s="54"/>
      <c r="AB424" s="287"/>
      <c r="AC424" s="54"/>
      <c r="AD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382"/>
      <c r="S425" s="377"/>
      <c r="T425" s="54"/>
      <c r="U425" s="54"/>
      <c r="V425" s="54"/>
      <c r="W425" s="54"/>
      <c r="X425" s="54"/>
      <c r="Y425" s="54"/>
      <c r="Z425" s="54"/>
      <c r="AA425" s="54"/>
      <c r="AB425" s="287"/>
      <c r="AC425" s="54"/>
      <c r="AD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382"/>
      <c r="S426" s="377"/>
      <c r="T426" s="54"/>
      <c r="U426" s="54"/>
      <c r="V426" s="54"/>
      <c r="W426" s="54"/>
      <c r="X426" s="54"/>
      <c r="Y426" s="54"/>
      <c r="Z426" s="54"/>
      <c r="AA426" s="54"/>
      <c r="AB426" s="287"/>
      <c r="AC426" s="54"/>
      <c r="AD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382"/>
      <c r="S427" s="377"/>
      <c r="T427" s="54"/>
      <c r="U427" s="54"/>
      <c r="V427" s="54"/>
      <c r="W427" s="54"/>
      <c r="X427" s="54"/>
      <c r="Y427" s="54"/>
      <c r="Z427" s="54"/>
      <c r="AA427" s="54"/>
      <c r="AB427" s="287"/>
      <c r="AC427" s="54"/>
      <c r="AD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382"/>
      <c r="S428" s="377"/>
      <c r="T428" s="54"/>
      <c r="U428" s="54"/>
      <c r="V428" s="54"/>
      <c r="W428" s="54"/>
      <c r="X428" s="54"/>
      <c r="Y428" s="54"/>
      <c r="Z428" s="54"/>
      <c r="AA428" s="54"/>
      <c r="AB428" s="287"/>
      <c r="AC428" s="54"/>
      <c r="AD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382"/>
      <c r="S429" s="377"/>
      <c r="T429" s="54"/>
      <c r="U429" s="54"/>
      <c r="V429" s="54"/>
      <c r="W429" s="54"/>
      <c r="X429" s="54"/>
      <c r="Y429" s="54"/>
      <c r="Z429" s="54"/>
      <c r="AA429" s="54"/>
      <c r="AB429" s="287"/>
      <c r="AC429" s="54"/>
      <c r="AD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382"/>
      <c r="S430" s="377"/>
      <c r="T430" s="54"/>
      <c r="U430" s="54"/>
      <c r="V430" s="54"/>
      <c r="W430" s="54"/>
      <c r="X430" s="54"/>
      <c r="Y430" s="54"/>
      <c r="Z430" s="54"/>
      <c r="AA430" s="54"/>
      <c r="AB430" s="287"/>
      <c r="AC430" s="54"/>
      <c r="AD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382"/>
      <c r="S431" s="377"/>
      <c r="T431" s="54"/>
      <c r="U431" s="54"/>
      <c r="V431" s="54"/>
      <c r="W431" s="54"/>
      <c r="X431" s="54"/>
      <c r="Y431" s="54"/>
      <c r="Z431" s="54"/>
      <c r="AA431" s="54"/>
      <c r="AB431" s="287"/>
      <c r="AC431" s="54"/>
      <c r="AD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382"/>
      <c r="S432" s="377"/>
      <c r="T432" s="54"/>
      <c r="U432" s="54"/>
      <c r="V432" s="54"/>
      <c r="W432" s="54"/>
      <c r="X432" s="54"/>
      <c r="Y432" s="54"/>
      <c r="Z432" s="54"/>
      <c r="AA432" s="54"/>
      <c r="AB432" s="287"/>
      <c r="AC432" s="54"/>
      <c r="AD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382"/>
      <c r="S433" s="377"/>
      <c r="T433" s="54"/>
      <c r="U433" s="54"/>
      <c r="V433" s="54"/>
      <c r="W433" s="54"/>
      <c r="X433" s="54"/>
      <c r="Y433" s="54"/>
      <c r="Z433" s="54"/>
      <c r="AA433" s="54"/>
      <c r="AB433" s="287"/>
      <c r="AC433" s="54"/>
      <c r="AD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382"/>
      <c r="S434" s="377"/>
      <c r="T434" s="54"/>
      <c r="U434" s="54"/>
      <c r="V434" s="54"/>
      <c r="W434" s="54"/>
      <c r="X434" s="54"/>
      <c r="Y434" s="54"/>
      <c r="Z434" s="54"/>
      <c r="AA434" s="54"/>
      <c r="AB434" s="287"/>
      <c r="AC434" s="54"/>
      <c r="AD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382"/>
      <c r="S435" s="377"/>
      <c r="T435" s="54"/>
      <c r="U435" s="54"/>
      <c r="V435" s="54"/>
      <c r="W435" s="54"/>
      <c r="X435" s="54"/>
      <c r="Y435" s="54"/>
      <c r="Z435" s="54"/>
      <c r="AA435" s="54"/>
      <c r="AB435" s="287"/>
      <c r="AC435" s="54"/>
      <c r="AD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382"/>
      <c r="S436" s="377"/>
      <c r="T436" s="54"/>
      <c r="U436" s="54"/>
      <c r="V436" s="54"/>
      <c r="W436" s="54"/>
      <c r="X436" s="54"/>
      <c r="Y436" s="54"/>
      <c r="Z436" s="54"/>
      <c r="AA436" s="54"/>
      <c r="AB436" s="287"/>
      <c r="AC436" s="54"/>
      <c r="AD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382"/>
      <c r="S437" s="377"/>
      <c r="T437" s="54"/>
      <c r="U437" s="54"/>
      <c r="V437" s="54"/>
      <c r="W437" s="54"/>
      <c r="X437" s="54"/>
      <c r="Y437" s="54"/>
      <c r="Z437" s="54"/>
      <c r="AA437" s="54"/>
      <c r="AB437" s="287"/>
      <c r="AC437" s="54"/>
      <c r="AD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382"/>
      <c r="S438" s="377"/>
      <c r="T438" s="54"/>
      <c r="U438" s="54"/>
      <c r="V438" s="54"/>
      <c r="W438" s="54"/>
      <c r="X438" s="54"/>
      <c r="Y438" s="54"/>
      <c r="Z438" s="54"/>
      <c r="AA438" s="54"/>
      <c r="AB438" s="287"/>
      <c r="AC438" s="54"/>
      <c r="AD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382"/>
      <c r="S439" s="377"/>
      <c r="T439" s="54"/>
      <c r="U439" s="54"/>
      <c r="V439" s="54"/>
      <c r="W439" s="54"/>
      <c r="X439" s="54"/>
      <c r="Y439" s="54"/>
      <c r="Z439" s="54"/>
      <c r="AA439" s="54"/>
      <c r="AB439" s="287"/>
      <c r="AC439" s="54"/>
      <c r="AD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382"/>
      <c r="S440" s="377"/>
      <c r="T440" s="54"/>
      <c r="U440" s="54"/>
      <c r="V440" s="54"/>
      <c r="W440" s="54"/>
      <c r="X440" s="54"/>
      <c r="Y440" s="54"/>
      <c r="Z440" s="54"/>
      <c r="AA440" s="54"/>
      <c r="AB440" s="287"/>
      <c r="AC440" s="54"/>
      <c r="AD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382"/>
      <c r="S441" s="377"/>
      <c r="T441" s="54"/>
      <c r="U441" s="54"/>
      <c r="V441" s="54"/>
      <c r="W441" s="54"/>
      <c r="X441" s="54"/>
      <c r="Y441" s="54"/>
      <c r="Z441" s="54"/>
      <c r="AA441" s="54"/>
      <c r="AB441" s="287"/>
      <c r="AC441" s="54"/>
      <c r="AD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382"/>
      <c r="S442" s="377"/>
      <c r="T442" s="54"/>
      <c r="U442" s="54"/>
      <c r="V442" s="54"/>
      <c r="W442" s="54"/>
      <c r="X442" s="54"/>
      <c r="Y442" s="54"/>
      <c r="Z442" s="54"/>
      <c r="AA442" s="54"/>
      <c r="AB442" s="287"/>
      <c r="AC442" s="54"/>
      <c r="AD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382"/>
      <c r="S443" s="377"/>
      <c r="T443" s="54"/>
      <c r="U443" s="54"/>
      <c r="V443" s="54"/>
      <c r="W443" s="54"/>
      <c r="X443" s="54"/>
      <c r="Y443" s="54"/>
      <c r="Z443" s="54"/>
      <c r="AA443" s="54"/>
      <c r="AB443" s="287"/>
      <c r="AC443" s="54"/>
      <c r="AD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382"/>
      <c r="S444" s="377"/>
      <c r="T444" s="54"/>
      <c r="U444" s="54"/>
      <c r="V444" s="54"/>
      <c r="W444" s="54"/>
      <c r="X444" s="54"/>
      <c r="Y444" s="54"/>
      <c r="Z444" s="54"/>
      <c r="AA444" s="54"/>
      <c r="AB444" s="287"/>
      <c r="AC444" s="54"/>
      <c r="AD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382"/>
      <c r="S445" s="377"/>
      <c r="T445" s="54"/>
      <c r="U445" s="54"/>
      <c r="V445" s="54"/>
      <c r="W445" s="54"/>
      <c r="X445" s="54"/>
      <c r="Y445" s="54"/>
      <c r="Z445" s="54"/>
      <c r="AA445" s="54"/>
      <c r="AB445" s="287"/>
      <c r="AC445" s="54"/>
      <c r="AD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382"/>
      <c r="S446" s="377"/>
      <c r="T446" s="54"/>
      <c r="U446" s="54"/>
      <c r="V446" s="54"/>
      <c r="W446" s="54"/>
      <c r="X446" s="54"/>
      <c r="Y446" s="54"/>
      <c r="Z446" s="54"/>
      <c r="AA446" s="54"/>
      <c r="AB446" s="287"/>
      <c r="AC446" s="54"/>
      <c r="AD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382"/>
      <c r="S447" s="377"/>
      <c r="T447" s="54"/>
      <c r="U447" s="54"/>
      <c r="V447" s="54"/>
      <c r="W447" s="54"/>
      <c r="X447" s="54"/>
      <c r="Y447" s="54"/>
      <c r="Z447" s="54"/>
      <c r="AA447" s="54"/>
      <c r="AB447" s="287"/>
      <c r="AC447" s="54"/>
      <c r="AD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382"/>
      <c r="S448" s="377"/>
      <c r="T448" s="54"/>
      <c r="U448" s="54"/>
      <c r="V448" s="54"/>
      <c r="W448" s="54"/>
      <c r="X448" s="54"/>
      <c r="Y448" s="54"/>
      <c r="Z448" s="54"/>
      <c r="AA448" s="54"/>
      <c r="AB448" s="287"/>
      <c r="AC448" s="54"/>
      <c r="AD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382"/>
      <c r="S449" s="377"/>
      <c r="T449" s="54"/>
      <c r="U449" s="54"/>
      <c r="V449" s="54"/>
      <c r="W449" s="54"/>
      <c r="X449" s="54"/>
      <c r="Y449" s="54"/>
      <c r="Z449" s="54"/>
      <c r="AA449" s="54"/>
      <c r="AB449" s="287"/>
      <c r="AC449" s="54"/>
      <c r="AD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382"/>
      <c r="S450" s="377"/>
      <c r="T450" s="54"/>
      <c r="U450" s="54"/>
      <c r="V450" s="54"/>
      <c r="W450" s="54"/>
      <c r="X450" s="54"/>
      <c r="Y450" s="54"/>
      <c r="Z450" s="54"/>
      <c r="AA450" s="54"/>
      <c r="AB450" s="287"/>
      <c r="AC450" s="54"/>
      <c r="AD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382"/>
      <c r="S451" s="377"/>
      <c r="T451" s="54"/>
      <c r="U451" s="54"/>
      <c r="V451" s="54"/>
      <c r="W451" s="54"/>
      <c r="X451" s="54"/>
      <c r="Y451" s="54"/>
      <c r="Z451" s="54"/>
      <c r="AA451" s="54"/>
      <c r="AB451" s="287"/>
      <c r="AC451" s="54"/>
      <c r="AD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382"/>
      <c r="S452" s="377"/>
      <c r="T452" s="54"/>
      <c r="U452" s="54"/>
      <c r="V452" s="54"/>
      <c r="W452" s="54"/>
      <c r="X452" s="54"/>
      <c r="Y452" s="54"/>
      <c r="Z452" s="54"/>
      <c r="AA452" s="54"/>
      <c r="AB452" s="287"/>
      <c r="AC452" s="54"/>
      <c r="AD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382"/>
      <c r="S453" s="377"/>
      <c r="T453" s="54"/>
      <c r="U453" s="54"/>
      <c r="V453" s="54"/>
      <c r="W453" s="54"/>
      <c r="X453" s="54"/>
      <c r="Y453" s="54"/>
      <c r="Z453" s="54"/>
      <c r="AA453" s="54"/>
      <c r="AB453" s="287"/>
      <c r="AC453" s="54"/>
      <c r="AD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382"/>
      <c r="S454" s="377"/>
      <c r="T454" s="54"/>
      <c r="U454" s="54"/>
      <c r="V454" s="54"/>
      <c r="W454" s="54"/>
      <c r="X454" s="54"/>
      <c r="Y454" s="54"/>
      <c r="Z454" s="54"/>
      <c r="AA454" s="54"/>
      <c r="AB454" s="287"/>
      <c r="AC454" s="54"/>
      <c r="AD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382"/>
      <c r="S455" s="377"/>
      <c r="T455" s="54"/>
      <c r="U455" s="54"/>
      <c r="V455" s="54"/>
      <c r="W455" s="54"/>
      <c r="X455" s="54"/>
      <c r="Y455" s="54"/>
      <c r="Z455" s="54"/>
      <c r="AA455" s="54"/>
      <c r="AB455" s="287"/>
      <c r="AC455" s="54"/>
      <c r="AD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382"/>
      <c r="S456" s="377"/>
      <c r="T456" s="54"/>
      <c r="U456" s="54"/>
      <c r="V456" s="54"/>
      <c r="W456" s="54"/>
      <c r="X456" s="54"/>
      <c r="Y456" s="54"/>
      <c r="Z456" s="54"/>
      <c r="AA456" s="54"/>
      <c r="AB456" s="287"/>
      <c r="AC456" s="54"/>
      <c r="AD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382"/>
      <c r="S457" s="377"/>
      <c r="T457" s="54"/>
      <c r="U457" s="54"/>
      <c r="V457" s="54"/>
      <c r="W457" s="54"/>
      <c r="X457" s="54"/>
      <c r="Y457" s="54"/>
      <c r="Z457" s="54"/>
      <c r="AA457" s="54"/>
      <c r="AB457" s="287"/>
      <c r="AC457" s="54"/>
      <c r="AD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382"/>
      <c r="S458" s="377"/>
      <c r="T458" s="54"/>
      <c r="U458" s="54"/>
      <c r="V458" s="54"/>
      <c r="W458" s="54"/>
      <c r="X458" s="54"/>
      <c r="Y458" s="54"/>
      <c r="Z458" s="54"/>
      <c r="AA458" s="54"/>
      <c r="AB458" s="287"/>
      <c r="AC458" s="54"/>
      <c r="AD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382"/>
      <c r="S459" s="377"/>
      <c r="T459" s="54"/>
      <c r="U459" s="54"/>
      <c r="V459" s="54"/>
      <c r="W459" s="54"/>
      <c r="X459" s="54"/>
      <c r="Y459" s="54"/>
      <c r="Z459" s="54"/>
      <c r="AA459" s="54"/>
      <c r="AB459" s="287"/>
      <c r="AC459" s="54"/>
      <c r="AD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382"/>
      <c r="S460" s="377"/>
      <c r="T460" s="54"/>
      <c r="U460" s="54"/>
      <c r="V460" s="54"/>
      <c r="W460" s="54"/>
      <c r="X460" s="54"/>
      <c r="Y460" s="54"/>
      <c r="Z460" s="54"/>
      <c r="AA460" s="54"/>
      <c r="AB460" s="287"/>
      <c r="AC460" s="54"/>
      <c r="AD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382"/>
      <c r="S461" s="377"/>
      <c r="T461" s="54"/>
      <c r="U461" s="54"/>
      <c r="V461" s="54"/>
      <c r="W461" s="54"/>
      <c r="X461" s="54"/>
      <c r="Y461" s="54"/>
      <c r="Z461" s="54"/>
      <c r="AA461" s="54"/>
      <c r="AB461" s="287"/>
      <c r="AC461" s="54"/>
      <c r="AD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382"/>
      <c r="S462" s="377"/>
      <c r="T462" s="54"/>
      <c r="U462" s="54"/>
      <c r="V462" s="54"/>
      <c r="W462" s="54"/>
      <c r="X462" s="54"/>
      <c r="Y462" s="54"/>
      <c r="Z462" s="54"/>
      <c r="AA462" s="54"/>
      <c r="AB462" s="287"/>
      <c r="AC462" s="54"/>
      <c r="AD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382"/>
      <c r="S463" s="377"/>
      <c r="T463" s="54"/>
      <c r="U463" s="54"/>
      <c r="V463" s="54"/>
      <c r="W463" s="54"/>
      <c r="X463" s="54"/>
      <c r="Y463" s="54"/>
      <c r="Z463" s="54"/>
      <c r="AA463" s="54"/>
      <c r="AB463" s="287"/>
      <c r="AC463" s="54"/>
      <c r="AD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382"/>
      <c r="S464" s="377"/>
      <c r="T464" s="54"/>
      <c r="U464" s="54"/>
      <c r="V464" s="54"/>
      <c r="W464" s="54"/>
      <c r="X464" s="54"/>
      <c r="Y464" s="54"/>
      <c r="Z464" s="54"/>
      <c r="AA464" s="54"/>
      <c r="AB464" s="287"/>
      <c r="AC464" s="54"/>
      <c r="AD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382"/>
      <c r="S465" s="377"/>
      <c r="T465" s="54"/>
      <c r="U465" s="54"/>
      <c r="V465" s="54"/>
      <c r="W465" s="54"/>
      <c r="X465" s="54"/>
      <c r="Y465" s="54"/>
      <c r="Z465" s="54"/>
      <c r="AA465" s="54"/>
      <c r="AB465" s="287"/>
      <c r="AC465" s="54"/>
      <c r="AD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382"/>
      <c r="S466" s="377"/>
      <c r="T466" s="54"/>
      <c r="U466" s="54"/>
      <c r="V466" s="54"/>
      <c r="W466" s="54"/>
      <c r="X466" s="54"/>
      <c r="Y466" s="54"/>
      <c r="Z466" s="54"/>
      <c r="AA466" s="54"/>
      <c r="AB466" s="287"/>
      <c r="AC466" s="54"/>
      <c r="AD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382"/>
      <c r="S467" s="377"/>
      <c r="T467" s="54"/>
      <c r="U467" s="54"/>
      <c r="V467" s="54"/>
      <c r="W467" s="54"/>
      <c r="X467" s="54"/>
      <c r="Y467" s="54"/>
      <c r="Z467" s="54"/>
      <c r="AA467" s="54"/>
      <c r="AB467" s="287"/>
      <c r="AC467" s="54"/>
      <c r="AD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382"/>
      <c r="S468" s="377"/>
      <c r="T468" s="54"/>
      <c r="U468" s="54"/>
      <c r="V468" s="54"/>
      <c r="W468" s="54"/>
      <c r="X468" s="54"/>
      <c r="Y468" s="54"/>
      <c r="Z468" s="54"/>
      <c r="AA468" s="54"/>
      <c r="AB468" s="287"/>
      <c r="AC468" s="54"/>
      <c r="AD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382"/>
      <c r="S469" s="377"/>
      <c r="T469" s="54"/>
      <c r="U469" s="54"/>
      <c r="V469" s="54"/>
      <c r="W469" s="54"/>
      <c r="X469" s="54"/>
      <c r="Y469" s="54"/>
      <c r="Z469" s="54"/>
      <c r="AA469" s="54"/>
      <c r="AB469" s="287"/>
      <c r="AC469" s="54"/>
      <c r="AD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382"/>
      <c r="S470" s="377"/>
      <c r="T470" s="54"/>
      <c r="U470" s="54"/>
      <c r="V470" s="54"/>
      <c r="W470" s="54"/>
      <c r="X470" s="54"/>
      <c r="Y470" s="54"/>
      <c r="Z470" s="54"/>
      <c r="AA470" s="54"/>
      <c r="AB470" s="287"/>
      <c r="AC470" s="54"/>
      <c r="AD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382"/>
      <c r="S471" s="377"/>
      <c r="T471" s="54"/>
      <c r="U471" s="54"/>
      <c r="V471" s="54"/>
      <c r="W471" s="54"/>
      <c r="X471" s="54"/>
      <c r="Y471" s="54"/>
      <c r="Z471" s="54"/>
      <c r="AA471" s="54"/>
      <c r="AB471" s="287"/>
      <c r="AC471" s="54"/>
      <c r="AD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382"/>
      <c r="S472" s="377"/>
      <c r="T472" s="54"/>
      <c r="U472" s="54"/>
      <c r="V472" s="54"/>
      <c r="W472" s="54"/>
      <c r="X472" s="54"/>
      <c r="Y472" s="54"/>
      <c r="Z472" s="54"/>
      <c r="AA472" s="54"/>
      <c r="AB472" s="287"/>
      <c r="AC472" s="54"/>
      <c r="AD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382"/>
      <c r="S473" s="377"/>
      <c r="T473" s="54"/>
      <c r="U473" s="54"/>
      <c r="V473" s="54"/>
      <c r="W473" s="54"/>
      <c r="X473" s="54"/>
      <c r="Y473" s="54"/>
      <c r="Z473" s="54"/>
      <c r="AA473" s="54"/>
      <c r="AB473" s="287"/>
      <c r="AC473" s="54"/>
      <c r="AD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382"/>
      <c r="S474" s="377"/>
      <c r="T474" s="54"/>
      <c r="U474" s="54"/>
      <c r="V474" s="54"/>
      <c r="W474" s="54"/>
      <c r="X474" s="54"/>
      <c r="Y474" s="54"/>
      <c r="Z474" s="54"/>
      <c r="AA474" s="54"/>
      <c r="AB474" s="287"/>
      <c r="AC474" s="54"/>
      <c r="AD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382"/>
      <c r="S475" s="377"/>
      <c r="T475" s="54"/>
      <c r="U475" s="54"/>
      <c r="V475" s="54"/>
      <c r="W475" s="54"/>
      <c r="X475" s="54"/>
      <c r="Y475" s="54"/>
      <c r="Z475" s="54"/>
      <c r="AA475" s="54"/>
      <c r="AB475" s="287"/>
      <c r="AC475" s="54"/>
      <c r="AD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382"/>
      <c r="S476" s="377"/>
      <c r="T476" s="54"/>
      <c r="U476" s="54"/>
      <c r="V476" s="54"/>
      <c r="W476" s="54"/>
      <c r="X476" s="54"/>
      <c r="Y476" s="54"/>
      <c r="Z476" s="54"/>
      <c r="AA476" s="54"/>
      <c r="AB476" s="287"/>
      <c r="AC476" s="54"/>
      <c r="AD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382"/>
      <c r="S477" s="377"/>
      <c r="T477" s="54"/>
      <c r="U477" s="54"/>
      <c r="V477" s="54"/>
      <c r="W477" s="54"/>
      <c r="X477" s="54"/>
      <c r="Y477" s="54"/>
      <c r="Z477" s="54"/>
      <c r="AA477" s="54"/>
      <c r="AB477" s="287"/>
      <c r="AC477" s="54"/>
      <c r="AD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382"/>
      <c r="S478" s="377"/>
      <c r="T478" s="54"/>
      <c r="U478" s="54"/>
      <c r="V478" s="54"/>
      <c r="W478" s="54"/>
      <c r="X478" s="54"/>
      <c r="Y478" s="54"/>
      <c r="Z478" s="54"/>
      <c r="AA478" s="54"/>
      <c r="AB478" s="287"/>
      <c r="AC478" s="54"/>
      <c r="AD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382"/>
      <c r="S479" s="377"/>
      <c r="T479" s="54"/>
      <c r="U479" s="54"/>
      <c r="V479" s="54"/>
      <c r="W479" s="54"/>
      <c r="X479" s="54"/>
      <c r="Y479" s="54"/>
      <c r="Z479" s="54"/>
      <c r="AA479" s="54"/>
      <c r="AB479" s="287"/>
      <c r="AC479" s="54"/>
      <c r="AD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382"/>
      <c r="S480" s="377"/>
      <c r="T480" s="54"/>
      <c r="U480" s="54"/>
      <c r="V480" s="54"/>
      <c r="W480" s="54"/>
      <c r="X480" s="54"/>
      <c r="Y480" s="54"/>
      <c r="Z480" s="54"/>
      <c r="AA480" s="54"/>
      <c r="AB480" s="287"/>
      <c r="AC480" s="54"/>
      <c r="AD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382"/>
      <c r="S481" s="377"/>
      <c r="T481" s="54"/>
      <c r="U481" s="54"/>
      <c r="V481" s="54"/>
      <c r="W481" s="54"/>
      <c r="X481" s="54"/>
      <c r="Y481" s="54"/>
      <c r="Z481" s="54"/>
      <c r="AA481" s="54"/>
      <c r="AB481" s="287"/>
      <c r="AC481" s="54"/>
      <c r="AD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382"/>
      <c r="S482" s="377"/>
      <c r="T482" s="54"/>
      <c r="U482" s="54"/>
      <c r="V482" s="54"/>
      <c r="W482" s="54"/>
      <c r="X482" s="54"/>
      <c r="Y482" s="54"/>
      <c r="Z482" s="54"/>
      <c r="AA482" s="54"/>
      <c r="AB482" s="287"/>
      <c r="AC482" s="54"/>
      <c r="AD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382"/>
      <c r="S483" s="377"/>
      <c r="T483" s="54"/>
      <c r="U483" s="54"/>
      <c r="V483" s="54"/>
      <c r="W483" s="54"/>
      <c r="X483" s="54"/>
      <c r="Y483" s="54"/>
      <c r="Z483" s="54"/>
      <c r="AA483" s="54"/>
      <c r="AB483" s="287"/>
      <c r="AC483" s="54"/>
      <c r="AD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382"/>
      <c r="S484" s="377"/>
      <c r="T484" s="54"/>
      <c r="U484" s="54"/>
      <c r="V484" s="54"/>
      <c r="W484" s="54"/>
      <c r="X484" s="54"/>
      <c r="Y484" s="54"/>
      <c r="Z484" s="54"/>
      <c r="AA484" s="54"/>
      <c r="AB484" s="287"/>
      <c r="AC484" s="54"/>
      <c r="AD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382"/>
      <c r="S485" s="377"/>
      <c r="T485" s="54"/>
      <c r="U485" s="54"/>
      <c r="V485" s="54"/>
      <c r="W485" s="54"/>
      <c r="X485" s="54"/>
      <c r="Y485" s="54"/>
      <c r="Z485" s="54"/>
      <c r="AA485" s="54"/>
      <c r="AB485" s="287"/>
      <c r="AC485" s="54"/>
      <c r="AD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382"/>
      <c r="S486" s="377"/>
      <c r="T486" s="54"/>
      <c r="U486" s="54"/>
      <c r="V486" s="54"/>
      <c r="W486" s="54"/>
      <c r="X486" s="54"/>
      <c r="Y486" s="54"/>
      <c r="Z486" s="54"/>
      <c r="AA486" s="54"/>
      <c r="AB486" s="287"/>
      <c r="AC486" s="54"/>
      <c r="AD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382"/>
      <c r="S487" s="377"/>
      <c r="T487" s="54"/>
      <c r="U487" s="54"/>
      <c r="V487" s="54"/>
      <c r="W487" s="54"/>
      <c r="X487" s="54"/>
      <c r="Y487" s="54"/>
      <c r="Z487" s="54"/>
      <c r="AA487" s="54"/>
      <c r="AB487" s="287"/>
      <c r="AC487" s="54"/>
      <c r="AD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382"/>
      <c r="S488" s="377"/>
      <c r="T488" s="54"/>
      <c r="U488" s="54"/>
      <c r="V488" s="54"/>
      <c r="W488" s="54"/>
      <c r="X488" s="54"/>
      <c r="Y488" s="54"/>
      <c r="Z488" s="54"/>
      <c r="AA488" s="54"/>
      <c r="AB488" s="287"/>
      <c r="AC488" s="54"/>
      <c r="AD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382"/>
      <c r="S489" s="377"/>
      <c r="T489" s="54"/>
      <c r="U489" s="54"/>
      <c r="V489" s="54"/>
      <c r="W489" s="54"/>
      <c r="X489" s="54"/>
      <c r="Y489" s="54"/>
      <c r="Z489" s="54"/>
      <c r="AA489" s="54"/>
      <c r="AB489" s="287"/>
      <c r="AC489" s="54"/>
      <c r="AD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382"/>
      <c r="S490" s="377"/>
      <c r="T490" s="54"/>
      <c r="U490" s="54"/>
      <c r="V490" s="54"/>
      <c r="W490" s="54"/>
      <c r="X490" s="54"/>
      <c r="Y490" s="54"/>
      <c r="Z490" s="54"/>
      <c r="AA490" s="54"/>
      <c r="AB490" s="287"/>
      <c r="AC490" s="54"/>
      <c r="AD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382"/>
      <c r="S491" s="377"/>
      <c r="T491" s="54"/>
      <c r="U491" s="54"/>
      <c r="V491" s="54"/>
      <c r="W491" s="54"/>
      <c r="X491" s="54"/>
      <c r="Y491" s="54"/>
      <c r="Z491" s="54"/>
      <c r="AA491" s="54"/>
      <c r="AB491" s="287"/>
      <c r="AC491" s="54"/>
      <c r="AD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382"/>
      <c r="S492" s="377"/>
      <c r="T492" s="54"/>
      <c r="U492" s="54"/>
      <c r="V492" s="54"/>
      <c r="W492" s="54"/>
      <c r="X492" s="54"/>
      <c r="Y492" s="54"/>
      <c r="Z492" s="54"/>
      <c r="AA492" s="54"/>
      <c r="AB492" s="287"/>
      <c r="AC492" s="54"/>
      <c r="AD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382"/>
      <c r="S493" s="377"/>
      <c r="T493" s="54"/>
      <c r="U493" s="54"/>
      <c r="V493" s="54"/>
      <c r="W493" s="54"/>
      <c r="X493" s="54"/>
      <c r="Y493" s="54"/>
      <c r="Z493" s="54"/>
      <c r="AA493" s="54"/>
      <c r="AB493" s="287"/>
      <c r="AC493" s="54"/>
      <c r="AD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382"/>
      <c r="S494" s="377"/>
      <c r="T494" s="54"/>
      <c r="U494" s="54"/>
      <c r="V494" s="54"/>
      <c r="W494" s="54"/>
      <c r="X494" s="54"/>
      <c r="Y494" s="54"/>
      <c r="Z494" s="54"/>
      <c r="AA494" s="54"/>
      <c r="AB494" s="287"/>
      <c r="AC494" s="54"/>
      <c r="AD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382"/>
      <c r="S495" s="377"/>
      <c r="T495" s="54"/>
      <c r="U495" s="54"/>
      <c r="V495" s="54"/>
      <c r="W495" s="54"/>
      <c r="X495" s="54"/>
      <c r="Y495" s="54"/>
      <c r="Z495" s="54"/>
      <c r="AA495" s="54"/>
      <c r="AB495" s="287"/>
      <c r="AC495" s="54"/>
      <c r="AD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382"/>
      <c r="S496" s="377"/>
      <c r="T496" s="54"/>
      <c r="U496" s="54"/>
      <c r="V496" s="54"/>
      <c r="W496" s="54"/>
      <c r="X496" s="54"/>
      <c r="Y496" s="54"/>
      <c r="Z496" s="54"/>
      <c r="AA496" s="54"/>
      <c r="AB496" s="287"/>
      <c r="AC496" s="54"/>
      <c r="AD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382"/>
      <c r="S497" s="377"/>
      <c r="T497" s="54"/>
      <c r="U497" s="54"/>
      <c r="V497" s="54"/>
      <c r="W497" s="54"/>
      <c r="X497" s="54"/>
      <c r="Y497" s="54"/>
      <c r="Z497" s="54"/>
      <c r="AA497" s="54"/>
      <c r="AB497" s="287"/>
      <c r="AC497" s="54"/>
      <c r="AD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382"/>
      <c r="S498" s="377"/>
      <c r="T498" s="54"/>
      <c r="U498" s="54"/>
      <c r="V498" s="54"/>
      <c r="W498" s="54"/>
      <c r="X498" s="54"/>
      <c r="Y498" s="54"/>
      <c r="Z498" s="54"/>
      <c r="AA498" s="54"/>
      <c r="AB498" s="287"/>
      <c r="AC498" s="54"/>
      <c r="AD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382"/>
      <c r="S499" s="377"/>
      <c r="T499" s="54"/>
      <c r="U499" s="54"/>
      <c r="V499" s="54"/>
      <c r="W499" s="54"/>
      <c r="X499" s="54"/>
      <c r="Y499" s="54"/>
      <c r="Z499" s="54"/>
      <c r="AA499" s="54"/>
      <c r="AB499" s="287"/>
      <c r="AC499" s="54"/>
      <c r="AD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382"/>
      <c r="S500" s="377"/>
      <c r="T500" s="54"/>
      <c r="U500" s="54"/>
      <c r="V500" s="54"/>
      <c r="W500" s="54"/>
      <c r="X500" s="54"/>
      <c r="Y500" s="54"/>
      <c r="Z500" s="54"/>
      <c r="AA500" s="54"/>
      <c r="AB500" s="287"/>
      <c r="AC500" s="54"/>
      <c r="AD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382"/>
      <c r="S501" s="377"/>
      <c r="T501" s="54"/>
      <c r="U501" s="54"/>
      <c r="V501" s="54"/>
      <c r="W501" s="54"/>
      <c r="X501" s="54"/>
      <c r="Y501" s="54"/>
      <c r="Z501" s="54"/>
      <c r="AA501" s="54"/>
      <c r="AB501" s="287"/>
      <c r="AC501" s="54"/>
      <c r="AD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382"/>
      <c r="S502" s="377"/>
      <c r="T502" s="54"/>
      <c r="U502" s="54"/>
      <c r="V502" s="54"/>
      <c r="W502" s="54"/>
      <c r="X502" s="54"/>
      <c r="Y502" s="54"/>
      <c r="Z502" s="54"/>
      <c r="AA502" s="54"/>
      <c r="AB502" s="287"/>
      <c r="AC502" s="54"/>
      <c r="AD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382"/>
      <c r="S503" s="377"/>
      <c r="T503" s="54"/>
      <c r="U503" s="54"/>
      <c r="V503" s="54"/>
      <c r="W503" s="54"/>
      <c r="X503" s="54"/>
      <c r="Y503" s="54"/>
      <c r="Z503" s="54"/>
      <c r="AA503" s="54"/>
      <c r="AB503" s="287"/>
      <c r="AC503" s="54"/>
      <c r="AD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382"/>
      <c r="S504" s="377"/>
      <c r="T504" s="54"/>
      <c r="U504" s="54"/>
      <c r="V504" s="54"/>
      <c r="W504" s="54"/>
      <c r="X504" s="54"/>
      <c r="Y504" s="54"/>
      <c r="Z504" s="54"/>
      <c r="AA504" s="54"/>
      <c r="AB504" s="287"/>
      <c r="AC504" s="54"/>
      <c r="AD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382"/>
      <c r="S505" s="377"/>
      <c r="T505" s="54"/>
      <c r="U505" s="54"/>
      <c r="V505" s="54"/>
      <c r="W505" s="54"/>
      <c r="X505" s="54"/>
      <c r="Y505" s="54"/>
      <c r="Z505" s="54"/>
      <c r="AA505" s="54"/>
      <c r="AB505" s="287"/>
      <c r="AC505" s="54"/>
      <c r="AD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382"/>
      <c r="S506" s="377"/>
      <c r="T506" s="54"/>
      <c r="U506" s="54"/>
      <c r="V506" s="54"/>
      <c r="W506" s="54"/>
      <c r="X506" s="54"/>
      <c r="Y506" s="54"/>
      <c r="Z506" s="54"/>
      <c r="AA506" s="54"/>
      <c r="AB506" s="287"/>
      <c r="AC506" s="54"/>
      <c r="AD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382"/>
      <c r="S507" s="377"/>
      <c r="T507" s="54"/>
      <c r="U507" s="54"/>
      <c r="V507" s="54"/>
      <c r="W507" s="54"/>
      <c r="X507" s="54"/>
      <c r="Y507" s="54"/>
      <c r="Z507" s="54"/>
      <c r="AA507" s="54"/>
      <c r="AB507" s="287"/>
      <c r="AC507" s="54"/>
      <c r="AD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382"/>
      <c r="S508" s="377"/>
      <c r="T508" s="54"/>
      <c r="U508" s="54"/>
      <c r="V508" s="54"/>
      <c r="W508" s="54"/>
      <c r="X508" s="54"/>
      <c r="Y508" s="54"/>
      <c r="Z508" s="54"/>
      <c r="AA508" s="54"/>
      <c r="AB508" s="287"/>
      <c r="AC508" s="54"/>
      <c r="AD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382"/>
      <c r="S509" s="377"/>
      <c r="T509" s="54"/>
      <c r="U509" s="54"/>
      <c r="V509" s="54"/>
      <c r="W509" s="54"/>
      <c r="X509" s="54"/>
      <c r="Y509" s="54"/>
      <c r="Z509" s="54"/>
      <c r="AA509" s="54"/>
      <c r="AB509" s="287"/>
      <c r="AC509" s="54"/>
      <c r="AD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382"/>
      <c r="S510" s="377"/>
      <c r="T510" s="54"/>
      <c r="U510" s="54"/>
      <c r="V510" s="54"/>
      <c r="W510" s="54"/>
      <c r="X510" s="54"/>
      <c r="Y510" s="54"/>
      <c r="Z510" s="54"/>
      <c r="AA510" s="54"/>
      <c r="AB510" s="287"/>
      <c r="AC510" s="54"/>
      <c r="AD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382"/>
      <c r="S511" s="377"/>
      <c r="T511" s="54"/>
      <c r="U511" s="54"/>
      <c r="V511" s="54"/>
      <c r="W511" s="54"/>
      <c r="X511" s="54"/>
      <c r="Y511" s="54"/>
      <c r="Z511" s="54"/>
      <c r="AA511" s="54"/>
      <c r="AB511" s="287"/>
      <c r="AC511" s="54"/>
      <c r="AD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382"/>
      <c r="S512" s="377"/>
      <c r="T512" s="54"/>
      <c r="U512" s="54"/>
      <c r="V512" s="54"/>
      <c r="W512" s="54"/>
      <c r="X512" s="54"/>
      <c r="Y512" s="54"/>
      <c r="Z512" s="54"/>
      <c r="AA512" s="54"/>
      <c r="AB512" s="287"/>
      <c r="AC512" s="54"/>
      <c r="AD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382"/>
      <c r="S513" s="377"/>
      <c r="T513" s="54"/>
      <c r="U513" s="54"/>
      <c r="V513" s="54"/>
      <c r="W513" s="54"/>
      <c r="X513" s="54"/>
      <c r="Y513" s="54"/>
      <c r="Z513" s="54"/>
      <c r="AA513" s="54"/>
      <c r="AB513" s="287"/>
      <c r="AC513" s="54"/>
      <c r="AD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382"/>
      <c r="S514" s="377"/>
      <c r="T514" s="54"/>
      <c r="U514" s="54"/>
      <c r="V514" s="54"/>
      <c r="W514" s="54"/>
      <c r="X514" s="54"/>
      <c r="Y514" s="54"/>
      <c r="Z514" s="54"/>
      <c r="AA514" s="54"/>
      <c r="AB514" s="287"/>
      <c r="AC514" s="54"/>
      <c r="AD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382"/>
      <c r="S515" s="377"/>
      <c r="T515" s="54"/>
      <c r="U515" s="54"/>
      <c r="V515" s="54"/>
      <c r="W515" s="54"/>
      <c r="X515" s="54"/>
      <c r="Y515" s="54"/>
      <c r="Z515" s="54"/>
      <c r="AA515" s="54"/>
      <c r="AB515" s="287"/>
      <c r="AC515" s="54"/>
      <c r="AD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382"/>
      <c r="S516" s="377"/>
      <c r="T516" s="54"/>
      <c r="U516" s="54"/>
      <c r="V516" s="54"/>
      <c r="W516" s="54"/>
      <c r="X516" s="54"/>
      <c r="Y516" s="54"/>
      <c r="Z516" s="54"/>
      <c r="AA516" s="54"/>
      <c r="AB516" s="287"/>
      <c r="AC516" s="54"/>
      <c r="AD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382"/>
      <c r="S517" s="377"/>
      <c r="T517" s="54"/>
      <c r="U517" s="54"/>
      <c r="V517" s="54"/>
      <c r="W517" s="54"/>
      <c r="X517" s="54"/>
      <c r="Y517" s="54"/>
      <c r="Z517" s="54"/>
      <c r="AA517" s="54"/>
      <c r="AB517" s="287"/>
      <c r="AC517" s="54"/>
      <c r="AD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382"/>
      <c r="S518" s="377"/>
      <c r="T518" s="54"/>
      <c r="U518" s="54"/>
      <c r="V518" s="54"/>
      <c r="W518" s="54"/>
      <c r="X518" s="54"/>
      <c r="Y518" s="54"/>
      <c r="Z518" s="54"/>
      <c r="AA518" s="54"/>
      <c r="AB518" s="287"/>
      <c r="AC518" s="54"/>
      <c r="AD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382"/>
      <c r="S519" s="377"/>
      <c r="T519" s="54"/>
      <c r="U519" s="54"/>
      <c r="V519" s="54"/>
      <c r="W519" s="54"/>
      <c r="X519" s="54"/>
      <c r="Y519" s="54"/>
      <c r="Z519" s="54"/>
      <c r="AA519" s="54"/>
      <c r="AB519" s="287"/>
      <c r="AC519" s="54"/>
      <c r="AD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382"/>
      <c r="S520" s="377"/>
      <c r="T520" s="54"/>
      <c r="U520" s="54"/>
      <c r="V520" s="54"/>
      <c r="W520" s="54"/>
      <c r="X520" s="54"/>
      <c r="Y520" s="54"/>
      <c r="Z520" s="54"/>
      <c r="AA520" s="54"/>
      <c r="AB520" s="287"/>
      <c r="AC520" s="54"/>
      <c r="AD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382"/>
      <c r="S521" s="377"/>
      <c r="T521" s="54"/>
      <c r="U521" s="54"/>
      <c r="V521" s="54"/>
      <c r="W521" s="54"/>
      <c r="X521" s="54"/>
      <c r="Y521" s="54"/>
      <c r="Z521" s="54"/>
      <c r="AA521" s="54"/>
      <c r="AB521" s="287"/>
      <c r="AC521" s="54"/>
      <c r="AD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382"/>
      <c r="S522" s="377"/>
      <c r="T522" s="54"/>
      <c r="U522" s="54"/>
      <c r="V522" s="54"/>
      <c r="W522" s="54"/>
      <c r="X522" s="54"/>
      <c r="Y522" s="54"/>
      <c r="Z522" s="54"/>
      <c r="AA522" s="54"/>
      <c r="AB522" s="287"/>
      <c r="AC522" s="54"/>
      <c r="AD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382"/>
      <c r="S523" s="377"/>
      <c r="T523" s="54"/>
      <c r="U523" s="54"/>
      <c r="V523" s="54"/>
      <c r="W523" s="54"/>
      <c r="X523" s="54"/>
      <c r="Y523" s="54"/>
      <c r="Z523" s="54"/>
      <c r="AA523" s="54"/>
      <c r="AB523" s="287"/>
      <c r="AC523" s="54"/>
      <c r="AD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382"/>
      <c r="S524" s="377"/>
      <c r="T524" s="54"/>
      <c r="U524" s="54"/>
      <c r="V524" s="54"/>
      <c r="W524" s="54"/>
      <c r="X524" s="54"/>
      <c r="Y524" s="54"/>
      <c r="Z524" s="54"/>
      <c r="AA524" s="54"/>
      <c r="AB524" s="287"/>
      <c r="AC524" s="54"/>
      <c r="AD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382"/>
      <c r="S525" s="377"/>
      <c r="T525" s="54"/>
      <c r="U525" s="54"/>
      <c r="V525" s="54"/>
      <c r="W525" s="54"/>
      <c r="X525" s="54"/>
      <c r="Y525" s="54"/>
      <c r="Z525" s="54"/>
      <c r="AA525" s="54"/>
      <c r="AB525" s="287"/>
      <c r="AC525" s="54"/>
      <c r="AD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382"/>
      <c r="S526" s="377"/>
      <c r="T526" s="54"/>
      <c r="U526" s="54"/>
      <c r="V526" s="54"/>
      <c r="W526" s="54"/>
      <c r="X526" s="54"/>
      <c r="Y526" s="54"/>
      <c r="Z526" s="54"/>
      <c r="AA526" s="54"/>
      <c r="AB526" s="287"/>
      <c r="AC526" s="54"/>
      <c r="AD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382"/>
      <c r="S527" s="377"/>
      <c r="T527" s="54"/>
      <c r="U527" s="54"/>
      <c r="V527" s="54"/>
      <c r="W527" s="54"/>
      <c r="X527" s="54"/>
      <c r="Y527" s="54"/>
      <c r="Z527" s="54"/>
      <c r="AA527" s="54"/>
      <c r="AB527" s="287"/>
      <c r="AC527" s="54"/>
      <c r="AD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382"/>
      <c r="S528" s="377"/>
      <c r="T528" s="54"/>
      <c r="U528" s="54"/>
      <c r="V528" s="54"/>
      <c r="W528" s="54"/>
      <c r="X528" s="54"/>
      <c r="Y528" s="54"/>
      <c r="Z528" s="54"/>
      <c r="AA528" s="54"/>
      <c r="AB528" s="287"/>
      <c r="AC528" s="54"/>
      <c r="AD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382"/>
      <c r="S529" s="377"/>
      <c r="T529" s="54"/>
      <c r="U529" s="54"/>
      <c r="V529" s="54"/>
      <c r="W529" s="54"/>
      <c r="X529" s="54"/>
      <c r="Y529" s="54"/>
      <c r="Z529" s="54"/>
      <c r="AA529" s="54"/>
      <c r="AB529" s="287"/>
      <c r="AC529" s="54"/>
      <c r="AD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382"/>
      <c r="S530" s="377"/>
      <c r="T530" s="54"/>
      <c r="U530" s="54"/>
      <c r="V530" s="54"/>
      <c r="W530" s="54"/>
      <c r="X530" s="54"/>
      <c r="Y530" s="54"/>
      <c r="Z530" s="54"/>
      <c r="AA530" s="54"/>
      <c r="AB530" s="287"/>
      <c r="AC530" s="54"/>
      <c r="AD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382"/>
      <c r="S531" s="377"/>
      <c r="T531" s="54"/>
      <c r="U531" s="54"/>
      <c r="V531" s="54"/>
      <c r="W531" s="54"/>
      <c r="X531" s="54"/>
      <c r="Y531" s="54"/>
      <c r="Z531" s="54"/>
      <c r="AA531" s="54"/>
      <c r="AB531" s="287"/>
      <c r="AC531" s="54"/>
      <c r="AD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382"/>
      <c r="S532" s="377"/>
      <c r="T532" s="54"/>
      <c r="U532" s="54"/>
      <c r="V532" s="54"/>
      <c r="W532" s="54"/>
      <c r="X532" s="54"/>
      <c r="Y532" s="54"/>
      <c r="Z532" s="54"/>
      <c r="AA532" s="54"/>
      <c r="AB532" s="287"/>
      <c r="AC532" s="54"/>
      <c r="AD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382"/>
      <c r="S533" s="377"/>
      <c r="T533" s="54"/>
      <c r="U533" s="54"/>
      <c r="V533" s="54"/>
      <c r="W533" s="54"/>
      <c r="X533" s="54"/>
      <c r="Y533" s="54"/>
      <c r="Z533" s="54"/>
      <c r="AA533" s="54"/>
      <c r="AB533" s="287"/>
      <c r="AC533" s="54"/>
      <c r="AD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382"/>
      <c r="S534" s="377"/>
      <c r="T534" s="54"/>
      <c r="U534" s="54"/>
      <c r="V534" s="54"/>
      <c r="W534" s="54"/>
      <c r="X534" s="54"/>
      <c r="Y534" s="54"/>
      <c r="Z534" s="54"/>
      <c r="AA534" s="54"/>
      <c r="AB534" s="287"/>
      <c r="AC534" s="54"/>
      <c r="AD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382"/>
      <c r="S535" s="377"/>
      <c r="T535" s="54"/>
      <c r="U535" s="54"/>
      <c r="V535" s="54"/>
      <c r="W535" s="54"/>
      <c r="X535" s="54"/>
      <c r="Y535" s="54"/>
      <c r="Z535" s="54"/>
      <c r="AA535" s="54"/>
      <c r="AB535" s="287"/>
      <c r="AC535" s="54"/>
      <c r="AD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382"/>
      <c r="S536" s="377"/>
      <c r="T536" s="54"/>
      <c r="U536" s="54"/>
      <c r="V536" s="54"/>
      <c r="W536" s="54"/>
      <c r="X536" s="54"/>
      <c r="Y536" s="54"/>
      <c r="Z536" s="54"/>
      <c r="AA536" s="54"/>
      <c r="AB536" s="287"/>
      <c r="AC536" s="54"/>
      <c r="AD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382"/>
      <c r="S537" s="377"/>
      <c r="T537" s="54"/>
      <c r="U537" s="54"/>
      <c r="V537" s="54"/>
      <c r="W537" s="54"/>
      <c r="X537" s="54"/>
      <c r="Y537" s="54"/>
      <c r="Z537" s="54"/>
      <c r="AA537" s="54"/>
      <c r="AB537" s="287"/>
      <c r="AC537" s="54"/>
      <c r="AD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382"/>
      <c r="S538" s="377"/>
      <c r="T538" s="54"/>
      <c r="U538" s="54"/>
      <c r="V538" s="54"/>
      <c r="W538" s="54"/>
      <c r="X538" s="54"/>
      <c r="Y538" s="54"/>
      <c r="Z538" s="54"/>
      <c r="AA538" s="54"/>
      <c r="AB538" s="287"/>
      <c r="AC538" s="54"/>
      <c r="AD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382"/>
      <c r="S539" s="377"/>
      <c r="T539" s="54"/>
      <c r="U539" s="54"/>
      <c r="V539" s="54"/>
      <c r="W539" s="54"/>
      <c r="X539" s="54"/>
      <c r="Y539" s="54"/>
      <c r="Z539" s="54"/>
      <c r="AA539" s="54"/>
      <c r="AB539" s="287"/>
      <c r="AC539" s="54"/>
      <c r="AD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382"/>
      <c r="S540" s="377"/>
      <c r="T540" s="54"/>
      <c r="U540" s="54"/>
      <c r="V540" s="54"/>
      <c r="W540" s="54"/>
      <c r="X540" s="54"/>
      <c r="Y540" s="54"/>
      <c r="Z540" s="54"/>
      <c r="AA540" s="54"/>
      <c r="AB540" s="287"/>
      <c r="AC540" s="54"/>
      <c r="AD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382"/>
      <c r="S541" s="377"/>
      <c r="T541" s="54"/>
      <c r="U541" s="54"/>
      <c r="V541" s="54"/>
      <c r="W541" s="54"/>
      <c r="X541" s="54"/>
      <c r="Y541" s="54"/>
      <c r="Z541" s="54"/>
      <c r="AA541" s="54"/>
      <c r="AB541" s="287"/>
      <c r="AC541" s="54"/>
      <c r="AD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382"/>
      <c r="S542" s="377"/>
      <c r="T542" s="54"/>
      <c r="U542" s="54"/>
      <c r="V542" s="54"/>
      <c r="W542" s="54"/>
      <c r="X542" s="54"/>
      <c r="Y542" s="54"/>
      <c r="Z542" s="54"/>
      <c r="AA542" s="54"/>
      <c r="AB542" s="287"/>
      <c r="AC542" s="54"/>
      <c r="AD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382"/>
      <c r="S543" s="377"/>
      <c r="T543" s="54"/>
      <c r="U543" s="54"/>
      <c r="V543" s="54"/>
      <c r="W543" s="54"/>
      <c r="X543" s="54"/>
      <c r="Y543" s="54"/>
      <c r="Z543" s="54"/>
      <c r="AA543" s="54"/>
      <c r="AB543" s="287"/>
      <c r="AC543" s="54"/>
      <c r="AD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382"/>
      <c r="S544" s="377"/>
      <c r="T544" s="54"/>
      <c r="U544" s="54"/>
      <c r="V544" s="54"/>
      <c r="W544" s="54"/>
      <c r="X544" s="54"/>
      <c r="Y544" s="54"/>
      <c r="Z544" s="54"/>
      <c r="AA544" s="54"/>
      <c r="AB544" s="287"/>
      <c r="AC544" s="54"/>
      <c r="AD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382"/>
      <c r="S545" s="377"/>
      <c r="T545" s="54"/>
      <c r="U545" s="54"/>
      <c r="V545" s="54"/>
      <c r="W545" s="54"/>
      <c r="X545" s="54"/>
      <c r="Y545" s="54"/>
      <c r="Z545" s="54"/>
      <c r="AA545" s="54"/>
      <c r="AB545" s="287"/>
      <c r="AC545" s="54"/>
      <c r="AD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382"/>
      <c r="S546" s="377"/>
      <c r="T546" s="54"/>
      <c r="U546" s="54"/>
      <c r="V546" s="54"/>
      <c r="W546" s="54"/>
      <c r="X546" s="54"/>
      <c r="Y546" s="54"/>
      <c r="Z546" s="54"/>
      <c r="AA546" s="54"/>
      <c r="AB546" s="287"/>
      <c r="AC546" s="54"/>
      <c r="AD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382"/>
      <c r="S547" s="377"/>
      <c r="T547" s="54"/>
      <c r="U547" s="54"/>
      <c r="V547" s="54"/>
      <c r="W547" s="54"/>
      <c r="X547" s="54"/>
      <c r="Y547" s="54"/>
      <c r="Z547" s="54"/>
      <c r="AA547" s="54"/>
      <c r="AB547" s="287"/>
      <c r="AC547" s="54"/>
      <c r="AD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382"/>
      <c r="S548" s="377"/>
      <c r="T548" s="54"/>
      <c r="U548" s="54"/>
      <c r="V548" s="54"/>
      <c r="W548" s="54"/>
      <c r="X548" s="54"/>
      <c r="Y548" s="54"/>
      <c r="Z548" s="54"/>
      <c r="AA548" s="54"/>
      <c r="AB548" s="287"/>
      <c r="AC548" s="54"/>
      <c r="AD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382"/>
      <c r="S549" s="377"/>
      <c r="T549" s="54"/>
      <c r="U549" s="54"/>
      <c r="V549" s="54"/>
      <c r="W549" s="54"/>
      <c r="X549" s="54"/>
      <c r="Y549" s="54"/>
      <c r="Z549" s="54"/>
      <c r="AA549" s="54"/>
      <c r="AB549" s="287"/>
      <c r="AC549" s="54"/>
      <c r="AD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382"/>
      <c r="S550" s="377"/>
      <c r="T550" s="54"/>
      <c r="U550" s="54"/>
      <c r="V550" s="54"/>
      <c r="W550" s="54"/>
      <c r="X550" s="54"/>
      <c r="Y550" s="54"/>
      <c r="Z550" s="54"/>
      <c r="AA550" s="54"/>
      <c r="AB550" s="287"/>
      <c r="AC550" s="54"/>
      <c r="AD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382"/>
      <c r="S551" s="377"/>
      <c r="T551" s="54"/>
      <c r="U551" s="54"/>
      <c r="V551" s="54"/>
      <c r="W551" s="54"/>
      <c r="X551" s="54"/>
      <c r="Y551" s="54"/>
      <c r="Z551" s="54"/>
      <c r="AA551" s="54"/>
      <c r="AB551" s="287"/>
      <c r="AC551" s="54"/>
      <c r="AD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382"/>
      <c r="S552" s="377"/>
      <c r="T552" s="54"/>
      <c r="U552" s="54"/>
      <c r="V552" s="54"/>
      <c r="W552" s="54"/>
      <c r="X552" s="54"/>
      <c r="Y552" s="54"/>
      <c r="Z552" s="54"/>
      <c r="AA552" s="54"/>
      <c r="AB552" s="287"/>
      <c r="AC552" s="54"/>
      <c r="AD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382"/>
      <c r="S553" s="377"/>
      <c r="T553" s="54"/>
      <c r="U553" s="54"/>
      <c r="V553" s="54"/>
      <c r="W553" s="54"/>
      <c r="X553" s="54"/>
      <c r="Y553" s="54"/>
      <c r="Z553" s="54"/>
      <c r="AA553" s="54"/>
      <c r="AB553" s="287"/>
      <c r="AC553" s="54"/>
      <c r="AD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382"/>
      <c r="S554" s="377"/>
      <c r="T554" s="54"/>
      <c r="U554" s="54"/>
      <c r="V554" s="54"/>
      <c r="W554" s="54"/>
      <c r="X554" s="54"/>
      <c r="Y554" s="54"/>
      <c r="Z554" s="54"/>
      <c r="AA554" s="54"/>
      <c r="AB554" s="287"/>
      <c r="AC554" s="54"/>
      <c r="AD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382"/>
      <c r="S555" s="377"/>
      <c r="T555" s="54"/>
      <c r="U555" s="54"/>
      <c r="V555" s="54"/>
      <c r="W555" s="54"/>
      <c r="X555" s="54"/>
      <c r="Y555" s="54"/>
      <c r="Z555" s="54"/>
      <c r="AA555" s="54"/>
      <c r="AB555" s="287"/>
      <c r="AC555" s="54"/>
      <c r="AD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382"/>
      <c r="S556" s="377"/>
      <c r="T556" s="54"/>
      <c r="U556" s="54"/>
      <c r="V556" s="54"/>
      <c r="W556" s="54"/>
      <c r="X556" s="54"/>
      <c r="Y556" s="54"/>
      <c r="Z556" s="54"/>
      <c r="AA556" s="54"/>
      <c r="AB556" s="287"/>
      <c r="AC556" s="54"/>
      <c r="AD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382"/>
      <c r="S557" s="377"/>
      <c r="T557" s="54"/>
      <c r="U557" s="54"/>
      <c r="V557" s="54"/>
      <c r="W557" s="54"/>
      <c r="X557" s="54"/>
      <c r="Y557" s="54"/>
      <c r="Z557" s="54"/>
      <c r="AA557" s="54"/>
      <c r="AB557" s="287"/>
      <c r="AC557" s="54"/>
      <c r="AD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382"/>
      <c r="S558" s="377"/>
      <c r="T558" s="54"/>
      <c r="U558" s="54"/>
      <c r="V558" s="54"/>
      <c r="W558" s="54"/>
      <c r="X558" s="54"/>
      <c r="Y558" s="54"/>
      <c r="Z558" s="54"/>
      <c r="AA558" s="54"/>
      <c r="AB558" s="287"/>
      <c r="AC558" s="54"/>
      <c r="AD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382"/>
      <c r="S559" s="377"/>
      <c r="T559" s="54"/>
      <c r="U559" s="54"/>
      <c r="V559" s="54"/>
      <c r="W559" s="54"/>
      <c r="X559" s="54"/>
      <c r="Y559" s="54"/>
      <c r="Z559" s="54"/>
      <c r="AA559" s="54"/>
      <c r="AB559" s="287"/>
      <c r="AC559" s="54"/>
      <c r="AD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382"/>
      <c r="S560" s="377"/>
      <c r="T560" s="54"/>
      <c r="U560" s="54"/>
      <c r="V560" s="54"/>
      <c r="W560" s="54"/>
      <c r="X560" s="54"/>
      <c r="Y560" s="54"/>
      <c r="Z560" s="54"/>
      <c r="AA560" s="54"/>
      <c r="AB560" s="287"/>
      <c r="AC560" s="54"/>
      <c r="AD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382"/>
      <c r="S561" s="377"/>
      <c r="T561" s="54"/>
      <c r="U561" s="54"/>
      <c r="V561" s="54"/>
      <c r="W561" s="54"/>
      <c r="X561" s="54"/>
      <c r="Y561" s="54"/>
      <c r="Z561" s="54"/>
      <c r="AA561" s="54"/>
      <c r="AB561" s="287"/>
      <c r="AC561" s="54"/>
      <c r="AD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382"/>
      <c r="S562" s="377"/>
      <c r="T562" s="54"/>
      <c r="U562" s="54"/>
      <c r="V562" s="54"/>
      <c r="W562" s="54"/>
      <c r="X562" s="54"/>
      <c r="Y562" s="54"/>
      <c r="Z562" s="54"/>
      <c r="AA562" s="54"/>
      <c r="AB562" s="287"/>
      <c r="AC562" s="54"/>
      <c r="AD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382"/>
      <c r="S563" s="377"/>
      <c r="T563" s="54"/>
      <c r="U563" s="54"/>
      <c r="V563" s="54"/>
      <c r="W563" s="54"/>
      <c r="X563" s="54"/>
      <c r="Y563" s="54"/>
      <c r="Z563" s="54"/>
      <c r="AA563" s="54"/>
      <c r="AB563" s="287"/>
      <c r="AC563" s="54"/>
      <c r="AD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382"/>
      <c r="S564" s="377"/>
      <c r="T564" s="54"/>
      <c r="U564" s="54"/>
      <c r="V564" s="54"/>
      <c r="W564" s="54"/>
      <c r="X564" s="54"/>
      <c r="Y564" s="54"/>
      <c r="Z564" s="54"/>
      <c r="AA564" s="54"/>
      <c r="AB564" s="287"/>
      <c r="AC564" s="54"/>
      <c r="AD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382"/>
      <c r="S565" s="377"/>
      <c r="T565" s="54"/>
      <c r="U565" s="54"/>
      <c r="V565" s="54"/>
      <c r="W565" s="54"/>
      <c r="X565" s="54"/>
      <c r="Y565" s="54"/>
      <c r="Z565" s="54"/>
      <c r="AA565" s="54"/>
      <c r="AB565" s="287"/>
      <c r="AC565" s="54"/>
      <c r="AD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382"/>
      <c r="S566" s="377"/>
      <c r="T566" s="54"/>
      <c r="U566" s="54"/>
      <c r="V566" s="54"/>
      <c r="W566" s="54"/>
      <c r="X566" s="54"/>
      <c r="Y566" s="54"/>
      <c r="Z566" s="54"/>
      <c r="AA566" s="54"/>
      <c r="AB566" s="287"/>
      <c r="AC566" s="54"/>
      <c r="AD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382"/>
      <c r="S567" s="377"/>
      <c r="T567" s="54"/>
      <c r="U567" s="54"/>
      <c r="V567" s="54"/>
      <c r="W567" s="54"/>
      <c r="X567" s="54"/>
      <c r="Y567" s="54"/>
      <c r="Z567" s="54"/>
      <c r="AA567" s="54"/>
      <c r="AB567" s="287"/>
      <c r="AC567" s="54"/>
      <c r="AD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382"/>
      <c r="S568" s="377"/>
      <c r="T568" s="54"/>
      <c r="U568" s="54"/>
      <c r="V568" s="54"/>
      <c r="W568" s="54"/>
      <c r="X568" s="54"/>
      <c r="Y568" s="54"/>
      <c r="Z568" s="54"/>
      <c r="AA568" s="54"/>
      <c r="AB568" s="287"/>
      <c r="AC568" s="54"/>
      <c r="AD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382"/>
      <c r="S569" s="377"/>
      <c r="T569" s="54"/>
      <c r="U569" s="54"/>
      <c r="V569" s="54"/>
      <c r="W569" s="54"/>
      <c r="X569" s="54"/>
      <c r="Y569" s="54"/>
      <c r="Z569" s="54"/>
      <c r="AA569" s="54"/>
      <c r="AB569" s="287"/>
      <c r="AC569" s="54"/>
      <c r="AD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382"/>
      <c r="S570" s="377"/>
      <c r="T570" s="54"/>
      <c r="U570" s="54"/>
      <c r="V570" s="54"/>
      <c r="W570" s="54"/>
      <c r="X570" s="54"/>
      <c r="Y570" s="54"/>
      <c r="Z570" s="54"/>
      <c r="AA570" s="54"/>
      <c r="AB570" s="287"/>
      <c r="AC570" s="54"/>
      <c r="AD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382"/>
      <c r="S571" s="377"/>
      <c r="T571" s="54"/>
      <c r="U571" s="54"/>
      <c r="V571" s="54"/>
      <c r="W571" s="54"/>
      <c r="X571" s="54"/>
      <c r="Y571" s="54"/>
      <c r="Z571" s="54"/>
      <c r="AA571" s="54"/>
      <c r="AB571" s="287"/>
      <c r="AC571" s="54"/>
      <c r="AD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382"/>
      <c r="S572" s="377"/>
      <c r="T572" s="54"/>
      <c r="U572" s="54"/>
      <c r="V572" s="54"/>
      <c r="W572" s="54"/>
      <c r="X572" s="54"/>
      <c r="Y572" s="54"/>
      <c r="Z572" s="54"/>
      <c r="AA572" s="54"/>
      <c r="AB572" s="287"/>
      <c r="AC572" s="54"/>
      <c r="AD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382"/>
      <c r="S573" s="377"/>
      <c r="T573" s="54"/>
      <c r="U573" s="54"/>
      <c r="V573" s="54"/>
      <c r="W573" s="54"/>
      <c r="X573" s="54"/>
      <c r="Y573" s="54"/>
      <c r="Z573" s="54"/>
      <c r="AA573" s="54"/>
      <c r="AB573" s="287"/>
      <c r="AC573" s="54"/>
      <c r="AD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382"/>
      <c r="S574" s="377"/>
      <c r="T574" s="54"/>
      <c r="U574" s="54"/>
      <c r="V574" s="54"/>
      <c r="W574" s="54"/>
      <c r="X574" s="54"/>
      <c r="Y574" s="54"/>
      <c r="Z574" s="54"/>
      <c r="AA574" s="54"/>
      <c r="AB574" s="287"/>
      <c r="AC574" s="54"/>
      <c r="AD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382"/>
      <c r="S575" s="377"/>
      <c r="T575" s="54"/>
      <c r="U575" s="54"/>
      <c r="V575" s="54"/>
      <c r="W575" s="54"/>
      <c r="X575" s="54"/>
      <c r="Y575" s="54"/>
      <c r="Z575" s="54"/>
      <c r="AA575" s="54"/>
      <c r="AB575" s="287"/>
      <c r="AC575" s="54"/>
      <c r="AD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382"/>
      <c r="S576" s="377"/>
      <c r="T576" s="54"/>
      <c r="U576" s="54"/>
      <c r="V576" s="54"/>
      <c r="W576" s="54"/>
      <c r="X576" s="54"/>
      <c r="Y576" s="54"/>
      <c r="Z576" s="54"/>
      <c r="AA576" s="54"/>
      <c r="AB576" s="287"/>
      <c r="AC576" s="54"/>
      <c r="AD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382"/>
      <c r="S577" s="377"/>
      <c r="T577" s="54"/>
      <c r="U577" s="54"/>
      <c r="V577" s="54"/>
      <c r="W577" s="54"/>
      <c r="X577" s="54"/>
      <c r="Y577" s="54"/>
      <c r="Z577" s="54"/>
      <c r="AA577" s="54"/>
      <c r="AB577" s="287"/>
      <c r="AC577" s="54"/>
      <c r="AD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382"/>
      <c r="S578" s="377"/>
      <c r="T578" s="54"/>
      <c r="U578" s="54"/>
      <c r="V578" s="54"/>
      <c r="W578" s="54"/>
      <c r="X578" s="54"/>
      <c r="Y578" s="54"/>
      <c r="Z578" s="54"/>
      <c r="AA578" s="54"/>
      <c r="AB578" s="287"/>
      <c r="AC578" s="54"/>
      <c r="AD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382"/>
      <c r="S579" s="377"/>
      <c r="T579" s="54"/>
      <c r="U579" s="54"/>
      <c r="V579" s="54"/>
      <c r="W579" s="54"/>
      <c r="X579" s="54"/>
      <c r="Y579" s="54"/>
      <c r="Z579" s="54"/>
      <c r="AA579" s="54"/>
      <c r="AB579" s="287"/>
      <c r="AC579" s="54"/>
      <c r="AD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382"/>
      <c r="S580" s="377"/>
      <c r="T580" s="54"/>
      <c r="U580" s="54"/>
      <c r="V580" s="54"/>
      <c r="W580" s="54"/>
      <c r="X580" s="54"/>
      <c r="Y580" s="54"/>
      <c r="Z580" s="54"/>
      <c r="AA580" s="54"/>
      <c r="AB580" s="287"/>
      <c r="AC580" s="54"/>
      <c r="AD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382"/>
      <c r="S581" s="377"/>
      <c r="T581" s="54"/>
      <c r="U581" s="54"/>
      <c r="V581" s="54"/>
      <c r="W581" s="54"/>
      <c r="X581" s="54"/>
      <c r="Y581" s="54"/>
      <c r="Z581" s="54"/>
      <c r="AA581" s="54"/>
      <c r="AB581" s="287"/>
      <c r="AC581" s="54"/>
      <c r="AD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382"/>
      <c r="S582" s="377"/>
      <c r="T582" s="54"/>
      <c r="U582" s="54"/>
      <c r="V582" s="54"/>
      <c r="W582" s="54"/>
      <c r="X582" s="54"/>
      <c r="Y582" s="54"/>
      <c r="Z582" s="54"/>
      <c r="AA582" s="54"/>
      <c r="AB582" s="287"/>
      <c r="AC582" s="54"/>
      <c r="AD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382"/>
      <c r="S583" s="377"/>
      <c r="T583" s="54"/>
      <c r="U583" s="54"/>
      <c r="V583" s="54"/>
      <c r="W583" s="54"/>
      <c r="X583" s="54"/>
      <c r="Y583" s="54"/>
      <c r="Z583" s="54"/>
      <c r="AA583" s="54"/>
      <c r="AB583" s="287"/>
      <c r="AC583" s="54"/>
      <c r="AD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382"/>
      <c r="S584" s="377"/>
      <c r="T584" s="54"/>
      <c r="U584" s="54"/>
      <c r="V584" s="54"/>
      <c r="W584" s="54"/>
      <c r="X584" s="54"/>
      <c r="Y584" s="54"/>
      <c r="Z584" s="54"/>
      <c r="AA584" s="54"/>
      <c r="AB584" s="287"/>
      <c r="AC584" s="54"/>
      <c r="AD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382"/>
      <c r="S585" s="377"/>
      <c r="T585" s="54"/>
      <c r="U585" s="54"/>
      <c r="V585" s="54"/>
      <c r="W585" s="54"/>
      <c r="X585" s="54"/>
      <c r="Y585" s="54"/>
      <c r="Z585" s="54"/>
      <c r="AA585" s="54"/>
      <c r="AB585" s="287"/>
      <c r="AC585" s="54"/>
      <c r="AD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382"/>
      <c r="S586" s="377"/>
      <c r="T586" s="54"/>
      <c r="U586" s="54"/>
      <c r="V586" s="54"/>
      <c r="W586" s="54"/>
      <c r="X586" s="54"/>
      <c r="Y586" s="54"/>
      <c r="Z586" s="54"/>
      <c r="AA586" s="54"/>
      <c r="AB586" s="287"/>
      <c r="AC586" s="54"/>
      <c r="AD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382"/>
      <c r="S587" s="377"/>
      <c r="T587" s="54"/>
      <c r="U587" s="54"/>
      <c r="V587" s="54"/>
      <c r="W587" s="54"/>
      <c r="X587" s="54"/>
      <c r="Y587" s="54"/>
      <c r="Z587" s="54"/>
      <c r="AA587" s="54"/>
      <c r="AB587" s="287"/>
      <c r="AC587" s="54"/>
      <c r="AD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382"/>
      <c r="S588" s="377"/>
      <c r="T588" s="54"/>
      <c r="U588" s="54"/>
      <c r="V588" s="54"/>
      <c r="W588" s="54"/>
      <c r="X588" s="54"/>
      <c r="Y588" s="54"/>
      <c r="Z588" s="54"/>
      <c r="AA588" s="54"/>
      <c r="AB588" s="287"/>
      <c r="AC588" s="54"/>
      <c r="AD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382"/>
      <c r="S589" s="377"/>
      <c r="T589" s="54"/>
      <c r="U589" s="54"/>
      <c r="V589" s="54"/>
      <c r="W589" s="54"/>
      <c r="X589" s="54"/>
      <c r="Y589" s="54"/>
      <c r="Z589" s="54"/>
      <c r="AA589" s="54"/>
      <c r="AB589" s="287"/>
      <c r="AC589" s="54"/>
      <c r="AD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382"/>
      <c r="S590" s="377"/>
      <c r="T590" s="54"/>
      <c r="U590" s="54"/>
      <c r="V590" s="54"/>
      <c r="W590" s="54"/>
      <c r="X590" s="54"/>
      <c r="Y590" s="54"/>
      <c r="Z590" s="54"/>
      <c r="AA590" s="54"/>
      <c r="AB590" s="287"/>
      <c r="AC590" s="54"/>
      <c r="AD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382"/>
      <c r="S591" s="377"/>
      <c r="T591" s="54"/>
      <c r="U591" s="54"/>
      <c r="V591" s="54"/>
      <c r="W591" s="54"/>
      <c r="X591" s="54"/>
      <c r="Y591" s="54"/>
      <c r="Z591" s="54"/>
      <c r="AA591" s="54"/>
      <c r="AB591" s="287"/>
      <c r="AC591" s="54"/>
      <c r="AD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382"/>
      <c r="S592" s="377"/>
      <c r="T592" s="54"/>
      <c r="U592" s="54"/>
      <c r="V592" s="54"/>
      <c r="W592" s="54"/>
      <c r="X592" s="54"/>
      <c r="Y592" s="54"/>
      <c r="Z592" s="54"/>
      <c r="AA592" s="54"/>
      <c r="AB592" s="287"/>
      <c r="AC592" s="54"/>
      <c r="AD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382"/>
      <c r="S593" s="377"/>
      <c r="T593" s="54"/>
      <c r="U593" s="54"/>
      <c r="V593" s="54"/>
      <c r="W593" s="54"/>
      <c r="X593" s="54"/>
      <c r="Y593" s="54"/>
      <c r="Z593" s="54"/>
      <c r="AA593" s="54"/>
      <c r="AB593" s="287"/>
      <c r="AC593" s="54"/>
      <c r="AD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382"/>
      <c r="S594" s="377"/>
      <c r="T594" s="54"/>
      <c r="U594" s="54"/>
      <c r="V594" s="54"/>
      <c r="W594" s="54"/>
      <c r="X594" s="54"/>
      <c r="Y594" s="54"/>
      <c r="Z594" s="54"/>
      <c r="AA594" s="54"/>
      <c r="AB594" s="287"/>
      <c r="AC594" s="54"/>
      <c r="AD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382"/>
      <c r="S595" s="377"/>
      <c r="T595" s="54"/>
      <c r="U595" s="54"/>
      <c r="V595" s="54"/>
      <c r="W595" s="54"/>
      <c r="X595" s="54"/>
      <c r="Y595" s="54"/>
      <c r="Z595" s="54"/>
      <c r="AA595" s="54"/>
      <c r="AB595" s="287"/>
      <c r="AC595" s="54"/>
      <c r="AD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382"/>
      <c r="S596" s="377"/>
      <c r="T596" s="54"/>
      <c r="U596" s="54"/>
      <c r="V596" s="54"/>
      <c r="W596" s="54"/>
      <c r="X596" s="54"/>
      <c r="Y596" s="54"/>
      <c r="Z596" s="54"/>
      <c r="AA596" s="54"/>
      <c r="AB596" s="287"/>
      <c r="AC596" s="54"/>
      <c r="AD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382"/>
      <c r="S597" s="377"/>
      <c r="T597" s="54"/>
      <c r="U597" s="54"/>
      <c r="V597" s="54"/>
      <c r="W597" s="54"/>
      <c r="X597" s="54"/>
      <c r="Y597" s="54"/>
      <c r="Z597" s="54"/>
      <c r="AA597" s="54"/>
      <c r="AB597" s="287"/>
      <c r="AC597" s="54"/>
      <c r="AD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382"/>
      <c r="S598" s="377"/>
      <c r="T598" s="54"/>
      <c r="U598" s="54"/>
      <c r="V598" s="54"/>
      <c r="W598" s="54"/>
      <c r="X598" s="54"/>
      <c r="Y598" s="54"/>
      <c r="Z598" s="54"/>
      <c r="AA598" s="54"/>
      <c r="AB598" s="287"/>
      <c r="AC598" s="54"/>
      <c r="AD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382"/>
      <c r="S599" s="377"/>
      <c r="T599" s="54"/>
      <c r="U599" s="54"/>
      <c r="V599" s="54"/>
      <c r="W599" s="54"/>
      <c r="X599" s="54"/>
      <c r="Y599" s="54"/>
      <c r="Z599" s="54"/>
      <c r="AA599" s="54"/>
      <c r="AB599" s="287"/>
      <c r="AC599" s="54"/>
      <c r="AD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382"/>
      <c r="S600" s="377"/>
      <c r="T600" s="54"/>
      <c r="U600" s="54"/>
      <c r="V600" s="54"/>
      <c r="W600" s="54"/>
      <c r="X600" s="54"/>
      <c r="Y600" s="54"/>
      <c r="Z600" s="54"/>
      <c r="AA600" s="54"/>
      <c r="AB600" s="287"/>
      <c r="AC600" s="54"/>
      <c r="AD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382"/>
      <c r="S601" s="377"/>
      <c r="T601" s="54"/>
      <c r="U601" s="54"/>
      <c r="V601" s="54"/>
      <c r="W601" s="54"/>
      <c r="X601" s="54"/>
      <c r="Y601" s="54"/>
      <c r="Z601" s="54"/>
      <c r="AA601" s="54"/>
      <c r="AB601" s="287"/>
      <c r="AC601" s="54"/>
      <c r="AD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382"/>
      <c r="S602" s="377"/>
      <c r="T602" s="54"/>
      <c r="U602" s="54"/>
      <c r="V602" s="54"/>
      <c r="W602" s="54"/>
      <c r="X602" s="54"/>
      <c r="Y602" s="54"/>
      <c r="Z602" s="54"/>
      <c r="AA602" s="54"/>
      <c r="AB602" s="287"/>
      <c r="AC602" s="54"/>
      <c r="AD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382"/>
      <c r="S603" s="377"/>
      <c r="T603" s="54"/>
      <c r="U603" s="54"/>
      <c r="V603" s="54"/>
      <c r="W603" s="54"/>
      <c r="X603" s="54"/>
      <c r="Y603" s="54"/>
      <c r="Z603" s="54"/>
      <c r="AA603" s="54"/>
      <c r="AB603" s="287"/>
      <c r="AC603" s="54"/>
      <c r="AD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382"/>
      <c r="S604" s="377"/>
      <c r="T604" s="54"/>
      <c r="U604" s="54"/>
      <c r="V604" s="54"/>
      <c r="W604" s="54"/>
      <c r="X604" s="54"/>
      <c r="Y604" s="54"/>
      <c r="Z604" s="54"/>
      <c r="AA604" s="54"/>
      <c r="AB604" s="287"/>
      <c r="AC604" s="54"/>
      <c r="AD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382"/>
      <c r="S605" s="377"/>
      <c r="T605" s="54"/>
      <c r="U605" s="54"/>
      <c r="V605" s="54"/>
      <c r="W605" s="54"/>
      <c r="X605" s="54"/>
      <c r="Y605" s="54"/>
      <c r="Z605" s="54"/>
      <c r="AA605" s="54"/>
      <c r="AB605" s="287"/>
      <c r="AC605" s="54"/>
      <c r="AD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382"/>
      <c r="S606" s="377"/>
      <c r="T606" s="54"/>
      <c r="U606" s="54"/>
      <c r="V606" s="54"/>
      <c r="W606" s="54"/>
      <c r="X606" s="54"/>
      <c r="Y606" s="54"/>
      <c r="Z606" s="54"/>
      <c r="AA606" s="54"/>
      <c r="AB606" s="287"/>
      <c r="AC606" s="54"/>
      <c r="AD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382"/>
      <c r="S607" s="377"/>
      <c r="T607" s="54"/>
      <c r="U607" s="54"/>
      <c r="V607" s="54"/>
      <c r="W607" s="54"/>
      <c r="X607" s="54"/>
      <c r="Y607" s="54"/>
      <c r="Z607" s="54"/>
      <c r="AA607" s="54"/>
      <c r="AB607" s="287"/>
      <c r="AC607" s="54"/>
      <c r="AD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382"/>
      <c r="S608" s="377"/>
      <c r="T608" s="54"/>
      <c r="U608" s="54"/>
      <c r="V608" s="54"/>
      <c r="W608" s="54"/>
      <c r="X608" s="54"/>
      <c r="Y608" s="54"/>
      <c r="Z608" s="54"/>
      <c r="AA608" s="54"/>
      <c r="AB608" s="287"/>
      <c r="AC608" s="54"/>
      <c r="AD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382"/>
      <c r="S609" s="377"/>
      <c r="T609" s="54"/>
      <c r="U609" s="54"/>
      <c r="V609" s="54"/>
      <c r="W609" s="54"/>
      <c r="X609" s="54"/>
      <c r="Y609" s="54"/>
      <c r="Z609" s="54"/>
      <c r="AA609" s="54"/>
      <c r="AB609" s="287"/>
      <c r="AC609" s="54"/>
      <c r="AD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382"/>
      <c r="S610" s="377"/>
      <c r="T610" s="54"/>
      <c r="U610" s="54"/>
      <c r="V610" s="54"/>
      <c r="W610" s="54"/>
      <c r="X610" s="54"/>
      <c r="Y610" s="54"/>
      <c r="Z610" s="54"/>
      <c r="AA610" s="54"/>
      <c r="AB610" s="287"/>
      <c r="AC610" s="54"/>
      <c r="AD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382"/>
      <c r="S611" s="377"/>
      <c r="T611" s="54"/>
      <c r="U611" s="54"/>
      <c r="V611" s="54"/>
      <c r="W611" s="54"/>
      <c r="X611" s="54"/>
      <c r="Y611" s="54"/>
      <c r="Z611" s="54"/>
      <c r="AA611" s="54"/>
      <c r="AB611" s="287"/>
      <c r="AC611" s="54"/>
      <c r="AD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382"/>
      <c r="S612" s="377"/>
      <c r="T612" s="54"/>
      <c r="U612" s="54"/>
      <c r="V612" s="54"/>
      <c r="W612" s="54"/>
      <c r="X612" s="54"/>
      <c r="Y612" s="54"/>
      <c r="Z612" s="54"/>
      <c r="AA612" s="54"/>
      <c r="AB612" s="287"/>
      <c r="AC612" s="54"/>
      <c r="AD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382"/>
      <c r="S613" s="377"/>
      <c r="T613" s="54"/>
      <c r="U613" s="54"/>
      <c r="V613" s="54"/>
      <c r="W613" s="54"/>
      <c r="X613" s="54"/>
      <c r="Y613" s="54"/>
      <c r="Z613" s="54"/>
      <c r="AA613" s="54"/>
      <c r="AB613" s="287"/>
      <c r="AC613" s="54"/>
      <c r="AD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382"/>
      <c r="S614" s="377"/>
      <c r="T614" s="54"/>
      <c r="U614" s="54"/>
      <c r="V614" s="54"/>
      <c r="W614" s="54"/>
      <c r="X614" s="54"/>
      <c r="Y614" s="54"/>
      <c r="Z614" s="54"/>
      <c r="AA614" s="54"/>
      <c r="AB614" s="287"/>
      <c r="AC614" s="54"/>
      <c r="AD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382"/>
      <c r="S615" s="377"/>
      <c r="T615" s="54"/>
      <c r="U615" s="54"/>
      <c r="V615" s="54"/>
      <c r="W615" s="54"/>
      <c r="X615" s="54"/>
      <c r="Y615" s="54"/>
      <c r="Z615" s="54"/>
      <c r="AA615" s="54"/>
      <c r="AB615" s="287"/>
      <c r="AC615" s="54"/>
      <c r="AD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382"/>
      <c r="S616" s="377"/>
      <c r="T616" s="54"/>
      <c r="U616" s="54"/>
      <c r="V616" s="54"/>
      <c r="W616" s="54"/>
      <c r="X616" s="54"/>
      <c r="Y616" s="54"/>
      <c r="Z616" s="54"/>
      <c r="AA616" s="54"/>
      <c r="AB616" s="287"/>
      <c r="AC616" s="54"/>
      <c r="AD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382"/>
      <c r="S617" s="377"/>
      <c r="T617" s="54"/>
      <c r="U617" s="54"/>
      <c r="V617" s="54"/>
      <c r="W617" s="54"/>
      <c r="X617" s="54"/>
      <c r="Y617" s="54"/>
      <c r="Z617" s="54"/>
      <c r="AA617" s="54"/>
      <c r="AB617" s="287"/>
      <c r="AC617" s="54"/>
      <c r="AD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382"/>
      <c r="S618" s="377"/>
      <c r="T618" s="54"/>
      <c r="U618" s="54"/>
      <c r="V618" s="54"/>
      <c r="W618" s="54"/>
      <c r="X618" s="54"/>
      <c r="Y618" s="54"/>
      <c r="Z618" s="54"/>
      <c r="AA618" s="54"/>
      <c r="AB618" s="287"/>
      <c r="AC618" s="54"/>
      <c r="AD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382"/>
      <c r="S619" s="377"/>
      <c r="T619" s="54"/>
      <c r="U619" s="54"/>
      <c r="V619" s="54"/>
      <c r="W619" s="54"/>
      <c r="X619" s="54"/>
      <c r="Y619" s="54"/>
      <c r="Z619" s="54"/>
      <c r="AA619" s="54"/>
      <c r="AB619" s="287"/>
      <c r="AC619" s="54"/>
      <c r="AD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382"/>
      <c r="S620" s="377"/>
      <c r="T620" s="54"/>
      <c r="U620" s="54"/>
      <c r="V620" s="54"/>
      <c r="W620" s="54"/>
      <c r="X620" s="54"/>
      <c r="Y620" s="54"/>
      <c r="Z620" s="54"/>
      <c r="AA620" s="54"/>
      <c r="AB620" s="287"/>
      <c r="AC620" s="54"/>
      <c r="AD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382"/>
      <c r="S621" s="377"/>
      <c r="T621" s="54"/>
      <c r="U621" s="54"/>
      <c r="V621" s="54"/>
      <c r="W621" s="54"/>
      <c r="X621" s="54"/>
      <c r="Y621" s="54"/>
      <c r="Z621" s="54"/>
      <c r="AA621" s="54"/>
      <c r="AB621" s="287"/>
      <c r="AC621" s="54"/>
      <c r="AD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382"/>
      <c r="S622" s="377"/>
      <c r="T622" s="54"/>
      <c r="U622" s="54"/>
      <c r="V622" s="54"/>
      <c r="W622" s="54"/>
      <c r="X622" s="54"/>
      <c r="Y622" s="54"/>
      <c r="Z622" s="54"/>
      <c r="AA622" s="54"/>
      <c r="AB622" s="287"/>
      <c r="AC622" s="54"/>
      <c r="AD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382"/>
      <c r="S623" s="377"/>
      <c r="T623" s="54"/>
      <c r="U623" s="54"/>
      <c r="V623" s="54"/>
      <c r="W623" s="54"/>
      <c r="X623" s="54"/>
      <c r="Y623" s="54"/>
      <c r="Z623" s="54"/>
      <c r="AA623" s="54"/>
      <c r="AB623" s="287"/>
      <c r="AC623" s="54"/>
      <c r="AD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382"/>
      <c r="S624" s="377"/>
      <c r="T624" s="54"/>
      <c r="U624" s="54"/>
      <c r="V624" s="54"/>
      <c r="W624" s="54"/>
      <c r="X624" s="54"/>
      <c r="Y624" s="54"/>
      <c r="Z624" s="54"/>
      <c r="AA624" s="54"/>
      <c r="AB624" s="287"/>
      <c r="AC624" s="54"/>
      <c r="AD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382"/>
      <c r="S625" s="377"/>
      <c r="T625" s="54"/>
      <c r="U625" s="54"/>
      <c r="V625" s="54"/>
      <c r="W625" s="54"/>
      <c r="X625" s="54"/>
      <c r="Y625" s="54"/>
      <c r="Z625" s="54"/>
      <c r="AA625" s="54"/>
      <c r="AB625" s="287"/>
      <c r="AC625" s="54"/>
      <c r="AD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382"/>
      <c r="S626" s="377"/>
      <c r="T626" s="54"/>
      <c r="U626" s="54"/>
      <c r="V626" s="54"/>
      <c r="W626" s="54"/>
      <c r="X626" s="54"/>
      <c r="Y626" s="54"/>
      <c r="Z626" s="54"/>
      <c r="AA626" s="54"/>
      <c r="AB626" s="287"/>
      <c r="AC626" s="54"/>
      <c r="AD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382"/>
      <c r="S627" s="377"/>
      <c r="T627" s="54"/>
      <c r="U627" s="54"/>
      <c r="V627" s="54"/>
      <c r="W627" s="54"/>
      <c r="X627" s="54"/>
      <c r="Y627" s="54"/>
      <c r="Z627" s="54"/>
      <c r="AA627" s="54"/>
      <c r="AB627" s="287"/>
      <c r="AC627" s="54"/>
      <c r="AD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382"/>
      <c r="S628" s="377"/>
      <c r="T628" s="54"/>
      <c r="U628" s="54"/>
      <c r="V628" s="54"/>
      <c r="W628" s="54"/>
      <c r="X628" s="54"/>
      <c r="Y628" s="54"/>
      <c r="Z628" s="54"/>
      <c r="AA628" s="54"/>
      <c r="AB628" s="287"/>
      <c r="AC628" s="54"/>
      <c r="AD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382"/>
      <c r="S629" s="377"/>
      <c r="T629" s="54"/>
      <c r="U629" s="54"/>
      <c r="V629" s="54"/>
      <c r="W629" s="54"/>
      <c r="X629" s="54"/>
      <c r="Y629" s="54"/>
      <c r="Z629" s="54"/>
      <c r="AA629" s="54"/>
      <c r="AB629" s="287"/>
      <c r="AC629" s="54"/>
      <c r="AD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382"/>
      <c r="S630" s="377"/>
      <c r="T630" s="54"/>
      <c r="U630" s="54"/>
      <c r="V630" s="54"/>
      <c r="W630" s="54"/>
      <c r="X630" s="54"/>
      <c r="Y630" s="54"/>
      <c r="Z630" s="54"/>
      <c r="AA630" s="54"/>
      <c r="AB630" s="287"/>
      <c r="AC630" s="54"/>
      <c r="AD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382"/>
      <c r="S631" s="377"/>
      <c r="T631" s="54"/>
      <c r="U631" s="54"/>
      <c r="V631" s="54"/>
      <c r="W631" s="54"/>
      <c r="X631" s="54"/>
      <c r="Y631" s="54"/>
      <c r="Z631" s="54"/>
      <c r="AA631" s="54"/>
      <c r="AB631" s="287"/>
      <c r="AC631" s="54"/>
      <c r="AD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382"/>
      <c r="S632" s="377"/>
      <c r="T632" s="54"/>
      <c r="U632" s="54"/>
      <c r="V632" s="54"/>
      <c r="W632" s="54"/>
      <c r="X632" s="54"/>
      <c r="Y632" s="54"/>
      <c r="Z632" s="54"/>
      <c r="AA632" s="54"/>
      <c r="AB632" s="287"/>
      <c r="AC632" s="54"/>
      <c r="AD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382"/>
      <c r="S633" s="377"/>
      <c r="T633" s="54"/>
      <c r="U633" s="54"/>
      <c r="V633" s="54"/>
      <c r="W633" s="54"/>
      <c r="X633" s="54"/>
      <c r="Y633" s="54"/>
      <c r="Z633" s="54"/>
      <c r="AA633" s="54"/>
      <c r="AB633" s="287"/>
      <c r="AC633" s="54"/>
      <c r="AD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382"/>
      <c r="S634" s="377"/>
      <c r="T634" s="54"/>
      <c r="U634" s="54"/>
      <c r="V634" s="54"/>
      <c r="W634" s="54"/>
      <c r="X634" s="54"/>
      <c r="Y634" s="54"/>
      <c r="Z634" s="54"/>
      <c r="AA634" s="54"/>
      <c r="AB634" s="287"/>
      <c r="AC634" s="54"/>
      <c r="AD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382"/>
      <c r="S635" s="377"/>
      <c r="T635" s="54"/>
      <c r="U635" s="54"/>
      <c r="V635" s="54"/>
      <c r="W635" s="54"/>
      <c r="X635" s="54"/>
      <c r="Y635" s="54"/>
      <c r="Z635" s="54"/>
      <c r="AA635" s="54"/>
      <c r="AB635" s="287"/>
      <c r="AC635" s="54"/>
      <c r="AD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382"/>
      <c r="S636" s="377"/>
      <c r="T636" s="54"/>
      <c r="U636" s="54"/>
      <c r="V636" s="54"/>
      <c r="W636" s="54"/>
      <c r="X636" s="54"/>
      <c r="Y636" s="54"/>
      <c r="Z636" s="54"/>
      <c r="AA636" s="54"/>
      <c r="AB636" s="287"/>
      <c r="AC636" s="54"/>
      <c r="AD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382"/>
      <c r="S637" s="377"/>
      <c r="T637" s="54"/>
      <c r="U637" s="54"/>
      <c r="V637" s="54"/>
      <c r="W637" s="54"/>
      <c r="X637" s="54"/>
      <c r="Y637" s="54"/>
      <c r="Z637" s="54"/>
      <c r="AA637" s="54"/>
      <c r="AB637" s="287"/>
      <c r="AC637" s="54"/>
      <c r="AD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382"/>
      <c r="S638" s="377"/>
      <c r="T638" s="54"/>
      <c r="U638" s="54"/>
      <c r="V638" s="54"/>
      <c r="W638" s="54"/>
      <c r="X638" s="54"/>
      <c r="Y638" s="54"/>
      <c r="Z638" s="54"/>
      <c r="AA638" s="54"/>
      <c r="AB638" s="287"/>
      <c r="AC638" s="54"/>
      <c r="AD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382"/>
      <c r="S639" s="377"/>
      <c r="T639" s="54"/>
      <c r="U639" s="54"/>
      <c r="V639" s="54"/>
      <c r="W639" s="54"/>
      <c r="X639" s="54"/>
      <c r="Y639" s="54"/>
      <c r="Z639" s="54"/>
      <c r="AA639" s="54"/>
      <c r="AB639" s="287"/>
      <c r="AC639" s="54"/>
      <c r="AD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382"/>
      <c r="S640" s="377"/>
      <c r="T640" s="54"/>
      <c r="U640" s="54"/>
      <c r="V640" s="54"/>
      <c r="W640" s="54"/>
      <c r="X640" s="54"/>
      <c r="Y640" s="54"/>
      <c r="Z640" s="54"/>
      <c r="AA640" s="54"/>
      <c r="AB640" s="287"/>
      <c r="AC640" s="54"/>
      <c r="AD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382"/>
      <c r="S641" s="377"/>
      <c r="T641" s="54"/>
      <c r="U641" s="54"/>
      <c r="V641" s="54"/>
      <c r="W641" s="54"/>
      <c r="X641" s="54"/>
      <c r="Y641" s="54"/>
      <c r="Z641" s="54"/>
      <c r="AA641" s="54"/>
      <c r="AB641" s="287"/>
      <c r="AC641" s="54"/>
      <c r="AD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382"/>
      <c r="S642" s="377"/>
      <c r="T642" s="54"/>
      <c r="U642" s="54"/>
      <c r="V642" s="54"/>
      <c r="W642" s="54"/>
      <c r="X642" s="54"/>
      <c r="Y642" s="54"/>
      <c r="Z642" s="54"/>
      <c r="AA642" s="54"/>
      <c r="AB642" s="287"/>
      <c r="AC642" s="54"/>
      <c r="AD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382"/>
      <c r="S643" s="377"/>
      <c r="T643" s="54"/>
      <c r="U643" s="54"/>
      <c r="V643" s="54"/>
      <c r="W643" s="54"/>
      <c r="X643" s="54"/>
      <c r="Y643" s="54"/>
      <c r="Z643" s="54"/>
      <c r="AA643" s="54"/>
      <c r="AB643" s="287"/>
      <c r="AC643" s="54"/>
      <c r="AD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382"/>
      <c r="S644" s="377"/>
      <c r="T644" s="54"/>
      <c r="U644" s="54"/>
      <c r="V644" s="54"/>
      <c r="W644" s="54"/>
      <c r="X644" s="54"/>
      <c r="Y644" s="54"/>
      <c r="Z644" s="54"/>
      <c r="AA644" s="54"/>
      <c r="AB644" s="287"/>
      <c r="AC644" s="54"/>
      <c r="AD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382"/>
      <c r="S645" s="377"/>
      <c r="T645" s="54"/>
      <c r="U645" s="54"/>
      <c r="V645" s="54"/>
      <c r="W645" s="54"/>
      <c r="X645" s="54"/>
      <c r="Y645" s="54"/>
      <c r="Z645" s="54"/>
      <c r="AA645" s="54"/>
      <c r="AB645" s="287"/>
      <c r="AC645" s="54"/>
      <c r="AD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382"/>
      <c r="S646" s="377"/>
      <c r="T646" s="54"/>
      <c r="U646" s="54"/>
      <c r="V646" s="54"/>
      <c r="W646" s="54"/>
      <c r="X646" s="54"/>
      <c r="Y646" s="54"/>
      <c r="Z646" s="54"/>
      <c r="AA646" s="54"/>
      <c r="AB646" s="287"/>
      <c r="AC646" s="54"/>
      <c r="AD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382"/>
      <c r="S647" s="377"/>
      <c r="T647" s="54"/>
      <c r="U647" s="54"/>
      <c r="V647" s="54"/>
      <c r="W647" s="54"/>
      <c r="X647" s="54"/>
      <c r="Y647" s="54"/>
      <c r="Z647" s="54"/>
      <c r="AA647" s="54"/>
      <c r="AB647" s="287"/>
      <c r="AC647" s="54"/>
      <c r="AD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382"/>
      <c r="S648" s="377"/>
      <c r="T648" s="54"/>
      <c r="U648" s="54"/>
      <c r="V648" s="54"/>
      <c r="W648" s="54"/>
      <c r="X648" s="54"/>
      <c r="Y648" s="54"/>
      <c r="Z648" s="54"/>
      <c r="AA648" s="54"/>
      <c r="AB648" s="287"/>
      <c r="AC648" s="54"/>
      <c r="AD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382"/>
      <c r="S649" s="377"/>
      <c r="T649" s="54"/>
      <c r="U649" s="54"/>
      <c r="V649" s="54"/>
      <c r="W649" s="54"/>
      <c r="X649" s="54"/>
      <c r="Y649" s="54"/>
      <c r="Z649" s="54"/>
      <c r="AA649" s="54"/>
      <c r="AB649" s="287"/>
      <c r="AC649" s="54"/>
      <c r="AD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382"/>
      <c r="S650" s="377"/>
      <c r="T650" s="54"/>
      <c r="U650" s="54"/>
      <c r="V650" s="54"/>
      <c r="W650" s="54"/>
      <c r="X650" s="54"/>
      <c r="Y650" s="54"/>
      <c r="Z650" s="54"/>
      <c r="AA650" s="54"/>
      <c r="AB650" s="287"/>
      <c r="AC650" s="54"/>
      <c r="AD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382"/>
      <c r="S651" s="377"/>
      <c r="T651" s="54"/>
      <c r="U651" s="54"/>
      <c r="V651" s="54"/>
      <c r="W651" s="54"/>
      <c r="X651" s="54"/>
      <c r="Y651" s="54"/>
      <c r="Z651" s="54"/>
      <c r="AA651" s="54"/>
      <c r="AB651" s="287"/>
      <c r="AC651" s="54"/>
      <c r="AD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382"/>
      <c r="S652" s="377"/>
      <c r="T652" s="54"/>
      <c r="U652" s="54"/>
      <c r="V652" s="54"/>
      <c r="W652" s="54"/>
      <c r="X652" s="54"/>
      <c r="Y652" s="54"/>
      <c r="Z652" s="54"/>
      <c r="AA652" s="54"/>
      <c r="AB652" s="287"/>
      <c r="AC652" s="54"/>
      <c r="AD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382"/>
      <c r="S653" s="377"/>
      <c r="T653" s="54"/>
      <c r="U653" s="54"/>
      <c r="V653" s="54"/>
      <c r="W653" s="54"/>
      <c r="X653" s="54"/>
      <c r="Y653" s="54"/>
      <c r="Z653" s="54"/>
      <c r="AA653" s="54"/>
      <c r="AB653" s="287"/>
      <c r="AC653" s="54"/>
      <c r="AD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382"/>
      <c r="S654" s="377"/>
      <c r="T654" s="54"/>
      <c r="U654" s="54"/>
      <c r="V654" s="54"/>
      <c r="W654" s="54"/>
      <c r="X654" s="54"/>
      <c r="Y654" s="54"/>
      <c r="Z654" s="54"/>
      <c r="AA654" s="54"/>
      <c r="AB654" s="287"/>
      <c r="AC654" s="54"/>
      <c r="AD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382"/>
      <c r="S655" s="377"/>
      <c r="T655" s="54"/>
      <c r="U655" s="54"/>
      <c r="V655" s="54"/>
      <c r="W655" s="54"/>
      <c r="X655" s="54"/>
      <c r="Y655" s="54"/>
      <c r="Z655" s="54"/>
      <c r="AA655" s="54"/>
      <c r="AB655" s="287"/>
      <c r="AC655" s="54"/>
      <c r="AD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382"/>
      <c r="S656" s="377"/>
      <c r="T656" s="54"/>
      <c r="U656" s="54"/>
      <c r="V656" s="54"/>
      <c r="W656" s="54"/>
      <c r="X656" s="54"/>
      <c r="Y656" s="54"/>
      <c r="Z656" s="54"/>
      <c r="AA656" s="54"/>
      <c r="AB656" s="287"/>
      <c r="AC656" s="54"/>
      <c r="AD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382"/>
      <c r="S657" s="377"/>
      <c r="T657" s="54"/>
      <c r="U657" s="54"/>
      <c r="V657" s="54"/>
      <c r="W657" s="54"/>
      <c r="X657" s="54"/>
      <c r="Y657" s="54"/>
      <c r="Z657" s="54"/>
      <c r="AA657" s="54"/>
      <c r="AB657" s="287"/>
      <c r="AC657" s="54"/>
      <c r="AD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382"/>
      <c r="S658" s="377"/>
      <c r="T658" s="54"/>
      <c r="U658" s="54"/>
      <c r="V658" s="54"/>
      <c r="W658" s="54"/>
      <c r="X658" s="54"/>
      <c r="Y658" s="54"/>
      <c r="Z658" s="54"/>
      <c r="AA658" s="54"/>
      <c r="AB658" s="287"/>
      <c r="AC658" s="54"/>
      <c r="AD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382"/>
      <c r="S659" s="377"/>
      <c r="T659" s="54"/>
      <c r="U659" s="54"/>
      <c r="V659" s="54"/>
      <c r="W659" s="54"/>
      <c r="X659" s="54"/>
      <c r="Y659" s="54"/>
      <c r="Z659" s="54"/>
      <c r="AA659" s="54"/>
      <c r="AB659" s="287"/>
      <c r="AC659" s="54"/>
      <c r="AD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382"/>
      <c r="S660" s="377"/>
      <c r="T660" s="54"/>
      <c r="U660" s="54"/>
      <c r="V660" s="54"/>
      <c r="W660" s="54"/>
      <c r="X660" s="54"/>
      <c r="Y660" s="54"/>
      <c r="Z660" s="54"/>
      <c r="AA660" s="54"/>
      <c r="AB660" s="287"/>
      <c r="AC660" s="54"/>
      <c r="AD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382"/>
      <c r="S661" s="377"/>
      <c r="T661" s="54"/>
      <c r="U661" s="54"/>
      <c r="V661" s="54"/>
      <c r="W661" s="54"/>
      <c r="X661" s="54"/>
      <c r="Y661" s="54"/>
      <c r="Z661" s="54"/>
      <c r="AA661" s="54"/>
      <c r="AB661" s="287"/>
      <c r="AC661" s="54"/>
      <c r="AD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382"/>
      <c r="S662" s="377"/>
      <c r="T662" s="54"/>
      <c r="U662" s="54"/>
      <c r="V662" s="54"/>
      <c r="W662" s="54"/>
      <c r="X662" s="54"/>
      <c r="Y662" s="54"/>
      <c r="Z662" s="54"/>
      <c r="AA662" s="54"/>
      <c r="AB662" s="287"/>
      <c r="AC662" s="54"/>
      <c r="AD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382"/>
      <c r="S663" s="377"/>
      <c r="T663" s="54"/>
      <c r="U663" s="54"/>
      <c r="V663" s="54"/>
      <c r="W663" s="54"/>
      <c r="X663" s="54"/>
      <c r="Y663" s="54"/>
      <c r="Z663" s="54"/>
      <c r="AA663" s="54"/>
      <c r="AB663" s="287"/>
      <c r="AC663" s="54"/>
      <c r="AD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382"/>
      <c r="S664" s="377"/>
      <c r="T664" s="54"/>
      <c r="U664" s="54"/>
      <c r="V664" s="54"/>
      <c r="W664" s="54"/>
      <c r="X664" s="54"/>
      <c r="Y664" s="54"/>
      <c r="Z664" s="54"/>
      <c r="AA664" s="54"/>
      <c r="AB664" s="287"/>
      <c r="AC664" s="54"/>
      <c r="AD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382"/>
      <c r="S665" s="377"/>
      <c r="T665" s="54"/>
      <c r="U665" s="54"/>
      <c r="V665" s="54"/>
      <c r="W665" s="54"/>
      <c r="X665" s="54"/>
      <c r="Y665" s="54"/>
      <c r="Z665" s="54"/>
      <c r="AA665" s="54"/>
      <c r="AB665" s="287"/>
      <c r="AC665" s="54"/>
      <c r="AD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382"/>
      <c r="S666" s="377"/>
      <c r="T666" s="54"/>
      <c r="U666" s="54"/>
      <c r="V666" s="54"/>
      <c r="W666" s="54"/>
      <c r="X666" s="54"/>
      <c r="Y666" s="54"/>
      <c r="Z666" s="54"/>
      <c r="AA666" s="54"/>
      <c r="AB666" s="287"/>
      <c r="AC666" s="54"/>
      <c r="AD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382"/>
      <c r="S667" s="377"/>
      <c r="T667" s="54"/>
      <c r="U667" s="54"/>
      <c r="V667" s="54"/>
      <c r="W667" s="54"/>
      <c r="X667" s="54"/>
      <c r="Y667" s="54"/>
      <c r="Z667" s="54"/>
      <c r="AA667" s="54"/>
      <c r="AB667" s="287"/>
      <c r="AC667" s="54"/>
      <c r="AD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382"/>
      <c r="S668" s="377"/>
      <c r="T668" s="54"/>
      <c r="U668" s="54"/>
      <c r="V668" s="54"/>
      <c r="W668" s="54"/>
      <c r="X668" s="54"/>
      <c r="Y668" s="54"/>
      <c r="Z668" s="54"/>
      <c r="AA668" s="54"/>
      <c r="AB668" s="287"/>
      <c r="AC668" s="54"/>
      <c r="AD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382"/>
      <c r="S669" s="377"/>
      <c r="T669" s="54"/>
      <c r="U669" s="54"/>
      <c r="V669" s="54"/>
      <c r="W669" s="54"/>
      <c r="X669" s="54"/>
      <c r="Y669" s="54"/>
      <c r="Z669" s="54"/>
      <c r="AA669" s="54"/>
      <c r="AB669" s="287"/>
      <c r="AC669" s="54"/>
      <c r="AD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382"/>
      <c r="S670" s="377"/>
      <c r="T670" s="54"/>
      <c r="U670" s="54"/>
      <c r="V670" s="54"/>
      <c r="W670" s="54"/>
      <c r="X670" s="54"/>
      <c r="Y670" s="54"/>
      <c r="Z670" s="54"/>
      <c r="AA670" s="54"/>
      <c r="AB670" s="287"/>
      <c r="AC670" s="54"/>
      <c r="AD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382"/>
      <c r="S671" s="377"/>
      <c r="T671" s="54"/>
      <c r="U671" s="54"/>
      <c r="V671" s="54"/>
      <c r="W671" s="54"/>
      <c r="X671" s="54"/>
      <c r="Y671" s="54"/>
      <c r="Z671" s="54"/>
      <c r="AA671" s="54"/>
      <c r="AB671" s="287"/>
      <c r="AC671" s="54"/>
      <c r="AD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382"/>
      <c r="S672" s="377"/>
      <c r="T672" s="54"/>
      <c r="U672" s="54"/>
      <c r="V672" s="54"/>
      <c r="W672" s="54"/>
      <c r="X672" s="54"/>
      <c r="Y672" s="54"/>
      <c r="Z672" s="54"/>
      <c r="AA672" s="54"/>
      <c r="AB672" s="287"/>
      <c r="AC672" s="54"/>
      <c r="AD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382"/>
      <c r="S673" s="377"/>
      <c r="T673" s="54"/>
      <c r="U673" s="54"/>
      <c r="V673" s="54"/>
      <c r="W673" s="54"/>
      <c r="X673" s="54"/>
      <c r="Y673" s="54"/>
      <c r="Z673" s="54"/>
      <c r="AA673" s="54"/>
      <c r="AB673" s="287"/>
      <c r="AC673" s="54"/>
      <c r="AD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382"/>
      <c r="S674" s="377"/>
      <c r="T674" s="54"/>
      <c r="U674" s="54"/>
      <c r="V674" s="54"/>
      <c r="W674" s="54"/>
      <c r="X674" s="54"/>
      <c r="Y674" s="54"/>
      <c r="Z674" s="54"/>
      <c r="AA674" s="54"/>
      <c r="AB674" s="287"/>
      <c r="AC674" s="54"/>
      <c r="AD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382"/>
      <c r="S675" s="377"/>
      <c r="T675" s="54"/>
      <c r="U675" s="54"/>
      <c r="V675" s="54"/>
      <c r="W675" s="54"/>
      <c r="X675" s="54"/>
      <c r="Y675" s="54"/>
      <c r="Z675" s="54"/>
      <c r="AA675" s="54"/>
      <c r="AB675" s="287"/>
      <c r="AC675" s="54"/>
      <c r="AD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382"/>
      <c r="S676" s="377"/>
      <c r="T676" s="54"/>
      <c r="U676" s="54"/>
      <c r="V676" s="54"/>
      <c r="W676" s="54"/>
      <c r="X676" s="54"/>
      <c r="Y676" s="54"/>
      <c r="Z676" s="54"/>
      <c r="AA676" s="54"/>
      <c r="AB676" s="287"/>
      <c r="AC676" s="54"/>
      <c r="AD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382"/>
      <c r="S677" s="377"/>
      <c r="T677" s="54"/>
      <c r="U677" s="54"/>
      <c r="V677" s="54"/>
      <c r="W677" s="54"/>
      <c r="X677" s="54"/>
      <c r="Y677" s="54"/>
      <c r="Z677" s="54"/>
      <c r="AA677" s="54"/>
      <c r="AB677" s="287"/>
      <c r="AC677" s="54"/>
      <c r="AD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382"/>
      <c r="S678" s="377"/>
      <c r="T678" s="54"/>
      <c r="U678" s="54"/>
      <c r="V678" s="54"/>
      <c r="W678" s="54"/>
      <c r="X678" s="54"/>
      <c r="Y678" s="54"/>
      <c r="Z678" s="54"/>
      <c r="AA678" s="54"/>
      <c r="AB678" s="287"/>
      <c r="AC678" s="54"/>
      <c r="AD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382"/>
      <c r="S679" s="377"/>
      <c r="T679" s="54"/>
      <c r="U679" s="54"/>
      <c r="V679" s="54"/>
      <c r="W679" s="54"/>
      <c r="X679" s="54"/>
      <c r="Y679" s="54"/>
      <c r="Z679" s="54"/>
      <c r="AA679" s="54"/>
      <c r="AB679" s="287"/>
      <c r="AC679" s="54"/>
      <c r="AD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382"/>
      <c r="S680" s="377"/>
      <c r="T680" s="54"/>
      <c r="U680" s="54"/>
      <c r="V680" s="54"/>
      <c r="W680" s="54"/>
      <c r="X680" s="54"/>
      <c r="Y680" s="54"/>
      <c r="Z680" s="54"/>
      <c r="AA680" s="54"/>
      <c r="AB680" s="287"/>
      <c r="AC680" s="54"/>
      <c r="AD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382"/>
      <c r="S681" s="377"/>
      <c r="T681" s="54"/>
      <c r="U681" s="54"/>
      <c r="V681" s="54"/>
      <c r="W681" s="54"/>
      <c r="X681" s="54"/>
      <c r="Y681" s="54"/>
      <c r="Z681" s="54"/>
      <c r="AA681" s="54"/>
      <c r="AB681" s="287"/>
      <c r="AC681" s="54"/>
      <c r="AD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382"/>
      <c r="S682" s="377"/>
      <c r="T682" s="54"/>
      <c r="U682" s="54"/>
      <c r="V682" s="54"/>
      <c r="W682" s="54"/>
      <c r="X682" s="54"/>
      <c r="Y682" s="54"/>
      <c r="Z682" s="54"/>
      <c r="AA682" s="54"/>
      <c r="AB682" s="287"/>
      <c r="AC682" s="54"/>
      <c r="AD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382"/>
      <c r="S683" s="377"/>
      <c r="T683" s="54"/>
      <c r="U683" s="54"/>
      <c r="V683" s="54"/>
      <c r="W683" s="54"/>
      <c r="X683" s="54"/>
      <c r="Y683" s="54"/>
      <c r="Z683" s="54"/>
      <c r="AA683" s="54"/>
      <c r="AB683" s="287"/>
      <c r="AC683" s="54"/>
      <c r="AD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382"/>
      <c r="S684" s="377"/>
      <c r="T684" s="54"/>
      <c r="U684" s="54"/>
      <c r="V684" s="54"/>
      <c r="W684" s="54"/>
      <c r="X684" s="54"/>
      <c r="Y684" s="54"/>
      <c r="Z684" s="54"/>
      <c r="AA684" s="54"/>
      <c r="AB684" s="287"/>
      <c r="AC684" s="54"/>
      <c r="AD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382"/>
      <c r="S685" s="377"/>
      <c r="T685" s="54"/>
      <c r="U685" s="54"/>
      <c r="V685" s="54"/>
      <c r="W685" s="54"/>
      <c r="X685" s="54"/>
      <c r="Y685" s="54"/>
      <c r="Z685" s="54"/>
      <c r="AA685" s="54"/>
      <c r="AB685" s="287"/>
      <c r="AC685" s="54"/>
      <c r="AD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382"/>
      <c r="S686" s="377"/>
      <c r="T686" s="54"/>
      <c r="U686" s="54"/>
      <c r="V686" s="54"/>
      <c r="W686" s="54"/>
      <c r="X686" s="54"/>
      <c r="Y686" s="54"/>
      <c r="Z686" s="54"/>
      <c r="AA686" s="54"/>
      <c r="AB686" s="287"/>
      <c r="AC686" s="54"/>
      <c r="AD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382"/>
      <c r="S687" s="377"/>
      <c r="T687" s="54"/>
      <c r="U687" s="54"/>
      <c r="V687" s="54"/>
      <c r="W687" s="54"/>
      <c r="X687" s="54"/>
      <c r="Y687" s="54"/>
      <c r="Z687" s="54"/>
      <c r="AA687" s="54"/>
      <c r="AB687" s="287"/>
      <c r="AC687" s="54"/>
      <c r="AD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382"/>
      <c r="S688" s="377"/>
      <c r="T688" s="54"/>
      <c r="U688" s="54"/>
      <c r="V688" s="54"/>
      <c r="W688" s="54"/>
      <c r="X688" s="54"/>
      <c r="Y688" s="54"/>
      <c r="Z688" s="54"/>
      <c r="AA688" s="54"/>
      <c r="AB688" s="287"/>
      <c r="AC688" s="54"/>
      <c r="AD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382"/>
      <c r="S689" s="377"/>
      <c r="T689" s="54"/>
      <c r="U689" s="54"/>
      <c r="V689" s="54"/>
      <c r="W689" s="54"/>
      <c r="X689" s="54"/>
      <c r="Y689" s="54"/>
      <c r="Z689" s="54"/>
      <c r="AA689" s="54"/>
      <c r="AB689" s="287"/>
      <c r="AC689" s="54"/>
      <c r="AD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382"/>
      <c r="S690" s="377"/>
      <c r="T690" s="54"/>
      <c r="U690" s="54"/>
      <c r="V690" s="54"/>
      <c r="W690" s="54"/>
      <c r="X690" s="54"/>
      <c r="Y690" s="54"/>
      <c r="Z690" s="54"/>
      <c r="AA690" s="54"/>
      <c r="AB690" s="287"/>
      <c r="AC690" s="54"/>
      <c r="AD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382"/>
      <c r="S691" s="377"/>
      <c r="T691" s="54"/>
      <c r="U691" s="54"/>
      <c r="V691" s="54"/>
      <c r="W691" s="54"/>
      <c r="X691" s="54"/>
      <c r="Y691" s="54"/>
      <c r="Z691" s="54"/>
      <c r="AA691" s="54"/>
      <c r="AB691" s="287"/>
      <c r="AC691" s="54"/>
      <c r="AD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382"/>
      <c r="S692" s="377"/>
      <c r="T692" s="54"/>
      <c r="U692" s="54"/>
      <c r="V692" s="54"/>
      <c r="W692" s="54"/>
      <c r="X692" s="54"/>
      <c r="Y692" s="54"/>
      <c r="Z692" s="54"/>
      <c r="AA692" s="54"/>
      <c r="AB692" s="287"/>
      <c r="AC692" s="54"/>
      <c r="AD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382"/>
      <c r="S693" s="377"/>
      <c r="T693" s="54"/>
      <c r="U693" s="54"/>
      <c r="V693" s="54"/>
      <c r="W693" s="54"/>
      <c r="X693" s="54"/>
      <c r="Y693" s="54"/>
      <c r="Z693" s="54"/>
      <c r="AA693" s="54"/>
      <c r="AB693" s="287"/>
      <c r="AC693" s="54"/>
      <c r="AD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382"/>
      <c r="S694" s="377"/>
      <c r="T694" s="54"/>
      <c r="U694" s="54"/>
      <c r="V694" s="54"/>
      <c r="W694" s="54"/>
      <c r="X694" s="54"/>
      <c r="Y694" s="54"/>
      <c r="Z694" s="54"/>
      <c r="AA694" s="54"/>
      <c r="AB694" s="287"/>
      <c r="AC694" s="54"/>
      <c r="AD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382"/>
      <c r="S695" s="377"/>
      <c r="T695" s="54"/>
      <c r="U695" s="54"/>
      <c r="V695" s="54"/>
      <c r="W695" s="54"/>
      <c r="X695" s="54"/>
      <c r="Y695" s="54"/>
      <c r="Z695" s="54"/>
      <c r="AA695" s="54"/>
      <c r="AB695" s="287"/>
      <c r="AC695" s="54"/>
      <c r="AD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382"/>
      <c r="S696" s="377"/>
      <c r="T696" s="54"/>
      <c r="U696" s="54"/>
      <c r="V696" s="54"/>
      <c r="W696" s="54"/>
      <c r="X696" s="54"/>
      <c r="Y696" s="54"/>
      <c r="Z696" s="54"/>
      <c r="AA696" s="54"/>
      <c r="AB696" s="287"/>
      <c r="AC696" s="54"/>
      <c r="AD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382"/>
      <c r="S697" s="377"/>
      <c r="T697" s="54"/>
      <c r="U697" s="54"/>
      <c r="V697" s="54"/>
      <c r="W697" s="54"/>
      <c r="X697" s="54"/>
      <c r="Y697" s="54"/>
      <c r="Z697" s="54"/>
      <c r="AA697" s="54"/>
      <c r="AB697" s="287"/>
      <c r="AC697" s="54"/>
      <c r="AD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382"/>
      <c r="S698" s="377"/>
      <c r="T698" s="54"/>
      <c r="U698" s="54"/>
      <c r="V698" s="54"/>
      <c r="W698" s="54"/>
      <c r="X698" s="54"/>
      <c r="Y698" s="54"/>
      <c r="Z698" s="54"/>
      <c r="AA698" s="54"/>
      <c r="AB698" s="287"/>
      <c r="AC698" s="54"/>
      <c r="AD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382"/>
      <c r="S699" s="377"/>
      <c r="T699" s="54"/>
      <c r="U699" s="54"/>
      <c r="V699" s="54"/>
      <c r="W699" s="54"/>
      <c r="X699" s="54"/>
      <c r="Y699" s="54"/>
      <c r="Z699" s="54"/>
      <c r="AA699" s="54"/>
      <c r="AB699" s="287"/>
      <c r="AC699" s="54"/>
      <c r="AD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382"/>
      <c r="S700" s="377"/>
      <c r="T700" s="54"/>
      <c r="U700" s="54"/>
      <c r="V700" s="54"/>
      <c r="W700" s="54"/>
      <c r="X700" s="54"/>
      <c r="Y700" s="54"/>
      <c r="Z700" s="54"/>
      <c r="AA700" s="54"/>
      <c r="AB700" s="287"/>
      <c r="AC700" s="54"/>
      <c r="AD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382"/>
      <c r="S701" s="377"/>
      <c r="T701" s="54"/>
      <c r="U701" s="54"/>
      <c r="V701" s="54"/>
      <c r="W701" s="54"/>
      <c r="X701" s="54"/>
      <c r="Y701" s="54"/>
      <c r="Z701" s="54"/>
      <c r="AA701" s="54"/>
      <c r="AB701" s="287"/>
      <c r="AC701" s="54"/>
      <c r="AD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382"/>
      <c r="S702" s="377"/>
      <c r="T702" s="54"/>
      <c r="U702" s="54"/>
      <c r="V702" s="54"/>
      <c r="W702" s="54"/>
      <c r="X702" s="54"/>
      <c r="Y702" s="54"/>
      <c r="Z702" s="54"/>
      <c r="AA702" s="54"/>
      <c r="AB702" s="287"/>
      <c r="AC702" s="54"/>
      <c r="AD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382"/>
      <c r="S703" s="377"/>
      <c r="T703" s="54"/>
      <c r="U703" s="54"/>
      <c r="V703" s="54"/>
      <c r="W703" s="54"/>
      <c r="X703" s="54"/>
      <c r="Y703" s="54"/>
      <c r="Z703" s="54"/>
      <c r="AA703" s="54"/>
      <c r="AB703" s="287"/>
      <c r="AC703" s="54"/>
      <c r="AD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382"/>
      <c r="S704" s="377"/>
      <c r="T704" s="54"/>
      <c r="U704" s="54"/>
      <c r="V704" s="54"/>
      <c r="W704" s="54"/>
      <c r="X704" s="54"/>
      <c r="Y704" s="54"/>
      <c r="Z704" s="54"/>
      <c r="AA704" s="54"/>
      <c r="AB704" s="287"/>
      <c r="AC704" s="54"/>
      <c r="AD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382"/>
      <c r="S705" s="377"/>
      <c r="T705" s="54"/>
      <c r="U705" s="54"/>
      <c r="V705" s="54"/>
      <c r="W705" s="54"/>
      <c r="X705" s="54"/>
      <c r="Y705" s="54"/>
      <c r="Z705" s="54"/>
      <c r="AA705" s="54"/>
      <c r="AB705" s="287"/>
      <c r="AC705" s="54"/>
      <c r="AD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382"/>
      <c r="S706" s="377"/>
      <c r="T706" s="54"/>
      <c r="U706" s="54"/>
      <c r="V706" s="54"/>
      <c r="W706" s="54"/>
      <c r="X706" s="54"/>
      <c r="Y706" s="54"/>
      <c r="Z706" s="54"/>
      <c r="AA706" s="54"/>
      <c r="AB706" s="287"/>
      <c r="AC706" s="54"/>
      <c r="AD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382"/>
      <c r="S707" s="377"/>
      <c r="T707" s="54"/>
      <c r="U707" s="54"/>
      <c r="V707" s="54"/>
      <c r="W707" s="54"/>
      <c r="X707" s="54"/>
      <c r="Y707" s="54"/>
      <c r="Z707" s="54"/>
      <c r="AA707" s="54"/>
      <c r="AB707" s="287"/>
      <c r="AC707" s="54"/>
      <c r="AD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382"/>
      <c r="S708" s="377"/>
      <c r="T708" s="54"/>
      <c r="U708" s="54"/>
      <c r="V708" s="54"/>
      <c r="W708" s="54"/>
      <c r="X708" s="54"/>
      <c r="Y708" s="54"/>
      <c r="Z708" s="54"/>
      <c r="AA708" s="54"/>
      <c r="AB708" s="287"/>
      <c r="AC708" s="54"/>
      <c r="AD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382"/>
      <c r="S709" s="377"/>
      <c r="T709" s="54"/>
      <c r="U709" s="54"/>
      <c r="V709" s="54"/>
      <c r="W709" s="54"/>
      <c r="X709" s="54"/>
      <c r="Y709" s="54"/>
      <c r="Z709" s="54"/>
      <c r="AA709" s="54"/>
      <c r="AB709" s="287"/>
      <c r="AC709" s="54"/>
      <c r="AD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382"/>
      <c r="S710" s="377"/>
      <c r="T710" s="54"/>
      <c r="U710" s="54"/>
      <c r="V710" s="54"/>
      <c r="W710" s="54"/>
      <c r="X710" s="54"/>
      <c r="Y710" s="54"/>
      <c r="Z710" s="54"/>
      <c r="AA710" s="54"/>
      <c r="AB710" s="287"/>
      <c r="AC710" s="54"/>
      <c r="AD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382"/>
      <c r="S711" s="377"/>
      <c r="T711" s="54"/>
      <c r="U711" s="54"/>
      <c r="V711" s="54"/>
      <c r="W711" s="54"/>
      <c r="X711" s="54"/>
      <c r="Y711" s="54"/>
      <c r="Z711" s="54"/>
      <c r="AA711" s="54"/>
      <c r="AB711" s="287"/>
      <c r="AC711" s="54"/>
      <c r="AD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382"/>
      <c r="S712" s="377"/>
      <c r="T712" s="54"/>
      <c r="U712" s="54"/>
      <c r="V712" s="54"/>
      <c r="W712" s="54"/>
      <c r="X712" s="54"/>
      <c r="Y712" s="54"/>
      <c r="Z712" s="54"/>
      <c r="AA712" s="54"/>
      <c r="AB712" s="287"/>
      <c r="AC712" s="54"/>
      <c r="AD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382"/>
      <c r="S713" s="377"/>
      <c r="T713" s="54"/>
      <c r="U713" s="54"/>
      <c r="V713" s="54"/>
      <c r="W713" s="54"/>
      <c r="X713" s="54"/>
      <c r="Y713" s="54"/>
      <c r="Z713" s="54"/>
      <c r="AA713" s="54"/>
      <c r="AB713" s="287"/>
      <c r="AC713" s="54"/>
      <c r="AD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382"/>
      <c r="S714" s="377"/>
      <c r="T714" s="54"/>
      <c r="U714" s="54"/>
      <c r="V714" s="54"/>
      <c r="W714" s="54"/>
      <c r="X714" s="54"/>
      <c r="Y714" s="54"/>
      <c r="Z714" s="54"/>
      <c r="AA714" s="54"/>
      <c r="AB714" s="287"/>
      <c r="AC714" s="54"/>
      <c r="AD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382"/>
      <c r="S715" s="377"/>
      <c r="T715" s="54"/>
      <c r="U715" s="54"/>
      <c r="V715" s="54"/>
      <c r="W715" s="54"/>
      <c r="X715" s="54"/>
      <c r="Y715" s="54"/>
      <c r="Z715" s="54"/>
      <c r="AA715" s="54"/>
      <c r="AB715" s="287"/>
      <c r="AC715" s="54"/>
      <c r="AD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382"/>
      <c r="S716" s="377"/>
      <c r="T716" s="54"/>
      <c r="U716" s="54"/>
      <c r="V716" s="54"/>
      <c r="W716" s="54"/>
      <c r="X716" s="54"/>
      <c r="Y716" s="54"/>
      <c r="Z716" s="54"/>
      <c r="AA716" s="54"/>
      <c r="AB716" s="287"/>
      <c r="AC716" s="54"/>
      <c r="AD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382"/>
      <c r="S717" s="377"/>
      <c r="T717" s="54"/>
      <c r="U717" s="54"/>
      <c r="V717" s="54"/>
      <c r="W717" s="54"/>
      <c r="X717" s="54"/>
      <c r="Y717" s="54"/>
      <c r="Z717" s="54"/>
      <c r="AA717" s="54"/>
      <c r="AB717" s="287"/>
      <c r="AC717" s="54"/>
      <c r="AD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382"/>
      <c r="S718" s="377"/>
      <c r="T718" s="54"/>
      <c r="U718" s="54"/>
      <c r="V718" s="54"/>
      <c r="W718" s="54"/>
      <c r="X718" s="54"/>
      <c r="Y718" s="54"/>
      <c r="Z718" s="54"/>
      <c r="AA718" s="54"/>
      <c r="AB718" s="287"/>
      <c r="AC718" s="54"/>
      <c r="AD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382"/>
      <c r="S719" s="377"/>
      <c r="T719" s="54"/>
      <c r="U719" s="54"/>
      <c r="V719" s="54"/>
      <c r="W719" s="54"/>
      <c r="X719" s="54"/>
      <c r="Y719" s="54"/>
      <c r="Z719" s="54"/>
      <c r="AA719" s="54"/>
      <c r="AB719" s="287"/>
      <c r="AC719" s="54"/>
      <c r="AD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382"/>
      <c r="S720" s="377"/>
      <c r="T720" s="54"/>
      <c r="U720" s="54"/>
      <c r="V720" s="54"/>
      <c r="W720" s="54"/>
      <c r="X720" s="54"/>
      <c r="Y720" s="54"/>
      <c r="Z720" s="54"/>
      <c r="AA720" s="54"/>
      <c r="AB720" s="287"/>
      <c r="AC720" s="54"/>
      <c r="AD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382"/>
      <c r="S721" s="377"/>
      <c r="T721" s="54"/>
      <c r="U721" s="54"/>
      <c r="V721" s="54"/>
      <c r="W721" s="54"/>
      <c r="X721" s="54"/>
      <c r="Y721" s="54"/>
      <c r="Z721" s="54"/>
      <c r="AA721" s="54"/>
      <c r="AB721" s="287"/>
      <c r="AC721" s="54"/>
      <c r="AD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382"/>
      <c r="S722" s="377"/>
      <c r="T722" s="54"/>
      <c r="U722" s="54"/>
      <c r="V722" s="54"/>
      <c r="W722" s="54"/>
      <c r="X722" s="54"/>
      <c r="Y722" s="54"/>
      <c r="Z722" s="54"/>
      <c r="AA722" s="54"/>
      <c r="AB722" s="287"/>
      <c r="AC722" s="54"/>
      <c r="AD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382"/>
      <c r="S723" s="377"/>
      <c r="T723" s="54"/>
      <c r="U723" s="54"/>
      <c r="V723" s="54"/>
      <c r="W723" s="54"/>
      <c r="X723" s="54"/>
      <c r="Y723" s="54"/>
      <c r="Z723" s="54"/>
      <c r="AA723" s="54"/>
      <c r="AB723" s="287"/>
      <c r="AC723" s="54"/>
      <c r="AD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382"/>
      <c r="S724" s="377"/>
      <c r="T724" s="54"/>
      <c r="U724" s="54"/>
      <c r="V724" s="54"/>
      <c r="W724" s="54"/>
      <c r="X724" s="54"/>
      <c r="Y724" s="54"/>
      <c r="Z724" s="54"/>
      <c r="AA724" s="54"/>
      <c r="AB724" s="287"/>
      <c r="AC724" s="54"/>
      <c r="AD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382"/>
      <c r="S725" s="377"/>
      <c r="T725" s="54"/>
      <c r="U725" s="54"/>
      <c r="V725" s="54"/>
      <c r="W725" s="54"/>
      <c r="X725" s="54"/>
      <c r="Y725" s="54"/>
      <c r="Z725" s="54"/>
      <c r="AA725" s="54"/>
      <c r="AB725" s="287"/>
      <c r="AC725" s="54"/>
      <c r="AD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382"/>
      <c r="S726" s="377"/>
      <c r="T726" s="54"/>
      <c r="U726" s="54"/>
      <c r="V726" s="54"/>
      <c r="W726" s="54"/>
      <c r="X726" s="54"/>
      <c r="Y726" s="54"/>
      <c r="Z726" s="54"/>
      <c r="AA726" s="54"/>
      <c r="AB726" s="287"/>
      <c r="AC726" s="54"/>
      <c r="AD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382"/>
      <c r="S727" s="377"/>
      <c r="T727" s="54"/>
      <c r="U727" s="54"/>
      <c r="V727" s="54"/>
      <c r="W727" s="54"/>
      <c r="X727" s="54"/>
      <c r="Y727" s="54"/>
      <c r="Z727" s="54"/>
      <c r="AA727" s="54"/>
      <c r="AB727" s="287"/>
      <c r="AC727" s="54"/>
      <c r="AD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382"/>
      <c r="S728" s="377"/>
      <c r="T728" s="54"/>
      <c r="U728" s="54"/>
      <c r="V728" s="54"/>
      <c r="W728" s="54"/>
      <c r="X728" s="54"/>
      <c r="Y728" s="54"/>
      <c r="Z728" s="54"/>
      <c r="AA728" s="54"/>
      <c r="AB728" s="287"/>
      <c r="AC728" s="54"/>
      <c r="AD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382"/>
      <c r="S729" s="377"/>
      <c r="T729" s="54"/>
      <c r="U729" s="54"/>
      <c r="V729" s="54"/>
      <c r="W729" s="54"/>
      <c r="X729" s="54"/>
      <c r="Y729" s="54"/>
      <c r="Z729" s="54"/>
      <c r="AA729" s="54"/>
      <c r="AB729" s="287"/>
      <c r="AC729" s="54"/>
      <c r="AD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382"/>
      <c r="S730" s="377"/>
      <c r="T730" s="54"/>
      <c r="U730" s="54"/>
      <c r="V730" s="54"/>
      <c r="W730" s="54"/>
      <c r="X730" s="54"/>
      <c r="Y730" s="54"/>
      <c r="Z730" s="54"/>
      <c r="AA730" s="54"/>
      <c r="AB730" s="287"/>
      <c r="AC730" s="54"/>
      <c r="AD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382"/>
      <c r="S731" s="377"/>
      <c r="T731" s="54"/>
      <c r="U731" s="54"/>
      <c r="V731" s="54"/>
      <c r="W731" s="54"/>
      <c r="X731" s="54"/>
      <c r="Y731" s="54"/>
      <c r="Z731" s="54"/>
      <c r="AA731" s="54"/>
      <c r="AB731" s="287"/>
      <c r="AC731" s="54"/>
      <c r="AD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382"/>
      <c r="S732" s="377"/>
      <c r="T732" s="54"/>
      <c r="U732" s="54"/>
      <c r="V732" s="54"/>
      <c r="W732" s="54"/>
      <c r="X732" s="54"/>
      <c r="Y732" s="54"/>
      <c r="Z732" s="54"/>
      <c r="AA732" s="54"/>
      <c r="AB732" s="287"/>
      <c r="AC732" s="54"/>
      <c r="AD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382"/>
      <c r="S733" s="377"/>
      <c r="T733" s="54"/>
      <c r="U733" s="54"/>
      <c r="V733" s="54"/>
      <c r="W733" s="54"/>
      <c r="X733" s="54"/>
      <c r="Y733" s="54"/>
      <c r="Z733" s="54"/>
      <c r="AA733" s="54"/>
      <c r="AB733" s="287"/>
      <c r="AC733" s="54"/>
      <c r="AD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382"/>
      <c r="S734" s="377"/>
      <c r="T734" s="54"/>
      <c r="U734" s="54"/>
      <c r="V734" s="54"/>
      <c r="W734" s="54"/>
      <c r="X734" s="54"/>
      <c r="Y734" s="54"/>
      <c r="Z734" s="54"/>
      <c r="AA734" s="54"/>
      <c r="AB734" s="287"/>
      <c r="AC734" s="54"/>
      <c r="AD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382"/>
      <c r="S735" s="377"/>
      <c r="T735" s="54"/>
      <c r="U735" s="54"/>
      <c r="V735" s="54"/>
      <c r="W735" s="54"/>
      <c r="X735" s="54"/>
      <c r="Y735" s="54"/>
      <c r="Z735" s="54"/>
      <c r="AA735" s="54"/>
      <c r="AB735" s="287"/>
      <c r="AC735" s="54"/>
      <c r="AD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382"/>
      <c r="S736" s="377"/>
      <c r="T736" s="54"/>
      <c r="U736" s="54"/>
      <c r="V736" s="54"/>
      <c r="W736" s="54"/>
      <c r="X736" s="54"/>
      <c r="Y736" s="54"/>
      <c r="Z736" s="54"/>
      <c r="AA736" s="54"/>
      <c r="AB736" s="287"/>
      <c r="AC736" s="54"/>
      <c r="AD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382"/>
      <c r="S737" s="377"/>
      <c r="T737" s="54"/>
      <c r="U737" s="54"/>
      <c r="V737" s="54"/>
      <c r="W737" s="54"/>
      <c r="X737" s="54"/>
      <c r="Y737" s="54"/>
      <c r="Z737" s="54"/>
      <c r="AA737" s="54"/>
      <c r="AB737" s="287"/>
      <c r="AC737" s="54"/>
      <c r="AD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382"/>
      <c r="S738" s="377"/>
      <c r="T738" s="54"/>
      <c r="U738" s="54"/>
      <c r="V738" s="54"/>
      <c r="W738" s="54"/>
      <c r="X738" s="54"/>
      <c r="Y738" s="54"/>
      <c r="Z738" s="54"/>
      <c r="AA738" s="54"/>
      <c r="AB738" s="287"/>
      <c r="AC738" s="54"/>
      <c r="AD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382"/>
      <c r="S739" s="377"/>
      <c r="T739" s="54"/>
      <c r="U739" s="54"/>
      <c r="V739" s="54"/>
      <c r="W739" s="54"/>
      <c r="X739" s="54"/>
      <c r="Y739" s="54"/>
      <c r="Z739" s="54"/>
      <c r="AA739" s="54"/>
      <c r="AB739" s="287"/>
      <c r="AC739" s="54"/>
      <c r="AD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382"/>
      <c r="S740" s="377"/>
      <c r="T740" s="54"/>
      <c r="U740" s="54"/>
      <c r="V740" s="54"/>
      <c r="W740" s="54"/>
      <c r="X740" s="54"/>
      <c r="Y740" s="54"/>
      <c r="Z740" s="54"/>
      <c r="AA740" s="54"/>
      <c r="AB740" s="287"/>
      <c r="AC740" s="54"/>
      <c r="AD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382"/>
      <c r="S741" s="377"/>
      <c r="T741" s="54"/>
      <c r="U741" s="54"/>
      <c r="V741" s="54"/>
      <c r="W741" s="54"/>
      <c r="X741" s="54"/>
      <c r="Y741" s="54"/>
      <c r="Z741" s="54"/>
      <c r="AA741" s="54"/>
      <c r="AB741" s="287"/>
      <c r="AC741" s="54"/>
      <c r="AD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382"/>
      <c r="S742" s="377"/>
      <c r="T742" s="54"/>
      <c r="U742" s="54"/>
      <c r="V742" s="54"/>
      <c r="W742" s="54"/>
      <c r="X742" s="54"/>
      <c r="Y742" s="54"/>
      <c r="Z742" s="54"/>
      <c r="AA742" s="54"/>
      <c r="AB742" s="287"/>
      <c r="AC742" s="54"/>
      <c r="AD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382"/>
      <c r="S743" s="377"/>
      <c r="T743" s="54"/>
      <c r="U743" s="54"/>
      <c r="V743" s="54"/>
      <c r="W743" s="54"/>
      <c r="X743" s="54"/>
      <c r="Y743" s="54"/>
      <c r="Z743" s="54"/>
      <c r="AA743" s="54"/>
      <c r="AB743" s="287"/>
      <c r="AC743" s="54"/>
      <c r="AD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382"/>
      <c r="S744" s="377"/>
      <c r="T744" s="54"/>
      <c r="U744" s="54"/>
      <c r="V744" s="54"/>
      <c r="W744" s="54"/>
      <c r="X744" s="54"/>
      <c r="Y744" s="54"/>
      <c r="Z744" s="54"/>
      <c r="AA744" s="54"/>
      <c r="AB744" s="287"/>
      <c r="AC744" s="54"/>
      <c r="AD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382"/>
      <c r="S745" s="377"/>
      <c r="T745" s="54"/>
      <c r="U745" s="54"/>
      <c r="V745" s="54"/>
      <c r="W745" s="54"/>
      <c r="X745" s="54"/>
      <c r="Y745" s="54"/>
      <c r="Z745" s="54"/>
      <c r="AA745" s="54"/>
      <c r="AB745" s="287"/>
      <c r="AC745" s="54"/>
      <c r="AD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382"/>
      <c r="S746" s="377"/>
      <c r="T746" s="54"/>
      <c r="U746" s="54"/>
      <c r="V746" s="54"/>
      <c r="W746" s="54"/>
      <c r="X746" s="54"/>
      <c r="Y746" s="54"/>
      <c r="Z746" s="54"/>
      <c r="AA746" s="54"/>
      <c r="AB746" s="287"/>
      <c r="AC746" s="54"/>
      <c r="AD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382"/>
      <c r="S747" s="377"/>
      <c r="T747" s="54"/>
      <c r="U747" s="54"/>
      <c r="V747" s="54"/>
      <c r="W747" s="54"/>
      <c r="X747" s="54"/>
      <c r="Y747" s="54"/>
      <c r="Z747" s="54"/>
      <c r="AA747" s="54"/>
      <c r="AB747" s="287"/>
      <c r="AC747" s="54"/>
      <c r="AD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382"/>
      <c r="S748" s="377"/>
      <c r="T748" s="54"/>
      <c r="U748" s="54"/>
      <c r="V748" s="54"/>
      <c r="W748" s="54"/>
      <c r="X748" s="54"/>
      <c r="Y748" s="54"/>
      <c r="Z748" s="54"/>
      <c r="AA748" s="54"/>
      <c r="AB748" s="287"/>
      <c r="AC748" s="54"/>
      <c r="AD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382"/>
      <c r="S749" s="377"/>
      <c r="T749" s="54"/>
      <c r="U749" s="54"/>
      <c r="V749" s="54"/>
      <c r="W749" s="54"/>
      <c r="X749" s="54"/>
      <c r="Y749" s="54"/>
      <c r="Z749" s="54"/>
      <c r="AA749" s="54"/>
      <c r="AB749" s="287"/>
      <c r="AC749" s="54"/>
      <c r="AD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382"/>
      <c r="S750" s="377"/>
      <c r="T750" s="54"/>
      <c r="U750" s="54"/>
      <c r="V750" s="54"/>
      <c r="W750" s="54"/>
      <c r="X750" s="54"/>
      <c r="Y750" s="54"/>
      <c r="Z750" s="54"/>
      <c r="AA750" s="54"/>
      <c r="AB750" s="287"/>
      <c r="AC750" s="54"/>
      <c r="AD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382"/>
      <c r="S751" s="377"/>
      <c r="T751" s="54"/>
      <c r="U751" s="54"/>
      <c r="V751" s="54"/>
      <c r="W751" s="54"/>
      <c r="X751" s="54"/>
      <c r="Y751" s="54"/>
      <c r="Z751" s="54"/>
      <c r="AA751" s="54"/>
      <c r="AB751" s="287"/>
      <c r="AC751" s="54"/>
      <c r="AD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382"/>
      <c r="S752" s="377"/>
      <c r="T752" s="54"/>
      <c r="U752" s="54"/>
      <c r="V752" s="54"/>
      <c r="W752" s="54"/>
      <c r="X752" s="54"/>
      <c r="Y752" s="54"/>
      <c r="Z752" s="54"/>
      <c r="AA752" s="54"/>
      <c r="AB752" s="287"/>
      <c r="AC752" s="54"/>
      <c r="AD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382"/>
      <c r="S753" s="377"/>
      <c r="T753" s="54"/>
      <c r="U753" s="54"/>
      <c r="V753" s="54"/>
      <c r="W753" s="54"/>
      <c r="X753" s="54"/>
      <c r="Y753" s="54"/>
      <c r="Z753" s="54"/>
      <c r="AA753" s="54"/>
      <c r="AB753" s="287"/>
      <c r="AC753" s="54"/>
      <c r="AD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382"/>
      <c r="S754" s="377"/>
      <c r="T754" s="54"/>
      <c r="U754" s="54"/>
      <c r="V754" s="54"/>
      <c r="W754" s="54"/>
      <c r="X754" s="54"/>
      <c r="Y754" s="54"/>
      <c r="Z754" s="54"/>
      <c r="AA754" s="54"/>
      <c r="AB754" s="287"/>
      <c r="AC754" s="54"/>
      <c r="AD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382"/>
      <c r="S755" s="377"/>
      <c r="T755" s="54"/>
      <c r="U755" s="54"/>
      <c r="V755" s="54"/>
      <c r="W755" s="54"/>
      <c r="X755" s="54"/>
      <c r="Y755" s="54"/>
      <c r="Z755" s="54"/>
      <c r="AA755" s="54"/>
      <c r="AB755" s="287"/>
      <c r="AC755" s="54"/>
      <c r="AD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382"/>
      <c r="S756" s="377"/>
      <c r="T756" s="54"/>
      <c r="U756" s="54"/>
      <c r="V756" s="54"/>
      <c r="W756" s="54"/>
      <c r="X756" s="54"/>
      <c r="Y756" s="54"/>
      <c r="Z756" s="54"/>
      <c r="AA756" s="54"/>
      <c r="AB756" s="287"/>
      <c r="AC756" s="54"/>
      <c r="AD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382"/>
      <c r="S757" s="377"/>
      <c r="T757" s="54"/>
      <c r="U757" s="54"/>
      <c r="V757" s="54"/>
      <c r="W757" s="54"/>
      <c r="X757" s="54"/>
      <c r="Y757" s="54"/>
      <c r="Z757" s="54"/>
      <c r="AA757" s="54"/>
      <c r="AB757" s="287"/>
      <c r="AC757" s="54"/>
      <c r="AD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382"/>
      <c r="S758" s="377"/>
      <c r="T758" s="54"/>
      <c r="U758" s="54"/>
      <c r="V758" s="54"/>
      <c r="W758" s="54"/>
      <c r="X758" s="54"/>
      <c r="Y758" s="54"/>
      <c r="Z758" s="54"/>
      <c r="AA758" s="54"/>
      <c r="AB758" s="287"/>
      <c r="AC758" s="54"/>
      <c r="AD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382"/>
      <c r="S759" s="377"/>
      <c r="T759" s="54"/>
      <c r="U759" s="54"/>
      <c r="V759" s="54"/>
      <c r="W759" s="54"/>
      <c r="X759" s="54"/>
      <c r="Y759" s="54"/>
      <c r="Z759" s="54"/>
      <c r="AA759" s="54"/>
      <c r="AB759" s="287"/>
      <c r="AC759" s="54"/>
      <c r="AD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382"/>
      <c r="S760" s="377"/>
      <c r="T760" s="54"/>
      <c r="U760" s="54"/>
      <c r="V760" s="54"/>
      <c r="W760" s="54"/>
      <c r="X760" s="54"/>
      <c r="Y760" s="54"/>
      <c r="Z760" s="54"/>
      <c r="AA760" s="54"/>
      <c r="AB760" s="287"/>
      <c r="AC760" s="54"/>
      <c r="AD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382"/>
      <c r="S761" s="377"/>
      <c r="T761" s="54"/>
      <c r="U761" s="54"/>
      <c r="V761" s="54"/>
      <c r="W761" s="54"/>
      <c r="X761" s="54"/>
      <c r="Y761" s="54"/>
      <c r="Z761" s="54"/>
      <c r="AA761" s="54"/>
      <c r="AB761" s="287"/>
      <c r="AC761" s="54"/>
      <c r="AD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382"/>
      <c r="S762" s="377"/>
      <c r="T762" s="54"/>
      <c r="U762" s="54"/>
      <c r="V762" s="54"/>
      <c r="W762" s="54"/>
      <c r="X762" s="54"/>
      <c r="Y762" s="54"/>
      <c r="Z762" s="54"/>
      <c r="AA762" s="54"/>
      <c r="AB762" s="287"/>
      <c r="AC762" s="54"/>
      <c r="AD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382"/>
      <c r="S763" s="377"/>
      <c r="T763" s="54"/>
      <c r="U763" s="54"/>
      <c r="V763" s="54"/>
      <c r="W763" s="54"/>
      <c r="X763" s="54"/>
      <c r="Y763" s="54"/>
      <c r="Z763" s="54"/>
      <c r="AA763" s="54"/>
      <c r="AB763" s="287"/>
      <c r="AC763" s="54"/>
      <c r="AD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382"/>
      <c r="S764" s="377"/>
      <c r="T764" s="54"/>
      <c r="U764" s="54"/>
      <c r="V764" s="54"/>
      <c r="W764" s="54"/>
      <c r="X764" s="54"/>
      <c r="Y764" s="54"/>
      <c r="Z764" s="54"/>
      <c r="AA764" s="54"/>
      <c r="AB764" s="287"/>
      <c r="AC764" s="54"/>
      <c r="AD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382"/>
      <c r="S765" s="377"/>
      <c r="T765" s="54"/>
      <c r="U765" s="54"/>
      <c r="V765" s="54"/>
      <c r="W765" s="54"/>
      <c r="X765" s="54"/>
      <c r="Y765" s="54"/>
      <c r="Z765" s="54"/>
      <c r="AA765" s="54"/>
      <c r="AB765" s="287"/>
      <c r="AC765" s="54"/>
      <c r="AD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382"/>
      <c r="S766" s="377"/>
      <c r="T766" s="54"/>
      <c r="U766" s="54"/>
      <c r="V766" s="54"/>
      <c r="W766" s="54"/>
      <c r="X766" s="54"/>
      <c r="Y766" s="54"/>
      <c r="Z766" s="54"/>
      <c r="AA766" s="54"/>
      <c r="AB766" s="287"/>
      <c r="AC766" s="54"/>
      <c r="AD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382"/>
      <c r="S767" s="377"/>
      <c r="T767" s="54"/>
      <c r="U767" s="54"/>
      <c r="V767" s="54"/>
      <c r="W767" s="54"/>
      <c r="X767" s="54"/>
      <c r="Y767" s="54"/>
      <c r="Z767" s="54"/>
      <c r="AA767" s="54"/>
      <c r="AB767" s="287"/>
      <c r="AC767" s="54"/>
      <c r="AD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382"/>
      <c r="S768" s="377"/>
      <c r="T768" s="54"/>
      <c r="U768" s="54"/>
      <c r="V768" s="54"/>
      <c r="W768" s="54"/>
      <c r="X768" s="54"/>
      <c r="Y768" s="54"/>
      <c r="Z768" s="54"/>
      <c r="AA768" s="54"/>
      <c r="AB768" s="287"/>
      <c r="AC768" s="54"/>
      <c r="AD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382"/>
      <c r="S769" s="377"/>
      <c r="T769" s="54"/>
      <c r="U769" s="54"/>
      <c r="V769" s="54"/>
      <c r="W769" s="54"/>
      <c r="X769" s="54"/>
      <c r="Y769" s="54"/>
      <c r="Z769" s="54"/>
      <c r="AA769" s="54"/>
      <c r="AB769" s="287"/>
      <c r="AC769" s="54"/>
      <c r="AD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382"/>
      <c r="S770" s="377"/>
      <c r="T770" s="54"/>
      <c r="U770" s="54"/>
      <c r="V770" s="54"/>
      <c r="W770" s="54"/>
      <c r="X770" s="54"/>
      <c r="Y770" s="54"/>
      <c r="Z770" s="54"/>
      <c r="AA770" s="54"/>
      <c r="AB770" s="287"/>
      <c r="AC770" s="54"/>
      <c r="AD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382"/>
      <c r="S771" s="377"/>
      <c r="T771" s="54"/>
      <c r="U771" s="54"/>
      <c r="V771" s="54"/>
      <c r="W771" s="54"/>
      <c r="X771" s="54"/>
      <c r="Y771" s="54"/>
      <c r="Z771" s="54"/>
      <c r="AA771" s="54"/>
      <c r="AB771" s="287"/>
      <c r="AC771" s="54"/>
      <c r="AD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382"/>
      <c r="S772" s="377"/>
      <c r="T772" s="54"/>
      <c r="U772" s="54"/>
      <c r="V772" s="54"/>
      <c r="W772" s="54"/>
      <c r="X772" s="54"/>
      <c r="Y772" s="54"/>
      <c r="Z772" s="54"/>
      <c r="AA772" s="54"/>
      <c r="AB772" s="287"/>
      <c r="AC772" s="54"/>
      <c r="AD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382"/>
      <c r="S773" s="377"/>
      <c r="T773" s="54"/>
      <c r="U773" s="54"/>
      <c r="V773" s="54"/>
      <c r="W773" s="54"/>
      <c r="X773" s="54"/>
      <c r="Y773" s="54"/>
      <c r="Z773" s="54"/>
      <c r="AA773" s="54"/>
      <c r="AB773" s="287"/>
      <c r="AC773" s="54"/>
      <c r="AD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382"/>
      <c r="S774" s="377"/>
      <c r="T774" s="54"/>
      <c r="U774" s="54"/>
      <c r="V774" s="54"/>
      <c r="W774" s="54"/>
      <c r="X774" s="54"/>
      <c r="Y774" s="54"/>
      <c r="Z774" s="54"/>
      <c r="AA774" s="54"/>
      <c r="AB774" s="287"/>
      <c r="AC774" s="54"/>
      <c r="AD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382"/>
      <c r="S775" s="377"/>
      <c r="T775" s="54"/>
      <c r="U775" s="54"/>
      <c r="V775" s="54"/>
      <c r="W775" s="54"/>
      <c r="X775" s="54"/>
      <c r="Y775" s="54"/>
      <c r="Z775" s="54"/>
      <c r="AA775" s="54"/>
      <c r="AB775" s="287"/>
      <c r="AC775" s="54"/>
      <c r="AD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382"/>
      <c r="S776" s="377"/>
      <c r="T776" s="54"/>
      <c r="U776" s="54"/>
      <c r="V776" s="54"/>
      <c r="W776" s="54"/>
      <c r="X776" s="54"/>
      <c r="Y776" s="54"/>
      <c r="Z776" s="54"/>
      <c r="AA776" s="54"/>
      <c r="AB776" s="287"/>
      <c r="AC776" s="54"/>
      <c r="AD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382"/>
      <c r="S777" s="377"/>
      <c r="T777" s="54"/>
      <c r="U777" s="54"/>
      <c r="V777" s="54"/>
      <c r="W777" s="54"/>
      <c r="X777" s="54"/>
      <c r="Y777" s="54"/>
      <c r="Z777" s="54"/>
      <c r="AA777" s="54"/>
      <c r="AB777" s="287"/>
      <c r="AC777" s="54"/>
      <c r="AD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382"/>
      <c r="S778" s="377"/>
      <c r="T778" s="54"/>
      <c r="U778" s="54"/>
      <c r="V778" s="54"/>
      <c r="W778" s="54"/>
      <c r="X778" s="54"/>
      <c r="Y778" s="54"/>
      <c r="Z778" s="54"/>
      <c r="AA778" s="54"/>
      <c r="AB778" s="287"/>
      <c r="AC778" s="54"/>
      <c r="AD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382"/>
      <c r="S779" s="377"/>
      <c r="T779" s="54"/>
      <c r="U779" s="54"/>
      <c r="V779" s="54"/>
      <c r="W779" s="54"/>
      <c r="X779" s="54"/>
      <c r="Y779" s="54"/>
      <c r="Z779" s="54"/>
      <c r="AA779" s="54"/>
      <c r="AB779" s="287"/>
      <c r="AC779" s="54"/>
      <c r="AD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382"/>
      <c r="S780" s="377"/>
      <c r="T780" s="54"/>
      <c r="U780" s="54"/>
      <c r="V780" s="54"/>
      <c r="W780" s="54"/>
      <c r="X780" s="54"/>
      <c r="Y780" s="54"/>
      <c r="Z780" s="54"/>
      <c r="AA780" s="54"/>
      <c r="AB780" s="287"/>
      <c r="AC780" s="54"/>
      <c r="AD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382"/>
      <c r="S781" s="377"/>
      <c r="T781" s="54"/>
      <c r="U781" s="54"/>
      <c r="V781" s="54"/>
      <c r="W781" s="54"/>
      <c r="X781" s="54"/>
      <c r="Y781" s="54"/>
      <c r="Z781" s="54"/>
      <c r="AA781" s="54"/>
      <c r="AB781" s="287"/>
      <c r="AC781" s="54"/>
      <c r="AD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382"/>
      <c r="S782" s="377"/>
      <c r="T782" s="54"/>
      <c r="U782" s="54"/>
      <c r="V782" s="54"/>
      <c r="W782" s="54"/>
      <c r="X782" s="54"/>
      <c r="Y782" s="54"/>
      <c r="Z782" s="54"/>
      <c r="AA782" s="54"/>
      <c r="AB782" s="287"/>
      <c r="AC782" s="54"/>
      <c r="AD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382"/>
      <c r="S783" s="377"/>
      <c r="T783" s="54"/>
      <c r="U783" s="54"/>
      <c r="V783" s="54"/>
      <c r="W783" s="54"/>
      <c r="X783" s="54"/>
      <c r="Y783" s="54"/>
      <c r="Z783" s="54"/>
      <c r="AA783" s="54"/>
      <c r="AB783" s="287"/>
      <c r="AC783" s="54"/>
      <c r="AD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382"/>
      <c r="S784" s="377"/>
      <c r="T784" s="54"/>
      <c r="U784" s="54"/>
      <c r="V784" s="54"/>
      <c r="W784" s="54"/>
      <c r="X784" s="54"/>
      <c r="Y784" s="54"/>
      <c r="Z784" s="54"/>
      <c r="AA784" s="54"/>
      <c r="AB784" s="287"/>
      <c r="AC784" s="54"/>
      <c r="AD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382"/>
      <c r="S785" s="377"/>
      <c r="T785" s="54"/>
      <c r="U785" s="54"/>
      <c r="V785" s="54"/>
      <c r="W785" s="54"/>
      <c r="X785" s="54"/>
      <c r="Y785" s="54"/>
      <c r="Z785" s="54"/>
      <c r="AA785" s="54"/>
      <c r="AB785" s="287"/>
      <c r="AC785" s="54"/>
      <c r="AD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382"/>
      <c r="S786" s="377"/>
      <c r="T786" s="54"/>
      <c r="U786" s="54"/>
      <c r="V786" s="54"/>
      <c r="W786" s="54"/>
      <c r="X786" s="54"/>
      <c r="Y786" s="54"/>
      <c r="Z786" s="54"/>
      <c r="AA786" s="54"/>
      <c r="AB786" s="287"/>
      <c r="AC786" s="54"/>
      <c r="AD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382"/>
      <c r="S787" s="377"/>
      <c r="T787" s="54"/>
      <c r="U787" s="54"/>
      <c r="V787" s="54"/>
      <c r="W787" s="54"/>
      <c r="X787" s="54"/>
      <c r="Y787" s="54"/>
      <c r="Z787" s="54"/>
      <c r="AA787" s="54"/>
      <c r="AB787" s="287"/>
      <c r="AC787" s="54"/>
      <c r="AD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382"/>
      <c r="S788" s="377"/>
      <c r="T788" s="54"/>
      <c r="U788" s="54"/>
      <c r="V788" s="54"/>
      <c r="W788" s="54"/>
      <c r="X788" s="54"/>
      <c r="Y788" s="54"/>
      <c r="Z788" s="54"/>
      <c r="AA788" s="54"/>
      <c r="AB788" s="287"/>
      <c r="AC788" s="54"/>
      <c r="AD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382"/>
      <c r="S789" s="377"/>
      <c r="T789" s="54"/>
      <c r="U789" s="54"/>
      <c r="V789" s="54"/>
      <c r="W789" s="54"/>
      <c r="X789" s="54"/>
      <c r="Y789" s="54"/>
      <c r="Z789" s="54"/>
      <c r="AA789" s="54"/>
      <c r="AB789" s="287"/>
      <c r="AC789" s="54"/>
      <c r="AD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382"/>
      <c r="S790" s="377"/>
      <c r="T790" s="54"/>
      <c r="U790" s="54"/>
      <c r="V790" s="54"/>
      <c r="W790" s="54"/>
      <c r="X790" s="54"/>
      <c r="Y790" s="54"/>
      <c r="Z790" s="54"/>
      <c r="AA790" s="54"/>
      <c r="AB790" s="287"/>
      <c r="AC790" s="54"/>
      <c r="AD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382"/>
      <c r="S791" s="377"/>
      <c r="T791" s="54"/>
      <c r="U791" s="54"/>
      <c r="V791" s="54"/>
      <c r="W791" s="54"/>
      <c r="X791" s="54"/>
      <c r="Y791" s="54"/>
      <c r="Z791" s="54"/>
      <c r="AA791" s="54"/>
      <c r="AB791" s="287"/>
      <c r="AC791" s="54"/>
      <c r="AD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382"/>
      <c r="S792" s="377"/>
      <c r="T792" s="54"/>
      <c r="U792" s="54"/>
      <c r="V792" s="54"/>
      <c r="W792" s="54"/>
      <c r="X792" s="54"/>
      <c r="Y792" s="54"/>
      <c r="Z792" s="54"/>
      <c r="AA792" s="54"/>
      <c r="AB792" s="287"/>
      <c r="AC792" s="54"/>
      <c r="AD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382"/>
      <c r="S793" s="377"/>
      <c r="T793" s="54"/>
      <c r="U793" s="54"/>
      <c r="V793" s="54"/>
      <c r="W793" s="54"/>
      <c r="X793" s="54"/>
      <c r="Y793" s="54"/>
      <c r="Z793" s="54"/>
      <c r="AA793" s="54"/>
      <c r="AB793" s="287"/>
      <c r="AC793" s="54"/>
      <c r="AD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382"/>
      <c r="S794" s="377"/>
      <c r="T794" s="54"/>
      <c r="U794" s="54"/>
      <c r="V794" s="54"/>
      <c r="W794" s="54"/>
      <c r="X794" s="54"/>
      <c r="Y794" s="54"/>
      <c r="Z794" s="54"/>
      <c r="AA794" s="54"/>
      <c r="AB794" s="287"/>
      <c r="AC794" s="54"/>
      <c r="AD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382"/>
      <c r="S795" s="377"/>
      <c r="T795" s="54"/>
      <c r="U795" s="54"/>
      <c r="V795" s="54"/>
      <c r="W795" s="54"/>
      <c r="X795" s="54"/>
      <c r="Y795" s="54"/>
      <c r="Z795" s="54"/>
      <c r="AA795" s="54"/>
      <c r="AB795" s="287"/>
      <c r="AC795" s="54"/>
      <c r="AD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382"/>
      <c r="S796" s="377"/>
      <c r="T796" s="54"/>
      <c r="U796" s="54"/>
      <c r="V796" s="54"/>
      <c r="W796" s="54"/>
      <c r="X796" s="54"/>
      <c r="Y796" s="54"/>
      <c r="Z796" s="54"/>
      <c r="AA796" s="54"/>
      <c r="AB796" s="287"/>
      <c r="AC796" s="54"/>
      <c r="AD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382"/>
      <c r="S797" s="377"/>
      <c r="T797" s="54"/>
      <c r="U797" s="54"/>
      <c r="V797" s="54"/>
      <c r="W797" s="54"/>
      <c r="X797" s="54"/>
      <c r="Y797" s="54"/>
      <c r="Z797" s="54"/>
      <c r="AA797" s="54"/>
      <c r="AB797" s="287"/>
      <c r="AC797" s="54"/>
      <c r="AD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382"/>
      <c r="S798" s="377"/>
      <c r="T798" s="54"/>
      <c r="U798" s="54"/>
      <c r="V798" s="54"/>
      <c r="W798" s="54"/>
      <c r="X798" s="54"/>
      <c r="Y798" s="54"/>
      <c r="Z798" s="54"/>
      <c r="AA798" s="54"/>
      <c r="AB798" s="287"/>
      <c r="AC798" s="54"/>
      <c r="AD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382"/>
      <c r="S799" s="377"/>
      <c r="T799" s="54"/>
      <c r="U799" s="54"/>
      <c r="V799" s="54"/>
      <c r="W799" s="54"/>
      <c r="X799" s="54"/>
      <c r="Y799" s="54"/>
      <c r="Z799" s="54"/>
      <c r="AA799" s="54"/>
      <c r="AB799" s="287"/>
      <c r="AC799" s="54"/>
      <c r="AD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382"/>
      <c r="S800" s="377"/>
      <c r="T800" s="54"/>
      <c r="U800" s="54"/>
      <c r="V800" s="54"/>
      <c r="W800" s="54"/>
      <c r="X800" s="54"/>
      <c r="Y800" s="54"/>
      <c r="Z800" s="54"/>
      <c r="AA800" s="54"/>
      <c r="AB800" s="287"/>
      <c r="AC800" s="54"/>
      <c r="AD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382"/>
      <c r="S801" s="377"/>
      <c r="T801" s="54"/>
      <c r="U801" s="54"/>
      <c r="V801" s="54"/>
      <c r="W801" s="54"/>
      <c r="X801" s="54"/>
      <c r="Y801" s="54"/>
      <c r="Z801" s="54"/>
      <c r="AA801" s="54"/>
      <c r="AB801" s="287"/>
      <c r="AC801" s="54"/>
      <c r="AD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382"/>
      <c r="S802" s="377"/>
      <c r="T802" s="54"/>
      <c r="U802" s="54"/>
      <c r="V802" s="54"/>
      <c r="W802" s="54"/>
      <c r="X802" s="54"/>
      <c r="Y802" s="54"/>
      <c r="Z802" s="54"/>
      <c r="AA802" s="54"/>
      <c r="AB802" s="287"/>
      <c r="AC802" s="54"/>
      <c r="AD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382"/>
      <c r="S803" s="377"/>
      <c r="T803" s="54"/>
      <c r="U803" s="54"/>
      <c r="V803" s="54"/>
      <c r="W803" s="54"/>
      <c r="X803" s="54"/>
      <c r="Y803" s="54"/>
      <c r="Z803" s="54"/>
      <c r="AA803" s="54"/>
      <c r="AB803" s="287"/>
      <c r="AC803" s="54"/>
      <c r="AD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382"/>
      <c r="S804" s="377"/>
      <c r="T804" s="54"/>
      <c r="U804" s="54"/>
      <c r="V804" s="54"/>
      <c r="W804" s="54"/>
      <c r="X804" s="54"/>
      <c r="Y804" s="54"/>
      <c r="Z804" s="54"/>
      <c r="AA804" s="54"/>
      <c r="AB804" s="287"/>
      <c r="AC804" s="54"/>
      <c r="AD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382"/>
      <c r="S805" s="377"/>
      <c r="T805" s="54"/>
      <c r="U805" s="54"/>
      <c r="V805" s="54"/>
      <c r="W805" s="54"/>
      <c r="X805" s="54"/>
      <c r="Y805" s="54"/>
      <c r="Z805" s="54"/>
      <c r="AA805" s="54"/>
      <c r="AB805" s="287"/>
      <c r="AC805" s="54"/>
      <c r="AD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382"/>
      <c r="S806" s="377"/>
      <c r="T806" s="54"/>
      <c r="U806" s="54"/>
      <c r="V806" s="54"/>
      <c r="W806" s="54"/>
      <c r="X806" s="54"/>
      <c r="Y806" s="54"/>
      <c r="Z806" s="54"/>
      <c r="AA806" s="54"/>
      <c r="AB806" s="287"/>
      <c r="AC806" s="54"/>
      <c r="AD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382"/>
      <c r="S807" s="377"/>
      <c r="T807" s="54"/>
      <c r="U807" s="54"/>
      <c r="V807" s="54"/>
      <c r="W807" s="54"/>
      <c r="X807" s="54"/>
      <c r="Y807" s="54"/>
      <c r="Z807" s="54"/>
      <c r="AA807" s="54"/>
      <c r="AB807" s="287"/>
      <c r="AC807" s="54"/>
      <c r="AD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382"/>
      <c r="S808" s="377"/>
      <c r="T808" s="54"/>
      <c r="U808" s="54"/>
      <c r="V808" s="54"/>
      <c r="W808" s="54"/>
      <c r="X808" s="54"/>
      <c r="Y808" s="54"/>
      <c r="Z808" s="54"/>
      <c r="AA808" s="54"/>
      <c r="AB808" s="287"/>
      <c r="AC808" s="54"/>
      <c r="AD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382"/>
      <c r="S809" s="377"/>
      <c r="T809" s="54"/>
      <c r="U809" s="54"/>
      <c r="V809" s="54"/>
      <c r="W809" s="54"/>
      <c r="X809" s="54"/>
      <c r="Y809" s="54"/>
      <c r="Z809" s="54"/>
      <c r="AA809" s="54"/>
      <c r="AB809" s="287"/>
      <c r="AC809" s="54"/>
      <c r="AD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382"/>
      <c r="S810" s="377"/>
      <c r="T810" s="54"/>
      <c r="U810" s="54"/>
      <c r="V810" s="54"/>
      <c r="W810" s="54"/>
      <c r="X810" s="54"/>
      <c r="Y810" s="54"/>
      <c r="Z810" s="54"/>
      <c r="AA810" s="54"/>
      <c r="AB810" s="287"/>
      <c r="AC810" s="54"/>
      <c r="AD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382"/>
      <c r="S811" s="377"/>
      <c r="T811" s="54"/>
      <c r="U811" s="54"/>
      <c r="V811" s="54"/>
      <c r="W811" s="54"/>
      <c r="X811" s="54"/>
      <c r="Y811" s="54"/>
      <c r="Z811" s="54"/>
      <c r="AA811" s="54"/>
      <c r="AB811" s="287"/>
      <c r="AC811" s="54"/>
      <c r="AD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382"/>
      <c r="S812" s="377"/>
      <c r="T812" s="54"/>
      <c r="U812" s="54"/>
      <c r="V812" s="54"/>
      <c r="W812" s="54"/>
      <c r="X812" s="54"/>
      <c r="Y812" s="54"/>
      <c r="Z812" s="54"/>
      <c r="AA812" s="54"/>
      <c r="AB812" s="287"/>
      <c r="AC812" s="54"/>
      <c r="AD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382"/>
      <c r="S813" s="377"/>
      <c r="T813" s="54"/>
      <c r="U813" s="54"/>
      <c r="V813" s="54"/>
      <c r="W813" s="54"/>
      <c r="X813" s="54"/>
      <c r="Y813" s="54"/>
      <c r="Z813" s="54"/>
      <c r="AA813" s="54"/>
      <c r="AB813" s="287"/>
      <c r="AC813" s="54"/>
      <c r="AD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382"/>
      <c r="S814" s="377"/>
      <c r="T814" s="54"/>
      <c r="U814" s="54"/>
      <c r="V814" s="54"/>
      <c r="W814" s="54"/>
      <c r="X814" s="54"/>
      <c r="Y814" s="54"/>
      <c r="Z814" s="54"/>
      <c r="AA814" s="54"/>
      <c r="AB814" s="287"/>
      <c r="AC814" s="54"/>
      <c r="AD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382"/>
      <c r="S815" s="377"/>
      <c r="T815" s="54"/>
      <c r="U815" s="54"/>
      <c r="V815" s="54"/>
      <c r="W815" s="54"/>
      <c r="X815" s="54"/>
      <c r="Y815" s="54"/>
      <c r="Z815" s="54"/>
      <c r="AA815" s="54"/>
      <c r="AB815" s="287"/>
      <c r="AC815" s="54"/>
      <c r="AD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382"/>
      <c r="S816" s="377"/>
      <c r="T816" s="54"/>
      <c r="U816" s="54"/>
      <c r="V816" s="54"/>
      <c r="W816" s="54"/>
      <c r="X816" s="54"/>
      <c r="Y816" s="54"/>
      <c r="Z816" s="54"/>
      <c r="AA816" s="54"/>
      <c r="AB816" s="287"/>
      <c r="AC816" s="54"/>
      <c r="AD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382"/>
      <c r="S817" s="377"/>
      <c r="T817" s="54"/>
      <c r="U817" s="54"/>
      <c r="V817" s="54"/>
      <c r="W817" s="54"/>
      <c r="X817" s="54"/>
      <c r="Y817" s="54"/>
      <c r="Z817" s="54"/>
      <c r="AA817" s="54"/>
      <c r="AB817" s="287"/>
      <c r="AC817" s="54"/>
      <c r="AD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382"/>
      <c r="S818" s="377"/>
      <c r="T818" s="54"/>
      <c r="U818" s="54"/>
      <c r="V818" s="54"/>
      <c r="W818" s="54"/>
      <c r="X818" s="54"/>
      <c r="Y818" s="54"/>
      <c r="Z818" s="54"/>
      <c r="AA818" s="54"/>
      <c r="AB818" s="287"/>
      <c r="AC818" s="54"/>
      <c r="AD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382"/>
      <c r="S819" s="377"/>
      <c r="T819" s="54"/>
      <c r="U819" s="54"/>
      <c r="V819" s="54"/>
      <c r="W819" s="54"/>
      <c r="X819" s="54"/>
      <c r="Y819" s="54"/>
      <c r="Z819" s="54"/>
      <c r="AA819" s="54"/>
      <c r="AB819" s="287"/>
      <c r="AC819" s="54"/>
      <c r="AD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382"/>
      <c r="S820" s="377"/>
      <c r="T820" s="54"/>
      <c r="U820" s="54"/>
      <c r="V820" s="54"/>
      <c r="W820" s="54"/>
      <c r="X820" s="54"/>
      <c r="Y820" s="54"/>
      <c r="Z820" s="54"/>
      <c r="AA820" s="54"/>
      <c r="AB820" s="287"/>
      <c r="AC820" s="54"/>
      <c r="AD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382"/>
      <c r="S821" s="377"/>
      <c r="T821" s="54"/>
      <c r="U821" s="54"/>
      <c r="V821" s="54"/>
      <c r="W821" s="54"/>
      <c r="X821" s="54"/>
      <c r="Y821" s="54"/>
      <c r="Z821" s="54"/>
      <c r="AA821" s="54"/>
      <c r="AB821" s="287"/>
      <c r="AC821" s="54"/>
      <c r="AD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382"/>
      <c r="S822" s="377"/>
      <c r="T822" s="54"/>
      <c r="U822" s="54"/>
      <c r="V822" s="54"/>
      <c r="W822" s="54"/>
      <c r="X822" s="54"/>
      <c r="Y822" s="54"/>
      <c r="Z822" s="54"/>
      <c r="AA822" s="54"/>
      <c r="AB822" s="287"/>
      <c r="AC822" s="54"/>
      <c r="AD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382"/>
      <c r="S823" s="377"/>
      <c r="T823" s="54"/>
      <c r="U823" s="54"/>
      <c r="V823" s="54"/>
      <c r="W823" s="54"/>
      <c r="X823" s="54"/>
      <c r="Y823" s="54"/>
      <c r="Z823" s="54"/>
      <c r="AA823" s="54"/>
      <c r="AB823" s="287"/>
      <c r="AC823" s="54"/>
      <c r="AD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382"/>
      <c r="S824" s="377"/>
      <c r="T824" s="54"/>
      <c r="U824" s="54"/>
      <c r="V824" s="54"/>
      <c r="W824" s="54"/>
      <c r="X824" s="54"/>
      <c r="Y824" s="54"/>
      <c r="Z824" s="54"/>
      <c r="AA824" s="54"/>
      <c r="AB824" s="287"/>
      <c r="AC824" s="54"/>
      <c r="AD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382"/>
      <c r="S825" s="377"/>
      <c r="T825" s="54"/>
      <c r="U825" s="54"/>
      <c r="V825" s="54"/>
      <c r="W825" s="54"/>
      <c r="X825" s="54"/>
      <c r="Y825" s="54"/>
      <c r="Z825" s="54"/>
      <c r="AA825" s="54"/>
      <c r="AB825" s="287"/>
      <c r="AC825" s="54"/>
      <c r="AD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382"/>
      <c r="S826" s="377"/>
      <c r="T826" s="54"/>
      <c r="U826" s="54"/>
      <c r="V826" s="54"/>
      <c r="W826" s="54"/>
      <c r="X826" s="54"/>
      <c r="Y826" s="54"/>
      <c r="Z826" s="54"/>
      <c r="AA826" s="54"/>
      <c r="AB826" s="287"/>
      <c r="AC826" s="54"/>
      <c r="AD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382"/>
      <c r="S827" s="377"/>
      <c r="T827" s="54"/>
      <c r="U827" s="54"/>
      <c r="V827" s="54"/>
      <c r="W827" s="54"/>
      <c r="X827" s="54"/>
      <c r="Y827" s="54"/>
      <c r="Z827" s="54"/>
      <c r="AA827" s="54"/>
      <c r="AB827" s="287"/>
      <c r="AC827" s="54"/>
      <c r="AD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382"/>
      <c r="S828" s="377"/>
      <c r="T828" s="54"/>
      <c r="U828" s="54"/>
      <c r="V828" s="54"/>
      <c r="W828" s="54"/>
      <c r="X828" s="54"/>
      <c r="Y828" s="54"/>
      <c r="Z828" s="54"/>
      <c r="AA828" s="54"/>
      <c r="AB828" s="287"/>
      <c r="AC828" s="54"/>
      <c r="AD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382"/>
      <c r="S829" s="377"/>
      <c r="T829" s="54"/>
      <c r="U829" s="54"/>
      <c r="V829" s="54"/>
      <c r="W829" s="54"/>
      <c r="X829" s="54"/>
      <c r="Y829" s="54"/>
      <c r="Z829" s="54"/>
      <c r="AA829" s="54"/>
      <c r="AB829" s="287"/>
      <c r="AC829" s="54"/>
      <c r="AD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382"/>
      <c r="S830" s="377"/>
      <c r="T830" s="54"/>
      <c r="U830" s="54"/>
      <c r="V830" s="54"/>
      <c r="W830" s="54"/>
      <c r="X830" s="54"/>
      <c r="Y830" s="54"/>
      <c r="Z830" s="54"/>
      <c r="AA830" s="54"/>
      <c r="AB830" s="287"/>
      <c r="AC830" s="54"/>
      <c r="AD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382"/>
      <c r="S831" s="377"/>
      <c r="T831" s="54"/>
      <c r="U831" s="54"/>
      <c r="V831" s="54"/>
      <c r="W831" s="54"/>
      <c r="X831" s="54"/>
      <c r="Y831" s="54"/>
      <c r="Z831" s="54"/>
      <c r="AA831" s="54"/>
      <c r="AB831" s="287"/>
      <c r="AC831" s="54"/>
      <c r="AD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382"/>
      <c r="S832" s="377"/>
      <c r="T832" s="54"/>
      <c r="U832" s="54"/>
      <c r="V832" s="54"/>
      <c r="W832" s="54"/>
      <c r="X832" s="54"/>
      <c r="Y832" s="54"/>
      <c r="Z832" s="54"/>
      <c r="AA832" s="54"/>
      <c r="AB832" s="287"/>
      <c r="AC832" s="54"/>
      <c r="AD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382"/>
      <c r="S833" s="377"/>
      <c r="T833" s="54"/>
      <c r="U833" s="54"/>
      <c r="V833" s="54"/>
      <c r="W833" s="54"/>
      <c r="X833" s="54"/>
      <c r="Y833" s="54"/>
      <c r="Z833" s="54"/>
      <c r="AA833" s="54"/>
      <c r="AB833" s="287"/>
      <c r="AC833" s="54"/>
      <c r="AD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382"/>
      <c r="S834" s="377"/>
      <c r="T834" s="54"/>
      <c r="U834" s="54"/>
      <c r="V834" s="54"/>
      <c r="W834" s="54"/>
      <c r="X834" s="54"/>
      <c r="Y834" s="54"/>
      <c r="Z834" s="54"/>
      <c r="AA834" s="54"/>
      <c r="AB834" s="287"/>
      <c r="AC834" s="54"/>
      <c r="AD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382"/>
      <c r="S835" s="377"/>
      <c r="T835" s="54"/>
      <c r="U835" s="54"/>
      <c r="V835" s="54"/>
      <c r="W835" s="54"/>
      <c r="X835" s="54"/>
      <c r="Y835" s="54"/>
      <c r="Z835" s="54"/>
      <c r="AA835" s="54"/>
      <c r="AB835" s="287"/>
      <c r="AC835" s="54"/>
      <c r="AD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382"/>
      <c r="S836" s="377"/>
      <c r="T836" s="54"/>
      <c r="U836" s="54"/>
      <c r="V836" s="54"/>
      <c r="W836" s="54"/>
      <c r="X836" s="54"/>
      <c r="Y836" s="54"/>
      <c r="Z836" s="54"/>
      <c r="AA836" s="54"/>
      <c r="AB836" s="287"/>
      <c r="AC836" s="54"/>
      <c r="AD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382"/>
      <c r="S837" s="377"/>
      <c r="T837" s="54"/>
      <c r="U837" s="54"/>
      <c r="V837" s="54"/>
      <c r="W837" s="54"/>
      <c r="X837" s="54"/>
      <c r="Y837" s="54"/>
      <c r="Z837" s="54"/>
      <c r="AA837" s="54"/>
      <c r="AB837" s="287"/>
      <c r="AC837" s="54"/>
      <c r="AD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382"/>
      <c r="S838" s="377"/>
      <c r="T838" s="54"/>
      <c r="U838" s="54"/>
      <c r="V838" s="54"/>
      <c r="W838" s="54"/>
      <c r="X838" s="54"/>
      <c r="Y838" s="54"/>
      <c r="Z838" s="54"/>
      <c r="AA838" s="54"/>
      <c r="AB838" s="287"/>
      <c r="AC838" s="54"/>
      <c r="AD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382"/>
      <c r="S839" s="377"/>
      <c r="T839" s="54"/>
      <c r="U839" s="54"/>
      <c r="V839" s="54"/>
      <c r="W839" s="54"/>
      <c r="X839" s="54"/>
      <c r="Y839" s="54"/>
      <c r="Z839" s="54"/>
      <c r="AA839" s="54"/>
      <c r="AB839" s="287"/>
      <c r="AC839" s="54"/>
      <c r="AD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382"/>
      <c r="S840" s="377"/>
      <c r="T840" s="54"/>
      <c r="U840" s="54"/>
      <c r="V840" s="54"/>
      <c r="W840" s="54"/>
      <c r="X840" s="54"/>
      <c r="Y840" s="54"/>
      <c r="Z840" s="54"/>
      <c r="AA840" s="54"/>
      <c r="AB840" s="287"/>
      <c r="AC840" s="54"/>
      <c r="AD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382"/>
      <c r="S841" s="377"/>
      <c r="T841" s="54"/>
      <c r="U841" s="54"/>
      <c r="V841" s="54"/>
      <c r="W841" s="54"/>
      <c r="X841" s="54"/>
      <c r="Y841" s="54"/>
      <c r="Z841" s="54"/>
      <c r="AA841" s="54"/>
      <c r="AB841" s="287"/>
      <c r="AC841" s="54"/>
      <c r="AD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382"/>
      <c r="S842" s="377"/>
      <c r="T842" s="54"/>
      <c r="U842" s="54"/>
      <c r="V842" s="54"/>
      <c r="W842" s="54"/>
      <c r="X842" s="54"/>
      <c r="Y842" s="54"/>
      <c r="Z842" s="54"/>
      <c r="AA842" s="54"/>
      <c r="AB842" s="287"/>
      <c r="AC842" s="54"/>
      <c r="AD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382"/>
      <c r="S843" s="377"/>
      <c r="T843" s="54"/>
      <c r="U843" s="54"/>
      <c r="V843" s="54"/>
      <c r="W843" s="54"/>
      <c r="X843" s="54"/>
      <c r="Y843" s="54"/>
      <c r="Z843" s="54"/>
      <c r="AA843" s="54"/>
      <c r="AB843" s="287"/>
      <c r="AC843" s="54"/>
      <c r="AD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382"/>
      <c r="S844" s="377"/>
      <c r="T844" s="54"/>
      <c r="U844" s="54"/>
      <c r="V844" s="54"/>
      <c r="W844" s="54"/>
      <c r="X844" s="54"/>
      <c r="Y844" s="54"/>
      <c r="Z844" s="54"/>
      <c r="AA844" s="54"/>
      <c r="AB844" s="287"/>
      <c r="AC844" s="54"/>
      <c r="AD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382"/>
      <c r="S845" s="377"/>
      <c r="T845" s="54"/>
      <c r="U845" s="54"/>
      <c r="V845" s="54"/>
      <c r="W845" s="54"/>
      <c r="X845" s="54"/>
      <c r="Y845" s="54"/>
      <c r="Z845" s="54"/>
      <c r="AA845" s="54"/>
      <c r="AB845" s="287"/>
      <c r="AC845" s="54"/>
      <c r="AD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382"/>
      <c r="S846" s="377"/>
      <c r="T846" s="54"/>
      <c r="U846" s="54"/>
      <c r="V846" s="54"/>
      <c r="W846" s="54"/>
      <c r="X846" s="54"/>
      <c r="Y846" s="54"/>
      <c r="Z846" s="54"/>
      <c r="AA846" s="54"/>
      <c r="AB846" s="287"/>
      <c r="AC846" s="54"/>
      <c r="AD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382"/>
      <c r="S847" s="377"/>
      <c r="T847" s="54"/>
      <c r="U847" s="54"/>
      <c r="V847" s="54"/>
      <c r="W847" s="54"/>
      <c r="X847" s="54"/>
      <c r="Y847" s="54"/>
      <c r="Z847" s="54"/>
      <c r="AA847" s="54"/>
      <c r="AB847" s="287"/>
      <c r="AC847" s="54"/>
      <c r="AD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382"/>
      <c r="S848" s="377"/>
      <c r="T848" s="54"/>
      <c r="U848" s="54"/>
      <c r="V848" s="54"/>
      <c r="W848" s="54"/>
      <c r="X848" s="54"/>
      <c r="Y848" s="54"/>
      <c r="Z848" s="54"/>
      <c r="AA848" s="54"/>
      <c r="AB848" s="287"/>
      <c r="AC848" s="54"/>
      <c r="AD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382"/>
      <c r="S849" s="377"/>
      <c r="T849" s="54"/>
      <c r="U849" s="54"/>
      <c r="V849" s="54"/>
      <c r="W849" s="54"/>
      <c r="X849" s="54"/>
      <c r="Y849" s="54"/>
      <c r="Z849" s="54"/>
      <c r="AA849" s="54"/>
      <c r="AB849" s="287"/>
      <c r="AC849" s="54"/>
      <c r="AD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382"/>
      <c r="S850" s="377"/>
      <c r="T850" s="54"/>
      <c r="U850" s="54"/>
      <c r="V850" s="54"/>
      <c r="W850" s="54"/>
      <c r="X850" s="54"/>
      <c r="Y850" s="54"/>
      <c r="Z850" s="54"/>
      <c r="AA850" s="54"/>
      <c r="AB850" s="287"/>
      <c r="AC850" s="54"/>
      <c r="AD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382"/>
      <c r="S851" s="377"/>
      <c r="T851" s="54"/>
      <c r="U851" s="54"/>
      <c r="V851" s="54"/>
      <c r="W851" s="54"/>
      <c r="X851" s="54"/>
      <c r="Y851" s="54"/>
      <c r="Z851" s="54"/>
      <c r="AA851" s="54"/>
      <c r="AB851" s="287"/>
      <c r="AC851" s="54"/>
      <c r="AD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382"/>
      <c r="S852" s="377"/>
      <c r="T852" s="54"/>
      <c r="U852" s="54"/>
      <c r="V852" s="54"/>
      <c r="W852" s="54"/>
      <c r="X852" s="54"/>
      <c r="Y852" s="54"/>
      <c r="Z852" s="54"/>
      <c r="AA852" s="54"/>
      <c r="AB852" s="287"/>
      <c r="AC852" s="54"/>
      <c r="AD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382"/>
      <c r="S853" s="377"/>
      <c r="T853" s="54"/>
      <c r="U853" s="54"/>
      <c r="V853" s="54"/>
      <c r="W853" s="54"/>
      <c r="X853" s="54"/>
      <c r="Y853" s="54"/>
      <c r="Z853" s="54"/>
      <c r="AA853" s="54"/>
      <c r="AB853" s="287"/>
      <c r="AC853" s="54"/>
      <c r="AD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382"/>
      <c r="S854" s="377"/>
      <c r="T854" s="54"/>
      <c r="U854" s="54"/>
      <c r="V854" s="54"/>
      <c r="W854" s="54"/>
      <c r="X854" s="54"/>
      <c r="Y854" s="54"/>
      <c r="Z854" s="54"/>
      <c r="AA854" s="54"/>
      <c r="AB854" s="287"/>
      <c r="AC854" s="54"/>
      <c r="AD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382"/>
      <c r="S855" s="377"/>
      <c r="T855" s="54"/>
      <c r="U855" s="54"/>
      <c r="V855" s="54"/>
      <c r="W855" s="54"/>
      <c r="X855" s="54"/>
      <c r="Y855" s="54"/>
      <c r="Z855" s="54"/>
      <c r="AA855" s="54"/>
      <c r="AB855" s="287"/>
      <c r="AC855" s="54"/>
      <c r="AD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382"/>
      <c r="S856" s="377"/>
      <c r="T856" s="54"/>
      <c r="U856" s="54"/>
      <c r="V856" s="54"/>
      <c r="W856" s="54"/>
      <c r="X856" s="54"/>
      <c r="Y856" s="54"/>
      <c r="Z856" s="54"/>
      <c r="AA856" s="54"/>
      <c r="AB856" s="287"/>
      <c r="AC856" s="54"/>
      <c r="AD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382"/>
      <c r="S857" s="377"/>
      <c r="T857" s="54"/>
      <c r="U857" s="54"/>
      <c r="V857" s="54"/>
      <c r="W857" s="54"/>
      <c r="X857" s="54"/>
      <c r="Y857" s="54"/>
      <c r="Z857" s="54"/>
      <c r="AA857" s="54"/>
      <c r="AB857" s="287"/>
      <c r="AC857" s="54"/>
      <c r="AD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382"/>
      <c r="S858" s="377"/>
      <c r="T858" s="54"/>
      <c r="U858" s="54"/>
      <c r="V858" s="54"/>
      <c r="W858" s="54"/>
      <c r="X858" s="54"/>
      <c r="Y858" s="54"/>
      <c r="Z858" s="54"/>
      <c r="AA858" s="54"/>
      <c r="AB858" s="287"/>
      <c r="AC858" s="54"/>
      <c r="AD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382"/>
      <c r="S859" s="377"/>
      <c r="T859" s="54"/>
      <c r="U859" s="54"/>
      <c r="V859" s="54"/>
      <c r="W859" s="54"/>
      <c r="X859" s="54"/>
      <c r="Y859" s="54"/>
      <c r="Z859" s="54"/>
      <c r="AA859" s="54"/>
      <c r="AB859" s="287"/>
      <c r="AC859" s="54"/>
      <c r="AD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382"/>
      <c r="S860" s="377"/>
      <c r="T860" s="54"/>
      <c r="U860" s="54"/>
      <c r="V860" s="54"/>
      <c r="W860" s="54"/>
      <c r="X860" s="54"/>
      <c r="Y860" s="54"/>
      <c r="Z860" s="54"/>
      <c r="AA860" s="54"/>
      <c r="AB860" s="287"/>
      <c r="AC860" s="54"/>
      <c r="AD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382"/>
      <c r="S861" s="377"/>
      <c r="T861" s="54"/>
      <c r="U861" s="54"/>
      <c r="V861" s="54"/>
      <c r="W861" s="54"/>
      <c r="X861" s="54"/>
      <c r="Y861" s="54"/>
      <c r="Z861" s="54"/>
      <c r="AA861" s="54"/>
      <c r="AB861" s="287"/>
      <c r="AC861" s="54"/>
      <c r="AD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382"/>
      <c r="S862" s="377"/>
      <c r="T862" s="54"/>
      <c r="U862" s="54"/>
      <c r="V862" s="54"/>
      <c r="W862" s="54"/>
      <c r="X862" s="54"/>
      <c r="Y862" s="54"/>
      <c r="Z862" s="54"/>
      <c r="AA862" s="54"/>
      <c r="AB862" s="287"/>
      <c r="AC862" s="54"/>
      <c r="AD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382"/>
      <c r="S863" s="377"/>
      <c r="T863" s="54"/>
      <c r="U863" s="54"/>
      <c r="V863" s="54"/>
      <c r="W863" s="54"/>
      <c r="X863" s="54"/>
      <c r="Y863" s="54"/>
      <c r="Z863" s="54"/>
      <c r="AA863" s="54"/>
      <c r="AB863" s="287"/>
      <c r="AC863" s="54"/>
      <c r="AD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382"/>
      <c r="S864" s="377"/>
      <c r="T864" s="54"/>
      <c r="U864" s="54"/>
      <c r="V864" s="54"/>
      <c r="W864" s="54"/>
      <c r="X864" s="54"/>
      <c r="Y864" s="54"/>
      <c r="Z864" s="54"/>
      <c r="AA864" s="54"/>
      <c r="AB864" s="287"/>
      <c r="AC864" s="54"/>
      <c r="AD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382"/>
      <c r="S865" s="377"/>
      <c r="T865" s="54"/>
      <c r="U865" s="54"/>
      <c r="V865" s="54"/>
      <c r="W865" s="54"/>
      <c r="X865" s="54"/>
      <c r="Y865" s="54"/>
      <c r="Z865" s="54"/>
      <c r="AA865" s="54"/>
      <c r="AB865" s="287"/>
      <c r="AC865" s="54"/>
      <c r="AD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382"/>
      <c r="S866" s="377"/>
      <c r="T866" s="54"/>
      <c r="U866" s="54"/>
      <c r="V866" s="54"/>
      <c r="W866" s="54"/>
      <c r="X866" s="54"/>
      <c r="Y866" s="54"/>
      <c r="Z866" s="54"/>
      <c r="AA866" s="54"/>
      <c r="AB866" s="287"/>
      <c r="AC866" s="54"/>
      <c r="AD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382"/>
      <c r="S867" s="377"/>
      <c r="T867" s="54"/>
      <c r="U867" s="54"/>
      <c r="V867" s="54"/>
      <c r="W867" s="54"/>
      <c r="X867" s="54"/>
      <c r="Y867" s="54"/>
      <c r="Z867" s="54"/>
      <c r="AA867" s="54"/>
      <c r="AB867" s="287"/>
      <c r="AC867" s="54"/>
      <c r="AD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382"/>
      <c r="S868" s="377"/>
      <c r="T868" s="54"/>
      <c r="U868" s="54"/>
      <c r="V868" s="54"/>
      <c r="W868" s="54"/>
      <c r="X868" s="54"/>
      <c r="Y868" s="54"/>
      <c r="Z868" s="54"/>
      <c r="AA868" s="54"/>
      <c r="AB868" s="287"/>
      <c r="AC868" s="54"/>
      <c r="AD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382"/>
      <c r="S869" s="377"/>
      <c r="T869" s="54"/>
      <c r="U869" s="54"/>
      <c r="V869" s="54"/>
      <c r="W869" s="54"/>
      <c r="X869" s="54"/>
      <c r="Y869" s="54"/>
      <c r="Z869" s="54"/>
      <c r="AA869" s="54"/>
      <c r="AB869" s="287"/>
      <c r="AC869" s="54"/>
      <c r="AD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382"/>
      <c r="S870" s="377"/>
      <c r="T870" s="54"/>
      <c r="U870" s="54"/>
      <c r="V870" s="54"/>
      <c r="W870" s="54"/>
      <c r="X870" s="54"/>
      <c r="Y870" s="54"/>
      <c r="Z870" s="54"/>
      <c r="AA870" s="54"/>
      <c r="AB870" s="287"/>
      <c r="AC870" s="54"/>
      <c r="AD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382"/>
      <c r="S871" s="377"/>
      <c r="T871" s="54"/>
      <c r="U871" s="54"/>
      <c r="V871" s="54"/>
      <c r="W871" s="54"/>
      <c r="X871" s="54"/>
      <c r="Y871" s="54"/>
      <c r="Z871" s="54"/>
      <c r="AA871" s="54"/>
      <c r="AB871" s="287"/>
      <c r="AC871" s="54"/>
      <c r="AD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382"/>
      <c r="S872" s="377"/>
      <c r="T872" s="54"/>
      <c r="U872" s="54"/>
      <c r="V872" s="54"/>
      <c r="W872" s="54"/>
      <c r="X872" s="54"/>
      <c r="Y872" s="54"/>
      <c r="Z872" s="54"/>
      <c r="AA872" s="54"/>
      <c r="AB872" s="287"/>
      <c r="AC872" s="54"/>
      <c r="AD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382"/>
      <c r="S873" s="377"/>
      <c r="T873" s="54"/>
      <c r="U873" s="54"/>
      <c r="V873" s="54"/>
      <c r="W873" s="54"/>
      <c r="X873" s="54"/>
      <c r="Y873" s="54"/>
      <c r="Z873" s="54"/>
      <c r="AA873" s="54"/>
      <c r="AB873" s="287"/>
      <c r="AC873" s="54"/>
      <c r="AD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382"/>
      <c r="S874" s="377"/>
      <c r="T874" s="54"/>
      <c r="U874" s="54"/>
      <c r="V874" s="54"/>
      <c r="W874" s="54"/>
      <c r="X874" s="54"/>
      <c r="Y874" s="54"/>
      <c r="Z874" s="54"/>
      <c r="AA874" s="54"/>
      <c r="AB874" s="287"/>
      <c r="AC874" s="54"/>
      <c r="AD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382"/>
      <c r="S875" s="377"/>
      <c r="T875" s="54"/>
      <c r="U875" s="54"/>
      <c r="V875" s="54"/>
      <c r="W875" s="54"/>
      <c r="X875" s="54"/>
      <c r="Y875" s="54"/>
      <c r="Z875" s="54"/>
      <c r="AA875" s="54"/>
      <c r="AB875" s="287"/>
      <c r="AC875" s="54"/>
      <c r="AD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382"/>
      <c r="S876" s="377"/>
      <c r="T876" s="54"/>
      <c r="U876" s="54"/>
      <c r="V876" s="54"/>
      <c r="W876" s="54"/>
      <c r="X876" s="54"/>
      <c r="Y876" s="54"/>
      <c r="Z876" s="54"/>
      <c r="AA876" s="54"/>
      <c r="AB876" s="287"/>
      <c r="AC876" s="54"/>
      <c r="AD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382"/>
      <c r="S877" s="377"/>
      <c r="T877" s="54"/>
      <c r="U877" s="54"/>
      <c r="V877" s="54"/>
      <c r="W877" s="54"/>
      <c r="X877" s="54"/>
      <c r="Y877" s="54"/>
      <c r="Z877" s="54"/>
      <c r="AA877" s="54"/>
      <c r="AB877" s="287"/>
      <c r="AC877" s="54"/>
      <c r="AD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382"/>
      <c r="S878" s="377"/>
      <c r="T878" s="54"/>
      <c r="U878" s="54"/>
      <c r="V878" s="54"/>
      <c r="W878" s="54"/>
      <c r="X878" s="54"/>
      <c r="Y878" s="54"/>
      <c r="Z878" s="54"/>
      <c r="AA878" s="54"/>
      <c r="AB878" s="287"/>
      <c r="AC878" s="54"/>
      <c r="AD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382"/>
      <c r="S879" s="377"/>
      <c r="T879" s="54"/>
      <c r="U879" s="54"/>
      <c r="V879" s="54"/>
      <c r="W879" s="54"/>
      <c r="X879" s="54"/>
      <c r="Y879" s="54"/>
      <c r="Z879" s="54"/>
      <c r="AA879" s="54"/>
      <c r="AB879" s="287"/>
      <c r="AC879" s="54"/>
      <c r="AD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382"/>
      <c r="S880" s="377"/>
      <c r="T880" s="54"/>
      <c r="U880" s="54"/>
      <c r="V880" s="54"/>
      <c r="W880" s="54"/>
      <c r="X880" s="54"/>
      <c r="Y880" s="54"/>
      <c r="Z880" s="54"/>
      <c r="AA880" s="54"/>
      <c r="AB880" s="287"/>
      <c r="AC880" s="54"/>
      <c r="AD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382"/>
      <c r="S881" s="377"/>
      <c r="T881" s="54"/>
      <c r="U881" s="54"/>
      <c r="V881" s="54"/>
      <c r="W881" s="54"/>
      <c r="X881" s="54"/>
      <c r="Y881" s="54"/>
      <c r="Z881" s="54"/>
      <c r="AA881" s="54"/>
      <c r="AB881" s="287"/>
      <c r="AC881" s="54"/>
      <c r="AD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382"/>
      <c r="S882" s="377"/>
      <c r="T882" s="54"/>
      <c r="U882" s="54"/>
      <c r="V882" s="54"/>
      <c r="W882" s="54"/>
      <c r="X882" s="54"/>
      <c r="Y882" s="54"/>
      <c r="Z882" s="54"/>
      <c r="AA882" s="54"/>
      <c r="AB882" s="287"/>
      <c r="AC882" s="54"/>
      <c r="AD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382"/>
      <c r="S883" s="377"/>
      <c r="T883" s="54"/>
      <c r="U883" s="54"/>
      <c r="V883" s="54"/>
      <c r="W883" s="54"/>
      <c r="X883" s="54"/>
      <c r="Y883" s="54"/>
      <c r="Z883" s="54"/>
      <c r="AA883" s="54"/>
      <c r="AB883" s="287"/>
      <c r="AC883" s="54"/>
      <c r="AD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382"/>
      <c r="S884" s="377"/>
      <c r="T884" s="54"/>
      <c r="U884" s="54"/>
      <c r="V884" s="54"/>
      <c r="W884" s="54"/>
      <c r="X884" s="54"/>
      <c r="Y884" s="54"/>
      <c r="Z884" s="54"/>
      <c r="AA884" s="54"/>
      <c r="AB884" s="287"/>
      <c r="AC884" s="54"/>
      <c r="AD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382"/>
      <c r="S885" s="377"/>
      <c r="T885" s="54"/>
      <c r="U885" s="54"/>
      <c r="V885" s="54"/>
      <c r="W885" s="54"/>
      <c r="X885" s="54"/>
      <c r="Y885" s="54"/>
      <c r="Z885" s="54"/>
      <c r="AA885" s="54"/>
      <c r="AB885" s="287"/>
      <c r="AC885" s="54"/>
      <c r="AD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382"/>
      <c r="S886" s="377"/>
      <c r="T886" s="54"/>
      <c r="U886" s="54"/>
      <c r="V886" s="54"/>
      <c r="W886" s="54"/>
      <c r="X886" s="54"/>
      <c r="Y886" s="54"/>
      <c r="Z886" s="54"/>
      <c r="AA886" s="54"/>
      <c r="AB886" s="287"/>
      <c r="AC886" s="54"/>
      <c r="AD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382"/>
      <c r="S887" s="377"/>
      <c r="T887" s="54"/>
      <c r="U887" s="54"/>
      <c r="V887" s="54"/>
      <c r="W887" s="54"/>
      <c r="X887" s="54"/>
      <c r="Y887" s="54"/>
      <c r="Z887" s="54"/>
      <c r="AA887" s="54"/>
      <c r="AB887" s="287"/>
      <c r="AC887" s="54"/>
      <c r="AD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382"/>
      <c r="S888" s="377"/>
      <c r="T888" s="54"/>
      <c r="U888" s="54"/>
      <c r="V888" s="54"/>
      <c r="W888" s="54"/>
      <c r="X888" s="54"/>
      <c r="Y888" s="54"/>
      <c r="Z888" s="54"/>
      <c r="AA888" s="54"/>
      <c r="AB888" s="287"/>
      <c r="AC888" s="54"/>
      <c r="AD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382"/>
      <c r="S889" s="377"/>
      <c r="T889" s="54"/>
      <c r="U889" s="54"/>
      <c r="V889" s="54"/>
      <c r="W889" s="54"/>
      <c r="X889" s="54"/>
      <c r="Y889" s="54"/>
      <c r="Z889" s="54"/>
      <c r="AA889" s="54"/>
      <c r="AB889" s="287"/>
      <c r="AC889" s="54"/>
      <c r="AD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382"/>
      <c r="S890" s="377"/>
      <c r="T890" s="54"/>
      <c r="U890" s="54"/>
      <c r="V890" s="54"/>
      <c r="W890" s="54"/>
      <c r="X890" s="54"/>
      <c r="Y890" s="54"/>
      <c r="Z890" s="54"/>
      <c r="AA890" s="54"/>
      <c r="AB890" s="287"/>
      <c r="AC890" s="54"/>
      <c r="AD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382"/>
      <c r="S891" s="377"/>
      <c r="T891" s="54"/>
      <c r="U891" s="54"/>
      <c r="V891" s="54"/>
      <c r="W891" s="54"/>
      <c r="X891" s="54"/>
      <c r="Y891" s="54"/>
      <c r="Z891" s="54"/>
      <c r="AA891" s="54"/>
      <c r="AB891" s="287"/>
      <c r="AC891" s="54"/>
      <c r="AD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382"/>
      <c r="S892" s="377"/>
      <c r="T892" s="54"/>
      <c r="U892" s="54"/>
      <c r="V892" s="54"/>
      <c r="W892" s="54"/>
      <c r="X892" s="54"/>
      <c r="Y892" s="54"/>
      <c r="Z892" s="54"/>
      <c r="AA892" s="54"/>
      <c r="AB892" s="287"/>
      <c r="AC892" s="54"/>
      <c r="AD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382"/>
      <c r="S893" s="377"/>
      <c r="T893" s="54"/>
      <c r="U893" s="54"/>
      <c r="V893" s="54"/>
      <c r="W893" s="54"/>
      <c r="X893" s="54"/>
      <c r="Y893" s="54"/>
      <c r="Z893" s="54"/>
      <c r="AA893" s="54"/>
      <c r="AB893" s="287"/>
      <c r="AC893" s="54"/>
      <c r="AD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382"/>
      <c r="S894" s="377"/>
      <c r="T894" s="54"/>
      <c r="U894" s="54"/>
      <c r="V894" s="54"/>
      <c r="W894" s="54"/>
      <c r="X894" s="54"/>
      <c r="Y894" s="54"/>
      <c r="Z894" s="54"/>
      <c r="AA894" s="54"/>
      <c r="AB894" s="287"/>
      <c r="AC894" s="54"/>
      <c r="AD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382"/>
      <c r="S895" s="377"/>
      <c r="T895" s="54"/>
      <c r="U895" s="54"/>
      <c r="V895" s="54"/>
      <c r="W895" s="54"/>
      <c r="X895" s="54"/>
      <c r="Y895" s="54"/>
      <c r="Z895" s="54"/>
      <c r="AA895" s="54"/>
      <c r="AB895" s="287"/>
      <c r="AC895" s="54"/>
      <c r="AD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382"/>
      <c r="S896" s="377"/>
      <c r="T896" s="54"/>
      <c r="U896" s="54"/>
      <c r="V896" s="54"/>
      <c r="W896" s="54"/>
      <c r="X896" s="54"/>
      <c r="Y896" s="54"/>
      <c r="Z896" s="54"/>
      <c r="AA896" s="54"/>
      <c r="AB896" s="287"/>
      <c r="AC896" s="54"/>
      <c r="AD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382"/>
      <c r="S897" s="377"/>
      <c r="T897" s="54"/>
      <c r="U897" s="54"/>
      <c r="V897" s="54"/>
      <c r="W897" s="54"/>
      <c r="X897" s="54"/>
      <c r="Y897" s="54"/>
      <c r="Z897" s="54"/>
      <c r="AA897" s="54"/>
      <c r="AB897" s="287"/>
      <c r="AC897" s="54"/>
      <c r="AD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382"/>
      <c r="S898" s="377"/>
      <c r="T898" s="54"/>
      <c r="U898" s="54"/>
      <c r="V898" s="54"/>
      <c r="W898" s="54"/>
      <c r="X898" s="54"/>
      <c r="Y898" s="54"/>
      <c r="Z898" s="54"/>
      <c r="AA898" s="54"/>
      <c r="AB898" s="287"/>
      <c r="AC898" s="54"/>
      <c r="AD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382"/>
      <c r="S899" s="377"/>
      <c r="T899" s="54"/>
      <c r="U899" s="54"/>
      <c r="V899" s="54"/>
      <c r="W899" s="54"/>
      <c r="X899" s="54"/>
      <c r="Y899" s="54"/>
      <c r="Z899" s="54"/>
      <c r="AA899" s="54"/>
      <c r="AB899" s="287"/>
      <c r="AC899" s="54"/>
      <c r="AD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382"/>
      <c r="S900" s="377"/>
      <c r="T900" s="54"/>
      <c r="U900" s="54"/>
      <c r="V900" s="54"/>
      <c r="W900" s="54"/>
      <c r="X900" s="54"/>
      <c r="Y900" s="54"/>
      <c r="Z900" s="54"/>
      <c r="AA900" s="54"/>
      <c r="AB900" s="287"/>
      <c r="AC900" s="54"/>
      <c r="AD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382"/>
      <c r="S901" s="377"/>
      <c r="T901" s="54"/>
      <c r="U901" s="54"/>
      <c r="V901" s="54"/>
      <c r="W901" s="54"/>
      <c r="X901" s="54"/>
      <c r="Y901" s="54"/>
      <c r="Z901" s="54"/>
      <c r="AA901" s="54"/>
      <c r="AB901" s="287"/>
      <c r="AC901" s="54"/>
      <c r="AD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382"/>
      <c r="S902" s="377"/>
      <c r="T902" s="54"/>
      <c r="U902" s="54"/>
      <c r="V902" s="54"/>
      <c r="W902" s="54"/>
      <c r="X902" s="54"/>
      <c r="Y902" s="54"/>
      <c r="Z902" s="54"/>
      <c r="AA902" s="54"/>
      <c r="AB902" s="287"/>
      <c r="AC902" s="54"/>
      <c r="AD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382"/>
      <c r="S903" s="377"/>
      <c r="T903" s="54"/>
      <c r="U903" s="54"/>
      <c r="V903" s="54"/>
      <c r="W903" s="54"/>
      <c r="X903" s="54"/>
      <c r="Y903" s="54"/>
      <c r="Z903" s="54"/>
      <c r="AA903" s="54"/>
      <c r="AB903" s="287"/>
      <c r="AC903" s="54"/>
      <c r="AD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382"/>
      <c r="S904" s="377"/>
      <c r="T904" s="54"/>
      <c r="U904" s="54"/>
      <c r="V904" s="54"/>
      <c r="W904" s="54"/>
      <c r="X904" s="54"/>
      <c r="Y904" s="54"/>
      <c r="Z904" s="54"/>
      <c r="AA904" s="54"/>
      <c r="AB904" s="287"/>
      <c r="AC904" s="54"/>
      <c r="AD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382"/>
      <c r="S905" s="377"/>
      <c r="T905" s="54"/>
      <c r="U905" s="54"/>
      <c r="V905" s="54"/>
      <c r="W905" s="54"/>
      <c r="X905" s="54"/>
      <c r="Y905" s="54"/>
      <c r="Z905" s="54"/>
      <c r="AA905" s="54"/>
      <c r="AB905" s="287"/>
      <c r="AC905" s="54"/>
      <c r="AD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382"/>
      <c r="S906" s="377"/>
      <c r="T906" s="54"/>
      <c r="U906" s="54"/>
      <c r="V906" s="54"/>
      <c r="W906" s="54"/>
      <c r="X906" s="54"/>
      <c r="Y906" s="54"/>
      <c r="Z906" s="54"/>
      <c r="AA906" s="54"/>
      <c r="AB906" s="287"/>
      <c r="AC906" s="54"/>
      <c r="AD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382"/>
      <c r="S907" s="377"/>
      <c r="T907" s="54"/>
      <c r="U907" s="54"/>
      <c r="V907" s="54"/>
      <c r="W907" s="54"/>
      <c r="X907" s="54"/>
      <c r="Y907" s="54"/>
      <c r="Z907" s="54"/>
      <c r="AA907" s="54"/>
      <c r="AB907" s="287"/>
      <c r="AC907" s="54"/>
      <c r="AD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382"/>
      <c r="S908" s="377"/>
      <c r="T908" s="54"/>
      <c r="U908" s="54"/>
      <c r="V908" s="54"/>
      <c r="W908" s="54"/>
      <c r="X908" s="54"/>
      <c r="Y908" s="54"/>
      <c r="Z908" s="54"/>
      <c r="AA908" s="54"/>
      <c r="AB908" s="287"/>
      <c r="AC908" s="54"/>
      <c r="AD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382"/>
      <c r="S909" s="377"/>
      <c r="T909" s="54"/>
      <c r="U909" s="54"/>
      <c r="V909" s="54"/>
      <c r="W909" s="54"/>
      <c r="X909" s="54"/>
      <c r="Y909" s="54"/>
      <c r="Z909" s="54"/>
      <c r="AA909" s="54"/>
      <c r="AB909" s="287"/>
      <c r="AC909" s="54"/>
      <c r="AD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382"/>
      <c r="S910" s="377"/>
      <c r="T910" s="54"/>
      <c r="U910" s="54"/>
      <c r="V910" s="54"/>
      <c r="W910" s="54"/>
      <c r="X910" s="54"/>
      <c r="Y910" s="54"/>
      <c r="Z910" s="54"/>
      <c r="AA910" s="54"/>
      <c r="AB910" s="287"/>
      <c r="AC910" s="54"/>
      <c r="AD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382"/>
      <c r="S911" s="377"/>
      <c r="T911" s="54"/>
      <c r="U911" s="54"/>
      <c r="V911" s="54"/>
      <c r="W911" s="54"/>
      <c r="X911" s="54"/>
      <c r="Y911" s="54"/>
      <c r="Z911" s="54"/>
      <c r="AA911" s="54"/>
      <c r="AB911" s="287"/>
      <c r="AC911" s="54"/>
      <c r="AD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382"/>
      <c r="S912" s="377"/>
      <c r="T912" s="54"/>
      <c r="U912" s="54"/>
      <c r="V912" s="54"/>
      <c r="W912" s="54"/>
      <c r="X912" s="54"/>
      <c r="Y912" s="54"/>
      <c r="Z912" s="54"/>
      <c r="AA912" s="54"/>
      <c r="AB912" s="287"/>
      <c r="AC912" s="54"/>
      <c r="AD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382"/>
      <c r="S913" s="377"/>
      <c r="T913" s="54"/>
      <c r="U913" s="54"/>
      <c r="V913" s="54"/>
      <c r="W913" s="54"/>
      <c r="X913" s="54"/>
      <c r="Y913" s="54"/>
      <c r="Z913" s="54"/>
      <c r="AA913" s="54"/>
      <c r="AB913" s="287"/>
      <c r="AC913" s="54"/>
      <c r="AD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382"/>
      <c r="S914" s="377"/>
      <c r="T914" s="54"/>
      <c r="U914" s="54"/>
      <c r="V914" s="54"/>
      <c r="W914" s="54"/>
      <c r="X914" s="54"/>
      <c r="Y914" s="54"/>
      <c r="Z914" s="54"/>
      <c r="AA914" s="54"/>
      <c r="AB914" s="287"/>
      <c r="AC914" s="54"/>
      <c r="AD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382"/>
      <c r="S915" s="377"/>
      <c r="T915" s="54"/>
      <c r="U915" s="54"/>
      <c r="V915" s="54"/>
      <c r="W915" s="54"/>
      <c r="X915" s="54"/>
      <c r="Y915" s="54"/>
      <c r="Z915" s="54"/>
      <c r="AA915" s="54"/>
      <c r="AB915" s="287"/>
      <c r="AC915" s="54"/>
      <c r="AD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382"/>
      <c r="S916" s="377"/>
      <c r="T916" s="54"/>
      <c r="U916" s="54"/>
      <c r="V916" s="54"/>
      <c r="W916" s="54"/>
      <c r="X916" s="54"/>
      <c r="Y916" s="54"/>
      <c r="Z916" s="54"/>
      <c r="AA916" s="54"/>
      <c r="AB916" s="287"/>
      <c r="AC916" s="54"/>
      <c r="AD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382"/>
      <c r="S917" s="377"/>
      <c r="T917" s="54"/>
      <c r="U917" s="54"/>
      <c r="V917" s="54"/>
      <c r="W917" s="54"/>
      <c r="X917" s="54"/>
      <c r="Y917" s="54"/>
      <c r="Z917" s="54"/>
      <c r="AA917" s="54"/>
      <c r="AB917" s="287"/>
      <c r="AC917" s="54"/>
      <c r="AD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382"/>
      <c r="S918" s="377"/>
      <c r="T918" s="54"/>
      <c r="U918" s="54"/>
      <c r="V918" s="54"/>
      <c r="W918" s="54"/>
      <c r="X918" s="54"/>
      <c r="Y918" s="54"/>
      <c r="Z918" s="54"/>
      <c r="AA918" s="54"/>
      <c r="AB918" s="287"/>
      <c r="AC918" s="54"/>
      <c r="AD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382"/>
      <c r="S919" s="377"/>
      <c r="T919" s="54"/>
      <c r="U919" s="54"/>
      <c r="V919" s="54"/>
      <c r="W919" s="54"/>
      <c r="X919" s="54"/>
      <c r="Y919" s="54"/>
      <c r="Z919" s="54"/>
      <c r="AA919" s="54"/>
      <c r="AB919" s="287"/>
      <c r="AC919" s="54"/>
      <c r="AD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382"/>
      <c r="S920" s="377"/>
      <c r="T920" s="54"/>
      <c r="U920" s="54"/>
      <c r="V920" s="54"/>
      <c r="W920" s="54"/>
      <c r="X920" s="54"/>
      <c r="Y920" s="54"/>
      <c r="Z920" s="54"/>
      <c r="AA920" s="54"/>
      <c r="AB920" s="287"/>
      <c r="AC920" s="54"/>
      <c r="AD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382"/>
      <c r="S921" s="377"/>
      <c r="T921" s="54"/>
      <c r="U921" s="54"/>
      <c r="V921" s="54"/>
      <c r="W921" s="54"/>
      <c r="X921" s="54"/>
      <c r="Y921" s="54"/>
      <c r="Z921" s="54"/>
      <c r="AA921" s="54"/>
      <c r="AB921" s="287"/>
      <c r="AC921" s="54"/>
      <c r="AD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382"/>
      <c r="S922" s="377"/>
      <c r="T922" s="54"/>
      <c r="U922" s="54"/>
      <c r="V922" s="54"/>
      <c r="W922" s="54"/>
      <c r="X922" s="54"/>
      <c r="Y922" s="54"/>
      <c r="Z922" s="54"/>
      <c r="AA922" s="54"/>
      <c r="AB922" s="287"/>
      <c r="AC922" s="54"/>
      <c r="AD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382"/>
      <c r="S923" s="377"/>
      <c r="T923" s="54"/>
      <c r="U923" s="54"/>
      <c r="V923" s="54"/>
      <c r="W923" s="54"/>
      <c r="X923" s="54"/>
      <c r="Y923" s="54"/>
      <c r="Z923" s="54"/>
      <c r="AA923" s="54"/>
      <c r="AB923" s="287"/>
      <c r="AC923" s="54"/>
      <c r="AD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382"/>
      <c r="S924" s="377"/>
      <c r="T924" s="54"/>
      <c r="U924" s="54"/>
      <c r="V924" s="54"/>
      <c r="W924" s="54"/>
      <c r="X924" s="54"/>
      <c r="Y924" s="54"/>
      <c r="Z924" s="54"/>
      <c r="AA924" s="54"/>
      <c r="AB924" s="287"/>
      <c r="AC924" s="54"/>
      <c r="AD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382"/>
      <c r="S925" s="377"/>
      <c r="T925" s="54"/>
      <c r="U925" s="54"/>
      <c r="V925" s="54"/>
      <c r="W925" s="54"/>
      <c r="X925" s="54"/>
      <c r="Y925" s="54"/>
      <c r="Z925" s="54"/>
      <c r="AA925" s="54"/>
      <c r="AB925" s="287"/>
      <c r="AC925" s="54"/>
      <c r="AD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382"/>
      <c r="S926" s="377"/>
      <c r="T926" s="54"/>
      <c r="U926" s="54"/>
      <c r="V926" s="54"/>
      <c r="W926" s="54"/>
      <c r="X926" s="54"/>
      <c r="Y926" s="54"/>
      <c r="Z926" s="54"/>
      <c r="AA926" s="54"/>
      <c r="AB926" s="287"/>
      <c r="AC926" s="54"/>
      <c r="AD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382"/>
      <c r="S927" s="377"/>
      <c r="T927" s="54"/>
      <c r="U927" s="54"/>
      <c r="V927" s="54"/>
      <c r="W927" s="54"/>
      <c r="X927" s="54"/>
      <c r="Y927" s="54"/>
      <c r="Z927" s="54"/>
      <c r="AA927" s="54"/>
      <c r="AB927" s="287"/>
      <c r="AC927" s="54"/>
      <c r="AD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382"/>
      <c r="S928" s="377"/>
      <c r="T928" s="54"/>
      <c r="U928" s="54"/>
      <c r="V928" s="54"/>
      <c r="W928" s="54"/>
      <c r="X928" s="54"/>
      <c r="Y928" s="54"/>
      <c r="Z928" s="54"/>
      <c r="AA928" s="54"/>
      <c r="AB928" s="287"/>
      <c r="AC928" s="54"/>
      <c r="AD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382"/>
      <c r="S929" s="377"/>
      <c r="T929" s="54"/>
      <c r="U929" s="54"/>
      <c r="V929" s="54"/>
      <c r="W929" s="54"/>
      <c r="X929" s="54"/>
      <c r="Y929" s="54"/>
      <c r="Z929" s="54"/>
      <c r="AA929" s="54"/>
      <c r="AB929" s="287"/>
      <c r="AC929" s="54"/>
      <c r="AD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382"/>
      <c r="S930" s="377"/>
      <c r="T930" s="54"/>
      <c r="U930" s="54"/>
      <c r="V930" s="54"/>
      <c r="W930" s="54"/>
      <c r="X930" s="54"/>
      <c r="Y930" s="54"/>
      <c r="Z930" s="54"/>
      <c r="AA930" s="54"/>
      <c r="AB930" s="287"/>
      <c r="AC930" s="54"/>
      <c r="AD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382"/>
      <c r="S931" s="377"/>
      <c r="T931" s="54"/>
      <c r="U931" s="54"/>
      <c r="V931" s="54"/>
      <c r="W931" s="54"/>
      <c r="X931" s="54"/>
      <c r="Y931" s="54"/>
      <c r="Z931" s="54"/>
      <c r="AA931" s="54"/>
      <c r="AB931" s="287"/>
      <c r="AC931" s="54"/>
      <c r="AD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382"/>
      <c r="S932" s="377"/>
      <c r="T932" s="54"/>
      <c r="U932" s="54"/>
      <c r="V932" s="54"/>
      <c r="W932" s="54"/>
      <c r="X932" s="54"/>
      <c r="Y932" s="54"/>
      <c r="Z932" s="54"/>
      <c r="AA932" s="54"/>
      <c r="AB932" s="287"/>
      <c r="AC932" s="54"/>
      <c r="AD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382"/>
      <c r="S933" s="377"/>
      <c r="T933" s="54"/>
      <c r="U933" s="54"/>
      <c r="V933" s="54"/>
      <c r="W933" s="54"/>
      <c r="X933" s="54"/>
      <c r="Y933" s="54"/>
      <c r="Z933" s="54"/>
      <c r="AA933" s="54"/>
      <c r="AB933" s="287"/>
      <c r="AC933" s="54"/>
      <c r="AD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382"/>
      <c r="S934" s="377"/>
      <c r="T934" s="54"/>
      <c r="U934" s="54"/>
      <c r="V934" s="54"/>
      <c r="W934" s="54"/>
      <c r="X934" s="54"/>
      <c r="Y934" s="54"/>
      <c r="Z934" s="54"/>
      <c r="AA934" s="54"/>
      <c r="AB934" s="287"/>
      <c r="AC934" s="54"/>
      <c r="AD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382"/>
      <c r="S935" s="377"/>
      <c r="T935" s="54"/>
      <c r="U935" s="54"/>
      <c r="V935" s="54"/>
      <c r="W935" s="54"/>
      <c r="X935" s="54"/>
      <c r="Y935" s="54"/>
      <c r="Z935" s="54"/>
      <c r="AA935" s="54"/>
      <c r="AB935" s="287"/>
      <c r="AC935" s="54"/>
      <c r="AD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382"/>
      <c r="S936" s="377"/>
      <c r="T936" s="54"/>
      <c r="U936" s="54"/>
      <c r="V936" s="54"/>
      <c r="W936" s="54"/>
      <c r="X936" s="54"/>
      <c r="Y936" s="54"/>
      <c r="Z936" s="54"/>
      <c r="AA936" s="54"/>
      <c r="AB936" s="287"/>
      <c r="AC936" s="54"/>
      <c r="AD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382"/>
      <c r="S937" s="377"/>
      <c r="T937" s="54"/>
      <c r="U937" s="54"/>
      <c r="V937" s="54"/>
      <c r="W937" s="54"/>
      <c r="X937" s="54"/>
      <c r="Y937" s="54"/>
      <c r="Z937" s="54"/>
      <c r="AA937" s="54"/>
      <c r="AB937" s="287"/>
      <c r="AC937" s="54"/>
      <c r="AD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382"/>
      <c r="S938" s="377"/>
      <c r="T938" s="54"/>
      <c r="U938" s="54"/>
      <c r="V938" s="54"/>
      <c r="W938" s="54"/>
      <c r="X938" s="54"/>
      <c r="Y938" s="54"/>
      <c r="Z938" s="54"/>
      <c r="AA938" s="54"/>
      <c r="AB938" s="287"/>
      <c r="AC938" s="54"/>
      <c r="AD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382"/>
      <c r="S939" s="377"/>
      <c r="T939" s="54"/>
      <c r="U939" s="54"/>
      <c r="V939" s="54"/>
      <c r="W939" s="54"/>
      <c r="X939" s="54"/>
      <c r="Y939" s="54"/>
      <c r="Z939" s="54"/>
      <c r="AA939" s="54"/>
      <c r="AB939" s="287"/>
      <c r="AC939" s="54"/>
      <c r="AD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382"/>
      <c r="S940" s="377"/>
      <c r="T940" s="54"/>
      <c r="U940" s="54"/>
      <c r="V940" s="54"/>
      <c r="W940" s="54"/>
      <c r="X940" s="54"/>
      <c r="Y940" s="54"/>
      <c r="Z940" s="54"/>
      <c r="AA940" s="54"/>
      <c r="AB940" s="287"/>
      <c r="AC940" s="54"/>
      <c r="AD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382"/>
      <c r="S941" s="377"/>
      <c r="T941" s="54"/>
      <c r="U941" s="54"/>
      <c r="V941" s="54"/>
      <c r="W941" s="54"/>
      <c r="X941" s="54"/>
      <c r="Y941" s="54"/>
      <c r="Z941" s="54"/>
      <c r="AA941" s="54"/>
      <c r="AB941" s="287"/>
      <c r="AC941" s="54"/>
      <c r="AD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382"/>
      <c r="S942" s="377"/>
      <c r="T942" s="54"/>
      <c r="U942" s="54"/>
      <c r="V942" s="54"/>
      <c r="W942" s="54"/>
      <c r="X942" s="54"/>
      <c r="Y942" s="54"/>
      <c r="Z942" s="54"/>
      <c r="AA942" s="54"/>
      <c r="AB942" s="287"/>
      <c r="AC942" s="54"/>
      <c r="AD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382"/>
      <c r="S943" s="377"/>
      <c r="T943" s="54"/>
      <c r="U943" s="54"/>
      <c r="V943" s="54"/>
      <c r="W943" s="54"/>
      <c r="X943" s="54"/>
      <c r="Y943" s="54"/>
      <c r="Z943" s="54"/>
      <c r="AA943" s="54"/>
      <c r="AB943" s="287"/>
      <c r="AC943" s="54"/>
      <c r="AD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382"/>
      <c r="S944" s="377"/>
      <c r="T944" s="54"/>
      <c r="U944" s="54"/>
      <c r="V944" s="54"/>
      <c r="W944" s="54"/>
      <c r="X944" s="54"/>
      <c r="Y944" s="54"/>
      <c r="Z944" s="54"/>
      <c r="AA944" s="54"/>
      <c r="AB944" s="287"/>
      <c r="AC944" s="54"/>
      <c r="AD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382"/>
      <c r="S945" s="377"/>
      <c r="T945" s="54"/>
      <c r="U945" s="54"/>
      <c r="V945" s="54"/>
      <c r="W945" s="54"/>
      <c r="X945" s="54"/>
      <c r="Y945" s="54"/>
      <c r="Z945" s="54"/>
      <c r="AA945" s="54"/>
      <c r="AB945" s="287"/>
      <c r="AC945" s="54"/>
      <c r="AD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382"/>
      <c r="S946" s="377"/>
      <c r="T946" s="54"/>
      <c r="U946" s="54"/>
      <c r="V946" s="54"/>
      <c r="W946" s="54"/>
      <c r="X946" s="54"/>
      <c r="Y946" s="54"/>
      <c r="Z946" s="54"/>
      <c r="AA946" s="54"/>
      <c r="AB946" s="287"/>
      <c r="AC946" s="54"/>
      <c r="AD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382"/>
      <c r="S947" s="377"/>
      <c r="T947" s="54"/>
      <c r="U947" s="54"/>
      <c r="V947" s="54"/>
      <c r="W947" s="54"/>
      <c r="X947" s="54"/>
      <c r="Y947" s="54"/>
      <c r="Z947" s="54"/>
      <c r="AA947" s="54"/>
      <c r="AB947" s="287"/>
      <c r="AC947" s="54"/>
      <c r="AD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382"/>
      <c r="S948" s="377"/>
      <c r="T948" s="54"/>
      <c r="U948" s="54"/>
      <c r="V948" s="54"/>
      <c r="W948" s="54"/>
      <c r="X948" s="54"/>
      <c r="Y948" s="54"/>
      <c r="Z948" s="54"/>
      <c r="AA948" s="54"/>
      <c r="AB948" s="287"/>
      <c r="AC948" s="54"/>
      <c r="AD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382"/>
      <c r="S949" s="377"/>
      <c r="T949" s="54"/>
      <c r="U949" s="54"/>
      <c r="V949" s="54"/>
      <c r="W949" s="54"/>
      <c r="X949" s="54"/>
      <c r="Y949" s="54"/>
      <c r="Z949" s="54"/>
      <c r="AA949" s="54"/>
      <c r="AB949" s="287"/>
      <c r="AC949" s="54"/>
      <c r="AD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382"/>
      <c r="S950" s="377"/>
      <c r="T950" s="54"/>
      <c r="U950" s="54"/>
      <c r="V950" s="54"/>
      <c r="W950" s="54"/>
      <c r="X950" s="54"/>
      <c r="Y950" s="54"/>
      <c r="Z950" s="54"/>
      <c r="AA950" s="54"/>
      <c r="AB950" s="287"/>
      <c r="AC950" s="54"/>
      <c r="AD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382"/>
      <c r="S951" s="377"/>
      <c r="T951" s="54"/>
      <c r="U951" s="54"/>
      <c r="V951" s="54"/>
      <c r="W951" s="54"/>
      <c r="X951" s="54"/>
      <c r="Y951" s="54"/>
      <c r="Z951" s="54"/>
      <c r="AA951" s="54"/>
      <c r="AB951" s="287"/>
      <c r="AC951" s="54"/>
      <c r="AD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382"/>
      <c r="S952" s="377"/>
      <c r="T952" s="54"/>
      <c r="U952" s="54"/>
      <c r="V952" s="54"/>
      <c r="W952" s="54"/>
      <c r="X952" s="54"/>
      <c r="Y952" s="54"/>
      <c r="Z952" s="54"/>
      <c r="AA952" s="54"/>
      <c r="AB952" s="287"/>
      <c r="AC952" s="54"/>
      <c r="AD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382"/>
      <c r="S953" s="377"/>
      <c r="T953" s="54"/>
      <c r="U953" s="54"/>
      <c r="V953" s="54"/>
      <c r="W953" s="54"/>
      <c r="X953" s="54"/>
      <c r="Y953" s="54"/>
      <c r="Z953" s="54"/>
      <c r="AA953" s="54"/>
      <c r="AB953" s="287"/>
      <c r="AC953" s="54"/>
      <c r="AD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382"/>
      <c r="S954" s="377"/>
      <c r="T954" s="54"/>
      <c r="U954" s="54"/>
      <c r="V954" s="54"/>
      <c r="W954" s="54"/>
      <c r="X954" s="54"/>
      <c r="Y954" s="54"/>
      <c r="Z954" s="54"/>
      <c r="AA954" s="54"/>
      <c r="AB954" s="287"/>
      <c r="AC954" s="54"/>
      <c r="AD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382"/>
      <c r="S955" s="377"/>
      <c r="T955" s="54"/>
      <c r="U955" s="54"/>
      <c r="V955" s="54"/>
      <c r="W955" s="54"/>
      <c r="X955" s="54"/>
      <c r="Y955" s="54"/>
      <c r="Z955" s="54"/>
      <c r="AA955" s="54"/>
      <c r="AB955" s="287"/>
      <c r="AC955" s="54"/>
      <c r="AD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382"/>
      <c r="S956" s="377"/>
      <c r="T956" s="54"/>
      <c r="U956" s="54"/>
      <c r="V956" s="54"/>
      <c r="W956" s="54"/>
      <c r="X956" s="54"/>
      <c r="Y956" s="54"/>
      <c r="Z956" s="54"/>
      <c r="AA956" s="54"/>
      <c r="AB956" s="287"/>
      <c r="AC956" s="54"/>
      <c r="AD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382"/>
      <c r="S957" s="377"/>
      <c r="T957" s="54"/>
      <c r="U957" s="54"/>
      <c r="V957" s="54"/>
      <c r="W957" s="54"/>
      <c r="X957" s="54"/>
      <c r="Y957" s="54"/>
      <c r="Z957" s="54"/>
      <c r="AA957" s="54"/>
      <c r="AB957" s="287"/>
      <c r="AC957" s="54"/>
      <c r="AD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382"/>
      <c r="S958" s="377"/>
      <c r="T958" s="54"/>
      <c r="U958" s="54"/>
      <c r="V958" s="54"/>
      <c r="W958" s="54"/>
      <c r="X958" s="54"/>
      <c r="Y958" s="54"/>
      <c r="Z958" s="54"/>
      <c r="AA958" s="54"/>
      <c r="AB958" s="287"/>
      <c r="AC958" s="54"/>
      <c r="AD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382"/>
      <c r="S959" s="377"/>
      <c r="T959" s="54"/>
      <c r="U959" s="54"/>
      <c r="V959" s="54"/>
      <c r="W959" s="54"/>
      <c r="X959" s="54"/>
      <c r="Y959" s="54"/>
      <c r="Z959" s="54"/>
      <c r="AA959" s="54"/>
      <c r="AB959" s="287"/>
      <c r="AC959" s="54"/>
      <c r="AD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382"/>
      <c r="S960" s="377"/>
      <c r="T960" s="54"/>
      <c r="U960" s="54"/>
      <c r="V960" s="54"/>
      <c r="W960" s="54"/>
      <c r="X960" s="54"/>
      <c r="Y960" s="54"/>
      <c r="Z960" s="54"/>
      <c r="AA960" s="54"/>
      <c r="AB960" s="287"/>
      <c r="AC960" s="54"/>
      <c r="AD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382"/>
      <c r="S961" s="377"/>
      <c r="T961" s="54"/>
      <c r="U961" s="54"/>
      <c r="V961" s="54"/>
      <c r="W961" s="54"/>
      <c r="X961" s="54"/>
      <c r="Y961" s="54"/>
      <c r="Z961" s="54"/>
      <c r="AA961" s="54"/>
      <c r="AB961" s="287"/>
      <c r="AC961" s="54"/>
      <c r="AD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382"/>
      <c r="S962" s="377"/>
      <c r="T962" s="54"/>
      <c r="U962" s="54"/>
      <c r="V962" s="54"/>
      <c r="W962" s="54"/>
      <c r="X962" s="54"/>
      <c r="Y962" s="54"/>
      <c r="Z962" s="54"/>
      <c r="AA962" s="54"/>
      <c r="AB962" s="287"/>
      <c r="AC962" s="54"/>
      <c r="AD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382"/>
      <c r="S963" s="377"/>
      <c r="T963" s="54"/>
      <c r="U963" s="54"/>
      <c r="V963" s="54"/>
      <c r="W963" s="54"/>
      <c r="X963" s="54"/>
      <c r="Y963" s="54"/>
      <c r="Z963" s="54"/>
      <c r="AA963" s="54"/>
      <c r="AB963" s="287"/>
      <c r="AC963" s="54"/>
      <c r="AD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382"/>
      <c r="S964" s="377"/>
      <c r="T964" s="54"/>
      <c r="U964" s="54"/>
      <c r="V964" s="54"/>
      <c r="W964" s="54"/>
      <c r="X964" s="54"/>
      <c r="Y964" s="54"/>
      <c r="Z964" s="54"/>
      <c r="AA964" s="54"/>
      <c r="AB964" s="287"/>
      <c r="AC964" s="54"/>
      <c r="AD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382"/>
      <c r="S965" s="377"/>
      <c r="T965" s="54"/>
      <c r="U965" s="54"/>
      <c r="V965" s="54"/>
      <c r="W965" s="54"/>
      <c r="X965" s="54"/>
      <c r="Y965" s="54"/>
      <c r="Z965" s="54"/>
      <c r="AA965" s="54"/>
      <c r="AB965" s="287"/>
      <c r="AC965" s="54"/>
      <c r="AD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382"/>
      <c r="S966" s="377"/>
      <c r="T966" s="54"/>
      <c r="U966" s="54"/>
      <c r="V966" s="54"/>
      <c r="W966" s="54"/>
      <c r="X966" s="54"/>
      <c r="Y966" s="54"/>
      <c r="Z966" s="54"/>
      <c r="AA966" s="54"/>
      <c r="AB966" s="287"/>
      <c r="AC966" s="54"/>
      <c r="AD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382"/>
      <c r="S967" s="377"/>
      <c r="T967" s="54"/>
      <c r="U967" s="54"/>
      <c r="V967" s="54"/>
      <c r="W967" s="54"/>
      <c r="X967" s="54"/>
      <c r="Y967" s="54"/>
      <c r="Z967" s="54"/>
      <c r="AA967" s="54"/>
      <c r="AB967" s="287"/>
      <c r="AC967" s="54"/>
      <c r="AD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382"/>
      <c r="S968" s="377"/>
      <c r="T968" s="54"/>
      <c r="U968" s="54"/>
      <c r="V968" s="54"/>
      <c r="W968" s="54"/>
      <c r="X968" s="54"/>
      <c r="Y968" s="54"/>
      <c r="Z968" s="54"/>
      <c r="AA968" s="54"/>
      <c r="AB968" s="287"/>
      <c r="AC968" s="54"/>
      <c r="AD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382"/>
      <c r="S969" s="377"/>
      <c r="T969" s="54"/>
      <c r="U969" s="54"/>
      <c r="V969" s="54"/>
      <c r="W969" s="54"/>
      <c r="X969" s="54"/>
      <c r="Y969" s="54"/>
      <c r="Z969" s="54"/>
      <c r="AA969" s="54"/>
      <c r="AB969" s="287"/>
      <c r="AC969" s="54"/>
      <c r="AD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382"/>
      <c r="S970" s="377"/>
      <c r="T970" s="54"/>
      <c r="U970" s="54"/>
      <c r="V970" s="54"/>
      <c r="W970" s="54"/>
      <c r="X970" s="54"/>
      <c r="Y970" s="54"/>
      <c r="Z970" s="54"/>
      <c r="AA970" s="54"/>
      <c r="AB970" s="287"/>
      <c r="AC970" s="54"/>
      <c r="AD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382"/>
      <c r="S971" s="377"/>
      <c r="T971" s="54"/>
      <c r="U971" s="54"/>
      <c r="V971" s="54"/>
      <c r="W971" s="54"/>
      <c r="X971" s="54"/>
      <c r="Y971" s="54"/>
      <c r="Z971" s="54"/>
      <c r="AA971" s="54"/>
      <c r="AB971" s="287"/>
      <c r="AC971" s="54"/>
      <c r="AD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382"/>
      <c r="S972" s="377"/>
      <c r="T972" s="54"/>
      <c r="U972" s="54"/>
      <c r="V972" s="54"/>
      <c r="W972" s="54"/>
      <c r="X972" s="54"/>
      <c r="Y972" s="54"/>
      <c r="Z972" s="54"/>
      <c r="AA972" s="54"/>
      <c r="AB972" s="287"/>
      <c r="AC972" s="54"/>
      <c r="AD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382"/>
      <c r="S973" s="377"/>
      <c r="T973" s="54"/>
      <c r="U973" s="54"/>
      <c r="V973" s="54"/>
      <c r="W973" s="54"/>
      <c r="X973" s="54"/>
      <c r="Y973" s="54"/>
      <c r="Z973" s="54"/>
      <c r="AA973" s="54"/>
      <c r="AB973" s="287"/>
      <c r="AC973" s="54"/>
      <c r="AD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382"/>
      <c r="S974" s="377"/>
      <c r="T974" s="54"/>
      <c r="U974" s="54"/>
      <c r="V974" s="54"/>
      <c r="W974" s="54"/>
      <c r="X974" s="54"/>
      <c r="Y974" s="54"/>
      <c r="Z974" s="54"/>
      <c r="AA974" s="54"/>
      <c r="AB974" s="287"/>
      <c r="AC974" s="54"/>
      <c r="AD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382"/>
      <c r="S975" s="377"/>
      <c r="T975" s="54"/>
      <c r="U975" s="54"/>
      <c r="V975" s="54"/>
      <c r="W975" s="54"/>
      <c r="X975" s="54"/>
      <c r="Y975" s="54"/>
      <c r="Z975" s="54"/>
      <c r="AA975" s="54"/>
      <c r="AB975" s="287"/>
      <c r="AC975" s="54"/>
      <c r="AD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382"/>
      <c r="S976" s="377"/>
      <c r="T976" s="54"/>
      <c r="U976" s="54"/>
      <c r="V976" s="54"/>
      <c r="W976" s="54"/>
      <c r="X976" s="54"/>
      <c r="Y976" s="54"/>
      <c r="Z976" s="54"/>
      <c r="AA976" s="54"/>
      <c r="AB976" s="287"/>
      <c r="AC976" s="54"/>
      <c r="AD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382"/>
      <c r="S977" s="377"/>
      <c r="T977" s="54"/>
      <c r="U977" s="54"/>
      <c r="V977" s="54"/>
      <c r="W977" s="54"/>
      <c r="X977" s="54"/>
      <c r="Y977" s="54"/>
      <c r="Z977" s="54"/>
      <c r="AA977" s="54"/>
      <c r="AB977" s="287"/>
      <c r="AC977" s="54"/>
      <c r="AD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382"/>
      <c r="S978" s="377"/>
      <c r="T978" s="54"/>
      <c r="U978" s="54"/>
      <c r="V978" s="54"/>
      <c r="W978" s="54"/>
      <c r="X978" s="54"/>
      <c r="Y978" s="54"/>
      <c r="Z978" s="54"/>
      <c r="AA978" s="54"/>
      <c r="AB978" s="287"/>
      <c r="AC978" s="54"/>
      <c r="AD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382"/>
      <c r="S979" s="377"/>
      <c r="T979" s="54"/>
      <c r="U979" s="54"/>
      <c r="V979" s="54"/>
      <c r="W979" s="54"/>
      <c r="X979" s="54"/>
      <c r="Y979" s="54"/>
      <c r="Z979" s="54"/>
      <c r="AA979" s="54"/>
      <c r="AB979" s="287"/>
      <c r="AC979" s="54"/>
      <c r="AD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382"/>
      <c r="S980" s="377"/>
      <c r="T980" s="54"/>
      <c r="U980" s="54"/>
      <c r="V980" s="54"/>
      <c r="W980" s="54"/>
      <c r="X980" s="54"/>
      <c r="Y980" s="54"/>
      <c r="Z980" s="54"/>
      <c r="AA980" s="54"/>
      <c r="AB980" s="287"/>
      <c r="AC980" s="54"/>
      <c r="AD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382"/>
      <c r="S981" s="377"/>
      <c r="T981" s="54"/>
      <c r="U981" s="54"/>
      <c r="V981" s="54"/>
      <c r="W981" s="54"/>
      <c r="X981" s="54"/>
      <c r="Y981" s="54"/>
      <c r="Z981" s="54"/>
      <c r="AA981" s="54"/>
      <c r="AB981" s="287"/>
      <c r="AC981" s="54"/>
      <c r="AD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382"/>
      <c r="S982" s="377"/>
      <c r="T982" s="54"/>
      <c r="U982" s="54"/>
      <c r="V982" s="54"/>
      <c r="W982" s="54"/>
      <c r="X982" s="54"/>
      <c r="Y982" s="54"/>
      <c r="Z982" s="54"/>
      <c r="AA982" s="54"/>
      <c r="AB982" s="287"/>
      <c r="AC982" s="54"/>
      <c r="AD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382"/>
      <c r="S983" s="377"/>
      <c r="T983" s="54"/>
      <c r="U983" s="54"/>
      <c r="V983" s="54"/>
      <c r="W983" s="54"/>
      <c r="X983" s="54"/>
      <c r="Y983" s="54"/>
      <c r="Z983" s="54"/>
      <c r="AA983" s="54"/>
      <c r="AB983" s="287"/>
      <c r="AC983" s="54"/>
      <c r="AD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382"/>
      <c r="S984" s="377"/>
      <c r="T984" s="54"/>
      <c r="U984" s="54"/>
      <c r="V984" s="54"/>
      <c r="W984" s="54"/>
      <c r="X984" s="54"/>
      <c r="Y984" s="54"/>
      <c r="Z984" s="54"/>
      <c r="AA984" s="54"/>
      <c r="AB984" s="287"/>
      <c r="AC984" s="54"/>
      <c r="AD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382"/>
      <c r="S985" s="377"/>
      <c r="T985" s="54"/>
      <c r="U985" s="54"/>
      <c r="V985" s="54"/>
      <c r="W985" s="54"/>
      <c r="X985" s="54"/>
      <c r="Y985" s="54"/>
      <c r="Z985" s="54"/>
      <c r="AA985" s="54"/>
      <c r="AB985" s="287"/>
      <c r="AC985" s="54"/>
      <c r="AD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382"/>
      <c r="S986" s="377"/>
      <c r="T986" s="54"/>
      <c r="U986" s="54"/>
      <c r="V986" s="54"/>
      <c r="W986" s="54"/>
      <c r="X986" s="54"/>
      <c r="Y986" s="54"/>
      <c r="Z986" s="54"/>
      <c r="AA986" s="54"/>
      <c r="AB986" s="287"/>
      <c r="AC986" s="54"/>
      <c r="AD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382"/>
      <c r="S987" s="377"/>
      <c r="T987" s="54"/>
      <c r="U987" s="54"/>
      <c r="V987" s="54"/>
      <c r="W987" s="54"/>
      <c r="X987" s="54"/>
      <c r="Y987" s="54"/>
      <c r="Z987" s="54"/>
      <c r="AA987" s="54"/>
      <c r="AB987" s="287"/>
      <c r="AC987" s="54"/>
      <c r="AD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382"/>
      <c r="S988" s="377"/>
      <c r="T988" s="54"/>
      <c r="U988" s="54"/>
      <c r="V988" s="54"/>
      <c r="W988" s="54"/>
      <c r="X988" s="54"/>
      <c r="Y988" s="54"/>
      <c r="Z988" s="54"/>
      <c r="AA988" s="54"/>
      <c r="AB988" s="287"/>
      <c r="AC988" s="54"/>
      <c r="AD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382"/>
      <c r="S989" s="377"/>
      <c r="T989" s="54"/>
      <c r="U989" s="54"/>
      <c r="V989" s="54"/>
      <c r="W989" s="54"/>
      <c r="X989" s="54"/>
      <c r="Y989" s="54"/>
      <c r="Z989" s="54"/>
      <c r="AA989" s="54"/>
      <c r="AB989" s="287"/>
      <c r="AC989" s="54"/>
      <c r="AD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382"/>
      <c r="S990" s="377"/>
      <c r="T990" s="54"/>
      <c r="U990" s="54"/>
      <c r="V990" s="54"/>
      <c r="W990" s="54"/>
      <c r="X990" s="54"/>
      <c r="Y990" s="54"/>
      <c r="Z990" s="54"/>
      <c r="AA990" s="54"/>
      <c r="AB990" s="287"/>
      <c r="AC990" s="54"/>
      <c r="AD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382"/>
      <c r="S991" s="377"/>
      <c r="T991" s="54"/>
      <c r="U991" s="54"/>
      <c r="V991" s="54"/>
      <c r="W991" s="54"/>
      <c r="X991" s="54"/>
      <c r="Y991" s="54"/>
      <c r="Z991" s="54"/>
      <c r="AA991" s="54"/>
      <c r="AB991" s="287"/>
      <c r="AC991" s="54"/>
      <c r="AD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382"/>
      <c r="S992" s="377"/>
      <c r="T992" s="54"/>
      <c r="U992" s="54"/>
      <c r="V992" s="54"/>
      <c r="W992" s="54"/>
      <c r="X992" s="54"/>
      <c r="Y992" s="54"/>
      <c r="Z992" s="54"/>
      <c r="AA992" s="54"/>
      <c r="AB992" s="287"/>
      <c r="AC992" s="54"/>
      <c r="AD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382"/>
      <c r="S993" s="377"/>
      <c r="T993" s="54"/>
      <c r="U993" s="54"/>
      <c r="V993" s="54"/>
      <c r="W993" s="54"/>
      <c r="X993" s="54"/>
      <c r="Y993" s="54"/>
      <c r="Z993" s="54"/>
      <c r="AA993" s="54"/>
      <c r="AB993" s="287"/>
      <c r="AC993" s="54"/>
      <c r="AD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382"/>
      <c r="S994" s="377"/>
      <c r="T994" s="54"/>
      <c r="U994" s="54"/>
      <c r="V994" s="54"/>
      <c r="W994" s="54"/>
      <c r="X994" s="54"/>
      <c r="Y994" s="54"/>
      <c r="Z994" s="54"/>
      <c r="AA994" s="54"/>
      <c r="AB994" s="287"/>
      <c r="AC994" s="54"/>
      <c r="AD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382"/>
      <c r="S995" s="377"/>
      <c r="T995" s="54"/>
      <c r="U995" s="54"/>
      <c r="V995" s="54"/>
      <c r="W995" s="54"/>
      <c r="X995" s="54"/>
      <c r="Y995" s="54"/>
      <c r="Z995" s="54"/>
      <c r="AA995" s="54"/>
      <c r="AB995" s="287"/>
      <c r="AC995" s="54"/>
      <c r="AD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382"/>
      <c r="S996" s="377"/>
      <c r="T996" s="54"/>
      <c r="U996" s="54"/>
      <c r="V996" s="54"/>
      <c r="W996" s="54"/>
      <c r="X996" s="54"/>
      <c r="Y996" s="54"/>
      <c r="Z996" s="54"/>
      <c r="AA996" s="54"/>
      <c r="AB996" s="287"/>
      <c r="AC996" s="54"/>
      <c r="AD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382"/>
      <c r="S997" s="377"/>
      <c r="T997" s="54"/>
      <c r="U997" s="54"/>
      <c r="V997" s="54"/>
      <c r="W997" s="54"/>
      <c r="X997" s="54"/>
      <c r="Y997" s="54"/>
      <c r="Z997" s="54"/>
      <c r="AA997" s="54"/>
      <c r="AB997" s="287"/>
      <c r="AC997" s="54"/>
      <c r="AD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382"/>
      <c r="S998" s="377"/>
      <c r="T998" s="54"/>
      <c r="U998" s="54"/>
      <c r="V998" s="54"/>
      <c r="W998" s="54"/>
      <c r="X998" s="54"/>
      <c r="Y998" s="54"/>
      <c r="Z998" s="54"/>
      <c r="AA998" s="54"/>
      <c r="AB998" s="287"/>
      <c r="AC998" s="54"/>
      <c r="AD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382"/>
      <c r="S999" s="377"/>
      <c r="T999" s="54"/>
      <c r="U999" s="54"/>
      <c r="V999" s="54"/>
      <c r="W999" s="54"/>
      <c r="X999" s="54"/>
      <c r="Y999" s="54"/>
      <c r="Z999" s="54"/>
      <c r="AA999" s="54"/>
      <c r="AB999" s="287"/>
      <c r="AC999" s="54"/>
      <c r="AD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382"/>
      <c r="S1000" s="377"/>
      <c r="T1000" s="54"/>
      <c r="U1000" s="54"/>
      <c r="V1000" s="54"/>
      <c r="W1000" s="54"/>
      <c r="X1000" s="54"/>
      <c r="Y1000" s="54"/>
      <c r="Z1000" s="54"/>
      <c r="AA1000" s="54"/>
      <c r="AB1000" s="287"/>
      <c r="AC1000" s="54"/>
      <c r="AD1000" s="54"/>
    </row>
    <row r="100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382"/>
      <c r="S1001" s="377"/>
      <c r="T1001" s="54"/>
      <c r="U1001" s="54"/>
      <c r="V1001" s="54"/>
      <c r="W1001" s="54"/>
      <c r="X1001" s="54"/>
      <c r="Y1001" s="54"/>
      <c r="Z1001" s="54"/>
      <c r="AA1001" s="54"/>
      <c r="AB1001" s="287"/>
      <c r="AC1001" s="54"/>
      <c r="AD1001" s="54"/>
    </row>
    <row r="1002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382"/>
      <c r="S1002" s="377"/>
      <c r="T1002" s="54"/>
      <c r="U1002" s="54"/>
      <c r="V1002" s="54"/>
      <c r="W1002" s="54"/>
      <c r="X1002" s="54"/>
      <c r="Y1002" s="54"/>
      <c r="Z1002" s="54"/>
      <c r="AA1002" s="54"/>
      <c r="AB1002" s="287"/>
      <c r="AC1002" s="54"/>
      <c r="AD1002" s="54"/>
    </row>
    <row r="100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382"/>
      <c r="S1003" s="377"/>
      <c r="T1003" s="54"/>
      <c r="U1003" s="54"/>
      <c r="V1003" s="54"/>
      <c r="W1003" s="54"/>
      <c r="X1003" s="54"/>
      <c r="Y1003" s="54"/>
      <c r="Z1003" s="54"/>
      <c r="AA1003" s="54"/>
      <c r="AB1003" s="287"/>
      <c r="AC1003" s="54"/>
      <c r="AD1003" s="54"/>
    </row>
    <row r="1004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382"/>
      <c r="S1004" s="377"/>
      <c r="T1004" s="54"/>
      <c r="U1004" s="54"/>
      <c r="V1004" s="54"/>
      <c r="W1004" s="54"/>
      <c r="X1004" s="54"/>
      <c r="Y1004" s="54"/>
      <c r="Z1004" s="54"/>
      <c r="AA1004" s="54"/>
      <c r="AB1004" s="287"/>
      <c r="AC1004" s="54"/>
      <c r="AD1004" s="54"/>
    </row>
    <row r="1005">
      <c r="A1005" s="54"/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377"/>
      <c r="T1005" s="54"/>
      <c r="U1005" s="54"/>
      <c r="V1005" s="54"/>
      <c r="W1005" s="54"/>
      <c r="X1005" s="54"/>
      <c r="Y1005" s="54"/>
      <c r="Z1005" s="54"/>
      <c r="AA1005" s="54"/>
      <c r="AB1005" s="287"/>
      <c r="AC1005" s="54"/>
      <c r="AD1005" s="54"/>
    </row>
  </sheetData>
  <mergeCells count="59">
    <mergeCell ref="B230:I230"/>
    <mergeCell ref="B242:I242"/>
    <mergeCell ref="M243:Q243"/>
    <mergeCell ref="B202:I202"/>
    <mergeCell ref="M203:Q203"/>
    <mergeCell ref="B207:I207"/>
    <mergeCell ref="M208:Q208"/>
    <mergeCell ref="B216:I216"/>
    <mergeCell ref="M217:Q217"/>
    <mergeCell ref="M231:Q231"/>
    <mergeCell ref="R1:R2"/>
    <mergeCell ref="B3:I3"/>
    <mergeCell ref="T3:Z3"/>
    <mergeCell ref="B4:I4"/>
    <mergeCell ref="T4:Z4"/>
    <mergeCell ref="M10:O10"/>
    <mergeCell ref="T13:Z13"/>
    <mergeCell ref="T37:Z37"/>
    <mergeCell ref="M38:O38"/>
    <mergeCell ref="T51:Z51"/>
    <mergeCell ref="T71:Z71"/>
    <mergeCell ref="T87:Z87"/>
    <mergeCell ref="T101:Z101"/>
    <mergeCell ref="T117:Z117"/>
    <mergeCell ref="B9:I9"/>
    <mergeCell ref="B15:I15"/>
    <mergeCell ref="M18:O18"/>
    <mergeCell ref="T23:Z23"/>
    <mergeCell ref="T28:Z28"/>
    <mergeCell ref="M30:O30"/>
    <mergeCell ref="T34:Z34"/>
    <mergeCell ref="B29:I29"/>
    <mergeCell ref="B37:I37"/>
    <mergeCell ref="B48:I48"/>
    <mergeCell ref="M49:O49"/>
    <mergeCell ref="B62:I62"/>
    <mergeCell ref="M63:O63"/>
    <mergeCell ref="M89:O89"/>
    <mergeCell ref="B88:I88"/>
    <mergeCell ref="B96:I96"/>
    <mergeCell ref="M97:O97"/>
    <mergeCell ref="B106:I106"/>
    <mergeCell ref="M107:Q107"/>
    <mergeCell ref="B121:I121"/>
    <mergeCell ref="M122:Q122"/>
    <mergeCell ref="B127:I127"/>
    <mergeCell ref="M128:Q128"/>
    <mergeCell ref="T135:Z135"/>
    <mergeCell ref="B137:I137"/>
    <mergeCell ref="B138:I138"/>
    <mergeCell ref="M139:Q139"/>
    <mergeCell ref="M148:Q148"/>
    <mergeCell ref="B147:I147"/>
    <mergeCell ref="B161:I161"/>
    <mergeCell ref="M162:Q162"/>
    <mergeCell ref="B182:I182"/>
    <mergeCell ref="M183:Q183"/>
    <mergeCell ref="B193:I193"/>
    <mergeCell ref="M194:Q194"/>
  </mergeCells>
  <conditionalFormatting sqref="J2">
    <cfRule type="expression" dxfId="0" priority="1">
      <formula>ABS(J2:J1004)&gt;5</formula>
    </cfRule>
  </conditionalFormatting>
  <conditionalFormatting sqref="K2">
    <cfRule type="cellIs" dxfId="1" priority="2" operator="greaterThanOrEqual">
      <formula>35</formula>
    </cfRule>
  </conditionalFormatting>
  <conditionalFormatting sqref="K2">
    <cfRule type="cellIs" dxfId="2" priority="3" operator="greaterThanOrEqual">
      <formula>33</formula>
    </cfRule>
  </conditionalFormatting>
  <conditionalFormatting sqref="K1:K95 K97:K1005">
    <cfRule type="cellIs" dxfId="3" priority="4" operator="greaterThanOrEqual">
      <formula>30</formula>
    </cfRule>
  </conditionalFormatting>
  <conditionalFormatting sqref="K1:K95 K97:K1005">
    <cfRule type="cellIs" dxfId="4" priority="5" operator="greaterThanOrEqual">
      <formula>28</formula>
    </cfRule>
  </conditionalFormatting>
  <conditionalFormatting sqref="J1:J95 J97:J1005">
    <cfRule type="expression" dxfId="0" priority="6">
      <formula>ABS(J:J)&gt;10.3</formula>
    </cfRule>
  </conditionalFormatting>
  <conditionalFormatting sqref="AB1:AB1005">
    <cfRule type="cellIs" dxfId="7" priority="7" operator="greaterThan">
      <formula>30</formula>
    </cfRule>
  </conditionalFormatting>
  <conditionalFormatting sqref="AB1:AB1005">
    <cfRule type="cellIs" dxfId="6" priority="8" operator="greaterThan">
      <formula>28</formula>
    </cfRule>
  </conditionalFormatting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1.0"/>
  </cols>
  <sheetData>
    <row r="1">
      <c r="A1" s="58" t="s">
        <v>54</v>
      </c>
      <c r="B1" s="59" t="s">
        <v>55</v>
      </c>
      <c r="C1" s="59"/>
      <c r="D1" s="60" t="s">
        <v>57</v>
      </c>
      <c r="E1" s="117" t="s">
        <v>58</v>
      </c>
      <c r="F1" s="117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54"/>
      <c r="M1" s="54"/>
      <c r="N1" s="54"/>
      <c r="O1" s="54"/>
      <c r="P1" s="54"/>
      <c r="Q1" s="54"/>
    </row>
    <row r="2">
      <c r="A2" s="62" t="s">
        <v>391</v>
      </c>
      <c r="B2" s="54"/>
      <c r="C2" s="54"/>
      <c r="D2" s="54" t="str">
        <f>D9</f>
        <v>Кудрявцев</v>
      </c>
      <c r="E2" s="114"/>
      <c r="F2" s="114">
        <f>SUM(F4:F998)</f>
        <v>281009</v>
      </c>
      <c r="G2" s="54">
        <f>MAX(G4:G998)</f>
        <v>600</v>
      </c>
      <c r="H2" s="54">
        <f t="shared" ref="H2:I2" si="1">SUM(H4:H998)</f>
        <v>92200</v>
      </c>
      <c r="I2" s="54">
        <f t="shared" si="1"/>
        <v>94327.31</v>
      </c>
      <c r="J2" s="54">
        <f>H2-I2</f>
        <v>-2127.31</v>
      </c>
      <c r="K2" s="63">
        <f>I2/F2*100</f>
        <v>33.56736261</v>
      </c>
      <c r="L2" s="64" t="s">
        <v>65</v>
      </c>
      <c r="M2" s="65"/>
      <c r="N2" s="54"/>
      <c r="O2" s="54"/>
      <c r="P2" s="54"/>
      <c r="Q2" s="54"/>
    </row>
    <row r="3">
      <c r="A3" s="66"/>
      <c r="B3" s="67" t="s">
        <v>66</v>
      </c>
      <c r="J3" s="66"/>
      <c r="K3" s="66"/>
      <c r="L3" s="66"/>
      <c r="M3" s="66"/>
      <c r="N3" s="66"/>
      <c r="O3" s="66"/>
      <c r="P3" s="66"/>
      <c r="Q3" s="66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</row>
    <row r="4">
      <c r="A4" s="54"/>
      <c r="B4" s="401">
        <v>45296.0</v>
      </c>
      <c r="C4" s="402"/>
      <c r="D4" s="403" t="s">
        <v>101</v>
      </c>
      <c r="E4" s="404">
        <v>2091438.0</v>
      </c>
      <c r="F4" s="405">
        <v>529.0</v>
      </c>
      <c r="G4" s="405">
        <v>600.0</v>
      </c>
      <c r="H4" s="406">
        <v>350.0</v>
      </c>
      <c r="I4" s="406">
        <v>355.0</v>
      </c>
      <c r="J4" s="407">
        <v>-5.0</v>
      </c>
      <c r="K4" s="72">
        <v>67.11</v>
      </c>
      <c r="L4" s="54"/>
      <c r="M4" s="54"/>
      <c r="N4" s="54"/>
      <c r="O4" s="54"/>
      <c r="P4" s="54"/>
      <c r="Q4" s="54"/>
    </row>
    <row r="5">
      <c r="A5" s="54"/>
      <c r="B5" s="408">
        <v>45298.0</v>
      </c>
      <c r="C5" s="409"/>
      <c r="D5" s="410" t="s">
        <v>101</v>
      </c>
      <c r="E5" s="411">
        <v>2092730.0</v>
      </c>
      <c r="F5" s="412">
        <v>1292.0</v>
      </c>
      <c r="G5" s="412">
        <v>600.0</v>
      </c>
      <c r="H5" s="413">
        <v>334.0</v>
      </c>
      <c r="I5" s="413">
        <v>348.28</v>
      </c>
      <c r="J5" s="414">
        <v>-14.28</v>
      </c>
      <c r="K5" s="72">
        <v>26.96</v>
      </c>
      <c r="L5" s="54"/>
      <c r="M5" s="54"/>
      <c r="N5" s="54"/>
      <c r="O5" s="54"/>
      <c r="P5" s="54"/>
      <c r="Q5" s="54"/>
    </row>
    <row r="6">
      <c r="A6" s="54"/>
      <c r="B6" s="408">
        <v>45299.0</v>
      </c>
      <c r="C6" s="409"/>
      <c r="D6" s="410" t="s">
        <v>101</v>
      </c>
      <c r="E6" s="411">
        <v>2092913.0</v>
      </c>
      <c r="F6" s="412">
        <v>183.0</v>
      </c>
      <c r="G6" s="412">
        <v>600.0</v>
      </c>
      <c r="H6" s="413">
        <v>74.0</v>
      </c>
      <c r="I6" s="413">
        <v>90.21</v>
      </c>
      <c r="J6" s="414">
        <v>-16.21</v>
      </c>
      <c r="K6" s="72">
        <v>49.3</v>
      </c>
      <c r="L6" s="54"/>
      <c r="M6" s="54"/>
      <c r="N6" s="54"/>
      <c r="O6" s="54"/>
      <c r="P6" s="54"/>
      <c r="Q6" s="54"/>
    </row>
    <row r="7">
      <c r="A7" s="54"/>
      <c r="B7" s="408">
        <v>45302.0</v>
      </c>
      <c r="C7" s="409"/>
      <c r="D7" s="410" t="s">
        <v>274</v>
      </c>
      <c r="E7" s="411">
        <v>2094222.0</v>
      </c>
      <c r="F7" s="412">
        <v>1309.0</v>
      </c>
      <c r="G7" s="412">
        <v>600.0</v>
      </c>
      <c r="H7" s="413">
        <v>270.0</v>
      </c>
      <c r="I7" s="413">
        <v>383.05</v>
      </c>
      <c r="J7" s="414">
        <v>-113.05</v>
      </c>
      <c r="K7" s="72">
        <v>29.26</v>
      </c>
      <c r="L7" s="54"/>
      <c r="M7" s="54"/>
      <c r="N7" s="54"/>
      <c r="O7" s="54"/>
      <c r="P7" s="54"/>
      <c r="Q7" s="54"/>
    </row>
    <row r="8">
      <c r="A8" s="54"/>
      <c r="B8" s="408">
        <v>45304.0</v>
      </c>
      <c r="C8" s="409"/>
      <c r="D8" s="410" t="s">
        <v>274</v>
      </c>
      <c r="E8" s="411">
        <v>2095274.0</v>
      </c>
      <c r="F8" s="412">
        <v>1052.0</v>
      </c>
      <c r="G8" s="412">
        <v>600.0</v>
      </c>
      <c r="H8" s="413">
        <v>403.0</v>
      </c>
      <c r="I8" s="413">
        <v>403.4</v>
      </c>
      <c r="J8" s="414">
        <v>-0.4</v>
      </c>
      <c r="K8" s="72">
        <v>38.35</v>
      </c>
      <c r="L8" s="54"/>
      <c r="M8" s="54"/>
      <c r="N8" s="54"/>
      <c r="O8" s="54"/>
      <c r="P8" s="54"/>
      <c r="Q8" s="54"/>
    </row>
    <row r="9">
      <c r="A9" s="54"/>
      <c r="B9" s="408">
        <v>45306.0</v>
      </c>
      <c r="C9" s="409"/>
      <c r="D9" s="410" t="s">
        <v>274</v>
      </c>
      <c r="E9" s="411">
        <v>2096163.0</v>
      </c>
      <c r="F9" s="412">
        <v>889.0</v>
      </c>
      <c r="G9" s="412">
        <v>600.0</v>
      </c>
      <c r="H9" s="413">
        <v>350.0</v>
      </c>
      <c r="I9" s="413">
        <v>352.59</v>
      </c>
      <c r="J9" s="414">
        <v>-2.59</v>
      </c>
      <c r="K9" s="72">
        <v>39.66</v>
      </c>
      <c r="L9" s="54"/>
      <c r="M9" s="54"/>
      <c r="N9" s="54"/>
      <c r="O9" s="54"/>
      <c r="P9" s="54"/>
      <c r="Q9" s="54"/>
    </row>
    <row r="10">
      <c r="A10" s="54"/>
      <c r="B10" s="408">
        <v>45307.0</v>
      </c>
      <c r="C10" s="409"/>
      <c r="D10" s="410" t="s">
        <v>274</v>
      </c>
      <c r="E10" s="411">
        <v>2097244.0</v>
      </c>
      <c r="F10" s="412">
        <v>1081.0</v>
      </c>
      <c r="G10" s="412">
        <v>600.0</v>
      </c>
      <c r="H10" s="413">
        <v>371.0</v>
      </c>
      <c r="I10" s="413">
        <v>388.97</v>
      </c>
      <c r="J10" s="414">
        <v>-17.97</v>
      </c>
      <c r="K10" s="72">
        <v>35.98</v>
      </c>
      <c r="L10" s="54"/>
      <c r="M10" s="54"/>
      <c r="N10" s="54"/>
      <c r="O10" s="54"/>
      <c r="P10" s="54"/>
      <c r="Q10" s="54"/>
    </row>
    <row r="11">
      <c r="A11" s="54"/>
      <c r="B11" s="408">
        <v>45308.0</v>
      </c>
      <c r="C11" s="409"/>
      <c r="D11" s="410" t="s">
        <v>274</v>
      </c>
      <c r="E11" s="411">
        <v>2098185.0</v>
      </c>
      <c r="F11" s="412">
        <v>941.0</v>
      </c>
      <c r="G11" s="412">
        <v>600.0</v>
      </c>
      <c r="H11" s="413">
        <v>329.0</v>
      </c>
      <c r="I11" s="413">
        <v>340.9</v>
      </c>
      <c r="J11" s="414">
        <v>-11.9</v>
      </c>
      <c r="K11" s="72">
        <v>36.23</v>
      </c>
      <c r="L11" s="54"/>
      <c r="M11" s="54"/>
      <c r="N11" s="54"/>
      <c r="O11" s="54"/>
      <c r="P11" s="54"/>
      <c r="Q11" s="54"/>
    </row>
    <row r="12">
      <c r="A12" s="54"/>
      <c r="B12" s="408">
        <v>45309.0</v>
      </c>
      <c r="C12" s="409"/>
      <c r="D12" s="410" t="s">
        <v>274</v>
      </c>
      <c r="E12" s="411">
        <v>2098969.0</v>
      </c>
      <c r="F12" s="412">
        <v>784.0</v>
      </c>
      <c r="G12" s="412">
        <v>600.0</v>
      </c>
      <c r="H12" s="413">
        <v>292.0</v>
      </c>
      <c r="I12" s="413">
        <v>280.48</v>
      </c>
      <c r="J12" s="414">
        <v>11.52</v>
      </c>
      <c r="K12" s="72">
        <v>35.78</v>
      </c>
      <c r="L12" s="54"/>
      <c r="M12" s="54"/>
      <c r="N12" s="54"/>
      <c r="O12" s="54"/>
      <c r="P12" s="54"/>
      <c r="Q12" s="54"/>
    </row>
    <row r="13">
      <c r="A13" s="54"/>
      <c r="B13" s="408">
        <v>45311.0</v>
      </c>
      <c r="C13" s="409"/>
      <c r="D13" s="410" t="s">
        <v>274</v>
      </c>
      <c r="E13" s="411">
        <v>2099935.0</v>
      </c>
      <c r="F13" s="412">
        <v>966.0</v>
      </c>
      <c r="G13" s="412">
        <v>600.0</v>
      </c>
      <c r="H13" s="413">
        <v>392.0</v>
      </c>
      <c r="I13" s="413">
        <v>384.38</v>
      </c>
      <c r="J13" s="414">
        <v>7.62</v>
      </c>
      <c r="K13" s="72">
        <v>39.79</v>
      </c>
      <c r="L13" s="54"/>
      <c r="M13" s="54"/>
      <c r="N13" s="54"/>
      <c r="O13" s="54"/>
      <c r="P13" s="54"/>
      <c r="Q13" s="54"/>
    </row>
    <row r="14">
      <c r="A14" s="54"/>
      <c r="B14" s="408">
        <v>45313.0</v>
      </c>
      <c r="C14" s="409"/>
      <c r="D14" s="410" t="s">
        <v>274</v>
      </c>
      <c r="E14" s="411">
        <v>2100877.0</v>
      </c>
      <c r="F14" s="412">
        <v>942.0</v>
      </c>
      <c r="G14" s="412">
        <v>600.0</v>
      </c>
      <c r="H14" s="413">
        <v>329.0</v>
      </c>
      <c r="I14" s="413">
        <v>351.73</v>
      </c>
      <c r="J14" s="414">
        <v>-22.73</v>
      </c>
      <c r="K14" s="72">
        <v>37.34</v>
      </c>
      <c r="L14" s="54"/>
      <c r="M14" s="54"/>
      <c r="N14" s="54"/>
      <c r="O14" s="54"/>
      <c r="P14" s="54"/>
      <c r="Q14" s="54"/>
    </row>
    <row r="15">
      <c r="A15" s="54"/>
      <c r="B15" s="408">
        <v>45314.0</v>
      </c>
      <c r="C15" s="409"/>
      <c r="D15" s="410" t="s">
        <v>274</v>
      </c>
      <c r="E15" s="411">
        <v>2102004.0</v>
      </c>
      <c r="F15" s="412">
        <v>1127.0</v>
      </c>
      <c r="G15" s="412">
        <v>600.0</v>
      </c>
      <c r="H15" s="413">
        <v>392.0</v>
      </c>
      <c r="I15" s="413">
        <v>402.54</v>
      </c>
      <c r="J15" s="414">
        <v>-10.54</v>
      </c>
      <c r="K15" s="72">
        <v>35.72</v>
      </c>
      <c r="L15" s="54"/>
      <c r="M15" s="54"/>
      <c r="N15" s="54"/>
      <c r="O15" s="54"/>
      <c r="P15" s="54"/>
      <c r="Q15" s="54"/>
    </row>
    <row r="16">
      <c r="A16" s="54"/>
      <c r="B16" s="408">
        <v>45315.0</v>
      </c>
      <c r="C16" s="409"/>
      <c r="D16" s="410" t="s">
        <v>274</v>
      </c>
      <c r="E16" s="411">
        <v>2102953.0</v>
      </c>
      <c r="F16" s="412">
        <v>949.0</v>
      </c>
      <c r="G16" s="412">
        <v>600.0</v>
      </c>
      <c r="H16" s="415"/>
      <c r="I16" s="413">
        <v>357.72</v>
      </c>
      <c r="J16" s="414">
        <v>-357.72</v>
      </c>
      <c r="K16" s="72">
        <v>37.69</v>
      </c>
      <c r="L16" s="54"/>
      <c r="M16" s="54"/>
      <c r="N16" s="54"/>
      <c r="O16" s="54"/>
      <c r="P16" s="54"/>
      <c r="Q16" s="54"/>
    </row>
    <row r="17">
      <c r="A17" s="54"/>
      <c r="B17" s="408">
        <v>45317.0</v>
      </c>
      <c r="C17" s="409"/>
      <c r="D17" s="410" t="s">
        <v>274</v>
      </c>
      <c r="E17" s="411">
        <v>2104210.0</v>
      </c>
      <c r="F17" s="412">
        <v>1257.0</v>
      </c>
      <c r="G17" s="412">
        <v>600.0</v>
      </c>
      <c r="H17" s="413">
        <v>435.0</v>
      </c>
      <c r="I17" s="413">
        <v>453.28</v>
      </c>
      <c r="J17" s="414">
        <v>-18.28</v>
      </c>
      <c r="K17" s="72">
        <v>36.06</v>
      </c>
      <c r="L17" s="54"/>
      <c r="M17" s="54"/>
      <c r="N17" s="54"/>
      <c r="O17" s="54"/>
      <c r="P17" s="54"/>
      <c r="Q17" s="54"/>
    </row>
    <row r="18">
      <c r="A18" s="54"/>
      <c r="B18" s="408">
        <v>45320.0</v>
      </c>
      <c r="C18" s="409"/>
      <c r="D18" s="410" t="s">
        <v>274</v>
      </c>
      <c r="E18" s="411">
        <v>2105371.0</v>
      </c>
      <c r="F18" s="412">
        <v>1161.0</v>
      </c>
      <c r="G18" s="412">
        <v>600.0</v>
      </c>
      <c r="H18" s="413">
        <v>413.0</v>
      </c>
      <c r="I18" s="413">
        <v>425.18</v>
      </c>
      <c r="J18" s="414">
        <v>-12.18</v>
      </c>
      <c r="K18" s="72">
        <v>36.62</v>
      </c>
      <c r="L18" s="54"/>
      <c r="M18" s="54"/>
      <c r="N18" s="54"/>
      <c r="O18" s="54"/>
      <c r="P18" s="54"/>
      <c r="Q18" s="54"/>
    </row>
    <row r="19">
      <c r="A19" s="54"/>
      <c r="B19" s="408">
        <v>45321.0</v>
      </c>
      <c r="C19" s="409"/>
      <c r="D19" s="410" t="s">
        <v>274</v>
      </c>
      <c r="E19" s="411">
        <v>2106449.0</v>
      </c>
      <c r="F19" s="412">
        <v>1078.0</v>
      </c>
      <c r="G19" s="412">
        <v>568.0</v>
      </c>
      <c r="H19" s="413">
        <v>318.0</v>
      </c>
      <c r="I19" s="413">
        <v>299.53</v>
      </c>
      <c r="J19" s="414">
        <v>18.47</v>
      </c>
      <c r="K19" s="72">
        <v>27.79</v>
      </c>
      <c r="L19" s="54"/>
      <c r="M19" s="54"/>
      <c r="N19" s="54"/>
      <c r="O19" s="54"/>
      <c r="P19" s="54"/>
      <c r="Q19" s="54"/>
    </row>
    <row r="20">
      <c r="A20" s="54"/>
      <c r="B20" s="408">
        <v>45322.0</v>
      </c>
      <c r="C20" s="409"/>
      <c r="D20" s="410" t="s">
        <v>274</v>
      </c>
      <c r="E20" s="411">
        <v>2107437.0</v>
      </c>
      <c r="F20" s="412">
        <v>988.0</v>
      </c>
      <c r="G20" s="412">
        <v>600.0</v>
      </c>
      <c r="H20" s="413">
        <v>392.0</v>
      </c>
      <c r="I20" s="413">
        <v>397.99</v>
      </c>
      <c r="J20" s="414">
        <v>-5.99</v>
      </c>
      <c r="K20" s="72">
        <v>40.28</v>
      </c>
      <c r="L20" s="54"/>
      <c r="M20" s="54"/>
      <c r="N20" s="54"/>
      <c r="O20" s="54"/>
      <c r="P20" s="54"/>
      <c r="Q20" s="54"/>
    </row>
    <row r="21">
      <c r="A21" s="416"/>
      <c r="B21" s="67" t="s">
        <v>68</v>
      </c>
      <c r="J21" s="416"/>
      <c r="K21" s="416"/>
      <c r="L21" s="416"/>
      <c r="M21" s="416"/>
      <c r="N21" s="416"/>
      <c r="O21" s="416"/>
      <c r="P21" s="416"/>
      <c r="Q21" s="416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</row>
    <row r="22">
      <c r="A22" s="54"/>
      <c r="B22" s="401">
        <v>45324.0</v>
      </c>
      <c r="C22" s="402"/>
      <c r="D22" s="418"/>
      <c r="E22" s="404">
        <v>2108920.0</v>
      </c>
      <c r="F22" s="405">
        <v>1483.0</v>
      </c>
      <c r="G22" s="405">
        <v>600.0</v>
      </c>
      <c r="H22" s="406">
        <v>546.0</v>
      </c>
      <c r="I22" s="406">
        <v>541.59</v>
      </c>
      <c r="J22" s="407">
        <v>4.41</v>
      </c>
      <c r="K22" s="72">
        <v>36.52</v>
      </c>
      <c r="L22" s="54"/>
      <c r="M22" s="54"/>
      <c r="N22" s="54"/>
      <c r="O22" s="54"/>
      <c r="P22" s="54"/>
      <c r="Q22" s="54"/>
    </row>
    <row r="23">
      <c r="A23" s="54"/>
      <c r="B23" s="408">
        <v>45328.0</v>
      </c>
      <c r="C23" s="409"/>
      <c r="D23" s="419"/>
      <c r="E23" s="411">
        <v>2110319.0</v>
      </c>
      <c r="F23" s="412">
        <v>1399.0</v>
      </c>
      <c r="G23" s="412">
        <v>600.0</v>
      </c>
      <c r="H23" s="413">
        <v>482.0</v>
      </c>
      <c r="I23" s="413">
        <v>481.24</v>
      </c>
      <c r="J23" s="414">
        <v>0.76</v>
      </c>
      <c r="K23" s="72">
        <v>34.4</v>
      </c>
      <c r="L23" s="54"/>
      <c r="M23" s="54"/>
      <c r="N23" s="54"/>
      <c r="O23" s="54"/>
      <c r="P23" s="54"/>
      <c r="Q23" s="54"/>
    </row>
    <row r="24">
      <c r="A24" s="54"/>
      <c r="B24" s="408">
        <v>45330.0</v>
      </c>
      <c r="C24" s="409"/>
      <c r="D24" s="419"/>
      <c r="E24" s="411">
        <v>2111503.0</v>
      </c>
      <c r="F24" s="412">
        <v>1184.0</v>
      </c>
      <c r="G24" s="412">
        <v>600.0</v>
      </c>
      <c r="H24" s="413">
        <v>435.0</v>
      </c>
      <c r="I24" s="413">
        <v>441.38</v>
      </c>
      <c r="J24" s="414">
        <v>-6.38</v>
      </c>
      <c r="K24" s="72">
        <v>37.28</v>
      </c>
      <c r="L24" s="54"/>
      <c r="M24" s="54"/>
      <c r="N24" s="54"/>
      <c r="O24" s="54"/>
      <c r="P24" s="54"/>
      <c r="Q24" s="54"/>
    </row>
    <row r="25">
      <c r="A25" s="54"/>
      <c r="B25" s="408">
        <v>45331.0</v>
      </c>
      <c r="C25" s="409"/>
      <c r="D25" s="419"/>
      <c r="E25" s="411">
        <v>2112564.0</v>
      </c>
      <c r="F25" s="412">
        <v>1061.0</v>
      </c>
      <c r="G25" s="412">
        <v>600.0</v>
      </c>
      <c r="H25" s="413">
        <v>392.0</v>
      </c>
      <c r="I25" s="413">
        <v>413.91</v>
      </c>
      <c r="J25" s="414">
        <v>-21.91</v>
      </c>
      <c r="K25" s="72">
        <v>39.01</v>
      </c>
      <c r="L25" s="54"/>
      <c r="M25" s="74" t="s">
        <v>69</v>
      </c>
      <c r="N25" s="75"/>
      <c r="O25" s="76"/>
      <c r="P25" s="54"/>
      <c r="Q25" s="54"/>
    </row>
    <row r="26">
      <c r="A26" s="54"/>
      <c r="B26" s="408">
        <v>45332.0</v>
      </c>
      <c r="C26" s="409"/>
      <c r="D26" s="419"/>
      <c r="E26" s="411">
        <v>2113605.0</v>
      </c>
      <c r="F26" s="412">
        <v>1041.0</v>
      </c>
      <c r="G26" s="412">
        <v>600.0</v>
      </c>
      <c r="H26" s="413">
        <v>392.0</v>
      </c>
      <c r="I26" s="413">
        <v>407.55</v>
      </c>
      <c r="J26" s="414">
        <v>-15.55</v>
      </c>
      <c r="K26" s="72">
        <v>39.15</v>
      </c>
      <c r="L26" s="54"/>
      <c r="M26" s="77" t="s">
        <v>281</v>
      </c>
      <c r="N26" s="77" t="s">
        <v>71</v>
      </c>
      <c r="O26" s="77" t="s">
        <v>27</v>
      </c>
      <c r="P26" s="54"/>
      <c r="Q26" s="54"/>
    </row>
    <row r="27">
      <c r="A27" s="54"/>
      <c r="B27" s="408">
        <v>45339.0</v>
      </c>
      <c r="C27" s="409"/>
      <c r="D27" s="419"/>
      <c r="E27" s="411">
        <v>2114750.0</v>
      </c>
      <c r="F27" s="412">
        <v>1145.0</v>
      </c>
      <c r="G27" s="412">
        <v>600.0</v>
      </c>
      <c r="H27" s="413">
        <v>445.0</v>
      </c>
      <c r="I27" s="413">
        <v>442.92</v>
      </c>
      <c r="J27" s="414">
        <v>2.08</v>
      </c>
      <c r="K27" s="72">
        <v>38.68</v>
      </c>
      <c r="L27" s="54"/>
      <c r="M27" s="79">
        <f>SUM(F22:F37)</f>
        <v>15795</v>
      </c>
      <c r="N27" s="79">
        <f>SUM(I22:I37)</f>
        <v>5841.34</v>
      </c>
      <c r="O27" s="214">
        <f>N27/M27*100</f>
        <v>36.98220956</v>
      </c>
      <c r="P27" s="54"/>
      <c r="Q27" s="54"/>
    </row>
    <row r="28">
      <c r="A28" s="54"/>
      <c r="B28" s="408">
        <v>45340.0</v>
      </c>
      <c r="C28" s="409"/>
      <c r="D28" s="419"/>
      <c r="E28" s="411">
        <v>2115822.0</v>
      </c>
      <c r="F28" s="412">
        <v>1072.0</v>
      </c>
      <c r="G28" s="412">
        <v>579.0</v>
      </c>
      <c r="H28" s="413">
        <v>350.0</v>
      </c>
      <c r="I28" s="413">
        <v>332.16</v>
      </c>
      <c r="J28" s="414">
        <v>17.84</v>
      </c>
      <c r="K28" s="72">
        <v>30.99</v>
      </c>
      <c r="L28" s="54"/>
      <c r="M28" s="54"/>
      <c r="N28" s="54"/>
      <c r="O28" s="54"/>
      <c r="P28" s="54"/>
      <c r="Q28" s="54"/>
    </row>
    <row r="29">
      <c r="A29" s="54"/>
      <c r="B29" s="408">
        <v>45341.0</v>
      </c>
      <c r="C29" s="409"/>
      <c r="D29" s="419"/>
      <c r="E29" s="411">
        <v>2116546.0</v>
      </c>
      <c r="F29" s="412">
        <v>724.0</v>
      </c>
      <c r="G29" s="412">
        <v>600.0</v>
      </c>
      <c r="H29" s="413">
        <v>307.0</v>
      </c>
      <c r="I29" s="413">
        <v>314.39</v>
      </c>
      <c r="J29" s="414">
        <v>-7.39</v>
      </c>
      <c r="K29" s="72">
        <v>43.42</v>
      </c>
      <c r="L29" s="54"/>
      <c r="M29" s="54"/>
      <c r="N29" s="54"/>
      <c r="O29" s="54"/>
      <c r="P29" s="54"/>
      <c r="Q29" s="54"/>
    </row>
    <row r="30">
      <c r="A30" s="54"/>
      <c r="B30" s="408">
        <v>45342.0</v>
      </c>
      <c r="C30" s="409"/>
      <c r="D30" s="419"/>
      <c r="E30" s="411">
        <v>2117303.0</v>
      </c>
      <c r="F30" s="412">
        <v>757.0</v>
      </c>
      <c r="G30" s="412">
        <v>600.0</v>
      </c>
      <c r="H30" s="413">
        <v>270.0</v>
      </c>
      <c r="I30" s="413">
        <v>275.79</v>
      </c>
      <c r="J30" s="414">
        <v>-5.79</v>
      </c>
      <c r="K30" s="72">
        <v>36.43</v>
      </c>
      <c r="L30" s="54"/>
      <c r="M30" s="54"/>
      <c r="N30" s="54"/>
      <c r="O30" s="54"/>
      <c r="P30" s="54"/>
      <c r="Q30" s="54"/>
    </row>
    <row r="31">
      <c r="A31" s="54"/>
      <c r="B31" s="408">
        <v>45343.0</v>
      </c>
      <c r="C31" s="409"/>
      <c r="D31" s="419"/>
      <c r="E31" s="411">
        <v>2118028.0</v>
      </c>
      <c r="F31" s="412">
        <v>725.0</v>
      </c>
      <c r="G31" s="412">
        <v>600.0</v>
      </c>
      <c r="H31" s="413">
        <v>260.0</v>
      </c>
      <c r="I31" s="413">
        <v>275.2</v>
      </c>
      <c r="J31" s="414">
        <v>-15.2</v>
      </c>
      <c r="K31" s="72">
        <v>37.96</v>
      </c>
      <c r="L31" s="54"/>
      <c r="M31" s="54"/>
      <c r="N31" s="54"/>
      <c r="O31" s="54"/>
      <c r="P31" s="54"/>
      <c r="Q31" s="54"/>
    </row>
    <row r="32">
      <c r="A32" s="54"/>
      <c r="B32" s="408">
        <v>45344.0</v>
      </c>
      <c r="C32" s="409"/>
      <c r="D32" s="419"/>
      <c r="E32" s="411">
        <v>2118785.0</v>
      </c>
      <c r="F32" s="412">
        <v>757.0</v>
      </c>
      <c r="G32" s="412">
        <v>600.0</v>
      </c>
      <c r="H32" s="413">
        <v>180.0</v>
      </c>
      <c r="I32" s="413">
        <v>279.12</v>
      </c>
      <c r="J32" s="414">
        <v>-99.12</v>
      </c>
      <c r="K32" s="72">
        <v>36.87</v>
      </c>
      <c r="L32" s="54"/>
      <c r="M32" s="54"/>
      <c r="N32" s="54"/>
      <c r="O32" s="54"/>
      <c r="P32" s="54"/>
      <c r="Q32" s="54"/>
    </row>
    <row r="33">
      <c r="A33" s="54"/>
      <c r="B33" s="408">
        <v>45345.0</v>
      </c>
      <c r="C33" s="409"/>
      <c r="D33" s="419"/>
      <c r="E33" s="411">
        <v>2119509.0</v>
      </c>
      <c r="F33" s="412">
        <v>724.0</v>
      </c>
      <c r="G33" s="412">
        <v>600.0</v>
      </c>
      <c r="H33" s="413">
        <v>244.0</v>
      </c>
      <c r="I33" s="413">
        <v>257.55</v>
      </c>
      <c r="J33" s="414">
        <v>-13.55</v>
      </c>
      <c r="K33" s="72">
        <v>35.57</v>
      </c>
      <c r="L33" s="54"/>
      <c r="M33" s="54"/>
      <c r="N33" s="54"/>
      <c r="O33" s="54"/>
      <c r="P33" s="54"/>
      <c r="Q33" s="54"/>
    </row>
    <row r="34">
      <c r="A34" s="54"/>
      <c r="B34" s="408">
        <v>45346.0</v>
      </c>
      <c r="C34" s="409"/>
      <c r="D34" s="419"/>
      <c r="E34" s="411">
        <v>2120266.0</v>
      </c>
      <c r="F34" s="412">
        <v>757.0</v>
      </c>
      <c r="G34" s="412">
        <v>600.0</v>
      </c>
      <c r="H34" s="413">
        <v>270.0</v>
      </c>
      <c r="I34" s="413">
        <v>275.31</v>
      </c>
      <c r="J34" s="414">
        <v>-5.31</v>
      </c>
      <c r="K34" s="72">
        <v>36.37</v>
      </c>
      <c r="L34" s="54"/>
      <c r="M34" s="54"/>
      <c r="N34" s="54"/>
      <c r="O34" s="54"/>
      <c r="P34" s="54"/>
      <c r="Q34" s="54"/>
    </row>
    <row r="35">
      <c r="A35" s="54"/>
      <c r="B35" s="408">
        <v>45348.0</v>
      </c>
      <c r="C35" s="409"/>
      <c r="D35" s="419"/>
      <c r="E35" s="411">
        <v>2120988.0</v>
      </c>
      <c r="F35" s="412">
        <v>722.0</v>
      </c>
      <c r="G35" s="412">
        <v>600.0</v>
      </c>
      <c r="H35" s="413">
        <v>254.0</v>
      </c>
      <c r="I35" s="413">
        <v>266.82</v>
      </c>
      <c r="J35" s="414">
        <v>-12.82</v>
      </c>
      <c r="K35" s="72">
        <v>36.96</v>
      </c>
      <c r="L35" s="54"/>
      <c r="M35" s="54"/>
      <c r="N35" s="54"/>
      <c r="O35" s="54"/>
      <c r="P35" s="54"/>
      <c r="Q35" s="54"/>
    </row>
    <row r="36">
      <c r="A36" s="54"/>
      <c r="B36" s="408">
        <v>45350.0</v>
      </c>
      <c r="C36" s="409"/>
      <c r="D36" s="419"/>
      <c r="E36" s="411">
        <v>2122172.0</v>
      </c>
      <c r="F36" s="412">
        <v>1184.0</v>
      </c>
      <c r="G36" s="412">
        <v>600.0</v>
      </c>
      <c r="H36" s="413">
        <v>445.0</v>
      </c>
      <c r="I36" s="413">
        <v>452.06</v>
      </c>
      <c r="J36" s="414">
        <v>-7.06</v>
      </c>
      <c r="K36" s="72">
        <v>38.18</v>
      </c>
      <c r="L36" s="54"/>
      <c r="M36" s="54"/>
      <c r="N36" s="54"/>
      <c r="O36" s="54"/>
      <c r="P36" s="54"/>
      <c r="Q36" s="54"/>
    </row>
    <row r="37">
      <c r="A37" s="54"/>
      <c r="B37" s="408">
        <v>45351.0</v>
      </c>
      <c r="C37" s="409"/>
      <c r="D37" s="419"/>
      <c r="E37" s="411">
        <v>2123232.0</v>
      </c>
      <c r="F37" s="412">
        <v>1060.0</v>
      </c>
      <c r="G37" s="412">
        <v>600.0</v>
      </c>
      <c r="H37" s="413">
        <v>355.0</v>
      </c>
      <c r="I37" s="413">
        <v>384.35</v>
      </c>
      <c r="J37" s="414">
        <v>-29.35</v>
      </c>
      <c r="K37" s="72">
        <v>36.26</v>
      </c>
      <c r="L37" s="54"/>
      <c r="M37" s="54"/>
      <c r="N37" s="54"/>
      <c r="O37" s="54"/>
      <c r="P37" s="54"/>
      <c r="Q37" s="54"/>
    </row>
    <row r="38">
      <c r="A38" s="66"/>
      <c r="B38" s="67" t="s">
        <v>72</v>
      </c>
      <c r="J38" s="66"/>
      <c r="K38" s="66"/>
      <c r="L38" s="66"/>
      <c r="M38" s="66"/>
      <c r="N38" s="66"/>
      <c r="O38" s="66"/>
      <c r="P38" s="66"/>
      <c r="Q38" s="66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</row>
    <row r="39">
      <c r="A39" s="54"/>
      <c r="B39" s="401">
        <v>45352.0</v>
      </c>
      <c r="C39" s="402"/>
      <c r="D39" s="418"/>
      <c r="E39" s="404">
        <v>2123954.0</v>
      </c>
      <c r="F39" s="405">
        <v>724.0</v>
      </c>
      <c r="G39" s="405">
        <v>600.0</v>
      </c>
      <c r="H39" s="406">
        <v>239.0</v>
      </c>
      <c r="I39" s="406">
        <v>255.41</v>
      </c>
      <c r="J39" s="407">
        <v>-16.41</v>
      </c>
      <c r="K39" s="420">
        <v>35.28</v>
      </c>
      <c r="L39" s="54"/>
      <c r="M39" s="54"/>
      <c r="N39" s="54"/>
      <c r="O39" s="54"/>
      <c r="P39" s="54"/>
      <c r="Q39" s="54"/>
    </row>
    <row r="40">
      <c r="A40" s="54"/>
      <c r="B40" s="408">
        <v>45324.0</v>
      </c>
      <c r="C40" s="409"/>
      <c r="D40" s="419"/>
      <c r="E40" s="411">
        <v>2124712.0</v>
      </c>
      <c r="F40" s="412">
        <v>758.0</v>
      </c>
      <c r="G40" s="412">
        <v>600.0</v>
      </c>
      <c r="H40" s="413">
        <v>260.0</v>
      </c>
      <c r="I40" s="413">
        <v>294.22</v>
      </c>
      <c r="J40" s="414">
        <v>-34.22</v>
      </c>
      <c r="K40" s="420">
        <v>38.82</v>
      </c>
      <c r="L40" s="54"/>
      <c r="M40" s="54"/>
      <c r="N40" s="54"/>
      <c r="O40" s="54"/>
      <c r="P40" s="54"/>
      <c r="Q40" s="54"/>
    </row>
    <row r="41">
      <c r="A41" s="54"/>
      <c r="B41" s="408">
        <v>45355.0</v>
      </c>
      <c r="C41" s="409"/>
      <c r="D41" s="419"/>
      <c r="E41" s="411">
        <v>2125623.0</v>
      </c>
      <c r="F41" s="412">
        <v>911.0</v>
      </c>
      <c r="G41" s="412">
        <v>600.0</v>
      </c>
      <c r="H41" s="413">
        <v>302.0</v>
      </c>
      <c r="I41" s="413">
        <v>304.66</v>
      </c>
      <c r="J41" s="414">
        <v>-2.66</v>
      </c>
      <c r="K41" s="420">
        <v>33.44</v>
      </c>
      <c r="L41" s="54"/>
      <c r="M41" s="74" t="s">
        <v>73</v>
      </c>
      <c r="N41" s="75"/>
      <c r="O41" s="76"/>
      <c r="P41" s="54"/>
      <c r="Q41" s="54"/>
    </row>
    <row r="42">
      <c r="A42" s="54"/>
      <c r="B42" s="408">
        <v>45356.0</v>
      </c>
      <c r="C42" s="409"/>
      <c r="D42" s="419"/>
      <c r="E42" s="411">
        <v>2126380.0</v>
      </c>
      <c r="F42" s="412">
        <v>757.0</v>
      </c>
      <c r="G42" s="412">
        <v>600.0</v>
      </c>
      <c r="H42" s="413">
        <v>249.0</v>
      </c>
      <c r="I42" s="413">
        <v>242.9</v>
      </c>
      <c r="J42" s="414">
        <v>6.1</v>
      </c>
      <c r="K42" s="420">
        <v>32.09</v>
      </c>
      <c r="L42" s="54"/>
      <c r="M42" s="77" t="s">
        <v>70</v>
      </c>
      <c r="N42" s="77" t="s">
        <v>71</v>
      </c>
      <c r="O42" s="77" t="s">
        <v>27</v>
      </c>
      <c r="P42" s="54"/>
      <c r="Q42" s="54"/>
    </row>
    <row r="43">
      <c r="A43" s="54"/>
      <c r="B43" s="408">
        <v>45357.0</v>
      </c>
      <c r="C43" s="409"/>
      <c r="D43" s="419"/>
      <c r="E43" s="411">
        <v>2127102.0</v>
      </c>
      <c r="F43" s="412">
        <v>722.0</v>
      </c>
      <c r="G43" s="412">
        <v>579.0</v>
      </c>
      <c r="H43" s="413">
        <v>233.0</v>
      </c>
      <c r="I43" s="413">
        <v>224.96</v>
      </c>
      <c r="J43" s="414">
        <v>8.04</v>
      </c>
      <c r="K43" s="420">
        <v>31.16</v>
      </c>
      <c r="L43" s="54"/>
      <c r="M43" s="79">
        <f>SUM(F39:F60)</f>
        <v>17152</v>
      </c>
      <c r="N43" s="79">
        <f>SUM(I39:I60)</f>
        <v>5887.69</v>
      </c>
      <c r="O43" s="214">
        <f>N43/M43*100</f>
        <v>34.32655084</v>
      </c>
      <c r="P43" s="54"/>
      <c r="Q43" s="54"/>
    </row>
    <row r="44">
      <c r="A44" s="54"/>
      <c r="B44" s="408">
        <v>45358.0</v>
      </c>
      <c r="C44" s="409"/>
      <c r="D44" s="419"/>
      <c r="E44" s="411">
        <v>2127859.0</v>
      </c>
      <c r="F44" s="412">
        <v>757.0</v>
      </c>
      <c r="G44" s="412">
        <v>600.0</v>
      </c>
      <c r="H44" s="413">
        <v>307.0</v>
      </c>
      <c r="I44" s="413">
        <v>313.94</v>
      </c>
      <c r="J44" s="414">
        <v>-6.94</v>
      </c>
      <c r="K44" s="420">
        <v>41.47</v>
      </c>
      <c r="L44" s="54"/>
      <c r="M44" s="54"/>
      <c r="N44" s="54"/>
      <c r="O44" s="54"/>
      <c r="P44" s="54"/>
      <c r="Q44" s="54"/>
    </row>
    <row r="45">
      <c r="A45" s="54"/>
      <c r="B45" s="408">
        <v>45359.0</v>
      </c>
      <c r="C45" s="409"/>
      <c r="D45" s="419"/>
      <c r="E45" s="411">
        <v>2128581.0</v>
      </c>
      <c r="F45" s="412">
        <v>722.0</v>
      </c>
      <c r="G45" s="412">
        <v>600.0</v>
      </c>
      <c r="H45" s="413">
        <v>249.0</v>
      </c>
      <c r="I45" s="413">
        <v>242.62</v>
      </c>
      <c r="J45" s="414">
        <v>6.38</v>
      </c>
      <c r="K45" s="420">
        <v>33.6</v>
      </c>
      <c r="L45" s="54"/>
      <c r="M45" s="54"/>
      <c r="N45" s="54"/>
      <c r="O45" s="54"/>
      <c r="P45" s="54"/>
      <c r="Q45" s="54"/>
    </row>
    <row r="46">
      <c r="A46" s="54"/>
      <c r="B46" s="408">
        <v>45360.0</v>
      </c>
      <c r="C46" s="409"/>
      <c r="D46" s="419"/>
      <c r="E46" s="411">
        <v>2129338.0</v>
      </c>
      <c r="F46" s="412">
        <v>757.0</v>
      </c>
      <c r="G46" s="412">
        <v>600.0</v>
      </c>
      <c r="H46" s="413">
        <v>254.0</v>
      </c>
      <c r="I46" s="413">
        <v>264.56</v>
      </c>
      <c r="J46" s="414">
        <v>-10.56</v>
      </c>
      <c r="K46" s="420">
        <v>34.95</v>
      </c>
      <c r="L46" s="54"/>
      <c r="M46" s="54"/>
      <c r="N46" s="54"/>
      <c r="O46" s="54"/>
      <c r="P46" s="54"/>
      <c r="Q46" s="54"/>
    </row>
    <row r="47">
      <c r="A47" s="54"/>
      <c r="B47" s="408">
        <v>45364.0</v>
      </c>
      <c r="C47" s="409"/>
      <c r="D47" s="419"/>
      <c r="E47" s="411">
        <v>2130266.0</v>
      </c>
      <c r="F47" s="412">
        <v>928.0</v>
      </c>
      <c r="G47" s="412">
        <v>600.0</v>
      </c>
      <c r="H47" s="413">
        <v>302.0</v>
      </c>
      <c r="I47" s="413">
        <v>290.76</v>
      </c>
      <c r="J47" s="414">
        <v>11.24</v>
      </c>
      <c r="K47" s="420">
        <v>31.33</v>
      </c>
      <c r="L47" s="54"/>
      <c r="M47" s="54"/>
      <c r="N47" s="54"/>
      <c r="O47" s="54"/>
      <c r="P47" s="54"/>
      <c r="Q47" s="54"/>
    </row>
    <row r="48">
      <c r="A48" s="54"/>
      <c r="B48" s="408">
        <v>45365.0</v>
      </c>
      <c r="C48" s="409"/>
      <c r="D48" s="419"/>
      <c r="E48" s="411">
        <v>2131024.0</v>
      </c>
      <c r="F48" s="412">
        <v>758.0</v>
      </c>
      <c r="G48" s="412">
        <v>600.0</v>
      </c>
      <c r="H48" s="413">
        <v>270.0</v>
      </c>
      <c r="I48" s="413">
        <v>260.59</v>
      </c>
      <c r="J48" s="414">
        <v>9.41</v>
      </c>
      <c r="K48" s="420">
        <v>34.38</v>
      </c>
      <c r="L48" s="54"/>
      <c r="M48" s="54"/>
      <c r="N48" s="54"/>
      <c r="O48" s="54"/>
      <c r="P48" s="54"/>
      <c r="Q48" s="54"/>
    </row>
    <row r="49">
      <c r="A49" s="54"/>
      <c r="B49" s="408">
        <v>45366.0</v>
      </c>
      <c r="C49" s="409"/>
      <c r="D49" s="419"/>
      <c r="E49" s="411">
        <v>2131745.0</v>
      </c>
      <c r="F49" s="412">
        <v>721.0</v>
      </c>
      <c r="G49" s="412">
        <v>579.0</v>
      </c>
      <c r="H49" s="413">
        <v>233.0</v>
      </c>
      <c r="I49" s="413">
        <v>221.68</v>
      </c>
      <c r="J49" s="414">
        <v>11.32</v>
      </c>
      <c r="K49" s="420">
        <v>30.75</v>
      </c>
      <c r="L49" s="54"/>
      <c r="M49" s="54"/>
      <c r="N49" s="54"/>
      <c r="O49" s="54"/>
      <c r="P49" s="54"/>
      <c r="Q49" s="54"/>
    </row>
    <row r="50">
      <c r="A50" s="54"/>
      <c r="B50" s="408">
        <v>45367.0</v>
      </c>
      <c r="C50" s="409"/>
      <c r="D50" s="419"/>
      <c r="E50" s="411">
        <v>2132503.0</v>
      </c>
      <c r="F50" s="412">
        <v>758.0</v>
      </c>
      <c r="G50" s="412">
        <v>589.0</v>
      </c>
      <c r="H50" s="413">
        <v>281.0</v>
      </c>
      <c r="I50" s="413">
        <v>269.03</v>
      </c>
      <c r="J50" s="414">
        <v>11.97</v>
      </c>
      <c r="K50" s="420">
        <v>35.49</v>
      </c>
      <c r="L50" s="54"/>
      <c r="M50" s="54"/>
      <c r="N50" s="54"/>
      <c r="O50" s="54"/>
      <c r="P50" s="54"/>
      <c r="Q50" s="54"/>
    </row>
    <row r="51">
      <c r="A51" s="54"/>
      <c r="B51" s="408">
        <v>45369.0</v>
      </c>
      <c r="C51" s="409"/>
      <c r="D51" s="419"/>
      <c r="E51" s="411">
        <v>2133225.0</v>
      </c>
      <c r="F51" s="412">
        <v>722.0</v>
      </c>
      <c r="G51" s="412">
        <v>600.0</v>
      </c>
      <c r="H51" s="413">
        <v>276.0</v>
      </c>
      <c r="I51" s="413">
        <v>279.01</v>
      </c>
      <c r="J51" s="414">
        <v>-3.01</v>
      </c>
      <c r="K51" s="420">
        <v>38.64</v>
      </c>
      <c r="L51" s="54"/>
      <c r="M51" s="54"/>
      <c r="N51" s="54"/>
      <c r="O51" s="54"/>
      <c r="P51" s="54"/>
      <c r="Q51" s="54"/>
    </row>
    <row r="52">
      <c r="A52" s="54"/>
      <c r="B52" s="408">
        <v>45370.0</v>
      </c>
      <c r="C52" s="409"/>
      <c r="D52" s="419"/>
      <c r="E52" s="411">
        <v>2133983.0</v>
      </c>
      <c r="F52" s="412">
        <v>758.0</v>
      </c>
      <c r="G52" s="412">
        <v>579.0</v>
      </c>
      <c r="H52" s="413">
        <v>244.0</v>
      </c>
      <c r="I52" s="413">
        <v>236.45</v>
      </c>
      <c r="J52" s="414">
        <v>7.55</v>
      </c>
      <c r="K52" s="420">
        <v>31.19</v>
      </c>
      <c r="L52" s="54"/>
      <c r="M52" s="54"/>
      <c r="N52" s="54"/>
      <c r="O52" s="54"/>
      <c r="P52" s="54"/>
      <c r="Q52" s="54"/>
    </row>
    <row r="53">
      <c r="A53" s="54"/>
      <c r="B53" s="408">
        <v>45371.0</v>
      </c>
      <c r="C53" s="409"/>
      <c r="D53" s="419"/>
      <c r="E53" s="411">
        <v>2134705.0</v>
      </c>
      <c r="F53" s="412">
        <v>722.0</v>
      </c>
      <c r="G53" s="412">
        <v>600.0</v>
      </c>
      <c r="H53" s="413">
        <v>276.0</v>
      </c>
      <c r="I53" s="413">
        <v>296.23</v>
      </c>
      <c r="J53" s="414">
        <v>-20.23</v>
      </c>
      <c r="K53" s="420">
        <v>41.03</v>
      </c>
      <c r="L53" s="54"/>
      <c r="M53" s="54"/>
      <c r="N53" s="54"/>
      <c r="O53" s="54"/>
      <c r="P53" s="54"/>
      <c r="Q53" s="54"/>
    </row>
    <row r="54">
      <c r="A54" s="54"/>
      <c r="B54" s="408">
        <v>45375.0</v>
      </c>
      <c r="C54" s="409"/>
      <c r="D54" s="419"/>
      <c r="E54" s="411">
        <v>2135800.0</v>
      </c>
      <c r="F54" s="412">
        <v>1095.0</v>
      </c>
      <c r="G54" s="412">
        <v>600.0</v>
      </c>
      <c r="H54" s="413">
        <v>371.0</v>
      </c>
      <c r="I54" s="413">
        <v>375.89</v>
      </c>
      <c r="J54" s="414">
        <v>-4.89</v>
      </c>
      <c r="K54" s="420">
        <v>34.33</v>
      </c>
      <c r="L54" s="54"/>
      <c r="M54" s="54"/>
      <c r="N54" s="54"/>
      <c r="O54" s="54"/>
      <c r="P54" s="54"/>
      <c r="Q54" s="54"/>
    </row>
    <row r="55">
      <c r="A55" s="54"/>
      <c r="B55" s="408">
        <v>45376.0</v>
      </c>
      <c r="C55" s="409"/>
      <c r="D55" s="419"/>
      <c r="E55" s="411">
        <v>2136383.0</v>
      </c>
      <c r="F55" s="412">
        <v>583.0</v>
      </c>
      <c r="G55" s="412">
        <v>526.0</v>
      </c>
      <c r="H55" s="413">
        <v>117.0</v>
      </c>
      <c r="I55" s="413">
        <v>120.0</v>
      </c>
      <c r="J55" s="414">
        <v>-3.0</v>
      </c>
      <c r="K55" s="420">
        <v>20.58</v>
      </c>
      <c r="L55" s="54"/>
      <c r="M55" s="54"/>
      <c r="N55" s="54"/>
      <c r="O55" s="54"/>
      <c r="P55" s="54"/>
      <c r="Q55" s="54"/>
    </row>
    <row r="56">
      <c r="A56" s="54"/>
      <c r="B56" s="408">
        <v>45377.0</v>
      </c>
      <c r="C56" s="409"/>
      <c r="D56" s="419"/>
      <c r="E56" s="411">
        <v>2137140.0</v>
      </c>
      <c r="F56" s="412">
        <v>757.0</v>
      </c>
      <c r="G56" s="412">
        <v>584.0</v>
      </c>
      <c r="H56" s="413">
        <v>313.0</v>
      </c>
      <c r="I56" s="413">
        <v>301.14</v>
      </c>
      <c r="J56" s="414">
        <v>11.86</v>
      </c>
      <c r="K56" s="420">
        <v>39.78</v>
      </c>
      <c r="L56" s="54"/>
      <c r="M56" s="54"/>
      <c r="N56" s="54"/>
      <c r="O56" s="54"/>
      <c r="P56" s="54"/>
      <c r="Q56" s="54"/>
    </row>
    <row r="57">
      <c r="A57" s="54"/>
      <c r="B57" s="408">
        <v>45378.0</v>
      </c>
      <c r="C57" s="409"/>
      <c r="D57" s="419"/>
      <c r="E57" s="411">
        <v>2137862.0</v>
      </c>
      <c r="F57" s="412">
        <v>722.0</v>
      </c>
      <c r="G57" s="412">
        <v>600.0</v>
      </c>
      <c r="H57" s="413">
        <v>260.0</v>
      </c>
      <c r="I57" s="413">
        <v>257.71</v>
      </c>
      <c r="J57" s="414">
        <v>2.29</v>
      </c>
      <c r="K57" s="420">
        <v>35.69</v>
      </c>
      <c r="L57" s="54"/>
      <c r="M57" s="54"/>
      <c r="N57" s="54"/>
      <c r="O57" s="54"/>
      <c r="P57" s="54"/>
      <c r="Q57" s="54"/>
    </row>
    <row r="58">
      <c r="A58" s="54"/>
      <c r="B58" s="408">
        <v>45379.0</v>
      </c>
      <c r="C58" s="409"/>
      <c r="D58" s="419"/>
      <c r="E58" s="411">
        <v>2138619.0</v>
      </c>
      <c r="F58" s="412">
        <v>757.0</v>
      </c>
      <c r="G58" s="412">
        <v>600.0</v>
      </c>
      <c r="H58" s="413">
        <v>254.0</v>
      </c>
      <c r="I58" s="413">
        <v>245.28</v>
      </c>
      <c r="J58" s="414">
        <v>8.72</v>
      </c>
      <c r="K58" s="420">
        <v>32.4</v>
      </c>
      <c r="L58" s="54"/>
      <c r="M58" s="54"/>
      <c r="N58" s="54"/>
      <c r="O58" s="54"/>
      <c r="P58" s="54"/>
      <c r="Q58" s="54"/>
    </row>
    <row r="59">
      <c r="A59" s="54"/>
      <c r="B59" s="408">
        <v>45380.0</v>
      </c>
      <c r="C59" s="409"/>
      <c r="D59" s="419"/>
      <c r="E59" s="411">
        <v>2139341.0</v>
      </c>
      <c r="F59" s="412">
        <v>722.0</v>
      </c>
      <c r="G59" s="412">
        <v>600.0</v>
      </c>
      <c r="H59" s="413">
        <v>239.0</v>
      </c>
      <c r="I59" s="413">
        <v>239.61</v>
      </c>
      <c r="J59" s="414">
        <v>-0.61</v>
      </c>
      <c r="K59" s="420">
        <v>33.19</v>
      </c>
      <c r="L59" s="54"/>
      <c r="M59" s="54"/>
      <c r="N59" s="54"/>
      <c r="O59" s="54"/>
      <c r="P59" s="54"/>
      <c r="Q59" s="54"/>
    </row>
    <row r="60">
      <c r="A60" s="54"/>
      <c r="B60" s="408">
        <v>45381.0</v>
      </c>
      <c r="C60" s="409"/>
      <c r="D60" s="419"/>
      <c r="E60" s="411">
        <v>2140382.0</v>
      </c>
      <c r="F60" s="412">
        <v>1041.0</v>
      </c>
      <c r="G60" s="412">
        <v>600.0</v>
      </c>
      <c r="H60" s="413">
        <v>355.0</v>
      </c>
      <c r="I60" s="413">
        <v>351.04</v>
      </c>
      <c r="J60" s="414">
        <v>3.96</v>
      </c>
      <c r="K60" s="420">
        <v>33.72</v>
      </c>
      <c r="L60" s="54"/>
      <c r="M60" s="54"/>
      <c r="N60" s="54"/>
      <c r="O60" s="54"/>
      <c r="P60" s="54"/>
      <c r="Q60" s="54"/>
    </row>
    <row r="61">
      <c r="A61" s="66"/>
      <c r="B61" s="67" t="s">
        <v>74</v>
      </c>
      <c r="J61" s="66"/>
      <c r="K61" s="66"/>
      <c r="L61" s="66"/>
      <c r="M61" s="66"/>
      <c r="N61" s="66"/>
      <c r="O61" s="66"/>
      <c r="P61" s="66"/>
      <c r="Q61" s="66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</row>
    <row r="62">
      <c r="A62" s="54"/>
      <c r="B62" s="401">
        <v>45387.0</v>
      </c>
      <c r="C62" s="402"/>
      <c r="D62" s="418"/>
      <c r="E62" s="404">
        <v>2141233.0</v>
      </c>
      <c r="F62" s="405">
        <v>851.0</v>
      </c>
      <c r="G62" s="405">
        <v>600.0</v>
      </c>
      <c r="H62" s="406">
        <v>307.0</v>
      </c>
      <c r="I62" s="406">
        <v>298.89</v>
      </c>
      <c r="J62" s="407">
        <v>8.11</v>
      </c>
      <c r="K62" s="72">
        <v>35.12</v>
      </c>
      <c r="L62" s="54"/>
      <c r="M62" s="54"/>
      <c r="N62" s="54"/>
      <c r="O62" s="54"/>
      <c r="P62" s="54"/>
      <c r="Q62" s="54"/>
    </row>
    <row r="63">
      <c r="A63" s="54"/>
      <c r="B63" s="408">
        <v>45388.0</v>
      </c>
      <c r="C63" s="409"/>
      <c r="D63" s="419"/>
      <c r="E63" s="411">
        <v>2141991.0</v>
      </c>
      <c r="F63" s="412">
        <v>758.0</v>
      </c>
      <c r="G63" s="412">
        <v>600.0</v>
      </c>
      <c r="H63" s="413">
        <v>297.0</v>
      </c>
      <c r="I63" s="413">
        <v>300.0</v>
      </c>
      <c r="J63" s="414">
        <v>-3.0</v>
      </c>
      <c r="K63" s="72">
        <v>39.58</v>
      </c>
      <c r="L63" s="54"/>
      <c r="M63" s="54"/>
      <c r="N63" s="54"/>
      <c r="O63" s="54"/>
      <c r="P63" s="54"/>
      <c r="Q63" s="54"/>
    </row>
    <row r="64">
      <c r="A64" s="54"/>
      <c r="B64" s="408">
        <v>45392.0</v>
      </c>
      <c r="C64" s="409"/>
      <c r="D64" s="419"/>
      <c r="E64" s="411">
        <v>2142899.0</v>
      </c>
      <c r="F64" s="412">
        <v>908.0</v>
      </c>
      <c r="G64" s="412">
        <v>600.0</v>
      </c>
      <c r="H64" s="413">
        <v>302.0</v>
      </c>
      <c r="I64" s="413">
        <v>292.81</v>
      </c>
      <c r="J64" s="414">
        <v>9.19</v>
      </c>
      <c r="K64" s="72">
        <v>32.25</v>
      </c>
      <c r="L64" s="54"/>
      <c r="M64" s="74" t="s">
        <v>392</v>
      </c>
      <c r="N64" s="75"/>
      <c r="O64" s="76"/>
      <c r="P64" s="54"/>
      <c r="Q64" s="54"/>
    </row>
    <row r="65">
      <c r="A65" s="54"/>
      <c r="B65" s="408">
        <v>45393.0</v>
      </c>
      <c r="C65" s="409"/>
      <c r="D65" s="419"/>
      <c r="E65" s="411">
        <v>2143780.0</v>
      </c>
      <c r="F65" s="412">
        <v>881.0</v>
      </c>
      <c r="G65" s="412">
        <v>600.0</v>
      </c>
      <c r="H65" s="413">
        <v>286.0</v>
      </c>
      <c r="I65" s="413">
        <v>290.97</v>
      </c>
      <c r="J65" s="414">
        <v>-4.97</v>
      </c>
      <c r="K65" s="72">
        <v>33.03</v>
      </c>
      <c r="L65" s="54"/>
      <c r="M65" s="77" t="s">
        <v>70</v>
      </c>
      <c r="N65" s="77" t="s">
        <v>71</v>
      </c>
      <c r="O65" s="77" t="s">
        <v>27</v>
      </c>
      <c r="P65" s="54"/>
      <c r="Q65" s="54"/>
    </row>
    <row r="66">
      <c r="A66" s="54"/>
      <c r="B66" s="408">
        <v>45394.0</v>
      </c>
      <c r="C66" s="409"/>
      <c r="D66" s="419"/>
      <c r="E66" s="411">
        <v>2144379.0</v>
      </c>
      <c r="F66" s="412">
        <v>599.0</v>
      </c>
      <c r="G66" s="412">
        <v>600.0</v>
      </c>
      <c r="H66" s="413">
        <v>191.0</v>
      </c>
      <c r="I66" s="413">
        <v>194.63</v>
      </c>
      <c r="J66" s="414">
        <v>-3.63</v>
      </c>
      <c r="K66" s="72">
        <v>32.49</v>
      </c>
      <c r="L66" s="54"/>
      <c r="M66" s="79">
        <f>SUM(F62:F73)</f>
        <v>9945</v>
      </c>
      <c r="N66" s="79">
        <f>SUM(I62:I73)</f>
        <v>3340.71</v>
      </c>
      <c r="O66" s="214">
        <f>N66/M66*100</f>
        <v>33.5918552</v>
      </c>
      <c r="P66" s="54"/>
      <c r="Q66" s="54"/>
    </row>
    <row r="67">
      <c r="A67" s="54"/>
      <c r="B67" s="408">
        <v>45395.0</v>
      </c>
      <c r="C67" s="409"/>
      <c r="D67" s="419"/>
      <c r="E67" s="411">
        <v>2145136.0</v>
      </c>
      <c r="F67" s="412">
        <v>757.0</v>
      </c>
      <c r="G67" s="412">
        <v>600.0</v>
      </c>
      <c r="H67" s="413">
        <v>254.0</v>
      </c>
      <c r="I67" s="413">
        <v>264.35</v>
      </c>
      <c r="J67" s="414">
        <v>-10.35</v>
      </c>
      <c r="K67" s="72">
        <v>34.92</v>
      </c>
      <c r="L67" s="54"/>
      <c r="M67" s="54"/>
      <c r="N67" s="54"/>
      <c r="O67" s="54"/>
      <c r="P67" s="54"/>
      <c r="Q67" s="54"/>
    </row>
    <row r="68">
      <c r="A68" s="54"/>
      <c r="B68" s="408">
        <v>45397.0</v>
      </c>
      <c r="C68" s="409"/>
      <c r="D68" s="419"/>
      <c r="E68" s="411">
        <v>2145859.0</v>
      </c>
      <c r="F68" s="412">
        <v>723.0</v>
      </c>
      <c r="G68" s="412">
        <v>600.0</v>
      </c>
      <c r="H68" s="413">
        <v>244.0</v>
      </c>
      <c r="I68" s="413">
        <v>256.7</v>
      </c>
      <c r="J68" s="414">
        <v>-12.7</v>
      </c>
      <c r="K68" s="72">
        <v>35.5</v>
      </c>
      <c r="L68" s="54"/>
      <c r="M68" s="54"/>
      <c r="N68" s="54"/>
      <c r="O68" s="54"/>
      <c r="P68" s="54"/>
      <c r="Q68" s="54"/>
    </row>
    <row r="69">
      <c r="A69" s="54"/>
      <c r="B69" s="408">
        <v>45398.0</v>
      </c>
      <c r="C69" s="409"/>
      <c r="D69" s="419"/>
      <c r="E69" s="411">
        <v>2146611.0</v>
      </c>
      <c r="F69" s="412">
        <v>752.0</v>
      </c>
      <c r="G69" s="412">
        <v>600.0</v>
      </c>
      <c r="H69" s="413">
        <v>254.0</v>
      </c>
      <c r="I69" s="413">
        <v>258.99</v>
      </c>
      <c r="J69" s="414">
        <v>-4.99</v>
      </c>
      <c r="K69" s="72">
        <v>34.44</v>
      </c>
      <c r="L69" s="54"/>
      <c r="M69" s="54"/>
      <c r="N69" s="54"/>
      <c r="O69" s="54"/>
      <c r="P69" s="54"/>
      <c r="Q69" s="54"/>
    </row>
    <row r="70">
      <c r="A70" s="54"/>
      <c r="B70" s="408">
        <v>45399.0</v>
      </c>
      <c r="C70" s="409"/>
      <c r="D70" s="419"/>
      <c r="E70" s="411">
        <v>2147334.0</v>
      </c>
      <c r="F70" s="412">
        <v>723.0</v>
      </c>
      <c r="G70" s="412">
        <v>600.0</v>
      </c>
      <c r="H70" s="413">
        <v>233.0</v>
      </c>
      <c r="I70" s="413">
        <v>246.54</v>
      </c>
      <c r="J70" s="414">
        <v>-13.54</v>
      </c>
      <c r="K70" s="72">
        <v>34.1</v>
      </c>
      <c r="L70" s="54"/>
      <c r="M70" s="54"/>
      <c r="N70" s="54"/>
      <c r="O70" s="54"/>
      <c r="P70" s="54"/>
      <c r="Q70" s="54"/>
    </row>
    <row r="71">
      <c r="A71" s="54"/>
      <c r="B71" s="408">
        <v>45400.0</v>
      </c>
      <c r="C71" s="409"/>
      <c r="D71" s="419"/>
      <c r="E71" s="411">
        <v>2148375.0</v>
      </c>
      <c r="F71" s="412">
        <v>1041.0</v>
      </c>
      <c r="G71" s="412">
        <v>600.0</v>
      </c>
      <c r="H71" s="413">
        <v>307.0</v>
      </c>
      <c r="I71" s="413">
        <v>330.24</v>
      </c>
      <c r="J71" s="414">
        <v>-23.24</v>
      </c>
      <c r="K71" s="72">
        <v>31.72</v>
      </c>
      <c r="L71" s="54"/>
      <c r="M71" s="54"/>
      <c r="N71" s="54"/>
      <c r="O71" s="54"/>
      <c r="P71" s="54"/>
      <c r="Q71" s="54"/>
    </row>
    <row r="72">
      <c r="A72" s="54"/>
      <c r="B72" s="408">
        <v>45408.0</v>
      </c>
      <c r="C72" s="409"/>
      <c r="D72" s="419"/>
      <c r="E72" s="411">
        <v>2149283.0</v>
      </c>
      <c r="F72" s="412">
        <v>908.0</v>
      </c>
      <c r="G72" s="412">
        <v>600.0</v>
      </c>
      <c r="H72" s="413">
        <v>32.0</v>
      </c>
      <c r="I72" s="413">
        <v>262.89</v>
      </c>
      <c r="J72" s="414">
        <v>-230.89</v>
      </c>
      <c r="K72" s="72">
        <v>28.95</v>
      </c>
      <c r="L72" s="54"/>
      <c r="M72" s="54"/>
      <c r="N72" s="54"/>
      <c r="O72" s="54"/>
      <c r="P72" s="54"/>
      <c r="Q72" s="54"/>
    </row>
    <row r="73">
      <c r="A73" s="54"/>
      <c r="B73" s="408">
        <v>45409.0</v>
      </c>
      <c r="C73" s="409"/>
      <c r="D73" s="419"/>
      <c r="E73" s="411">
        <v>2150327.0</v>
      </c>
      <c r="F73" s="412">
        <v>1044.0</v>
      </c>
      <c r="G73" s="412">
        <v>600.0</v>
      </c>
      <c r="H73" s="413">
        <v>350.0</v>
      </c>
      <c r="I73" s="413">
        <v>343.7</v>
      </c>
      <c r="J73" s="414">
        <v>6.3</v>
      </c>
      <c r="K73" s="72">
        <v>32.92</v>
      </c>
      <c r="L73" s="54"/>
      <c r="M73" s="54"/>
      <c r="N73" s="54"/>
      <c r="O73" s="54"/>
      <c r="P73" s="54"/>
      <c r="Q73" s="54"/>
    </row>
    <row r="74">
      <c r="A74" s="66"/>
      <c r="B74" s="67" t="s">
        <v>75</v>
      </c>
      <c r="J74" s="66"/>
      <c r="K74" s="66"/>
      <c r="L74" s="66"/>
      <c r="M74" s="66"/>
      <c r="N74" s="66"/>
      <c r="O74" s="66"/>
      <c r="P74" s="66"/>
      <c r="Q74" s="66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</row>
    <row r="75">
      <c r="A75" s="54"/>
      <c r="B75" s="421" t="s">
        <v>137</v>
      </c>
      <c r="C75" s="403"/>
      <c r="D75" s="418"/>
      <c r="E75" s="404">
        <v>2151774.0</v>
      </c>
      <c r="F75" s="405">
        <v>1447.0</v>
      </c>
      <c r="G75" s="405">
        <v>600.0</v>
      </c>
      <c r="H75" s="406">
        <v>472.0</v>
      </c>
      <c r="I75" s="406">
        <v>481.97</v>
      </c>
      <c r="J75" s="407">
        <v>-9.97</v>
      </c>
      <c r="K75" s="72">
        <v>33.31</v>
      </c>
      <c r="L75" s="54"/>
      <c r="M75" s="82" t="str">
        <f>"тотал"&amp;" "&amp;B74</f>
        <v>тотал МАЙ</v>
      </c>
      <c r="N75" s="75"/>
      <c r="O75" s="76"/>
      <c r="P75" s="54"/>
      <c r="Q75" s="54"/>
    </row>
    <row r="76">
      <c r="A76" s="54"/>
      <c r="B76" s="422" t="s">
        <v>76</v>
      </c>
      <c r="C76" s="410"/>
      <c r="D76" s="419"/>
      <c r="E76" s="411">
        <v>2152531.0</v>
      </c>
      <c r="F76" s="412">
        <v>757.0</v>
      </c>
      <c r="G76" s="412">
        <v>600.0</v>
      </c>
      <c r="H76" s="413">
        <v>233.0</v>
      </c>
      <c r="I76" s="413">
        <v>225.13</v>
      </c>
      <c r="J76" s="414">
        <v>7.87</v>
      </c>
      <c r="K76" s="72">
        <v>29.74</v>
      </c>
      <c r="L76" s="54"/>
      <c r="M76" s="83" t="s">
        <v>70</v>
      </c>
      <c r="N76" s="83" t="s">
        <v>71</v>
      </c>
      <c r="O76" s="83" t="s">
        <v>27</v>
      </c>
      <c r="P76" s="54"/>
      <c r="Q76" s="54"/>
    </row>
    <row r="77">
      <c r="A77" s="54"/>
      <c r="B77" s="422" t="s">
        <v>138</v>
      </c>
      <c r="C77" s="410"/>
      <c r="D77" s="419"/>
      <c r="E77" s="411">
        <v>2153570.0</v>
      </c>
      <c r="F77" s="412">
        <v>1039.0</v>
      </c>
      <c r="G77" s="412">
        <v>600.0</v>
      </c>
      <c r="H77" s="413">
        <v>350.0</v>
      </c>
      <c r="I77" s="413">
        <v>337.31</v>
      </c>
      <c r="J77" s="414">
        <v>12.69</v>
      </c>
      <c r="K77" s="72">
        <v>32.46</v>
      </c>
      <c r="L77" s="54"/>
      <c r="M77" s="84">
        <f>SUM(F75:F81)</f>
        <v>7439</v>
      </c>
      <c r="N77" s="84">
        <f>SUM(I75:I81)</f>
        <v>2344.99</v>
      </c>
      <c r="O77" s="85">
        <f>N77/M77*100</f>
        <v>31.52291975</v>
      </c>
      <c r="P77" s="54"/>
      <c r="Q77" s="54"/>
    </row>
    <row r="78">
      <c r="A78" s="54"/>
      <c r="B78" s="408">
        <v>45439.0</v>
      </c>
      <c r="C78" s="409"/>
      <c r="D78" s="419"/>
      <c r="E78" s="411">
        <v>2154571.0</v>
      </c>
      <c r="F78" s="412">
        <v>1001.0</v>
      </c>
      <c r="G78" s="412">
        <v>600.0</v>
      </c>
      <c r="H78" s="413">
        <v>313.0</v>
      </c>
      <c r="I78" s="413">
        <v>314.64</v>
      </c>
      <c r="J78" s="414">
        <v>-1.64</v>
      </c>
      <c r="K78" s="72">
        <v>31.43</v>
      </c>
      <c r="L78" s="54"/>
      <c r="M78" s="54"/>
      <c r="N78" s="54"/>
      <c r="O78" s="54"/>
      <c r="P78" s="54"/>
      <c r="Q78" s="54"/>
    </row>
    <row r="79">
      <c r="A79" s="54"/>
      <c r="B79" s="408">
        <v>45441.0</v>
      </c>
      <c r="C79" s="409"/>
      <c r="D79" s="419"/>
      <c r="E79" s="411">
        <v>2155732.0</v>
      </c>
      <c r="F79" s="412">
        <v>1161.0</v>
      </c>
      <c r="G79" s="412">
        <v>600.0</v>
      </c>
      <c r="H79" s="413">
        <v>371.0</v>
      </c>
      <c r="I79" s="413">
        <v>378.19</v>
      </c>
      <c r="J79" s="414">
        <v>-7.19</v>
      </c>
      <c r="K79" s="72">
        <v>32.57</v>
      </c>
      <c r="L79" s="54"/>
      <c r="M79" s="54"/>
      <c r="N79" s="54"/>
      <c r="O79" s="54"/>
      <c r="P79" s="54"/>
      <c r="Q79" s="54"/>
    </row>
    <row r="80">
      <c r="A80" s="54"/>
      <c r="B80" s="408">
        <v>45442.0</v>
      </c>
      <c r="C80" s="409"/>
      <c r="D80" s="419"/>
      <c r="E80" s="411">
        <v>2156813.0</v>
      </c>
      <c r="F80" s="412">
        <v>1081.0</v>
      </c>
      <c r="G80" s="412">
        <v>600.0</v>
      </c>
      <c r="H80" s="413">
        <v>329.0</v>
      </c>
      <c r="I80" s="413">
        <v>332.77</v>
      </c>
      <c r="J80" s="414">
        <v>-3.77</v>
      </c>
      <c r="K80" s="72">
        <v>30.78</v>
      </c>
      <c r="L80" s="54"/>
      <c r="M80" s="54"/>
      <c r="N80" s="54"/>
      <c r="O80" s="54"/>
      <c r="P80" s="54"/>
      <c r="Q80" s="54"/>
    </row>
    <row r="81">
      <c r="A81" s="54"/>
      <c r="B81" s="408">
        <v>45443.0</v>
      </c>
      <c r="C81" s="409"/>
      <c r="D81" s="419"/>
      <c r="E81" s="411">
        <v>2157766.0</v>
      </c>
      <c r="F81" s="412">
        <v>953.0</v>
      </c>
      <c r="G81" s="412">
        <v>600.0</v>
      </c>
      <c r="H81" s="413">
        <v>303.0</v>
      </c>
      <c r="I81" s="413">
        <v>274.98</v>
      </c>
      <c r="J81" s="414">
        <v>28.02</v>
      </c>
      <c r="K81" s="72">
        <v>28.85</v>
      </c>
      <c r="L81" s="54"/>
      <c r="M81" s="54"/>
      <c r="N81" s="54"/>
      <c r="O81" s="54"/>
      <c r="P81" s="54"/>
      <c r="Q81" s="54"/>
    </row>
    <row r="82">
      <c r="A82" s="66"/>
      <c r="B82" s="67" t="s">
        <v>90</v>
      </c>
      <c r="J82" s="66"/>
      <c r="K82" s="66"/>
      <c r="L82" s="66"/>
      <c r="M82" s="66"/>
      <c r="N82" s="66"/>
      <c r="O82" s="66"/>
      <c r="P82" s="66"/>
      <c r="Q82" s="66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</row>
    <row r="83">
      <c r="A83" s="54"/>
      <c r="B83" s="401">
        <v>45454.0</v>
      </c>
      <c r="C83" s="402"/>
      <c r="D83" s="418"/>
      <c r="E83" s="404">
        <v>2158956.0</v>
      </c>
      <c r="F83" s="405">
        <v>1190.0</v>
      </c>
      <c r="G83" s="405">
        <v>600.0</v>
      </c>
      <c r="H83" s="406">
        <v>382.0</v>
      </c>
      <c r="I83" s="406">
        <v>378.48</v>
      </c>
      <c r="J83" s="407">
        <v>3.52</v>
      </c>
      <c r="K83" s="72">
        <v>31.81</v>
      </c>
      <c r="L83" s="54"/>
      <c r="M83" s="74" t="s">
        <v>254</v>
      </c>
      <c r="N83" s="75"/>
      <c r="O83" s="75"/>
      <c r="P83" s="75"/>
      <c r="Q83" s="76"/>
    </row>
    <row r="84">
      <c r="A84" s="54"/>
      <c r="B84" s="408">
        <v>45455.0</v>
      </c>
      <c r="C84" s="409"/>
      <c r="D84" s="419"/>
      <c r="E84" s="411">
        <v>2160038.0</v>
      </c>
      <c r="F84" s="412">
        <v>1082.0</v>
      </c>
      <c r="G84" s="412">
        <v>579.0</v>
      </c>
      <c r="H84" s="413">
        <v>307.0</v>
      </c>
      <c r="I84" s="413">
        <v>298.79</v>
      </c>
      <c r="J84" s="414">
        <v>8.21</v>
      </c>
      <c r="K84" s="72">
        <v>27.61</v>
      </c>
      <c r="L84" s="54"/>
      <c r="M84" s="77" t="s">
        <v>70</v>
      </c>
      <c r="N84" s="77" t="s">
        <v>71</v>
      </c>
      <c r="O84" s="77" t="s">
        <v>163</v>
      </c>
      <c r="P84" s="77" t="s">
        <v>164</v>
      </c>
      <c r="Q84" s="77" t="s">
        <v>27</v>
      </c>
    </row>
    <row r="85">
      <c r="A85" s="54"/>
      <c r="B85" s="408">
        <v>45456.0</v>
      </c>
      <c r="C85" s="409"/>
      <c r="D85" s="419"/>
      <c r="E85" s="411">
        <v>2160990.0</v>
      </c>
      <c r="F85" s="412">
        <v>952.0</v>
      </c>
      <c r="G85" s="412">
        <v>600.0</v>
      </c>
      <c r="H85" s="413">
        <v>345.0</v>
      </c>
      <c r="I85" s="413">
        <v>351.54</v>
      </c>
      <c r="J85" s="414">
        <v>-6.54</v>
      </c>
      <c r="K85" s="72">
        <v>36.93</v>
      </c>
      <c r="L85" s="54"/>
      <c r="M85" s="77">
        <f>SUM(F83:F90)</f>
        <v>9841</v>
      </c>
      <c r="N85" s="79">
        <f>SUM(I83:I90)</f>
        <v>3125.71</v>
      </c>
      <c r="O85" s="79">
        <f>SUM(H83:H90)</f>
        <v>3154</v>
      </c>
      <c r="P85" s="79">
        <f>O85-N85</f>
        <v>28.29</v>
      </c>
      <c r="Q85" s="214">
        <f>N85/M85*100</f>
        <v>31.76211767</v>
      </c>
    </row>
    <row r="86">
      <c r="A86" s="54"/>
      <c r="B86" s="408">
        <v>45458.0</v>
      </c>
      <c r="C86" s="409"/>
      <c r="D86" s="419"/>
      <c r="E86" s="411">
        <v>2162513.0</v>
      </c>
      <c r="F86" s="412">
        <v>1523.0</v>
      </c>
      <c r="G86" s="412">
        <v>600.0</v>
      </c>
      <c r="H86" s="413">
        <v>488.0</v>
      </c>
      <c r="I86" s="413">
        <v>481.28</v>
      </c>
      <c r="J86" s="414">
        <v>6.72</v>
      </c>
      <c r="K86" s="72">
        <v>31.6</v>
      </c>
      <c r="L86" s="54"/>
      <c r="M86" s="86"/>
      <c r="N86" s="86"/>
      <c r="O86" s="86"/>
      <c r="P86" s="86"/>
      <c r="Q86" s="86"/>
    </row>
    <row r="87">
      <c r="A87" s="54"/>
      <c r="B87" s="408">
        <v>45460.0</v>
      </c>
      <c r="C87" s="409"/>
      <c r="D87" s="419"/>
      <c r="E87" s="411">
        <v>2163884.0</v>
      </c>
      <c r="F87" s="412">
        <v>1371.0</v>
      </c>
      <c r="G87" s="412">
        <v>600.0</v>
      </c>
      <c r="H87" s="413">
        <v>413.0</v>
      </c>
      <c r="I87" s="413">
        <v>416.31</v>
      </c>
      <c r="J87" s="414">
        <v>-3.31</v>
      </c>
      <c r="K87" s="72">
        <v>30.37</v>
      </c>
      <c r="L87" s="54"/>
      <c r="N87" s="74" t="s">
        <v>393</v>
      </c>
      <c r="O87" s="75"/>
      <c r="P87" s="76"/>
      <c r="Q87" s="54"/>
    </row>
    <row r="88">
      <c r="A88" s="54"/>
      <c r="B88" s="408">
        <v>45462.0</v>
      </c>
      <c r="C88" s="409"/>
      <c r="D88" s="419"/>
      <c r="E88" s="411">
        <v>2165594.0</v>
      </c>
      <c r="F88" s="412">
        <v>1710.0</v>
      </c>
      <c r="G88" s="412">
        <v>600.0</v>
      </c>
      <c r="H88" s="413">
        <v>403.0</v>
      </c>
      <c r="I88" s="413">
        <v>381.44</v>
      </c>
      <c r="J88" s="414">
        <v>21.56</v>
      </c>
      <c r="K88" s="72">
        <v>22.31</v>
      </c>
      <c r="L88" s="54"/>
      <c r="N88" s="423">
        <f>AVERAGE(K83:K90)</f>
        <v>33.91875</v>
      </c>
      <c r="O88" s="75"/>
      <c r="P88" s="76"/>
      <c r="Q88" s="54"/>
    </row>
    <row r="89">
      <c r="A89" s="54"/>
      <c r="B89" s="408">
        <v>45463.0</v>
      </c>
      <c r="C89" s="409"/>
      <c r="D89" s="419"/>
      <c r="E89" s="411">
        <v>2166249.0</v>
      </c>
      <c r="F89" s="412">
        <v>655.0</v>
      </c>
      <c r="G89" s="412">
        <v>600.0</v>
      </c>
      <c r="H89" s="413">
        <v>387.0</v>
      </c>
      <c r="I89" s="413">
        <v>385.79</v>
      </c>
      <c r="J89" s="414">
        <v>1.21</v>
      </c>
      <c r="K89" s="72">
        <v>58.9</v>
      </c>
      <c r="L89" s="54"/>
      <c r="M89" s="54"/>
      <c r="N89" s="54"/>
      <c r="O89" s="54"/>
      <c r="P89" s="54"/>
      <c r="Q89" s="54"/>
    </row>
    <row r="90">
      <c r="A90" s="54"/>
      <c r="B90" s="408">
        <v>45465.0</v>
      </c>
      <c r="C90" s="409"/>
      <c r="D90" s="419"/>
      <c r="E90" s="411">
        <v>2167607.0</v>
      </c>
      <c r="F90" s="412">
        <v>1358.0</v>
      </c>
      <c r="G90" s="412">
        <v>600.0</v>
      </c>
      <c r="H90" s="413">
        <v>429.0</v>
      </c>
      <c r="I90" s="413">
        <v>432.08</v>
      </c>
      <c r="J90" s="414">
        <v>-3.08</v>
      </c>
      <c r="K90" s="72">
        <v>31.82</v>
      </c>
      <c r="L90" s="54"/>
      <c r="M90" s="54"/>
      <c r="N90" s="54"/>
      <c r="O90" s="54"/>
      <c r="P90" s="54"/>
      <c r="Q90" s="54"/>
    </row>
    <row r="91">
      <c r="A91" s="66"/>
      <c r="B91" s="67" t="s">
        <v>92</v>
      </c>
      <c r="J91" s="66"/>
      <c r="K91" s="66"/>
      <c r="L91" s="66"/>
      <c r="M91" s="66"/>
      <c r="N91" s="66"/>
      <c r="O91" s="66"/>
      <c r="P91" s="66"/>
      <c r="Q91" s="66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</row>
    <row r="92">
      <c r="A92" s="54"/>
      <c r="B92" s="424">
        <v>45476.0</v>
      </c>
      <c r="C92" s="424"/>
      <c r="D92" s="73"/>
      <c r="E92" s="425">
        <v>2168755.0</v>
      </c>
      <c r="F92" s="71">
        <v>1148.0</v>
      </c>
      <c r="G92" s="71">
        <v>600.0</v>
      </c>
      <c r="H92" s="72">
        <v>339.0</v>
      </c>
      <c r="I92" s="72">
        <v>343.23</v>
      </c>
      <c r="J92" s="72">
        <v>-4.23</v>
      </c>
      <c r="K92" s="72">
        <v>29.9</v>
      </c>
      <c r="L92" s="54"/>
      <c r="M92" s="54"/>
      <c r="N92" s="54"/>
      <c r="O92" s="54"/>
      <c r="P92" s="54"/>
      <c r="Q92" s="54"/>
    </row>
    <row r="93">
      <c r="A93" s="54"/>
      <c r="B93" s="71" t="s">
        <v>394</v>
      </c>
      <c r="C93" s="71"/>
      <c r="D93" s="73"/>
      <c r="E93" s="425">
        <v>2170046.0</v>
      </c>
      <c r="F93" s="71">
        <v>1291.0</v>
      </c>
      <c r="G93" s="71">
        <v>600.0</v>
      </c>
      <c r="H93" s="72">
        <v>392.0</v>
      </c>
      <c r="I93" s="72">
        <v>391.2</v>
      </c>
      <c r="J93" s="72">
        <v>0.8</v>
      </c>
      <c r="K93" s="72">
        <v>30.3</v>
      </c>
      <c r="L93" s="54"/>
      <c r="M93" s="74" t="s">
        <v>118</v>
      </c>
      <c r="N93" s="75"/>
      <c r="O93" s="76"/>
      <c r="P93" s="54"/>
      <c r="Q93" s="54"/>
    </row>
    <row r="94">
      <c r="A94" s="54"/>
      <c r="B94" s="71" t="s">
        <v>395</v>
      </c>
      <c r="C94" s="71"/>
      <c r="D94" s="73"/>
      <c r="E94" s="425">
        <v>2171442.0</v>
      </c>
      <c r="F94" s="71">
        <v>1396.0</v>
      </c>
      <c r="G94" s="71">
        <v>600.0</v>
      </c>
      <c r="H94" s="72">
        <v>440.0</v>
      </c>
      <c r="I94" s="72">
        <v>434.11</v>
      </c>
      <c r="J94" s="72">
        <v>5.89</v>
      </c>
      <c r="K94" s="72">
        <v>31.1</v>
      </c>
      <c r="L94" s="54"/>
      <c r="M94" s="77" t="s">
        <v>70</v>
      </c>
      <c r="N94" s="77" t="s">
        <v>71</v>
      </c>
      <c r="O94" s="77" t="s">
        <v>27</v>
      </c>
      <c r="P94" s="54"/>
      <c r="Q94" s="54"/>
    </row>
    <row r="95">
      <c r="A95" s="54"/>
      <c r="B95" s="71" t="s">
        <v>396</v>
      </c>
      <c r="C95" s="71"/>
      <c r="D95" s="73"/>
      <c r="E95" s="425">
        <v>2172629.0</v>
      </c>
      <c r="F95" s="71">
        <f t="shared" ref="F95:F103" si="2">E95-E94</f>
        <v>1187</v>
      </c>
      <c r="G95" s="71">
        <v>600.0</v>
      </c>
      <c r="H95" s="72">
        <v>366.0</v>
      </c>
      <c r="I95" s="72">
        <v>370.04</v>
      </c>
      <c r="J95" s="72">
        <v>-4.04</v>
      </c>
      <c r="K95" s="72">
        <v>31.17</v>
      </c>
      <c r="M95" s="77">
        <f>SUM(F92:F103)</f>
        <v>15986</v>
      </c>
      <c r="N95" s="79">
        <f>SUM(I92:I103)</f>
        <v>4896.74</v>
      </c>
      <c r="O95" s="214">
        <f>N95/M95*100</f>
        <v>30.6314275</v>
      </c>
      <c r="P95" s="54"/>
      <c r="Q95" s="54"/>
    </row>
    <row r="96">
      <c r="A96" s="54"/>
      <c r="B96" s="71" t="s">
        <v>397</v>
      </c>
      <c r="C96" s="71"/>
      <c r="D96" s="73"/>
      <c r="E96" s="130">
        <v>2174112.0</v>
      </c>
      <c r="F96" s="71">
        <f t="shared" si="2"/>
        <v>1483</v>
      </c>
      <c r="G96" s="71">
        <v>600.0</v>
      </c>
      <c r="H96" s="72">
        <v>466.0</v>
      </c>
      <c r="I96" s="72">
        <v>457.04</v>
      </c>
      <c r="J96" s="72">
        <f t="shared" ref="J96:J103" si="3">H96-I96</f>
        <v>8.96</v>
      </c>
      <c r="K96" s="426">
        <f t="shared" ref="K96:K103" si="4">I96/F96*100</f>
        <v>30.81861092</v>
      </c>
      <c r="L96" s="54"/>
      <c r="M96" s="54"/>
      <c r="N96" s="54"/>
      <c r="O96" s="54"/>
      <c r="P96" s="54"/>
      <c r="Q96" s="54"/>
    </row>
    <row r="97">
      <c r="A97" s="54"/>
      <c r="B97" s="110">
        <v>45485.0</v>
      </c>
      <c r="C97" s="110"/>
      <c r="D97" s="102"/>
      <c r="E97" s="130">
        <v>2175596.0</v>
      </c>
      <c r="F97" s="71">
        <f t="shared" si="2"/>
        <v>1484</v>
      </c>
      <c r="G97" s="100">
        <v>600.0</v>
      </c>
      <c r="H97" s="101">
        <v>466.0</v>
      </c>
      <c r="I97" s="101">
        <v>461.98</v>
      </c>
      <c r="J97" s="102">
        <f t="shared" si="3"/>
        <v>4.02</v>
      </c>
      <c r="K97" s="103">
        <f t="shared" si="4"/>
        <v>31.13072776</v>
      </c>
      <c r="L97" s="54"/>
      <c r="M97" s="54"/>
      <c r="N97" s="54"/>
      <c r="O97" s="427"/>
      <c r="P97" s="54"/>
      <c r="Q97" s="54"/>
    </row>
    <row r="98">
      <c r="A98" s="54"/>
      <c r="B98" s="98">
        <v>45487.0</v>
      </c>
      <c r="C98" s="98"/>
      <c r="D98" s="102"/>
      <c r="E98" s="130">
        <v>2176653.0</v>
      </c>
      <c r="F98" s="99">
        <f t="shared" si="2"/>
        <v>1057</v>
      </c>
      <c r="G98" s="100">
        <v>600.0</v>
      </c>
      <c r="H98" s="101">
        <v>323.0</v>
      </c>
      <c r="I98" s="101">
        <v>315.51</v>
      </c>
      <c r="J98" s="102">
        <f t="shared" si="3"/>
        <v>7.49</v>
      </c>
      <c r="K98" s="103">
        <f t="shared" si="4"/>
        <v>29.84957427</v>
      </c>
      <c r="L98" s="54"/>
      <c r="M98" s="54"/>
      <c r="N98" s="54"/>
      <c r="O98" s="54"/>
      <c r="P98" s="54"/>
      <c r="Q98" s="54"/>
    </row>
    <row r="99">
      <c r="A99" s="54"/>
      <c r="B99" s="110">
        <v>45488.0</v>
      </c>
      <c r="C99" s="110"/>
      <c r="D99" s="102"/>
      <c r="E99" s="130">
        <v>2177975.0</v>
      </c>
      <c r="F99" s="99">
        <f t="shared" si="2"/>
        <v>1322</v>
      </c>
      <c r="G99" s="100">
        <v>600.0</v>
      </c>
      <c r="H99" s="101">
        <v>403.0</v>
      </c>
      <c r="I99" s="101">
        <v>406.86</v>
      </c>
      <c r="J99" s="102">
        <f t="shared" si="3"/>
        <v>-3.86</v>
      </c>
      <c r="K99" s="103">
        <f t="shared" si="4"/>
        <v>30.77609682</v>
      </c>
      <c r="L99" s="54"/>
      <c r="M99" s="54"/>
      <c r="N99" s="54"/>
      <c r="O99" s="54"/>
      <c r="P99" s="54"/>
      <c r="Q99" s="54"/>
    </row>
    <row r="100">
      <c r="A100" s="54"/>
      <c r="B100" s="98">
        <v>45490.0</v>
      </c>
      <c r="C100" s="98"/>
      <c r="D100" s="102"/>
      <c r="E100" s="130">
        <v>2179458.0</v>
      </c>
      <c r="F100" s="99">
        <f t="shared" si="2"/>
        <v>1483</v>
      </c>
      <c r="G100" s="349">
        <v>600.0</v>
      </c>
      <c r="H100" s="101">
        <v>466.0</v>
      </c>
      <c r="I100" s="101">
        <v>451.46</v>
      </c>
      <c r="J100" s="102">
        <f t="shared" si="3"/>
        <v>14.54</v>
      </c>
      <c r="K100" s="103">
        <f t="shared" si="4"/>
        <v>30.44234659</v>
      </c>
      <c r="L100" s="54"/>
      <c r="M100" s="54"/>
      <c r="N100" s="54"/>
      <c r="O100" s="54"/>
      <c r="P100" s="54"/>
      <c r="Q100" s="54"/>
    </row>
    <row r="101">
      <c r="A101" s="54"/>
      <c r="B101" s="98">
        <v>45492.0</v>
      </c>
      <c r="C101" s="98"/>
      <c r="D101" s="102"/>
      <c r="E101" s="100">
        <v>2180942.0</v>
      </c>
      <c r="F101" s="99">
        <f t="shared" si="2"/>
        <v>1484</v>
      </c>
      <c r="G101" s="100">
        <v>600.0</v>
      </c>
      <c r="H101" s="101">
        <v>472.0</v>
      </c>
      <c r="I101" s="101">
        <v>467.94</v>
      </c>
      <c r="J101" s="102">
        <f t="shared" si="3"/>
        <v>4.06</v>
      </c>
      <c r="K101" s="103">
        <f t="shared" si="4"/>
        <v>31.53234501</v>
      </c>
      <c r="L101" s="54"/>
      <c r="M101" s="54"/>
      <c r="N101" s="54"/>
      <c r="O101" s="54"/>
      <c r="P101" s="54"/>
      <c r="Q101" s="54"/>
    </row>
    <row r="102">
      <c r="A102" s="54"/>
      <c r="B102" s="98">
        <v>45494.0</v>
      </c>
      <c r="C102" s="98"/>
      <c r="D102" s="102"/>
      <c r="E102" s="130">
        <v>2182447.0</v>
      </c>
      <c r="F102" s="99">
        <f t="shared" si="2"/>
        <v>1505</v>
      </c>
      <c r="G102" s="100">
        <v>600.0</v>
      </c>
      <c r="H102" s="101">
        <v>466.0</v>
      </c>
      <c r="I102" s="101">
        <v>446.28</v>
      </c>
      <c r="J102" s="102">
        <f t="shared" si="3"/>
        <v>19.72</v>
      </c>
      <c r="K102" s="103">
        <f t="shared" si="4"/>
        <v>29.65315615</v>
      </c>
      <c r="L102" s="54"/>
      <c r="M102" s="54"/>
      <c r="N102" s="54"/>
      <c r="O102" s="54"/>
      <c r="P102" s="54"/>
      <c r="Q102" s="54"/>
    </row>
    <row r="103">
      <c r="A103" s="54"/>
      <c r="B103" s="98">
        <v>45504.0</v>
      </c>
      <c r="C103" s="98"/>
      <c r="D103" s="102"/>
      <c r="E103" s="104">
        <v>2183593.0</v>
      </c>
      <c r="F103" s="99">
        <f t="shared" si="2"/>
        <v>1146</v>
      </c>
      <c r="G103" s="100">
        <v>600.0</v>
      </c>
      <c r="H103" s="101">
        <v>350.0</v>
      </c>
      <c r="I103" s="101">
        <v>351.09</v>
      </c>
      <c r="J103" s="102">
        <f t="shared" si="3"/>
        <v>-1.09</v>
      </c>
      <c r="K103" s="103">
        <f t="shared" si="4"/>
        <v>30.63612565</v>
      </c>
      <c r="L103" s="54"/>
      <c r="M103" s="54"/>
      <c r="N103" s="54"/>
      <c r="O103" s="54"/>
      <c r="P103" s="54"/>
      <c r="Q103" s="54"/>
    </row>
    <row r="104">
      <c r="A104" s="66"/>
      <c r="B104" s="67" t="s">
        <v>95</v>
      </c>
      <c r="J104" s="66"/>
      <c r="K104" s="66"/>
      <c r="L104" s="66"/>
      <c r="M104" s="66"/>
      <c r="N104" s="66"/>
      <c r="O104" s="66"/>
      <c r="P104" s="66"/>
      <c r="Q104" s="66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</row>
    <row r="105">
      <c r="A105" s="54"/>
      <c r="B105" s="98">
        <v>45505.0</v>
      </c>
      <c r="C105" s="98"/>
      <c r="D105" s="102"/>
      <c r="E105" s="104">
        <v>2184799.0</v>
      </c>
      <c r="F105" s="99">
        <f>E105-E103</f>
        <v>1206</v>
      </c>
      <c r="G105" s="100">
        <v>600.0</v>
      </c>
      <c r="H105" s="101">
        <v>376.0</v>
      </c>
      <c r="I105" s="101">
        <v>373.13</v>
      </c>
      <c r="J105" s="102">
        <f t="shared" ref="J105:J119" si="5">H105-I105</f>
        <v>2.87</v>
      </c>
      <c r="K105" s="103">
        <f t="shared" ref="K105:K119" si="6">I105/F105*100</f>
        <v>30.93946932</v>
      </c>
      <c r="L105" s="54"/>
      <c r="M105" s="82" t="str">
        <f>"тотал"&amp;" "&amp;B104</f>
        <v>тотал АВГУСТ</v>
      </c>
      <c r="N105" s="75"/>
      <c r="O105" s="76"/>
      <c r="P105" s="54"/>
      <c r="Q105" s="54"/>
    </row>
    <row r="106">
      <c r="A106" s="54"/>
      <c r="B106" s="98">
        <v>45507.0</v>
      </c>
      <c r="C106" s="98"/>
      <c r="D106" s="102"/>
      <c r="E106" s="100">
        <v>2186284.0</v>
      </c>
      <c r="F106" s="99">
        <f t="shared" ref="F106:F119" si="7">E106-E105</f>
        <v>1485</v>
      </c>
      <c r="G106" s="100">
        <v>600.0</v>
      </c>
      <c r="H106" s="101">
        <v>466.0</v>
      </c>
      <c r="I106" s="101">
        <v>453.77</v>
      </c>
      <c r="J106" s="102">
        <f t="shared" si="5"/>
        <v>12.23</v>
      </c>
      <c r="K106" s="103">
        <f t="shared" si="6"/>
        <v>30.55690236</v>
      </c>
      <c r="L106" s="54"/>
      <c r="M106" s="198" t="s">
        <v>70</v>
      </c>
      <c r="N106" s="198" t="s">
        <v>71</v>
      </c>
      <c r="O106" s="198" t="s">
        <v>27</v>
      </c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>
      <c r="A107" s="54"/>
      <c r="B107" s="98">
        <v>45510.0</v>
      </c>
      <c r="C107" s="98"/>
      <c r="D107" s="99"/>
      <c r="E107" s="104">
        <v>2187521.0</v>
      </c>
      <c r="F107" s="99">
        <f t="shared" si="7"/>
        <v>1237</v>
      </c>
      <c r="G107" s="100">
        <v>600.0</v>
      </c>
      <c r="H107" s="101">
        <v>371.0</v>
      </c>
      <c r="I107" s="101">
        <v>373.18</v>
      </c>
      <c r="J107" s="102">
        <f t="shared" si="5"/>
        <v>-2.18</v>
      </c>
      <c r="K107" s="103">
        <f t="shared" si="6"/>
        <v>30.16814875</v>
      </c>
      <c r="L107" s="54"/>
      <c r="M107" s="199">
        <f>SUM(F105:F119)</f>
        <v>19489</v>
      </c>
      <c r="N107" s="199">
        <f>SUM(I105:I119)</f>
        <v>5946.56</v>
      </c>
      <c r="O107" s="428">
        <f>N107/M107*100</f>
        <v>30.51239161</v>
      </c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>
      <c r="A108" s="54"/>
      <c r="B108" s="98">
        <v>45511.0</v>
      </c>
      <c r="C108" s="98"/>
      <c r="D108" s="99"/>
      <c r="E108" s="104">
        <v>2188990.0</v>
      </c>
      <c r="F108" s="99">
        <f t="shared" si="7"/>
        <v>1469</v>
      </c>
      <c r="G108" s="100">
        <v>600.0</v>
      </c>
      <c r="H108" s="101">
        <v>445.0</v>
      </c>
      <c r="I108" s="101">
        <v>448.15</v>
      </c>
      <c r="J108" s="102">
        <f t="shared" si="5"/>
        <v>-3.15</v>
      </c>
      <c r="K108" s="103">
        <f t="shared" si="6"/>
        <v>30.50714772</v>
      </c>
      <c r="L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>
      <c r="A109" s="54"/>
      <c r="B109" s="98">
        <v>45513.0</v>
      </c>
      <c r="C109" s="98"/>
      <c r="D109" s="102"/>
      <c r="E109" s="100">
        <v>2190244.0</v>
      </c>
      <c r="F109" s="99">
        <f t="shared" si="7"/>
        <v>1254</v>
      </c>
      <c r="G109" s="100">
        <v>600.0</v>
      </c>
      <c r="H109" s="101">
        <v>371.0</v>
      </c>
      <c r="I109" s="101">
        <v>371.18</v>
      </c>
      <c r="J109" s="102">
        <f t="shared" si="5"/>
        <v>-0.18</v>
      </c>
      <c r="K109" s="103">
        <f t="shared" si="6"/>
        <v>29.59968102</v>
      </c>
      <c r="L109" s="54"/>
      <c r="P109" s="54"/>
      <c r="Q109" s="54"/>
    </row>
    <row r="110">
      <c r="A110" s="54"/>
      <c r="B110" s="98">
        <v>45516.0</v>
      </c>
      <c r="C110" s="98"/>
      <c r="D110" s="102"/>
      <c r="E110" s="104">
        <v>2191493.0</v>
      </c>
      <c r="F110" s="99">
        <f t="shared" si="7"/>
        <v>1249</v>
      </c>
      <c r="G110" s="100">
        <v>600.0</v>
      </c>
      <c r="H110" s="101">
        <v>376.0</v>
      </c>
      <c r="I110" s="101">
        <v>381.39</v>
      </c>
      <c r="J110" s="102">
        <f t="shared" si="5"/>
        <v>-5.39</v>
      </c>
      <c r="K110" s="103">
        <f t="shared" si="6"/>
        <v>30.5356285</v>
      </c>
      <c r="L110" s="54"/>
      <c r="M110" s="54"/>
      <c r="N110" s="54"/>
      <c r="O110" s="54"/>
      <c r="P110" s="54"/>
      <c r="Q110" s="54"/>
    </row>
    <row r="111">
      <c r="A111" s="54"/>
      <c r="B111" s="98">
        <v>45518.0</v>
      </c>
      <c r="C111" s="98"/>
      <c r="D111" s="99"/>
      <c r="E111" s="104">
        <v>2193010.0</v>
      </c>
      <c r="F111" s="99">
        <f t="shared" si="7"/>
        <v>1517</v>
      </c>
      <c r="G111" s="100">
        <v>600.0</v>
      </c>
      <c r="H111" s="101">
        <v>472.0</v>
      </c>
      <c r="I111" s="101">
        <v>470.37</v>
      </c>
      <c r="J111" s="102">
        <f t="shared" si="5"/>
        <v>1.63</v>
      </c>
      <c r="K111" s="103">
        <f t="shared" si="6"/>
        <v>31.00659196</v>
      </c>
      <c r="L111" s="54"/>
      <c r="M111" s="54"/>
      <c r="N111" s="54"/>
      <c r="O111" s="54"/>
      <c r="P111" s="54"/>
      <c r="Q111" s="54"/>
    </row>
    <row r="112">
      <c r="A112" s="54"/>
      <c r="B112" s="98">
        <v>45519.0</v>
      </c>
      <c r="C112" s="98"/>
      <c r="D112" s="99"/>
      <c r="E112" s="104">
        <v>2194307.0</v>
      </c>
      <c r="F112" s="99">
        <f t="shared" si="7"/>
        <v>1297</v>
      </c>
      <c r="G112" s="100">
        <v>600.0</v>
      </c>
      <c r="H112" s="101">
        <v>398.0</v>
      </c>
      <c r="I112" s="101">
        <v>400.0</v>
      </c>
      <c r="J112" s="102">
        <f t="shared" si="5"/>
        <v>-2</v>
      </c>
      <c r="K112" s="103">
        <f t="shared" si="6"/>
        <v>30.84040093</v>
      </c>
      <c r="L112" s="54"/>
      <c r="M112" s="54"/>
      <c r="N112" s="54"/>
      <c r="O112" s="54"/>
      <c r="P112" s="54"/>
      <c r="Q112" s="54"/>
    </row>
    <row r="113">
      <c r="A113" s="54"/>
      <c r="B113" s="98">
        <v>45521.0</v>
      </c>
      <c r="C113" s="98"/>
      <c r="D113" s="99"/>
      <c r="E113" s="100">
        <v>2195397.0</v>
      </c>
      <c r="F113" s="99">
        <f t="shared" si="7"/>
        <v>1090</v>
      </c>
      <c r="G113" s="100">
        <v>595.0</v>
      </c>
      <c r="H113" s="101">
        <v>323.0</v>
      </c>
      <c r="I113" s="101">
        <v>304.36</v>
      </c>
      <c r="J113" s="102">
        <f t="shared" si="5"/>
        <v>18.64</v>
      </c>
      <c r="K113" s="103">
        <f t="shared" si="6"/>
        <v>27.92293578</v>
      </c>
      <c r="L113" s="54"/>
      <c r="M113" s="54"/>
      <c r="N113" s="54"/>
      <c r="O113" s="54"/>
      <c r="P113" s="54"/>
      <c r="Q113" s="54"/>
    </row>
    <row r="114">
      <c r="A114" s="54"/>
      <c r="B114" s="98">
        <v>45523.0</v>
      </c>
      <c r="C114" s="98"/>
      <c r="D114" s="99"/>
      <c r="E114" s="131">
        <v>2196605.0</v>
      </c>
      <c r="F114" s="99">
        <f t="shared" si="7"/>
        <v>1208</v>
      </c>
      <c r="G114" s="100">
        <v>600.0</v>
      </c>
      <c r="H114" s="101">
        <v>371.0</v>
      </c>
      <c r="I114" s="101">
        <v>387.55</v>
      </c>
      <c r="J114" s="102">
        <f t="shared" si="5"/>
        <v>-16.55</v>
      </c>
      <c r="K114" s="103">
        <f t="shared" si="6"/>
        <v>32.08195364</v>
      </c>
      <c r="L114" s="54"/>
      <c r="M114" s="54"/>
      <c r="N114" s="54"/>
      <c r="O114" s="54"/>
      <c r="P114" s="54"/>
      <c r="Q114" s="54"/>
    </row>
    <row r="115">
      <c r="A115" s="54"/>
      <c r="B115" s="98">
        <v>45525.0</v>
      </c>
      <c r="C115" s="98"/>
      <c r="D115" s="102"/>
      <c r="E115" s="100">
        <v>2198121.0</v>
      </c>
      <c r="F115" s="99">
        <f t="shared" si="7"/>
        <v>1516</v>
      </c>
      <c r="G115" s="100">
        <v>600.0</v>
      </c>
      <c r="H115" s="101">
        <v>466.0</v>
      </c>
      <c r="I115" s="101">
        <v>453.44</v>
      </c>
      <c r="J115" s="102">
        <f t="shared" si="5"/>
        <v>12.56</v>
      </c>
      <c r="K115" s="103">
        <f t="shared" si="6"/>
        <v>29.91029024</v>
      </c>
      <c r="L115" s="54"/>
      <c r="M115" s="54"/>
      <c r="N115" s="54"/>
      <c r="O115" s="54"/>
      <c r="P115" s="54"/>
      <c r="Q115" s="54"/>
    </row>
    <row r="116">
      <c r="A116" s="54"/>
      <c r="B116" s="98">
        <v>45527.0</v>
      </c>
      <c r="C116" s="98"/>
      <c r="D116" s="99"/>
      <c r="E116" s="104">
        <v>2199223.0</v>
      </c>
      <c r="F116" s="99">
        <f t="shared" si="7"/>
        <v>1102</v>
      </c>
      <c r="G116" s="100">
        <v>600.0</v>
      </c>
      <c r="H116" s="101">
        <v>355.0</v>
      </c>
      <c r="I116" s="101">
        <v>355.18</v>
      </c>
      <c r="J116" s="102">
        <f t="shared" si="5"/>
        <v>-0.18</v>
      </c>
      <c r="K116" s="103">
        <f t="shared" si="6"/>
        <v>32.23049002</v>
      </c>
      <c r="L116" s="54"/>
      <c r="M116" s="54"/>
      <c r="N116" s="54"/>
      <c r="O116" s="54"/>
      <c r="P116" s="54"/>
      <c r="Q116" s="54"/>
    </row>
    <row r="117">
      <c r="A117" s="54"/>
      <c r="B117" s="98">
        <v>45528.0</v>
      </c>
      <c r="C117" s="98"/>
      <c r="D117" s="99"/>
      <c r="E117" s="104">
        <v>2200678.0</v>
      </c>
      <c r="F117" s="99">
        <f t="shared" si="7"/>
        <v>1455</v>
      </c>
      <c r="G117" s="100">
        <v>600.0</v>
      </c>
      <c r="H117" s="101">
        <v>445.0</v>
      </c>
      <c r="I117" s="101">
        <v>443.28</v>
      </c>
      <c r="J117" s="102">
        <f t="shared" si="5"/>
        <v>1.72</v>
      </c>
      <c r="K117" s="103">
        <f t="shared" si="6"/>
        <v>30.46597938</v>
      </c>
      <c r="L117" s="54"/>
      <c r="M117" s="54"/>
      <c r="N117" s="54"/>
      <c r="O117" s="54"/>
      <c r="P117" s="54"/>
      <c r="Q117" s="54"/>
    </row>
    <row r="118">
      <c r="A118" s="54"/>
      <c r="B118" s="98">
        <v>45531.0</v>
      </c>
      <c r="C118" s="98"/>
      <c r="D118" s="99"/>
      <c r="E118" s="104">
        <v>2201759.0</v>
      </c>
      <c r="F118" s="99">
        <f t="shared" si="7"/>
        <v>1081</v>
      </c>
      <c r="G118" s="100">
        <v>600.0</v>
      </c>
      <c r="H118" s="101">
        <v>323.0</v>
      </c>
      <c r="I118" s="101">
        <v>327.42</v>
      </c>
      <c r="J118" s="102">
        <f t="shared" si="5"/>
        <v>-4.42</v>
      </c>
      <c r="K118" s="103">
        <f t="shared" si="6"/>
        <v>30.28862165</v>
      </c>
      <c r="L118" s="54"/>
      <c r="M118" s="54"/>
      <c r="N118" s="54"/>
      <c r="O118" s="54"/>
      <c r="P118" s="54"/>
      <c r="Q118" s="54"/>
    </row>
    <row r="119">
      <c r="A119" s="54"/>
      <c r="B119" s="98">
        <v>45532.0</v>
      </c>
      <c r="C119" s="98"/>
      <c r="D119" s="99"/>
      <c r="E119" s="104">
        <v>2203082.0</v>
      </c>
      <c r="F119" s="99">
        <f t="shared" si="7"/>
        <v>1323</v>
      </c>
      <c r="G119" s="100">
        <v>600.0</v>
      </c>
      <c r="H119" s="101">
        <v>398.0</v>
      </c>
      <c r="I119" s="101">
        <v>404.16</v>
      </c>
      <c r="J119" s="102">
        <f t="shared" si="5"/>
        <v>-6.16</v>
      </c>
      <c r="K119" s="103">
        <f t="shared" si="6"/>
        <v>30.54875283</v>
      </c>
      <c r="L119" s="54"/>
      <c r="M119" s="54"/>
      <c r="N119" s="54"/>
      <c r="O119" s="54"/>
      <c r="P119" s="54"/>
      <c r="Q119" s="54"/>
    </row>
    <row r="120">
      <c r="A120" s="66"/>
      <c r="B120" s="67" t="s">
        <v>104</v>
      </c>
      <c r="J120" s="66"/>
      <c r="K120" s="66"/>
      <c r="L120" s="66"/>
      <c r="M120" s="66"/>
      <c r="N120" s="66"/>
      <c r="O120" s="66"/>
      <c r="P120" s="66"/>
      <c r="Q120" s="66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</row>
    <row r="121">
      <c r="A121" s="54"/>
      <c r="B121" s="98">
        <v>45539.0</v>
      </c>
      <c r="C121" s="98"/>
      <c r="D121" s="99"/>
      <c r="E121" s="100">
        <v>2204070.0</v>
      </c>
      <c r="F121" s="99">
        <f>E121-E119</f>
        <v>988</v>
      </c>
      <c r="G121" s="100">
        <v>600.0</v>
      </c>
      <c r="H121" s="101">
        <v>307.0</v>
      </c>
      <c r="I121" s="101">
        <v>306.22</v>
      </c>
      <c r="J121" s="102">
        <f t="shared" ref="J121:J135" si="8">H121-I121</f>
        <v>0.78</v>
      </c>
      <c r="K121" s="103">
        <f t="shared" ref="K121:K135" si="9">I121/F121*100</f>
        <v>30.99392713</v>
      </c>
      <c r="L121" s="54"/>
      <c r="M121" s="82" t="str">
        <f>"тотал"&amp;" "&amp;B120</f>
        <v>тотал СЕНТЯБРЬ</v>
      </c>
      <c r="N121" s="75"/>
      <c r="O121" s="76"/>
      <c r="P121" s="54"/>
      <c r="Q121" s="54"/>
    </row>
    <row r="122">
      <c r="A122" s="54"/>
      <c r="B122" s="98">
        <v>45540.0</v>
      </c>
      <c r="C122" s="98"/>
      <c r="D122" s="99"/>
      <c r="E122" s="100">
        <v>2204941.0</v>
      </c>
      <c r="F122" s="99">
        <f t="shared" ref="F122:F135" si="10">E122-E121</f>
        <v>871</v>
      </c>
      <c r="G122" s="100">
        <v>600.0</v>
      </c>
      <c r="H122" s="101">
        <v>260.0</v>
      </c>
      <c r="I122" s="101">
        <v>260.07</v>
      </c>
      <c r="J122" s="102">
        <f t="shared" si="8"/>
        <v>-0.07</v>
      </c>
      <c r="K122" s="103">
        <f t="shared" si="9"/>
        <v>29.85878301</v>
      </c>
      <c r="L122" s="54"/>
      <c r="M122" s="198" t="s">
        <v>70</v>
      </c>
      <c r="N122" s="198" t="s">
        <v>71</v>
      </c>
      <c r="O122" s="198" t="s">
        <v>27</v>
      </c>
      <c r="P122" s="54"/>
      <c r="Q122" s="54"/>
    </row>
    <row r="123">
      <c r="A123" s="54"/>
      <c r="B123" s="98">
        <v>45541.0</v>
      </c>
      <c r="C123" s="98"/>
      <c r="D123" s="99"/>
      <c r="E123" s="104">
        <v>2206002.0</v>
      </c>
      <c r="F123" s="99">
        <f t="shared" si="10"/>
        <v>1061</v>
      </c>
      <c r="G123" s="100">
        <v>600.0</v>
      </c>
      <c r="H123" s="101">
        <v>334.0</v>
      </c>
      <c r="I123" s="101">
        <v>342.64</v>
      </c>
      <c r="J123" s="102">
        <f t="shared" si="8"/>
        <v>-8.64</v>
      </c>
      <c r="K123" s="103">
        <f t="shared" si="9"/>
        <v>32.29406221</v>
      </c>
      <c r="L123" s="54"/>
      <c r="M123" s="199">
        <f>SUM(F121:F135)</f>
        <v>17480</v>
      </c>
      <c r="N123" s="199">
        <f>SUM(I121:I135)</f>
        <v>5390.32</v>
      </c>
      <c r="O123" s="428">
        <f>N123/M123*100</f>
        <v>30.83707094</v>
      </c>
      <c r="P123" s="54"/>
      <c r="Q123" s="54"/>
    </row>
    <row r="124">
      <c r="A124" s="54"/>
      <c r="B124" s="98">
        <v>45542.0</v>
      </c>
      <c r="C124" s="98"/>
      <c r="D124" s="99"/>
      <c r="E124" s="104">
        <v>2207042.0</v>
      </c>
      <c r="F124" s="99">
        <f t="shared" si="10"/>
        <v>1040</v>
      </c>
      <c r="G124" s="100">
        <v>600.0</v>
      </c>
      <c r="H124" s="101">
        <v>329.0</v>
      </c>
      <c r="I124" s="101">
        <v>320.17</v>
      </c>
      <c r="J124" s="102">
        <f t="shared" si="8"/>
        <v>8.83</v>
      </c>
      <c r="K124" s="103">
        <f t="shared" si="9"/>
        <v>30.78557692</v>
      </c>
      <c r="L124" s="54"/>
      <c r="M124" s="54"/>
      <c r="N124" s="54"/>
      <c r="O124" s="54"/>
      <c r="P124" s="54"/>
      <c r="Q124" s="54"/>
    </row>
    <row r="125">
      <c r="A125" s="54"/>
      <c r="B125" s="98">
        <v>45545.0</v>
      </c>
      <c r="C125" s="98"/>
      <c r="D125" s="99"/>
      <c r="E125" s="100">
        <v>2208124.0</v>
      </c>
      <c r="F125" s="99">
        <f t="shared" si="10"/>
        <v>1082</v>
      </c>
      <c r="G125" s="100">
        <v>600.0</v>
      </c>
      <c r="H125" s="101">
        <v>329.0</v>
      </c>
      <c r="I125" s="101">
        <v>331.26</v>
      </c>
      <c r="J125" s="102">
        <f t="shared" si="8"/>
        <v>-2.26</v>
      </c>
      <c r="K125" s="103">
        <f t="shared" si="9"/>
        <v>30.6155268</v>
      </c>
      <c r="L125" s="54"/>
      <c r="M125" s="54"/>
      <c r="N125" s="54"/>
      <c r="O125" s="54"/>
      <c r="P125" s="54"/>
      <c r="Q125" s="54"/>
    </row>
    <row r="126">
      <c r="A126" s="54"/>
      <c r="B126" s="98">
        <v>45547.0</v>
      </c>
      <c r="C126" s="98"/>
      <c r="D126" s="99"/>
      <c r="E126" s="131">
        <v>2209641.0</v>
      </c>
      <c r="F126" s="99">
        <f t="shared" si="10"/>
        <v>1517</v>
      </c>
      <c r="G126" s="100">
        <v>600.0</v>
      </c>
      <c r="H126" s="101">
        <v>466.0</v>
      </c>
      <c r="I126" s="101">
        <v>461.77</v>
      </c>
      <c r="J126" s="102">
        <f t="shared" si="8"/>
        <v>4.23</v>
      </c>
      <c r="K126" s="103">
        <f t="shared" si="9"/>
        <v>30.43968359</v>
      </c>
      <c r="L126" s="54"/>
      <c r="M126" s="54"/>
      <c r="N126" s="54"/>
      <c r="O126" s="54"/>
      <c r="P126" s="54"/>
      <c r="Q126" s="54"/>
    </row>
    <row r="127">
      <c r="A127" s="54"/>
      <c r="B127" s="98">
        <v>45548.0</v>
      </c>
      <c r="C127" s="98"/>
      <c r="D127" s="102"/>
      <c r="E127" s="100">
        <v>2210964.0</v>
      </c>
      <c r="F127" s="99">
        <f t="shared" si="10"/>
        <v>1323</v>
      </c>
      <c r="G127" s="100">
        <v>600.0</v>
      </c>
      <c r="H127" s="101">
        <v>392.0</v>
      </c>
      <c r="I127" s="101">
        <v>400.92</v>
      </c>
      <c r="J127" s="102">
        <f t="shared" si="8"/>
        <v>-8.92</v>
      </c>
      <c r="K127" s="103">
        <f t="shared" si="9"/>
        <v>30.30385488</v>
      </c>
      <c r="L127" s="54"/>
      <c r="M127" s="54"/>
      <c r="N127" s="54"/>
      <c r="O127" s="54"/>
      <c r="P127" s="54"/>
      <c r="Q127" s="54"/>
    </row>
    <row r="128">
      <c r="A128" s="54"/>
      <c r="B128" s="98">
        <v>45551.0</v>
      </c>
      <c r="C128" s="98"/>
      <c r="D128" s="102"/>
      <c r="E128" s="100">
        <v>2212366.0</v>
      </c>
      <c r="F128" s="99">
        <f t="shared" si="10"/>
        <v>1402</v>
      </c>
      <c r="G128" s="100">
        <v>600.0</v>
      </c>
      <c r="H128" s="101">
        <v>435.0</v>
      </c>
      <c r="I128" s="101">
        <v>431.13</v>
      </c>
      <c r="J128" s="102">
        <f t="shared" si="8"/>
        <v>3.87</v>
      </c>
      <c r="K128" s="103">
        <f t="shared" si="9"/>
        <v>30.7510699</v>
      </c>
      <c r="L128" s="54"/>
      <c r="M128" s="54"/>
      <c r="N128" s="54"/>
      <c r="O128" s="54"/>
      <c r="P128" s="54"/>
      <c r="Q128" s="54"/>
    </row>
    <row r="129">
      <c r="A129" s="54"/>
      <c r="B129" s="98">
        <v>45553.0</v>
      </c>
      <c r="C129" s="98"/>
      <c r="D129" s="102"/>
      <c r="E129" s="100">
        <v>2213469.0</v>
      </c>
      <c r="F129" s="99">
        <f t="shared" si="10"/>
        <v>1103</v>
      </c>
      <c r="G129" s="100">
        <v>600.0</v>
      </c>
      <c r="H129" s="101">
        <v>350.0</v>
      </c>
      <c r="I129" s="101">
        <v>350.85</v>
      </c>
      <c r="J129" s="102">
        <f t="shared" si="8"/>
        <v>-0.85</v>
      </c>
      <c r="K129" s="103">
        <f t="shared" si="9"/>
        <v>31.80870354</v>
      </c>
      <c r="L129" s="54"/>
      <c r="M129" s="54"/>
      <c r="N129" s="54"/>
      <c r="O129" s="54"/>
      <c r="P129" s="54"/>
      <c r="Q129" s="54"/>
    </row>
    <row r="130">
      <c r="A130" s="54"/>
      <c r="B130" s="98">
        <v>45554.0</v>
      </c>
      <c r="C130" s="98"/>
      <c r="D130" s="102"/>
      <c r="E130" s="100">
        <v>2214767.0</v>
      </c>
      <c r="F130" s="99">
        <f t="shared" si="10"/>
        <v>1298</v>
      </c>
      <c r="G130" s="100">
        <v>600.0</v>
      </c>
      <c r="H130" s="101">
        <v>392.0</v>
      </c>
      <c r="I130" s="101">
        <v>390.09</v>
      </c>
      <c r="J130" s="102">
        <f t="shared" si="8"/>
        <v>1.91</v>
      </c>
      <c r="K130" s="103">
        <f t="shared" si="9"/>
        <v>30.05315871</v>
      </c>
      <c r="L130" s="54"/>
      <c r="M130" s="54"/>
      <c r="N130" s="54"/>
      <c r="O130" s="54"/>
      <c r="P130" s="54"/>
      <c r="Q130" s="54"/>
    </row>
    <row r="131">
      <c r="A131" s="54"/>
      <c r="B131" s="98">
        <v>45556.0</v>
      </c>
      <c r="C131" s="98"/>
      <c r="D131" s="99"/>
      <c r="E131" s="100">
        <v>2215858.0</v>
      </c>
      <c r="F131" s="99">
        <f t="shared" si="10"/>
        <v>1091</v>
      </c>
      <c r="G131" s="100">
        <v>600.0</v>
      </c>
      <c r="H131" s="101">
        <v>350.0</v>
      </c>
      <c r="I131" s="101">
        <v>344.46</v>
      </c>
      <c r="J131" s="102">
        <f t="shared" si="8"/>
        <v>5.54</v>
      </c>
      <c r="K131" s="103">
        <f t="shared" si="9"/>
        <v>31.57286893</v>
      </c>
      <c r="L131" s="54"/>
      <c r="M131" s="54"/>
      <c r="N131" s="54"/>
      <c r="O131" s="54"/>
      <c r="P131" s="54"/>
      <c r="Q131" s="54"/>
    </row>
    <row r="132">
      <c r="A132" s="54"/>
      <c r="B132" s="98">
        <v>45558.0</v>
      </c>
      <c r="C132" s="98"/>
      <c r="D132" s="99"/>
      <c r="E132" s="100">
        <v>2217068.0</v>
      </c>
      <c r="F132" s="99">
        <f t="shared" si="10"/>
        <v>1210</v>
      </c>
      <c r="G132" s="100">
        <v>600.0</v>
      </c>
      <c r="H132" s="101">
        <v>371.0</v>
      </c>
      <c r="I132" s="101">
        <v>377.33</v>
      </c>
      <c r="J132" s="102">
        <f t="shared" si="8"/>
        <v>-6.33</v>
      </c>
      <c r="K132" s="103">
        <f t="shared" si="9"/>
        <v>31.18429752</v>
      </c>
      <c r="L132" s="54"/>
      <c r="M132" s="54"/>
      <c r="N132" s="54"/>
      <c r="O132" s="54"/>
      <c r="P132" s="54"/>
      <c r="Q132" s="54"/>
    </row>
    <row r="133">
      <c r="A133" s="54"/>
      <c r="B133" s="98">
        <v>45560.0</v>
      </c>
      <c r="C133" s="98"/>
      <c r="D133" s="99"/>
      <c r="E133" s="100">
        <v>2218171.0</v>
      </c>
      <c r="F133" s="99">
        <f t="shared" si="10"/>
        <v>1103</v>
      </c>
      <c r="G133" s="100">
        <v>600.0</v>
      </c>
      <c r="H133" s="101">
        <v>350.0</v>
      </c>
      <c r="I133" s="101">
        <v>352.35</v>
      </c>
      <c r="J133" s="102">
        <f t="shared" si="8"/>
        <v>-2.35</v>
      </c>
      <c r="K133" s="103">
        <f t="shared" si="9"/>
        <v>31.94469628</v>
      </c>
      <c r="L133" s="54"/>
      <c r="M133" s="54"/>
      <c r="N133" s="54"/>
      <c r="O133" s="54"/>
      <c r="P133" s="54"/>
      <c r="Q133" s="54"/>
    </row>
    <row r="134">
      <c r="A134" s="54"/>
      <c r="B134" s="98">
        <v>45562.0</v>
      </c>
      <c r="C134" s="98"/>
      <c r="D134" s="99"/>
      <c r="E134" s="104">
        <v>2219689.0</v>
      </c>
      <c r="F134" s="99">
        <f t="shared" si="10"/>
        <v>1518</v>
      </c>
      <c r="G134" s="100">
        <v>600.0</v>
      </c>
      <c r="H134" s="101">
        <v>466.0</v>
      </c>
      <c r="I134" s="101">
        <v>460.12</v>
      </c>
      <c r="J134" s="102">
        <f t="shared" si="8"/>
        <v>5.88</v>
      </c>
      <c r="K134" s="103">
        <f t="shared" si="9"/>
        <v>30.31093544</v>
      </c>
      <c r="L134" s="54"/>
      <c r="M134" s="54"/>
      <c r="N134" s="54"/>
      <c r="O134" s="54"/>
      <c r="P134" s="54"/>
      <c r="Q134" s="54"/>
    </row>
    <row r="135">
      <c r="A135" s="54"/>
      <c r="B135" s="98">
        <v>45563.0</v>
      </c>
      <c r="C135" s="98"/>
      <c r="D135" s="99"/>
      <c r="E135" s="100">
        <v>2220562.0</v>
      </c>
      <c r="F135" s="99">
        <f t="shared" si="10"/>
        <v>873</v>
      </c>
      <c r="G135" s="100">
        <v>600.0</v>
      </c>
      <c r="H135" s="101">
        <v>254.0</v>
      </c>
      <c r="I135" s="101">
        <v>260.94</v>
      </c>
      <c r="J135" s="102">
        <f t="shared" si="8"/>
        <v>-6.94</v>
      </c>
      <c r="K135" s="103">
        <f t="shared" si="9"/>
        <v>29.89003436</v>
      </c>
      <c r="L135" s="54"/>
      <c r="M135" s="54"/>
      <c r="N135" s="54"/>
      <c r="O135" s="54"/>
      <c r="P135" s="54"/>
      <c r="Q135" s="54"/>
    </row>
    <row r="136">
      <c r="A136" s="66"/>
      <c r="B136" s="67" t="s">
        <v>96</v>
      </c>
      <c r="J136" s="66"/>
      <c r="K136" s="66"/>
      <c r="L136" s="66"/>
      <c r="M136" s="66"/>
      <c r="N136" s="66"/>
      <c r="O136" s="66"/>
      <c r="P136" s="66"/>
      <c r="Q136" s="66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</row>
    <row r="137">
      <c r="A137" s="54"/>
      <c r="B137" s="110">
        <v>45572.0</v>
      </c>
      <c r="C137" s="110"/>
      <c r="D137" s="99"/>
      <c r="E137" s="100">
        <v>2221827.0</v>
      </c>
      <c r="F137" s="99">
        <f>E137-E135</f>
        <v>1265</v>
      </c>
      <c r="G137" s="100">
        <v>600.0</v>
      </c>
      <c r="H137" s="101">
        <v>413.0</v>
      </c>
      <c r="I137" s="101">
        <v>428.67</v>
      </c>
      <c r="J137" s="102">
        <f t="shared" ref="J137:J144" si="11">H137-I137</f>
        <v>-15.67</v>
      </c>
      <c r="K137" s="103">
        <f t="shared" ref="K137:K144" si="12">I137/F137*100</f>
        <v>33.88695652</v>
      </c>
      <c r="L137" s="54"/>
      <c r="M137" s="82" t="str">
        <f>"тотал"&amp;" "&amp;B136&amp;" "&amp;RIGHT(YEAR(B137),2)</f>
        <v>тотал ОКТЯБРЬ 24</v>
      </c>
      <c r="N137" s="75"/>
      <c r="O137" s="75"/>
      <c r="P137" s="75"/>
      <c r="Q137" s="76"/>
    </row>
    <row r="138">
      <c r="A138" s="54"/>
      <c r="B138" s="110">
        <v>45576.0</v>
      </c>
      <c r="C138" s="110"/>
      <c r="D138" s="102"/>
      <c r="E138" s="100">
        <v>2222937.0</v>
      </c>
      <c r="F138" s="99">
        <f t="shared" ref="F138:F144" si="13">E138-E137</f>
        <v>1110</v>
      </c>
      <c r="G138" s="100">
        <v>600.0</v>
      </c>
      <c r="H138" s="101">
        <v>371.0</v>
      </c>
      <c r="I138" s="101">
        <v>367.97</v>
      </c>
      <c r="J138" s="102">
        <f t="shared" si="11"/>
        <v>3.03</v>
      </c>
      <c r="K138" s="103">
        <f t="shared" si="12"/>
        <v>33.15045045</v>
      </c>
      <c r="L138" s="54"/>
      <c r="M138" s="198" t="s">
        <v>70</v>
      </c>
      <c r="N138" s="198" t="s">
        <v>71</v>
      </c>
      <c r="O138" s="198" t="s">
        <v>27</v>
      </c>
      <c r="P138" s="77" t="s">
        <v>28</v>
      </c>
      <c r="Q138" s="12" t="s">
        <v>78</v>
      </c>
    </row>
    <row r="139">
      <c r="A139" s="54"/>
      <c r="B139" s="110">
        <v>45577.0</v>
      </c>
      <c r="C139" s="110"/>
      <c r="D139" s="102"/>
      <c r="E139" s="100">
        <v>2224424.0</v>
      </c>
      <c r="F139" s="99">
        <f t="shared" si="13"/>
        <v>1487</v>
      </c>
      <c r="G139" s="100">
        <v>600.0</v>
      </c>
      <c r="H139" s="101">
        <v>466.0</v>
      </c>
      <c r="I139" s="101">
        <v>463.04</v>
      </c>
      <c r="J139" s="102">
        <f t="shared" si="11"/>
        <v>2.96</v>
      </c>
      <c r="K139" s="103">
        <f t="shared" si="12"/>
        <v>31.13920646</v>
      </c>
      <c r="L139" s="54"/>
      <c r="M139" s="199">
        <f>SUM(F137:F144)</f>
        <v>9523</v>
      </c>
      <c r="N139" s="199">
        <f>SUM(I137:I144)</f>
        <v>3079.35</v>
      </c>
      <c r="O139" s="428">
        <f>N139/M139*100</f>
        <v>32.33592355</v>
      </c>
      <c r="P139" s="79">
        <f>(M139/100)*(O139-Q139)</f>
        <v>222.45</v>
      </c>
      <c r="Q139" s="78">
        <v>30.0</v>
      </c>
    </row>
    <row r="140">
      <c r="A140" s="54"/>
      <c r="B140" s="110">
        <v>45589.0</v>
      </c>
      <c r="C140" s="110"/>
      <c r="D140" s="102"/>
      <c r="E140" s="100">
        <v>2225523.0</v>
      </c>
      <c r="F140" s="99">
        <f t="shared" si="13"/>
        <v>1099</v>
      </c>
      <c r="G140" s="100">
        <v>600.0</v>
      </c>
      <c r="H140" s="101">
        <v>350.0</v>
      </c>
      <c r="I140" s="101">
        <v>350.19</v>
      </c>
      <c r="J140" s="102">
        <f t="shared" si="11"/>
        <v>-0.19</v>
      </c>
      <c r="K140" s="103">
        <f t="shared" si="12"/>
        <v>31.8644222</v>
      </c>
      <c r="L140" s="54"/>
      <c r="M140" s="54"/>
      <c r="N140" s="54"/>
      <c r="O140" s="54"/>
      <c r="P140" s="54"/>
      <c r="Q140" s="54"/>
    </row>
    <row r="141">
      <c r="A141" s="54"/>
      <c r="B141" s="110">
        <v>45590.0</v>
      </c>
      <c r="C141" s="110"/>
      <c r="D141" s="102"/>
      <c r="E141" s="100">
        <v>2226782.0</v>
      </c>
      <c r="F141" s="99">
        <f t="shared" si="13"/>
        <v>1259</v>
      </c>
      <c r="G141" s="100">
        <v>600.0</v>
      </c>
      <c r="H141" s="101">
        <v>392.0</v>
      </c>
      <c r="I141" s="101">
        <v>411.27</v>
      </c>
      <c r="J141" s="102">
        <f t="shared" si="11"/>
        <v>-19.27</v>
      </c>
      <c r="K141" s="103">
        <f t="shared" si="12"/>
        <v>32.66640191</v>
      </c>
      <c r="L141" s="54"/>
      <c r="M141" s="54"/>
      <c r="N141" s="54"/>
      <c r="O141" s="54"/>
      <c r="P141" s="54"/>
      <c r="Q141" s="54"/>
    </row>
    <row r="142">
      <c r="A142" s="54"/>
      <c r="B142" s="110">
        <v>45593.0</v>
      </c>
      <c r="C142" s="110"/>
      <c r="D142" s="102"/>
      <c r="E142" s="100">
        <v>2228107.0</v>
      </c>
      <c r="F142" s="99">
        <f t="shared" si="13"/>
        <v>1325</v>
      </c>
      <c r="G142" s="100">
        <v>600.0</v>
      </c>
      <c r="H142" s="101">
        <v>424.0</v>
      </c>
      <c r="I142" s="101">
        <v>421.82</v>
      </c>
      <c r="J142" s="102">
        <f t="shared" si="11"/>
        <v>2.18</v>
      </c>
      <c r="K142" s="103">
        <f t="shared" si="12"/>
        <v>31.8354717</v>
      </c>
      <c r="L142" s="54"/>
      <c r="M142" s="54"/>
      <c r="N142" s="54"/>
      <c r="O142" s="54"/>
      <c r="P142" s="54"/>
      <c r="Q142" s="54"/>
    </row>
    <row r="143">
      <c r="A143" s="54"/>
      <c r="B143" s="110">
        <v>45595.0</v>
      </c>
      <c r="C143" s="110"/>
      <c r="D143" s="102"/>
      <c r="E143" s="100">
        <v>2229303.0</v>
      </c>
      <c r="F143" s="99">
        <f t="shared" si="13"/>
        <v>1196</v>
      </c>
      <c r="G143" s="100">
        <v>600.0</v>
      </c>
      <c r="H143" s="101">
        <v>376.0</v>
      </c>
      <c r="I143" s="101">
        <v>385.37</v>
      </c>
      <c r="J143" s="102">
        <f t="shared" si="11"/>
        <v>-9.37</v>
      </c>
      <c r="K143" s="103">
        <f t="shared" si="12"/>
        <v>32.22157191</v>
      </c>
      <c r="L143" s="54"/>
      <c r="M143" s="54"/>
      <c r="N143" s="54"/>
      <c r="O143" s="54"/>
      <c r="P143" s="54"/>
      <c r="Q143" s="54"/>
    </row>
    <row r="144">
      <c r="A144" s="54"/>
      <c r="B144" s="110">
        <v>45596.0</v>
      </c>
      <c r="C144" s="110"/>
      <c r="D144" s="102"/>
      <c r="E144" s="100">
        <v>2230085.0</v>
      </c>
      <c r="F144" s="99">
        <f t="shared" si="13"/>
        <v>782</v>
      </c>
      <c r="G144" s="100">
        <v>600.0</v>
      </c>
      <c r="H144" s="101">
        <v>233.0</v>
      </c>
      <c r="I144" s="101">
        <v>251.02</v>
      </c>
      <c r="J144" s="102">
        <f t="shared" si="11"/>
        <v>-18.02</v>
      </c>
      <c r="K144" s="103">
        <f t="shared" si="12"/>
        <v>32.09974425</v>
      </c>
      <c r="L144" s="54"/>
      <c r="M144" s="54"/>
      <c r="N144" s="54"/>
      <c r="O144" s="54"/>
      <c r="P144" s="54"/>
      <c r="Q144" s="54"/>
    </row>
    <row r="145">
      <c r="A145" s="66"/>
      <c r="B145" s="67" t="s">
        <v>97</v>
      </c>
      <c r="J145" s="66"/>
      <c r="K145" s="66"/>
      <c r="L145" s="66"/>
      <c r="M145" s="66"/>
      <c r="N145" s="66"/>
      <c r="O145" s="66"/>
      <c r="P145" s="66"/>
      <c r="Q145" s="66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</row>
    <row r="146">
      <c r="A146" s="54"/>
      <c r="B146" s="110">
        <v>45597.0</v>
      </c>
      <c r="C146" s="110"/>
      <c r="D146" s="99"/>
      <c r="E146" s="100">
        <v>2231149.0</v>
      </c>
      <c r="F146" s="99">
        <f>E146-E144</f>
        <v>1064</v>
      </c>
      <c r="G146" s="100">
        <v>600.0</v>
      </c>
      <c r="H146" s="101">
        <v>345.0</v>
      </c>
      <c r="I146" s="101">
        <v>350.76</v>
      </c>
      <c r="J146" s="102">
        <f t="shared" ref="J146:J165" si="14">H146-I146</f>
        <v>-5.76</v>
      </c>
      <c r="K146" s="103">
        <f t="shared" ref="K146:K153" si="15">I146/F146*100</f>
        <v>32.96616541</v>
      </c>
      <c r="L146" s="54"/>
      <c r="M146" s="82" t="str">
        <f>"тотал"&amp;" "&amp;B145&amp;" "&amp;RIGHT(YEAR(B146),2)</f>
        <v>тотал НОЯБРЬ 24</v>
      </c>
      <c r="N146" s="75"/>
      <c r="O146" s="75"/>
      <c r="P146" s="75"/>
      <c r="Q146" s="76"/>
    </row>
    <row r="147">
      <c r="A147" s="54"/>
      <c r="B147" s="110">
        <v>45599.0</v>
      </c>
      <c r="C147" s="110"/>
      <c r="D147" s="99"/>
      <c r="E147" s="100">
        <v>2232348.0</v>
      </c>
      <c r="F147" s="99">
        <f t="shared" ref="F147:F153" si="16">E147-E146</f>
        <v>1199</v>
      </c>
      <c r="G147" s="100">
        <v>600.0</v>
      </c>
      <c r="H147" s="101">
        <v>413.0</v>
      </c>
      <c r="I147" s="101">
        <v>499.48</v>
      </c>
      <c r="J147" s="102">
        <f t="shared" si="14"/>
        <v>-86.48</v>
      </c>
      <c r="K147" s="103">
        <f t="shared" si="15"/>
        <v>41.65804837</v>
      </c>
      <c r="L147" s="54"/>
      <c r="M147" s="198" t="s">
        <v>70</v>
      </c>
      <c r="N147" s="198" t="s">
        <v>71</v>
      </c>
      <c r="O147" s="198" t="s">
        <v>27</v>
      </c>
      <c r="P147" s="77" t="s">
        <v>28</v>
      </c>
      <c r="Q147" s="12" t="s">
        <v>78</v>
      </c>
    </row>
    <row r="148">
      <c r="A148" s="54"/>
      <c r="B148" s="110">
        <v>45600.0</v>
      </c>
      <c r="C148" s="110"/>
      <c r="D148" s="99"/>
      <c r="E148" s="100">
        <v>2233897.0</v>
      </c>
      <c r="F148" s="99">
        <f t="shared" si="16"/>
        <v>1549</v>
      </c>
      <c r="G148" s="100">
        <v>600.0</v>
      </c>
      <c r="H148" s="101">
        <v>466.0</v>
      </c>
      <c r="I148" s="101">
        <v>467.06</v>
      </c>
      <c r="J148" s="102">
        <f t="shared" si="14"/>
        <v>-1.06</v>
      </c>
      <c r="K148" s="103">
        <f t="shared" si="15"/>
        <v>30.15235636</v>
      </c>
      <c r="L148" s="54"/>
      <c r="M148" s="199">
        <f>SUM(F146:F165)</f>
        <v>19619</v>
      </c>
      <c r="N148" s="199">
        <f>SUM(I146:I165)</f>
        <v>7209.49</v>
      </c>
      <c r="O148" s="428">
        <f>N148/M148*100</f>
        <v>36.74748968</v>
      </c>
      <c r="P148" s="79">
        <f>(M148/100)*(O148-Q148)</f>
        <v>1323.79</v>
      </c>
      <c r="Q148" s="78">
        <v>30.0</v>
      </c>
    </row>
    <row r="149">
      <c r="A149" s="54"/>
      <c r="B149" s="110">
        <v>45602.0</v>
      </c>
      <c r="C149" s="110"/>
      <c r="D149" s="102"/>
      <c r="E149" s="100">
        <v>2234679.0</v>
      </c>
      <c r="F149" s="99">
        <f t="shared" si="16"/>
        <v>782</v>
      </c>
      <c r="G149" s="100">
        <v>600.0</v>
      </c>
      <c r="H149" s="101">
        <v>254.0</v>
      </c>
      <c r="I149" s="101">
        <v>274.41</v>
      </c>
      <c r="J149" s="102">
        <f t="shared" si="14"/>
        <v>-20.41</v>
      </c>
      <c r="K149" s="103">
        <f t="shared" si="15"/>
        <v>35.09079284</v>
      </c>
      <c r="L149" s="54"/>
      <c r="M149" s="54"/>
      <c r="N149" s="54"/>
      <c r="O149" s="54"/>
      <c r="P149" s="54"/>
      <c r="Q149" s="54"/>
    </row>
    <row r="150">
      <c r="A150" s="54"/>
      <c r="B150" s="110">
        <v>45603.0</v>
      </c>
      <c r="C150" s="110"/>
      <c r="D150" s="102"/>
      <c r="E150" s="100">
        <v>2235743.0</v>
      </c>
      <c r="F150" s="99">
        <f t="shared" si="16"/>
        <v>1064</v>
      </c>
      <c r="G150" s="100">
        <v>600.0</v>
      </c>
      <c r="H150" s="101">
        <v>350.0</v>
      </c>
      <c r="I150" s="101">
        <v>350.05</v>
      </c>
      <c r="J150" s="102">
        <f t="shared" si="14"/>
        <v>-0.05</v>
      </c>
      <c r="K150" s="103">
        <f t="shared" si="15"/>
        <v>32.89943609</v>
      </c>
      <c r="L150" s="54"/>
      <c r="M150" s="54"/>
      <c r="N150" s="54"/>
      <c r="O150" s="54"/>
      <c r="P150" s="54"/>
      <c r="Q150" s="54"/>
    </row>
    <row r="151">
      <c r="A151" s="54"/>
      <c r="B151" s="110">
        <v>45605.0</v>
      </c>
      <c r="C151" s="110"/>
      <c r="D151" s="102"/>
      <c r="E151" s="100">
        <v>2236941.0</v>
      </c>
      <c r="F151" s="99">
        <f t="shared" si="16"/>
        <v>1198</v>
      </c>
      <c r="G151" s="100">
        <v>600.0</v>
      </c>
      <c r="H151" s="101">
        <v>392.0</v>
      </c>
      <c r="I151" s="101">
        <v>383.75</v>
      </c>
      <c r="J151" s="102">
        <f t="shared" si="14"/>
        <v>8.25</v>
      </c>
      <c r="K151" s="103">
        <f t="shared" si="15"/>
        <v>32.03255426</v>
      </c>
      <c r="L151" s="54"/>
      <c r="M151" s="54"/>
      <c r="N151" s="54"/>
      <c r="O151" s="54"/>
      <c r="P151" s="54"/>
      <c r="Q151" s="54"/>
    </row>
    <row r="152">
      <c r="A152" s="54"/>
      <c r="B152" s="110">
        <v>45606.0</v>
      </c>
      <c r="C152" s="110"/>
      <c r="D152" s="102"/>
      <c r="E152" s="100">
        <v>2237722.0</v>
      </c>
      <c r="F152" s="99">
        <f t="shared" si="16"/>
        <v>781</v>
      </c>
      <c r="G152" s="100">
        <v>600.0</v>
      </c>
      <c r="H152" s="101">
        <v>254.0</v>
      </c>
      <c r="I152" s="101">
        <v>271.75</v>
      </c>
      <c r="J152" s="102">
        <f t="shared" si="14"/>
        <v>-17.75</v>
      </c>
      <c r="K152" s="103">
        <f t="shared" si="15"/>
        <v>34.79513444</v>
      </c>
      <c r="L152" s="54"/>
      <c r="M152" s="54"/>
      <c r="N152" s="54"/>
      <c r="O152" s="54"/>
      <c r="P152" s="54"/>
      <c r="Q152" s="54"/>
    </row>
    <row r="153">
      <c r="A153" s="54"/>
      <c r="B153" s="110">
        <v>45608.0</v>
      </c>
      <c r="C153" s="110"/>
      <c r="D153" s="102"/>
      <c r="E153" s="100">
        <v>2239271.0</v>
      </c>
      <c r="F153" s="99">
        <f t="shared" si="16"/>
        <v>1549</v>
      </c>
      <c r="G153" s="100">
        <v>600.0</v>
      </c>
      <c r="H153" s="101">
        <v>509.0</v>
      </c>
      <c r="I153" s="101">
        <v>500.0</v>
      </c>
      <c r="J153" s="102">
        <f t="shared" si="14"/>
        <v>9</v>
      </c>
      <c r="K153" s="103">
        <f t="shared" si="15"/>
        <v>32.27888961</v>
      </c>
      <c r="L153" s="54"/>
      <c r="M153" s="54"/>
      <c r="N153" s="54"/>
      <c r="O153" s="54"/>
      <c r="P153" s="54"/>
      <c r="Q153" s="54"/>
    </row>
    <row r="154">
      <c r="A154" s="54"/>
      <c r="B154" s="110">
        <v>45609.0</v>
      </c>
      <c r="C154" s="110"/>
      <c r="D154" s="102"/>
      <c r="E154" s="100"/>
      <c r="F154" s="99"/>
      <c r="G154" s="100"/>
      <c r="H154" s="102"/>
      <c r="I154" s="101">
        <v>241.12</v>
      </c>
      <c r="J154" s="102">
        <f t="shared" si="14"/>
        <v>-241.12</v>
      </c>
      <c r="K154" s="103"/>
      <c r="L154" s="54"/>
      <c r="M154" s="54"/>
      <c r="N154" s="54"/>
      <c r="O154" s="54"/>
      <c r="P154" s="54"/>
      <c r="Q154" s="54"/>
    </row>
    <row r="155">
      <c r="A155" s="54"/>
      <c r="B155" s="110">
        <v>45610.0</v>
      </c>
      <c r="C155" s="110"/>
      <c r="D155" s="102"/>
      <c r="E155" s="99"/>
      <c r="F155" s="99"/>
      <c r="G155" s="100"/>
      <c r="H155" s="102"/>
      <c r="I155" s="101">
        <v>253.33</v>
      </c>
      <c r="J155" s="102">
        <f t="shared" si="14"/>
        <v>-253.33</v>
      </c>
      <c r="K155" s="103"/>
      <c r="L155" s="54"/>
      <c r="M155" s="54"/>
      <c r="N155" s="54"/>
      <c r="O155" s="54"/>
      <c r="P155" s="54"/>
      <c r="Q155" s="54"/>
    </row>
    <row r="156">
      <c r="A156" s="54"/>
      <c r="B156" s="110">
        <v>45611.0</v>
      </c>
      <c r="C156" s="110"/>
      <c r="D156" s="102"/>
      <c r="E156" s="206">
        <v>2240372.0</v>
      </c>
      <c r="F156" s="99">
        <f>E156-E153</f>
        <v>1101</v>
      </c>
      <c r="G156" s="100">
        <v>600.0</v>
      </c>
      <c r="H156" s="101">
        <v>366.0</v>
      </c>
      <c r="I156" s="101">
        <v>340.47</v>
      </c>
      <c r="J156" s="102">
        <f t="shared" si="14"/>
        <v>25.53</v>
      </c>
      <c r="K156" s="103">
        <f t="shared" ref="K156:K165" si="17">I156/F156*100</f>
        <v>30.92370572</v>
      </c>
      <c r="L156" s="54"/>
      <c r="M156" s="54"/>
      <c r="N156" s="54"/>
      <c r="O156" s="54"/>
      <c r="P156" s="54"/>
      <c r="Q156" s="54"/>
    </row>
    <row r="157">
      <c r="A157" s="54"/>
      <c r="B157" s="110">
        <v>45614.0</v>
      </c>
      <c r="C157" s="110"/>
      <c r="D157" s="102"/>
      <c r="E157" s="100">
        <v>2241711.0</v>
      </c>
      <c r="F157" s="99">
        <f t="shared" ref="F157:F165" si="18">E157-E156</f>
        <v>1339</v>
      </c>
      <c r="G157" s="100">
        <v>600.0</v>
      </c>
      <c r="H157" s="101">
        <v>466.0</v>
      </c>
      <c r="I157" s="101">
        <v>460.24</v>
      </c>
      <c r="J157" s="102">
        <f t="shared" si="14"/>
        <v>5.76</v>
      </c>
      <c r="K157" s="103">
        <f t="shared" si="17"/>
        <v>34.37191934</v>
      </c>
      <c r="L157" s="54"/>
      <c r="M157" s="54"/>
      <c r="N157" s="54"/>
      <c r="O157" s="54"/>
      <c r="P157" s="54"/>
      <c r="Q157" s="54"/>
    </row>
    <row r="158">
      <c r="A158" s="54"/>
      <c r="B158" s="110">
        <v>45615.0</v>
      </c>
      <c r="C158" s="110"/>
      <c r="D158" s="102"/>
      <c r="E158" s="100">
        <v>2242574.0</v>
      </c>
      <c r="F158" s="99">
        <f t="shared" si="18"/>
        <v>863</v>
      </c>
      <c r="G158" s="100">
        <v>600.0</v>
      </c>
      <c r="H158" s="101">
        <v>276.0</v>
      </c>
      <c r="I158" s="101">
        <v>294.11</v>
      </c>
      <c r="J158" s="102">
        <f t="shared" si="14"/>
        <v>-18.11</v>
      </c>
      <c r="K158" s="103">
        <f t="shared" si="17"/>
        <v>34.07995365</v>
      </c>
      <c r="L158" s="54"/>
      <c r="M158" s="54"/>
      <c r="N158" s="54"/>
      <c r="O158" s="54"/>
      <c r="P158" s="54"/>
      <c r="Q158" s="54"/>
    </row>
    <row r="159">
      <c r="A159" s="54"/>
      <c r="B159" s="110">
        <v>45616.0</v>
      </c>
      <c r="C159" s="110"/>
      <c r="D159" s="102"/>
      <c r="E159" s="100">
        <v>2243665.0</v>
      </c>
      <c r="F159" s="99">
        <f t="shared" si="18"/>
        <v>1091</v>
      </c>
      <c r="G159" s="100">
        <v>600.0</v>
      </c>
      <c r="H159" s="101">
        <v>350.0</v>
      </c>
      <c r="I159" s="101">
        <v>367.88</v>
      </c>
      <c r="J159" s="102">
        <f t="shared" si="14"/>
        <v>-17.88</v>
      </c>
      <c r="K159" s="103">
        <f t="shared" si="17"/>
        <v>33.71952337</v>
      </c>
      <c r="L159" s="54"/>
      <c r="M159" s="54"/>
      <c r="N159" s="54"/>
      <c r="O159" s="54"/>
      <c r="P159" s="54"/>
      <c r="Q159" s="54"/>
    </row>
    <row r="160">
      <c r="A160" s="54"/>
      <c r="B160" s="110">
        <v>45618.0</v>
      </c>
      <c r="C160" s="110"/>
      <c r="D160" s="102"/>
      <c r="E160" s="100">
        <v>2244848.0</v>
      </c>
      <c r="F160" s="99">
        <f t="shared" si="18"/>
        <v>1183</v>
      </c>
      <c r="G160" s="100">
        <v>600.0</v>
      </c>
      <c r="H160" s="101">
        <v>445.0</v>
      </c>
      <c r="I160" s="101">
        <v>449.15</v>
      </c>
      <c r="J160" s="102">
        <f t="shared" si="14"/>
        <v>-4.15</v>
      </c>
      <c r="K160" s="103">
        <f t="shared" si="17"/>
        <v>37.96703297</v>
      </c>
      <c r="L160" s="54"/>
      <c r="M160" s="54"/>
      <c r="N160" s="54"/>
      <c r="O160" s="54"/>
      <c r="P160" s="54"/>
      <c r="Q160" s="54"/>
    </row>
    <row r="161">
      <c r="A161" s="54"/>
      <c r="B161" s="110">
        <v>45619.0</v>
      </c>
      <c r="C161" s="110"/>
      <c r="D161" s="102"/>
      <c r="E161" s="100">
        <v>2245621.0</v>
      </c>
      <c r="F161" s="99">
        <f t="shared" si="18"/>
        <v>773</v>
      </c>
      <c r="G161" s="100">
        <v>600.0</v>
      </c>
      <c r="H161" s="101">
        <v>276.0</v>
      </c>
      <c r="I161" s="101">
        <v>286.6</v>
      </c>
      <c r="J161" s="102">
        <f t="shared" si="14"/>
        <v>-10.6</v>
      </c>
      <c r="K161" s="103">
        <f t="shared" si="17"/>
        <v>37.076326</v>
      </c>
      <c r="L161" s="54"/>
      <c r="M161" s="54"/>
      <c r="N161" s="54"/>
      <c r="O161" s="54"/>
      <c r="P161" s="54"/>
      <c r="Q161" s="54"/>
    </row>
    <row r="162">
      <c r="A162" s="54"/>
      <c r="B162" s="110">
        <v>45621.0</v>
      </c>
      <c r="C162" s="110"/>
      <c r="D162" s="102"/>
      <c r="E162" s="100">
        <v>2246699.0</v>
      </c>
      <c r="F162" s="99">
        <f t="shared" si="18"/>
        <v>1078</v>
      </c>
      <c r="G162" s="100">
        <v>600.0</v>
      </c>
      <c r="H162" s="101">
        <v>392.0</v>
      </c>
      <c r="I162" s="101">
        <v>393.26</v>
      </c>
      <c r="J162" s="102">
        <f t="shared" si="14"/>
        <v>-1.26</v>
      </c>
      <c r="K162" s="103">
        <f t="shared" si="17"/>
        <v>36.48051948</v>
      </c>
      <c r="L162" s="54"/>
      <c r="M162" s="54"/>
      <c r="N162" s="54"/>
      <c r="O162" s="54"/>
      <c r="P162" s="54"/>
      <c r="Q162" s="54"/>
    </row>
    <row r="163">
      <c r="A163" s="54"/>
      <c r="B163" s="110">
        <v>45623.0</v>
      </c>
      <c r="C163" s="110"/>
      <c r="D163" s="102"/>
      <c r="E163" s="100">
        <v>2247881.0</v>
      </c>
      <c r="F163" s="99">
        <f t="shared" si="18"/>
        <v>1182</v>
      </c>
      <c r="G163" s="100">
        <v>600.0</v>
      </c>
      <c r="H163" s="101">
        <v>435.0</v>
      </c>
      <c r="I163" s="101">
        <v>433.81</v>
      </c>
      <c r="J163" s="102">
        <f t="shared" si="14"/>
        <v>1.19</v>
      </c>
      <c r="K163" s="103">
        <f t="shared" si="17"/>
        <v>36.70135364</v>
      </c>
      <c r="L163" s="54"/>
      <c r="M163" s="54"/>
      <c r="N163" s="54"/>
      <c r="O163" s="54"/>
      <c r="P163" s="54"/>
      <c r="Q163" s="54"/>
    </row>
    <row r="164">
      <c r="A164" s="54"/>
      <c r="B164" s="110">
        <v>45624.0</v>
      </c>
      <c r="C164" s="110"/>
      <c r="D164" s="102"/>
      <c r="E164" s="100">
        <v>2248653.0</v>
      </c>
      <c r="F164" s="99">
        <f t="shared" si="18"/>
        <v>772</v>
      </c>
      <c r="G164" s="100">
        <v>600.0</v>
      </c>
      <c r="H164" s="101">
        <v>254.0</v>
      </c>
      <c r="I164" s="101">
        <v>225.44</v>
      </c>
      <c r="J164" s="102">
        <f t="shared" si="14"/>
        <v>28.56</v>
      </c>
      <c r="K164" s="103">
        <f t="shared" si="17"/>
        <v>29.20207254</v>
      </c>
      <c r="L164" s="54"/>
      <c r="M164" s="54"/>
      <c r="N164" s="54"/>
      <c r="O164" s="54"/>
      <c r="P164" s="54"/>
      <c r="Q164" s="54"/>
    </row>
    <row r="165">
      <c r="A165" s="54"/>
      <c r="B165" s="110">
        <v>45625.0</v>
      </c>
      <c r="C165" s="110"/>
      <c r="D165" s="102"/>
      <c r="E165" s="100">
        <v>2249704.0</v>
      </c>
      <c r="F165" s="99">
        <f t="shared" si="18"/>
        <v>1051</v>
      </c>
      <c r="G165" s="100">
        <v>600.0</v>
      </c>
      <c r="H165" s="101">
        <v>350.0</v>
      </c>
      <c r="I165" s="101">
        <v>366.82</v>
      </c>
      <c r="J165" s="102">
        <f t="shared" si="14"/>
        <v>-16.82</v>
      </c>
      <c r="K165" s="103">
        <f t="shared" si="17"/>
        <v>34.9019981</v>
      </c>
      <c r="L165" s="54"/>
      <c r="M165" s="54"/>
      <c r="N165" s="54"/>
      <c r="O165" s="54"/>
      <c r="P165" s="54"/>
      <c r="Q165" s="54"/>
    </row>
    <row r="166">
      <c r="A166" s="89"/>
      <c r="B166" s="112" t="s">
        <v>98</v>
      </c>
      <c r="J166" s="89"/>
      <c r="K166" s="90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>
      <c r="A167" s="54"/>
      <c r="B167" s="110">
        <v>45627.0</v>
      </c>
      <c r="C167" s="110"/>
      <c r="D167" s="99"/>
      <c r="E167" s="100">
        <v>2250914.0</v>
      </c>
      <c r="F167" s="99">
        <f>E167-E165</f>
        <v>1210</v>
      </c>
      <c r="G167" s="100">
        <v>600.0</v>
      </c>
      <c r="H167" s="101">
        <v>424.0</v>
      </c>
      <c r="I167" s="101">
        <v>421.41</v>
      </c>
      <c r="J167" s="102">
        <f t="shared" ref="J167:J181" si="19">H167-I167</f>
        <v>2.59</v>
      </c>
      <c r="K167" s="103">
        <f t="shared" ref="K167:K181" si="20">I167/F167*100</f>
        <v>34.82727273</v>
      </c>
      <c r="L167" s="54"/>
      <c r="M167" s="82" t="str">
        <f>"тотал"&amp;" "&amp;B166&amp;" "&amp;RIGHT(YEAR(B167),2)</f>
        <v>тотал ДЕКАБРЬ 24</v>
      </c>
      <c r="N167" s="75"/>
      <c r="O167" s="75"/>
      <c r="P167" s="75"/>
      <c r="Q167" s="76"/>
    </row>
    <row r="168">
      <c r="A168" s="54"/>
      <c r="B168" s="110">
        <v>45629.0</v>
      </c>
      <c r="C168" s="110"/>
      <c r="D168" s="99"/>
      <c r="E168" s="100">
        <v>2251685.0</v>
      </c>
      <c r="F168" s="99">
        <f t="shared" ref="F168:F181" si="21">E168-E167</f>
        <v>771</v>
      </c>
      <c r="G168" s="100">
        <v>600.0</v>
      </c>
      <c r="H168" s="101">
        <v>254.0</v>
      </c>
      <c r="I168" s="101">
        <v>277.96</v>
      </c>
      <c r="J168" s="102">
        <f t="shared" si="19"/>
        <v>-23.96</v>
      </c>
      <c r="K168" s="103">
        <f t="shared" si="20"/>
        <v>36.05188067</v>
      </c>
      <c r="L168" s="54"/>
      <c r="M168" s="198" t="s">
        <v>70</v>
      </c>
      <c r="N168" s="198" t="s">
        <v>71</v>
      </c>
      <c r="O168" s="198" t="s">
        <v>27</v>
      </c>
      <c r="P168" s="77" t="s">
        <v>28</v>
      </c>
      <c r="Q168" s="12" t="s">
        <v>78</v>
      </c>
    </row>
    <row r="169">
      <c r="A169" s="54"/>
      <c r="B169" s="110">
        <v>45630.0</v>
      </c>
      <c r="C169" s="110"/>
      <c r="D169" s="102"/>
      <c r="E169" s="100">
        <v>2252735.0</v>
      </c>
      <c r="F169" s="99">
        <f t="shared" si="21"/>
        <v>1050</v>
      </c>
      <c r="G169" s="100">
        <v>600.0</v>
      </c>
      <c r="H169" s="101">
        <v>371.0</v>
      </c>
      <c r="I169" s="101">
        <v>371.7</v>
      </c>
      <c r="J169" s="102">
        <f t="shared" si="19"/>
        <v>-0.7</v>
      </c>
      <c r="K169" s="103">
        <f t="shared" si="20"/>
        <v>35.4</v>
      </c>
      <c r="L169" s="54"/>
      <c r="M169" s="199">
        <f>SUM(F167:F181)</f>
        <v>14842</v>
      </c>
      <c r="N169" s="199">
        <f>SUM(I167:I181)</f>
        <v>5378.38</v>
      </c>
      <c r="O169" s="428">
        <f>N169/M169*100</f>
        <v>36.23756906</v>
      </c>
      <c r="P169" s="79">
        <f>(M169/100)*(O169-Q169)</f>
        <v>925.78</v>
      </c>
      <c r="Q169" s="78">
        <v>30.0</v>
      </c>
    </row>
    <row r="170">
      <c r="A170" s="54"/>
      <c r="B170" s="110">
        <v>45632.0</v>
      </c>
      <c r="C170" s="110"/>
      <c r="D170" s="102"/>
      <c r="E170" s="100">
        <v>2253978.0</v>
      </c>
      <c r="F170" s="99">
        <f t="shared" si="21"/>
        <v>1243</v>
      </c>
      <c r="G170" s="100">
        <v>600.0</v>
      </c>
      <c r="H170" s="101">
        <v>435.0</v>
      </c>
      <c r="I170" s="101">
        <v>449.34</v>
      </c>
      <c r="J170" s="102">
        <f t="shared" si="19"/>
        <v>-14.34</v>
      </c>
      <c r="K170" s="103">
        <f t="shared" si="20"/>
        <v>36.14963797</v>
      </c>
      <c r="L170" s="54"/>
      <c r="M170" s="54"/>
      <c r="N170" s="54"/>
      <c r="O170" s="54"/>
      <c r="P170" s="54"/>
      <c r="Q170" s="54"/>
    </row>
    <row r="171">
      <c r="A171" s="54"/>
      <c r="B171" s="110">
        <v>45633.0</v>
      </c>
      <c r="C171" s="110"/>
      <c r="D171" s="102"/>
      <c r="E171" s="100">
        <v>2254692.0</v>
      </c>
      <c r="F171" s="99">
        <f t="shared" si="21"/>
        <v>714</v>
      </c>
      <c r="G171" s="100">
        <v>600.0</v>
      </c>
      <c r="H171" s="101">
        <v>233.0</v>
      </c>
      <c r="I171" s="101">
        <v>242.55</v>
      </c>
      <c r="J171" s="102">
        <f t="shared" si="19"/>
        <v>-9.55</v>
      </c>
      <c r="K171" s="103">
        <f t="shared" si="20"/>
        <v>33.97058824</v>
      </c>
      <c r="L171" s="54"/>
      <c r="M171" s="54"/>
      <c r="N171" s="54"/>
      <c r="O171" s="54"/>
      <c r="P171" s="54"/>
      <c r="Q171" s="54"/>
    </row>
    <row r="172">
      <c r="A172" s="54"/>
      <c r="B172" s="110">
        <v>45644.0</v>
      </c>
      <c r="C172" s="110"/>
      <c r="D172" s="102"/>
      <c r="E172" s="100">
        <v>2255617.0</v>
      </c>
      <c r="F172" s="99">
        <f t="shared" si="21"/>
        <v>925</v>
      </c>
      <c r="G172" s="100">
        <v>600.0</v>
      </c>
      <c r="H172" s="101">
        <v>371.0</v>
      </c>
      <c r="I172" s="101">
        <v>371.42</v>
      </c>
      <c r="J172" s="102">
        <f t="shared" si="19"/>
        <v>-0.42</v>
      </c>
      <c r="K172" s="103">
        <f t="shared" si="20"/>
        <v>40.15351351</v>
      </c>
      <c r="L172" s="54"/>
      <c r="M172" s="54"/>
      <c r="N172" s="54"/>
      <c r="O172" s="54"/>
      <c r="P172" s="54"/>
      <c r="Q172" s="54"/>
    </row>
    <row r="173">
      <c r="A173" s="54"/>
      <c r="B173" s="110">
        <v>45645.0</v>
      </c>
      <c r="C173" s="110"/>
      <c r="D173" s="102"/>
      <c r="E173" s="100">
        <v>2256390.0</v>
      </c>
      <c r="F173" s="99">
        <f t="shared" si="21"/>
        <v>773</v>
      </c>
      <c r="G173" s="100">
        <v>600.0</v>
      </c>
      <c r="H173" s="101">
        <v>302.0</v>
      </c>
      <c r="I173" s="101">
        <v>309.23</v>
      </c>
      <c r="J173" s="102">
        <f t="shared" si="19"/>
        <v>-7.23</v>
      </c>
      <c r="K173" s="103">
        <f t="shared" si="20"/>
        <v>40.00388098</v>
      </c>
      <c r="L173" s="54"/>
      <c r="M173" s="54"/>
      <c r="N173" s="54"/>
      <c r="O173" s="54"/>
      <c r="P173" s="54"/>
      <c r="Q173" s="54"/>
    </row>
    <row r="174">
      <c r="A174" s="54"/>
      <c r="B174" s="110">
        <v>45646.0</v>
      </c>
      <c r="C174" s="110"/>
      <c r="D174" s="102"/>
      <c r="E174" s="100">
        <v>2257442.0</v>
      </c>
      <c r="F174" s="99">
        <f t="shared" si="21"/>
        <v>1052</v>
      </c>
      <c r="G174" s="100">
        <v>600.0</v>
      </c>
      <c r="H174" s="101">
        <v>371.0</v>
      </c>
      <c r="I174" s="101">
        <v>379.44</v>
      </c>
      <c r="J174" s="102">
        <f t="shared" si="19"/>
        <v>-8.44</v>
      </c>
      <c r="K174" s="103">
        <f t="shared" si="20"/>
        <v>36.06844106</v>
      </c>
      <c r="L174" s="54"/>
      <c r="M174" s="54"/>
      <c r="N174" s="54"/>
      <c r="O174" s="54"/>
      <c r="P174" s="54"/>
      <c r="Q174" s="54"/>
    </row>
    <row r="175">
      <c r="A175" s="54"/>
      <c r="B175" s="110">
        <v>45648.0</v>
      </c>
      <c r="C175" s="110"/>
      <c r="D175" s="102"/>
      <c r="E175" s="100">
        <v>2258653.0</v>
      </c>
      <c r="F175" s="99">
        <f t="shared" si="21"/>
        <v>1211</v>
      </c>
      <c r="G175" s="100">
        <v>600.0</v>
      </c>
      <c r="H175" s="101">
        <v>435.0</v>
      </c>
      <c r="I175" s="101">
        <v>463.7</v>
      </c>
      <c r="J175" s="102">
        <f t="shared" si="19"/>
        <v>-28.7</v>
      </c>
      <c r="K175" s="103">
        <f t="shared" si="20"/>
        <v>38.29066887</v>
      </c>
      <c r="L175" s="54"/>
      <c r="M175" s="54"/>
      <c r="N175" s="54"/>
      <c r="O175" s="54"/>
      <c r="P175" s="54"/>
      <c r="Q175" s="54"/>
    </row>
    <row r="176">
      <c r="A176" s="54"/>
      <c r="B176" s="110">
        <v>45650.0</v>
      </c>
      <c r="C176" s="110"/>
      <c r="D176" s="102"/>
      <c r="E176" s="100">
        <v>2259425.0</v>
      </c>
      <c r="F176" s="99">
        <f t="shared" si="21"/>
        <v>772</v>
      </c>
      <c r="G176" s="100">
        <v>600.0</v>
      </c>
      <c r="H176" s="101">
        <v>254.0</v>
      </c>
      <c r="I176" s="101">
        <v>266.51</v>
      </c>
      <c r="J176" s="102">
        <f t="shared" si="19"/>
        <v>-12.51</v>
      </c>
      <c r="K176" s="103">
        <f t="shared" si="20"/>
        <v>34.52202073</v>
      </c>
      <c r="L176" s="54"/>
      <c r="M176" s="54"/>
      <c r="N176" s="54"/>
      <c r="O176" s="54"/>
      <c r="P176" s="54"/>
      <c r="Q176" s="54"/>
    </row>
    <row r="177">
      <c r="A177" s="54"/>
      <c r="B177" s="110">
        <v>45651.0</v>
      </c>
      <c r="C177" s="110"/>
      <c r="D177" s="102"/>
      <c r="E177" s="100">
        <v>2260476.0</v>
      </c>
      <c r="F177" s="99">
        <f t="shared" si="21"/>
        <v>1051</v>
      </c>
      <c r="G177" s="100">
        <v>600.0</v>
      </c>
      <c r="H177" s="101">
        <v>371.0</v>
      </c>
      <c r="I177" s="101">
        <v>373.08</v>
      </c>
      <c r="J177" s="102">
        <f t="shared" si="19"/>
        <v>-2.08</v>
      </c>
      <c r="K177" s="103">
        <f t="shared" si="20"/>
        <v>35.49762131</v>
      </c>
      <c r="L177" s="54"/>
      <c r="M177" s="54"/>
      <c r="N177" s="54"/>
      <c r="O177" s="54"/>
      <c r="P177" s="54"/>
      <c r="Q177" s="54"/>
    </row>
    <row r="178">
      <c r="A178" s="54"/>
      <c r="B178" s="110">
        <v>45653.0</v>
      </c>
      <c r="C178" s="110"/>
      <c r="D178" s="102"/>
      <c r="E178" s="100">
        <v>2261659.0</v>
      </c>
      <c r="F178" s="99">
        <f t="shared" si="21"/>
        <v>1183</v>
      </c>
      <c r="G178" s="100">
        <v>600.0</v>
      </c>
      <c r="H178" s="101">
        <v>435.0</v>
      </c>
      <c r="I178" s="101">
        <v>431.13</v>
      </c>
      <c r="J178" s="102">
        <f t="shared" si="19"/>
        <v>3.87</v>
      </c>
      <c r="K178" s="103">
        <f t="shared" si="20"/>
        <v>36.44378698</v>
      </c>
      <c r="L178" s="54"/>
      <c r="M178" s="54"/>
      <c r="N178" s="54"/>
      <c r="O178" s="54"/>
      <c r="P178" s="54"/>
      <c r="Q178" s="54"/>
    </row>
    <row r="179">
      <c r="A179" s="54"/>
      <c r="B179" s="110">
        <v>45654.0</v>
      </c>
      <c r="C179" s="110"/>
      <c r="D179" s="102"/>
      <c r="E179" s="100">
        <v>2262431.0</v>
      </c>
      <c r="F179" s="99">
        <f t="shared" si="21"/>
        <v>772</v>
      </c>
      <c r="G179" s="100">
        <v>600.0</v>
      </c>
      <c r="H179" s="101">
        <v>276.0</v>
      </c>
      <c r="I179" s="101">
        <v>279.97</v>
      </c>
      <c r="J179" s="102">
        <f t="shared" si="19"/>
        <v>-3.97</v>
      </c>
      <c r="K179" s="103">
        <f t="shared" si="20"/>
        <v>36.26554404</v>
      </c>
      <c r="L179" s="54"/>
      <c r="M179" s="54"/>
      <c r="N179" s="54"/>
      <c r="O179" s="54"/>
      <c r="P179" s="54"/>
      <c r="Q179" s="54"/>
    </row>
    <row r="180">
      <c r="A180" s="54"/>
      <c r="B180" s="110">
        <v>45655.0</v>
      </c>
      <c r="C180" s="110"/>
      <c r="D180" s="102"/>
      <c r="E180" s="100">
        <v>2263518.0</v>
      </c>
      <c r="F180" s="99">
        <f t="shared" si="21"/>
        <v>1087</v>
      </c>
      <c r="G180" s="100">
        <v>600.0</v>
      </c>
      <c r="H180" s="101">
        <v>350.0</v>
      </c>
      <c r="I180" s="101">
        <v>376.26</v>
      </c>
      <c r="J180" s="102">
        <f t="shared" si="19"/>
        <v>-26.26</v>
      </c>
      <c r="K180" s="103">
        <f t="shared" si="20"/>
        <v>34.61453542</v>
      </c>
      <c r="L180" s="54"/>
      <c r="M180" s="54"/>
      <c r="N180" s="54"/>
      <c r="O180" s="54"/>
      <c r="P180" s="54"/>
      <c r="Q180" s="54"/>
    </row>
    <row r="181">
      <c r="A181" s="54"/>
      <c r="B181" s="110">
        <v>45656.0</v>
      </c>
      <c r="C181" s="110"/>
      <c r="D181" s="102"/>
      <c r="E181" s="100">
        <v>2264546.0</v>
      </c>
      <c r="F181" s="99">
        <f t="shared" si="21"/>
        <v>1028</v>
      </c>
      <c r="G181" s="100">
        <v>600.0</v>
      </c>
      <c r="H181" s="101">
        <v>350.0</v>
      </c>
      <c r="I181" s="101">
        <v>364.68</v>
      </c>
      <c r="J181" s="102">
        <f t="shared" si="19"/>
        <v>-14.68</v>
      </c>
      <c r="K181" s="103">
        <f t="shared" si="20"/>
        <v>35.47470817</v>
      </c>
      <c r="L181" s="54"/>
      <c r="M181" s="54"/>
      <c r="N181" s="54"/>
      <c r="O181" s="54"/>
      <c r="P181" s="54"/>
      <c r="Q181" s="54"/>
    </row>
    <row r="182">
      <c r="A182" s="89"/>
      <c r="B182" s="134">
        <v>2025.0</v>
      </c>
      <c r="J182" s="89"/>
      <c r="K182" s="90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>
      <c r="A183" s="89"/>
      <c r="B183" s="112" t="s">
        <v>66</v>
      </c>
      <c r="J183" s="89"/>
      <c r="K183" s="90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>
      <c r="A184" s="54"/>
      <c r="B184" s="110">
        <v>45668.0</v>
      </c>
      <c r="C184" s="110"/>
      <c r="D184" s="102"/>
      <c r="E184" s="100">
        <v>2265618.0</v>
      </c>
      <c r="F184" s="99">
        <f>E184-E181</f>
        <v>1072</v>
      </c>
      <c r="G184" s="101">
        <v>600.0</v>
      </c>
      <c r="H184" s="101">
        <v>376.0</v>
      </c>
      <c r="I184" s="101">
        <v>390.63</v>
      </c>
      <c r="J184" s="102">
        <f t="shared" ref="J184:J196" si="22">H184-I184</f>
        <v>-14.63</v>
      </c>
      <c r="K184" s="103">
        <f t="shared" ref="K184:K196" si="23">I184/F184*100</f>
        <v>36.43936567</v>
      </c>
      <c r="L184" s="54"/>
      <c r="M184" s="82" t="str">
        <f>"тотал"&amp;" "&amp;B183&amp;" "&amp;RIGHT(YEAR(B184),2)</f>
        <v>тотал ЯНВАРЬ 25</v>
      </c>
      <c r="N184" s="75"/>
      <c r="O184" s="75"/>
      <c r="P184" s="75"/>
      <c r="Q184" s="76"/>
    </row>
    <row r="185">
      <c r="A185" s="54"/>
      <c r="B185" s="110">
        <v>45670.0</v>
      </c>
      <c r="C185" s="110"/>
      <c r="D185" s="102"/>
      <c r="E185" s="100">
        <v>2266697.0</v>
      </c>
      <c r="F185" s="99">
        <f t="shared" ref="F185:F196" si="24">E185-E184</f>
        <v>1079</v>
      </c>
      <c r="G185" s="101">
        <v>600.0</v>
      </c>
      <c r="H185" s="101">
        <v>392.0</v>
      </c>
      <c r="I185" s="101">
        <v>387.18</v>
      </c>
      <c r="J185" s="102">
        <f t="shared" si="22"/>
        <v>4.82</v>
      </c>
      <c r="K185" s="103">
        <f t="shared" si="23"/>
        <v>35.88322521</v>
      </c>
      <c r="L185" s="54"/>
      <c r="M185" s="198" t="s">
        <v>70</v>
      </c>
      <c r="N185" s="198" t="s">
        <v>71</v>
      </c>
      <c r="O185" s="198" t="s">
        <v>27</v>
      </c>
      <c r="P185" s="77" t="s">
        <v>28</v>
      </c>
      <c r="Q185" s="12" t="s">
        <v>78</v>
      </c>
    </row>
    <row r="186">
      <c r="A186" s="54"/>
      <c r="B186" s="110">
        <v>45672.0</v>
      </c>
      <c r="C186" s="110"/>
      <c r="D186" s="102"/>
      <c r="E186" s="100">
        <v>2267881.0</v>
      </c>
      <c r="F186" s="99">
        <f t="shared" si="24"/>
        <v>1184</v>
      </c>
      <c r="G186" s="101">
        <v>600.0</v>
      </c>
      <c r="H186" s="101">
        <v>451.0</v>
      </c>
      <c r="I186" s="101">
        <v>455.49</v>
      </c>
      <c r="J186" s="102">
        <f t="shared" si="22"/>
        <v>-4.49</v>
      </c>
      <c r="K186" s="103">
        <f t="shared" si="23"/>
        <v>38.47043919</v>
      </c>
      <c r="L186" s="54"/>
      <c r="M186" s="199">
        <f>SUM(F184:F196)</f>
        <v>12985</v>
      </c>
      <c r="N186" s="199">
        <f>SUM(I184:I196)</f>
        <v>4688.52</v>
      </c>
      <c r="O186" s="428">
        <f>N186/M186*100</f>
        <v>36.10720062</v>
      </c>
      <c r="P186" s="79">
        <f>(M186/100)*(O186-Q186)</f>
        <v>793.02</v>
      </c>
      <c r="Q186" s="78">
        <v>30.0</v>
      </c>
    </row>
    <row r="187">
      <c r="A187" s="54"/>
      <c r="B187" s="110">
        <v>45673.0</v>
      </c>
      <c r="C187" s="110"/>
      <c r="D187" s="102"/>
      <c r="E187" s="100">
        <v>2268656.0</v>
      </c>
      <c r="F187" s="99">
        <f t="shared" si="24"/>
        <v>775</v>
      </c>
      <c r="G187" s="101">
        <v>600.0</v>
      </c>
      <c r="H187" s="101">
        <v>286.0</v>
      </c>
      <c r="I187" s="101">
        <v>298.74</v>
      </c>
      <c r="J187" s="102">
        <f t="shared" si="22"/>
        <v>-12.74</v>
      </c>
      <c r="K187" s="103">
        <f t="shared" si="23"/>
        <v>38.54709677</v>
      </c>
      <c r="L187" s="54"/>
      <c r="M187" s="54"/>
      <c r="N187" s="54"/>
      <c r="O187" s="54"/>
      <c r="P187" s="54"/>
      <c r="Q187" s="54"/>
    </row>
    <row r="188">
      <c r="A188" s="54"/>
      <c r="B188" s="110">
        <v>45674.0</v>
      </c>
      <c r="C188" s="110"/>
      <c r="D188" s="102"/>
      <c r="E188" s="100">
        <v>2269706.0</v>
      </c>
      <c r="F188" s="99">
        <f t="shared" si="24"/>
        <v>1050</v>
      </c>
      <c r="G188" s="101">
        <v>600.0</v>
      </c>
      <c r="H188" s="101">
        <v>371.0</v>
      </c>
      <c r="I188" s="101">
        <v>376.67</v>
      </c>
      <c r="J188" s="102">
        <f t="shared" si="22"/>
        <v>-5.67</v>
      </c>
      <c r="K188" s="103">
        <f t="shared" si="23"/>
        <v>35.87333333</v>
      </c>
      <c r="L188" s="54"/>
      <c r="M188" s="54"/>
      <c r="N188" s="54"/>
      <c r="O188" s="54"/>
      <c r="P188" s="54"/>
      <c r="Q188" s="54"/>
    </row>
    <row r="189">
      <c r="A189" s="54"/>
      <c r="B189" s="110">
        <v>45679.0</v>
      </c>
      <c r="C189" s="110"/>
      <c r="D189" s="102"/>
      <c r="E189" s="100">
        <v>2270890.0</v>
      </c>
      <c r="F189" s="99">
        <f t="shared" si="24"/>
        <v>1184</v>
      </c>
      <c r="G189" s="101">
        <v>600.0</v>
      </c>
      <c r="H189" s="101">
        <v>435.0</v>
      </c>
      <c r="I189" s="101">
        <v>432.95</v>
      </c>
      <c r="J189" s="102">
        <f t="shared" si="22"/>
        <v>2.05</v>
      </c>
      <c r="K189" s="103">
        <f t="shared" si="23"/>
        <v>36.56672297</v>
      </c>
      <c r="L189" s="54"/>
      <c r="M189" s="54"/>
      <c r="N189" s="54"/>
      <c r="O189" s="54"/>
      <c r="P189" s="54"/>
      <c r="Q189" s="54"/>
    </row>
    <row r="190">
      <c r="A190" s="54"/>
      <c r="B190" s="110">
        <v>45680.0</v>
      </c>
      <c r="C190" s="110"/>
      <c r="D190" s="102"/>
      <c r="E190" s="111">
        <v>2271662.0</v>
      </c>
      <c r="F190" s="99">
        <f t="shared" si="24"/>
        <v>772</v>
      </c>
      <c r="G190" s="101">
        <v>600.0</v>
      </c>
      <c r="H190" s="101">
        <v>254.0</v>
      </c>
      <c r="I190" s="101">
        <v>258.35</v>
      </c>
      <c r="J190" s="102">
        <f t="shared" si="22"/>
        <v>-4.35</v>
      </c>
      <c r="K190" s="103">
        <f t="shared" si="23"/>
        <v>33.46502591</v>
      </c>
      <c r="L190" s="54"/>
      <c r="M190" s="54"/>
      <c r="N190" s="54"/>
      <c r="O190" s="54"/>
      <c r="P190" s="54"/>
      <c r="Q190" s="54"/>
    </row>
    <row r="191">
      <c r="A191" s="54"/>
      <c r="B191" s="110">
        <v>45681.0</v>
      </c>
      <c r="C191" s="110"/>
      <c r="D191" s="102"/>
      <c r="E191" s="100">
        <v>2272715.0</v>
      </c>
      <c r="F191" s="99">
        <f t="shared" si="24"/>
        <v>1053</v>
      </c>
      <c r="G191" s="101">
        <v>600.0</v>
      </c>
      <c r="H191" s="101">
        <v>371.0</v>
      </c>
      <c r="I191" s="101">
        <v>382.9</v>
      </c>
      <c r="J191" s="102">
        <f t="shared" si="22"/>
        <v>-11.9</v>
      </c>
      <c r="K191" s="103">
        <f t="shared" si="23"/>
        <v>36.36277303</v>
      </c>
      <c r="L191" s="54"/>
      <c r="M191" s="54"/>
      <c r="N191" s="54"/>
      <c r="O191" s="54"/>
      <c r="P191" s="54"/>
      <c r="Q191" s="54"/>
    </row>
    <row r="192">
      <c r="A192" s="54"/>
      <c r="B192" s="110">
        <v>45684.0</v>
      </c>
      <c r="C192" s="110"/>
      <c r="D192" s="102"/>
      <c r="E192" s="100">
        <v>2273939.0</v>
      </c>
      <c r="F192" s="99">
        <f t="shared" si="24"/>
        <v>1224</v>
      </c>
      <c r="G192" s="101">
        <v>600.0</v>
      </c>
      <c r="H192" s="101">
        <v>440.0</v>
      </c>
      <c r="I192" s="101">
        <v>440.04</v>
      </c>
      <c r="J192" s="102">
        <f t="shared" si="22"/>
        <v>-0.04</v>
      </c>
      <c r="K192" s="103">
        <f t="shared" si="23"/>
        <v>35.95098039</v>
      </c>
      <c r="L192" s="54"/>
      <c r="M192" s="54"/>
      <c r="N192" s="54"/>
      <c r="O192" s="54"/>
      <c r="P192" s="54"/>
      <c r="Q192" s="54"/>
    </row>
    <row r="193">
      <c r="A193" s="54"/>
      <c r="B193" s="110">
        <v>45685.0</v>
      </c>
      <c r="C193" s="110"/>
      <c r="D193" s="102"/>
      <c r="E193" s="100">
        <v>2274711.0</v>
      </c>
      <c r="F193" s="99">
        <f t="shared" si="24"/>
        <v>772</v>
      </c>
      <c r="G193" s="101">
        <v>600.0</v>
      </c>
      <c r="H193" s="101">
        <v>260.0</v>
      </c>
      <c r="I193" s="101">
        <v>277.46</v>
      </c>
      <c r="J193" s="102">
        <f t="shared" si="22"/>
        <v>-17.46</v>
      </c>
      <c r="K193" s="103">
        <f t="shared" si="23"/>
        <v>35.94041451</v>
      </c>
      <c r="L193" s="54"/>
      <c r="M193" s="54"/>
      <c r="N193" s="54"/>
      <c r="O193" s="54"/>
      <c r="P193" s="54"/>
      <c r="Q193" s="54"/>
    </row>
    <row r="194">
      <c r="A194" s="54"/>
      <c r="B194" s="110">
        <v>45686.0</v>
      </c>
      <c r="C194" s="110"/>
      <c r="D194" s="102"/>
      <c r="E194" s="100">
        <v>2275761.0</v>
      </c>
      <c r="F194" s="99">
        <f t="shared" si="24"/>
        <v>1050</v>
      </c>
      <c r="G194" s="101">
        <v>600.0</v>
      </c>
      <c r="H194" s="101">
        <v>350.0</v>
      </c>
      <c r="I194" s="101">
        <v>352.53</v>
      </c>
      <c r="J194" s="102">
        <f t="shared" si="22"/>
        <v>-2.53</v>
      </c>
      <c r="K194" s="103">
        <f t="shared" si="23"/>
        <v>33.57428571</v>
      </c>
      <c r="L194" s="54"/>
      <c r="M194" s="54"/>
      <c r="N194" s="54"/>
      <c r="O194" s="54"/>
      <c r="P194" s="54"/>
      <c r="Q194" s="54"/>
    </row>
    <row r="195">
      <c r="A195" s="54"/>
      <c r="B195" s="110">
        <v>45688.0</v>
      </c>
      <c r="C195" s="110"/>
      <c r="D195" s="102"/>
      <c r="E195" s="100">
        <v>2276970.0</v>
      </c>
      <c r="F195" s="99">
        <f t="shared" si="24"/>
        <v>1209</v>
      </c>
      <c r="G195" s="101">
        <v>309.0</v>
      </c>
      <c r="H195" s="101">
        <v>159.0</v>
      </c>
      <c r="I195" s="101">
        <v>147.0</v>
      </c>
      <c r="J195" s="102">
        <f t="shared" si="22"/>
        <v>12</v>
      </c>
      <c r="K195" s="103">
        <f t="shared" si="23"/>
        <v>12.15880893</v>
      </c>
      <c r="L195" s="54"/>
      <c r="M195" s="54"/>
      <c r="N195" s="54"/>
      <c r="O195" s="54"/>
      <c r="P195" s="54"/>
      <c r="Q195" s="54"/>
    </row>
    <row r="196">
      <c r="A196" s="54"/>
      <c r="B196" s="110">
        <v>45688.0</v>
      </c>
      <c r="C196" s="110"/>
      <c r="D196" s="102"/>
      <c r="E196" s="206">
        <v>2277531.0</v>
      </c>
      <c r="F196" s="99">
        <f t="shared" si="24"/>
        <v>561</v>
      </c>
      <c r="G196" s="101">
        <v>600.0</v>
      </c>
      <c r="H196" s="101">
        <v>488.0</v>
      </c>
      <c r="I196" s="101">
        <v>488.58</v>
      </c>
      <c r="J196" s="102">
        <f t="shared" si="22"/>
        <v>-0.58</v>
      </c>
      <c r="K196" s="103">
        <f t="shared" si="23"/>
        <v>87.09090909</v>
      </c>
      <c r="L196" s="54"/>
      <c r="M196" s="54"/>
      <c r="N196" s="54"/>
      <c r="O196" s="54"/>
      <c r="P196" s="54"/>
      <c r="Q196" s="54"/>
    </row>
    <row r="197">
      <c r="A197" s="89"/>
      <c r="B197" s="112" t="s">
        <v>68</v>
      </c>
      <c r="J197" s="89"/>
      <c r="K197" s="90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>
      <c r="A198" s="54"/>
      <c r="B198" s="110">
        <v>45693.0</v>
      </c>
      <c r="C198" s="110"/>
      <c r="D198" s="102"/>
      <c r="E198" s="100">
        <v>2278778.0</v>
      </c>
      <c r="F198" s="99">
        <f>E198-E196</f>
        <v>1247</v>
      </c>
      <c r="G198" s="101">
        <v>600.0</v>
      </c>
      <c r="H198" s="101">
        <v>440.0</v>
      </c>
      <c r="I198" s="101">
        <v>450.22</v>
      </c>
      <c r="J198" s="102">
        <f t="shared" ref="J198:J206" si="25">H198-I198</f>
        <v>-10.22</v>
      </c>
      <c r="K198" s="103">
        <f t="shared" ref="K198:K206" si="26">I198/F198*100</f>
        <v>36.1042502</v>
      </c>
      <c r="L198" s="54"/>
      <c r="M198" s="82" t="str">
        <f>"тотал"&amp;" "&amp;B197&amp;" "&amp;RIGHT(YEAR(B198),2)</f>
        <v>тотал ФЕВРАЛЬ 25</v>
      </c>
      <c r="N198" s="75"/>
      <c r="O198" s="75"/>
      <c r="P198" s="75"/>
      <c r="Q198" s="76"/>
    </row>
    <row r="199">
      <c r="A199" s="54"/>
      <c r="B199" s="110">
        <v>45695.0</v>
      </c>
      <c r="C199" s="110"/>
      <c r="D199" s="102"/>
      <c r="E199" s="100">
        <v>2279964.0</v>
      </c>
      <c r="F199" s="99">
        <f t="shared" ref="F199:F206" si="27">E199-E198</f>
        <v>1186</v>
      </c>
      <c r="G199" s="101">
        <v>600.0</v>
      </c>
      <c r="H199" s="101">
        <v>435.0</v>
      </c>
      <c r="I199" s="101">
        <v>433.35</v>
      </c>
      <c r="J199" s="102">
        <f t="shared" si="25"/>
        <v>1.65</v>
      </c>
      <c r="K199" s="103">
        <f t="shared" si="26"/>
        <v>36.53878583</v>
      </c>
      <c r="L199" s="54"/>
      <c r="M199" s="198" t="s">
        <v>70</v>
      </c>
      <c r="N199" s="198" t="s">
        <v>71</v>
      </c>
      <c r="O199" s="198" t="s">
        <v>27</v>
      </c>
      <c r="P199" s="77" t="s">
        <v>28</v>
      </c>
      <c r="Q199" s="12" t="s">
        <v>78</v>
      </c>
    </row>
    <row r="200">
      <c r="A200" s="54"/>
      <c r="B200" s="110">
        <v>45696.0</v>
      </c>
      <c r="C200" s="110"/>
      <c r="D200" s="102"/>
      <c r="E200" s="100">
        <v>2280737.0</v>
      </c>
      <c r="F200" s="99">
        <f t="shared" si="27"/>
        <v>773</v>
      </c>
      <c r="G200" s="101">
        <v>600.0</v>
      </c>
      <c r="H200" s="101">
        <v>265.0</v>
      </c>
      <c r="I200" s="101">
        <v>276.96</v>
      </c>
      <c r="J200" s="102">
        <f t="shared" si="25"/>
        <v>-11.96</v>
      </c>
      <c r="K200" s="103">
        <f t="shared" si="26"/>
        <v>35.82923674</v>
      </c>
      <c r="L200" s="54"/>
      <c r="M200" s="199">
        <f>SUM(F198:F206)</f>
        <v>10551</v>
      </c>
      <c r="N200" s="199">
        <f>SUM(I198:I206)</f>
        <v>3791.01</v>
      </c>
      <c r="O200" s="428">
        <f>N200/M200*100</f>
        <v>35.93033836</v>
      </c>
      <c r="P200" s="79">
        <f>(M200/100)*(O200-Q200)</f>
        <v>625.71</v>
      </c>
      <c r="Q200" s="78">
        <v>30.0</v>
      </c>
    </row>
    <row r="201">
      <c r="A201" s="54"/>
      <c r="B201" s="110">
        <v>45698.0</v>
      </c>
      <c r="C201" s="110"/>
      <c r="D201" s="102"/>
      <c r="E201" s="100">
        <v>2281830.0</v>
      </c>
      <c r="F201" s="99">
        <f t="shared" si="27"/>
        <v>1093</v>
      </c>
      <c r="G201" s="101">
        <v>600.0</v>
      </c>
      <c r="H201" s="101">
        <v>371.0</v>
      </c>
      <c r="I201" s="101">
        <v>398.49</v>
      </c>
      <c r="J201" s="102">
        <f t="shared" si="25"/>
        <v>-27.49</v>
      </c>
      <c r="K201" s="103">
        <f t="shared" si="26"/>
        <v>36.45837145</v>
      </c>
      <c r="L201" s="54"/>
      <c r="M201" s="54"/>
      <c r="N201" s="54"/>
      <c r="O201" s="54"/>
      <c r="P201" s="54"/>
      <c r="Q201" s="54"/>
    </row>
    <row r="202">
      <c r="A202" s="54"/>
      <c r="B202" s="110">
        <v>45700.0</v>
      </c>
      <c r="C202" s="110"/>
      <c r="D202" s="102"/>
      <c r="E202" s="100">
        <v>2283014.0</v>
      </c>
      <c r="F202" s="99">
        <f t="shared" si="27"/>
        <v>1184</v>
      </c>
      <c r="G202" s="101">
        <v>600.0</v>
      </c>
      <c r="H202" s="101">
        <v>413.0</v>
      </c>
      <c r="I202" s="101">
        <v>431.77</v>
      </c>
      <c r="J202" s="102">
        <f t="shared" si="25"/>
        <v>-18.77</v>
      </c>
      <c r="K202" s="103">
        <f t="shared" si="26"/>
        <v>36.46706081</v>
      </c>
      <c r="L202" s="54"/>
      <c r="M202" s="54"/>
      <c r="N202" s="54"/>
      <c r="O202" s="54"/>
      <c r="P202" s="54"/>
      <c r="Q202" s="54"/>
    </row>
    <row r="203">
      <c r="A203" s="54"/>
      <c r="B203" s="110">
        <v>45702.0</v>
      </c>
      <c r="C203" s="110"/>
      <c r="D203" s="102"/>
      <c r="E203" s="100">
        <v>2284428.0</v>
      </c>
      <c r="F203" s="99">
        <f t="shared" si="27"/>
        <v>1414</v>
      </c>
      <c r="G203" s="101">
        <v>600.0</v>
      </c>
      <c r="H203" s="101">
        <v>509.0</v>
      </c>
      <c r="I203" s="101">
        <v>500.0</v>
      </c>
      <c r="J203" s="102">
        <f t="shared" si="25"/>
        <v>9</v>
      </c>
      <c r="K203" s="103">
        <f t="shared" si="26"/>
        <v>35.36067893</v>
      </c>
      <c r="L203" s="54"/>
      <c r="M203" s="54"/>
      <c r="N203" s="54"/>
      <c r="O203" s="54"/>
      <c r="P203" s="54"/>
      <c r="Q203" s="54"/>
    </row>
    <row r="204">
      <c r="A204" s="54"/>
      <c r="B204" s="110">
        <v>45703.0</v>
      </c>
      <c r="C204" s="110"/>
      <c r="D204" s="102"/>
      <c r="E204" s="100">
        <v>2285594.0</v>
      </c>
      <c r="F204" s="99">
        <f t="shared" si="27"/>
        <v>1166</v>
      </c>
      <c r="G204" s="101">
        <v>600.0</v>
      </c>
      <c r="H204" s="101">
        <v>435.0</v>
      </c>
      <c r="I204" s="101">
        <v>444.58</v>
      </c>
      <c r="J204" s="102">
        <f t="shared" si="25"/>
        <v>-9.58</v>
      </c>
      <c r="K204" s="103">
        <f t="shared" si="26"/>
        <v>38.12864494</v>
      </c>
      <c r="L204" s="54"/>
      <c r="M204" s="54"/>
      <c r="N204" s="54"/>
      <c r="O204" s="54"/>
      <c r="P204" s="54"/>
      <c r="Q204" s="54"/>
    </row>
    <row r="205">
      <c r="A205" s="54"/>
      <c r="B205" s="110">
        <v>45714.0</v>
      </c>
      <c r="C205" s="110"/>
      <c r="D205" s="102"/>
      <c r="E205" s="100">
        <v>2286797.0</v>
      </c>
      <c r="F205" s="99">
        <f t="shared" si="27"/>
        <v>1203</v>
      </c>
      <c r="G205" s="101">
        <v>600.0</v>
      </c>
      <c r="H205" s="101">
        <v>413.0</v>
      </c>
      <c r="I205" s="101">
        <v>424.39</v>
      </c>
      <c r="J205" s="102">
        <f t="shared" si="25"/>
        <v>-11.39</v>
      </c>
      <c r="K205" s="103">
        <f t="shared" si="26"/>
        <v>35.27763924</v>
      </c>
      <c r="L205" s="54"/>
      <c r="M205" s="54"/>
      <c r="N205" s="54"/>
      <c r="O205" s="54"/>
      <c r="P205" s="54"/>
      <c r="Q205" s="54"/>
    </row>
    <row r="206">
      <c r="A206" s="54"/>
      <c r="B206" s="110">
        <v>45716.0</v>
      </c>
      <c r="C206" s="110"/>
      <c r="D206" s="102"/>
      <c r="E206" s="100">
        <v>2288082.0</v>
      </c>
      <c r="F206" s="99">
        <f t="shared" si="27"/>
        <v>1285</v>
      </c>
      <c r="G206" s="101">
        <v>600.0</v>
      </c>
      <c r="H206" s="101">
        <v>435.0</v>
      </c>
      <c r="I206" s="101">
        <v>431.25</v>
      </c>
      <c r="J206" s="102">
        <f t="shared" si="25"/>
        <v>3.75</v>
      </c>
      <c r="K206" s="103">
        <f t="shared" si="26"/>
        <v>33.56031128</v>
      </c>
      <c r="L206" s="54"/>
      <c r="M206" s="54"/>
      <c r="N206" s="54"/>
      <c r="O206" s="54"/>
      <c r="P206" s="54"/>
      <c r="Q206" s="54"/>
    </row>
    <row r="207">
      <c r="A207" s="68"/>
      <c r="B207" s="203" t="str">
        <f>IF(L207=4,"АПРЕЛЬ",IF(L207=5,"МАЙ",IF(L207=1,"ЯНВАРЬ",IF(L207=2,"ФЕВРАЛЬ",IF(L207=3,"МАРТ",IF(L207=6,"ИЮНЬ",IF(L207=7,"ИЮЛЬ",IF(L207=8,"АВГУСТ",IF(L207=9,"СЕНТЯБРЬ",IF(L207=10,"ОКТЯБРЬ",IF(L207=11,"НОЯБРЬ",IF(L207=12,"ДЕКАБРЬ"))))))))))))</f>
        <v>МАРТ</v>
      </c>
      <c r="J207" s="66"/>
      <c r="K207" s="204"/>
      <c r="L207" s="91">
        <f>MONTH(B208)</f>
        <v>3</v>
      </c>
      <c r="M207" s="66"/>
      <c r="N207" s="66"/>
      <c r="O207" s="66"/>
      <c r="P207" s="66"/>
      <c r="Q207" s="66"/>
      <c r="R207" s="66"/>
      <c r="S207" s="372"/>
      <c r="T207" s="66"/>
      <c r="U207" s="66"/>
      <c r="V207" s="66"/>
      <c r="W207" s="66"/>
      <c r="X207" s="66"/>
      <c r="Y207" s="66"/>
      <c r="Z207" s="66"/>
      <c r="AA207" s="66"/>
      <c r="AB207" s="242"/>
      <c r="AC207" s="66"/>
      <c r="AD207" s="66"/>
    </row>
    <row r="208">
      <c r="A208" s="54"/>
      <c r="B208" s="110">
        <v>45718.0</v>
      </c>
      <c r="C208" s="110"/>
      <c r="D208" s="102"/>
      <c r="E208" s="100">
        <v>2289304.0</v>
      </c>
      <c r="F208" s="99">
        <f>E208-E206</f>
        <v>1222</v>
      </c>
      <c r="G208" s="101">
        <v>600.0</v>
      </c>
      <c r="H208" s="101">
        <v>419.0</v>
      </c>
      <c r="I208" s="101">
        <v>422.79</v>
      </c>
      <c r="J208" s="102">
        <f t="shared" ref="J208:J222" si="28">H208-I208</f>
        <v>-3.79</v>
      </c>
      <c r="K208" s="103">
        <f t="shared" ref="K208:K222" si="29">I208/F208*100</f>
        <v>34.59819967</v>
      </c>
      <c r="L208" s="54"/>
      <c r="M208" s="82" t="str">
        <f>"тотал"&amp;" "&amp;B207&amp;" "&amp;RIGHT(YEAR(B208),2)</f>
        <v>тотал МАРТ 25</v>
      </c>
      <c r="N208" s="75"/>
      <c r="O208" s="75"/>
      <c r="P208" s="75"/>
      <c r="Q208" s="76"/>
    </row>
    <row r="209">
      <c r="A209" s="54"/>
      <c r="B209" s="110">
        <v>45719.0</v>
      </c>
      <c r="C209" s="110"/>
      <c r="D209" s="102"/>
      <c r="E209" s="100">
        <v>2290653.0</v>
      </c>
      <c r="F209" s="99">
        <f t="shared" ref="F209:F222" si="30">E209-E208</f>
        <v>1349</v>
      </c>
      <c r="G209" s="101">
        <v>600.0</v>
      </c>
      <c r="H209" s="101">
        <v>466.0</v>
      </c>
      <c r="I209" s="101">
        <v>460.71</v>
      </c>
      <c r="J209" s="102">
        <f t="shared" si="28"/>
        <v>5.29</v>
      </c>
      <c r="K209" s="103">
        <f t="shared" si="29"/>
        <v>34.15196442</v>
      </c>
      <c r="L209" s="54"/>
      <c r="M209" s="198" t="s">
        <v>70</v>
      </c>
      <c r="N209" s="198" t="s">
        <v>71</v>
      </c>
      <c r="O209" s="198" t="s">
        <v>27</v>
      </c>
      <c r="P209" s="77" t="s">
        <v>28</v>
      </c>
      <c r="Q209" s="12" t="s">
        <v>78</v>
      </c>
    </row>
    <row r="210">
      <c r="A210" s="54"/>
      <c r="B210" s="110">
        <v>45722.0</v>
      </c>
      <c r="C210" s="110"/>
      <c r="D210" s="102"/>
      <c r="E210" s="100">
        <v>2291726.0</v>
      </c>
      <c r="F210" s="99">
        <f t="shared" si="30"/>
        <v>1073</v>
      </c>
      <c r="G210" s="101">
        <v>600.0</v>
      </c>
      <c r="H210" s="101">
        <v>392.0</v>
      </c>
      <c r="I210" s="101">
        <v>392.8</v>
      </c>
      <c r="J210" s="102">
        <f t="shared" si="28"/>
        <v>-0.8</v>
      </c>
      <c r="K210" s="103">
        <f t="shared" si="29"/>
        <v>36.60764212</v>
      </c>
      <c r="L210" s="54"/>
      <c r="M210" s="199">
        <f>SUM(F208:F222)</f>
        <v>16075</v>
      </c>
      <c r="N210" s="199">
        <f>SUM(I208:I222)</f>
        <v>5520.91</v>
      </c>
      <c r="O210" s="428">
        <f>N210/M210*100</f>
        <v>34.34469673</v>
      </c>
      <c r="P210" s="79">
        <f>(M210/100)*(O210-Q210)</f>
        <v>698.41</v>
      </c>
      <c r="Q210" s="78">
        <v>30.0</v>
      </c>
    </row>
    <row r="211">
      <c r="A211" s="54"/>
      <c r="B211" s="110">
        <v>45723.0</v>
      </c>
      <c r="C211" s="110"/>
      <c r="D211" s="102"/>
      <c r="E211" s="100">
        <v>2292780.0</v>
      </c>
      <c r="F211" s="99">
        <f t="shared" si="30"/>
        <v>1054</v>
      </c>
      <c r="G211" s="101">
        <v>600.0</v>
      </c>
      <c r="H211" s="101">
        <v>371.0</v>
      </c>
      <c r="I211" s="101">
        <v>374.18</v>
      </c>
      <c r="J211" s="102">
        <f t="shared" si="28"/>
        <v>-3.18</v>
      </c>
      <c r="K211" s="103">
        <f t="shared" si="29"/>
        <v>35.50094877</v>
      </c>
      <c r="L211" s="54"/>
      <c r="M211" s="54"/>
      <c r="N211" s="54"/>
      <c r="O211" s="54"/>
      <c r="P211" s="54"/>
      <c r="Q211" s="54"/>
    </row>
    <row r="212">
      <c r="A212" s="54"/>
      <c r="B212" s="110">
        <v>45726.0</v>
      </c>
      <c r="C212" s="110"/>
      <c r="D212" s="102"/>
      <c r="E212" s="100">
        <v>2293910.0</v>
      </c>
      <c r="F212" s="99">
        <f t="shared" si="30"/>
        <v>1130</v>
      </c>
      <c r="G212" s="101">
        <v>600.0</v>
      </c>
      <c r="H212" s="101">
        <v>376.0</v>
      </c>
      <c r="I212" s="101">
        <v>383.96</v>
      </c>
      <c r="J212" s="102">
        <f t="shared" si="28"/>
        <v>-7.96</v>
      </c>
      <c r="K212" s="103">
        <f t="shared" si="29"/>
        <v>33.97876106</v>
      </c>
      <c r="L212" s="54"/>
      <c r="M212" s="54"/>
      <c r="N212" s="54"/>
      <c r="O212" s="54"/>
      <c r="P212" s="54"/>
      <c r="Q212" s="54"/>
    </row>
    <row r="213">
      <c r="A213" s="54"/>
      <c r="B213" s="110">
        <v>45727.0</v>
      </c>
      <c r="C213" s="110"/>
      <c r="D213" s="102"/>
      <c r="E213" s="100">
        <v>2295196.0</v>
      </c>
      <c r="F213" s="99">
        <f t="shared" si="30"/>
        <v>1286</v>
      </c>
      <c r="G213" s="101">
        <v>600.0</v>
      </c>
      <c r="H213" s="101">
        <v>413.0</v>
      </c>
      <c r="I213" s="101">
        <v>419.85</v>
      </c>
      <c r="J213" s="102">
        <f t="shared" si="28"/>
        <v>-6.85</v>
      </c>
      <c r="K213" s="103">
        <f t="shared" si="29"/>
        <v>32.64774495</v>
      </c>
      <c r="L213" s="54"/>
      <c r="M213" s="54"/>
      <c r="N213" s="54"/>
      <c r="O213" s="54"/>
      <c r="P213" s="54"/>
      <c r="Q213" s="54"/>
    </row>
    <row r="214">
      <c r="A214" s="54"/>
      <c r="B214" s="110">
        <v>45729.0</v>
      </c>
      <c r="C214" s="110"/>
      <c r="D214" s="102"/>
      <c r="E214" s="100">
        <v>2296278.0</v>
      </c>
      <c r="F214" s="99">
        <f t="shared" si="30"/>
        <v>1082</v>
      </c>
      <c r="G214" s="101">
        <v>600.0</v>
      </c>
      <c r="H214" s="101">
        <v>371.0</v>
      </c>
      <c r="I214" s="101">
        <v>384.41</v>
      </c>
      <c r="J214" s="102">
        <f t="shared" si="28"/>
        <v>-13.41</v>
      </c>
      <c r="K214" s="103">
        <f t="shared" si="29"/>
        <v>35.52772643</v>
      </c>
      <c r="L214" s="54"/>
      <c r="M214" s="54"/>
      <c r="N214" s="54"/>
      <c r="O214" s="54"/>
      <c r="P214" s="54"/>
      <c r="Q214" s="54"/>
    </row>
    <row r="215">
      <c r="A215" s="54"/>
      <c r="B215" s="110">
        <v>45730.0</v>
      </c>
      <c r="C215" s="110"/>
      <c r="D215" s="102"/>
      <c r="E215" s="100">
        <v>2297590.0</v>
      </c>
      <c r="F215" s="99">
        <f t="shared" si="30"/>
        <v>1312</v>
      </c>
      <c r="G215" s="101">
        <v>600.0</v>
      </c>
      <c r="H215" s="101">
        <v>435.0</v>
      </c>
      <c r="I215" s="101">
        <v>455.04</v>
      </c>
      <c r="J215" s="102">
        <f t="shared" si="28"/>
        <v>-20.04</v>
      </c>
      <c r="K215" s="103">
        <f t="shared" si="29"/>
        <v>34.68292683</v>
      </c>
      <c r="L215" s="54"/>
      <c r="M215" s="54"/>
      <c r="N215" s="54"/>
      <c r="O215" s="54"/>
      <c r="P215" s="54"/>
      <c r="Q215" s="54"/>
    </row>
    <row r="216">
      <c r="A216" s="54"/>
      <c r="B216" s="110">
        <v>45740.0</v>
      </c>
      <c r="C216" s="110"/>
      <c r="D216" s="102"/>
      <c r="E216" s="100">
        <v>2298738.0</v>
      </c>
      <c r="F216" s="99">
        <f t="shared" si="30"/>
        <v>1148</v>
      </c>
      <c r="G216" s="101">
        <v>600.0</v>
      </c>
      <c r="H216" s="101">
        <v>371.0</v>
      </c>
      <c r="I216" s="101">
        <v>381.78</v>
      </c>
      <c r="J216" s="102">
        <f t="shared" si="28"/>
        <v>-10.78</v>
      </c>
      <c r="K216" s="103">
        <f t="shared" si="29"/>
        <v>33.25609756</v>
      </c>
      <c r="L216" s="54"/>
      <c r="M216" s="54"/>
      <c r="N216" s="54"/>
      <c r="O216" s="54"/>
      <c r="P216" s="54"/>
      <c r="Q216" s="54"/>
    </row>
    <row r="217">
      <c r="A217" s="54"/>
      <c r="B217" s="110">
        <v>45741.0</v>
      </c>
      <c r="C217" s="110"/>
      <c r="D217" s="102"/>
      <c r="E217" s="100">
        <v>2299602.0</v>
      </c>
      <c r="F217" s="99">
        <f t="shared" si="30"/>
        <v>864</v>
      </c>
      <c r="G217" s="101">
        <v>600.0</v>
      </c>
      <c r="H217" s="101">
        <v>302.0</v>
      </c>
      <c r="I217" s="101">
        <v>302.92</v>
      </c>
      <c r="J217" s="102">
        <f t="shared" si="28"/>
        <v>-0.92</v>
      </c>
      <c r="K217" s="103">
        <f t="shared" si="29"/>
        <v>35.06018519</v>
      </c>
      <c r="L217" s="54"/>
      <c r="M217" s="54"/>
      <c r="N217" s="54"/>
      <c r="O217" s="54"/>
      <c r="P217" s="54"/>
      <c r="Q217" s="54"/>
    </row>
    <row r="218">
      <c r="A218" s="54"/>
      <c r="B218" s="110">
        <v>45742.0</v>
      </c>
      <c r="C218" s="110"/>
      <c r="D218" s="102"/>
      <c r="E218" s="100">
        <v>2300656.0</v>
      </c>
      <c r="F218" s="99">
        <f t="shared" si="30"/>
        <v>1054</v>
      </c>
      <c r="G218" s="101">
        <v>600.0</v>
      </c>
      <c r="H218" s="101">
        <v>350.0</v>
      </c>
      <c r="I218" s="101">
        <v>360.76</v>
      </c>
      <c r="J218" s="102">
        <f t="shared" si="28"/>
        <v>-10.76</v>
      </c>
      <c r="K218" s="103">
        <f t="shared" si="29"/>
        <v>34.22770398</v>
      </c>
      <c r="L218" s="54"/>
      <c r="M218" s="54"/>
      <c r="N218" s="54"/>
      <c r="O218" s="54"/>
      <c r="P218" s="54"/>
      <c r="Q218" s="54"/>
    </row>
    <row r="219">
      <c r="A219" s="54"/>
      <c r="B219" s="110">
        <v>45744.0</v>
      </c>
      <c r="C219" s="110"/>
      <c r="D219" s="102"/>
      <c r="E219" s="100">
        <v>2301802.0</v>
      </c>
      <c r="F219" s="99">
        <f t="shared" si="30"/>
        <v>1146</v>
      </c>
      <c r="G219" s="101">
        <v>319.0</v>
      </c>
      <c r="H219" s="101">
        <v>111.0</v>
      </c>
      <c r="I219" s="101">
        <v>100.0</v>
      </c>
      <c r="J219" s="102">
        <f t="shared" si="28"/>
        <v>11</v>
      </c>
      <c r="K219" s="103">
        <f t="shared" si="29"/>
        <v>8.72600349</v>
      </c>
      <c r="L219" s="54"/>
      <c r="M219" s="54"/>
      <c r="N219" s="54"/>
      <c r="O219" s="54"/>
      <c r="P219" s="54"/>
      <c r="Q219" s="54"/>
    </row>
    <row r="220">
      <c r="A220" s="54"/>
      <c r="B220" s="110">
        <v>45744.0</v>
      </c>
      <c r="C220" s="110"/>
      <c r="D220" s="102"/>
      <c r="E220" s="100">
        <v>2302162.0</v>
      </c>
      <c r="F220" s="99">
        <f t="shared" si="30"/>
        <v>360</v>
      </c>
      <c r="G220" s="101">
        <v>600.0</v>
      </c>
      <c r="H220" s="101">
        <v>392.0</v>
      </c>
      <c r="I220" s="101">
        <v>400.0</v>
      </c>
      <c r="J220" s="102">
        <f t="shared" si="28"/>
        <v>-8</v>
      </c>
      <c r="K220" s="103">
        <f t="shared" si="29"/>
        <v>111.1111111</v>
      </c>
      <c r="L220" s="54"/>
      <c r="M220" s="54"/>
      <c r="N220" s="54"/>
      <c r="O220" s="54"/>
      <c r="P220" s="54"/>
      <c r="Q220" s="54"/>
    </row>
    <row r="221">
      <c r="A221" s="54"/>
      <c r="B221" s="110">
        <v>45746.0</v>
      </c>
      <c r="C221" s="110"/>
      <c r="D221" s="102"/>
      <c r="E221" s="100">
        <v>2303294.0</v>
      </c>
      <c r="F221" s="99">
        <f t="shared" si="30"/>
        <v>1132</v>
      </c>
      <c r="G221" s="101">
        <v>600.0</v>
      </c>
      <c r="H221" s="101">
        <v>392.0</v>
      </c>
      <c r="I221" s="101">
        <v>401.54</v>
      </c>
      <c r="J221" s="102">
        <f t="shared" si="28"/>
        <v>-9.54</v>
      </c>
      <c r="K221" s="103">
        <f t="shared" si="29"/>
        <v>35.47173145</v>
      </c>
      <c r="L221" s="54"/>
      <c r="M221" s="54"/>
      <c r="N221" s="54"/>
      <c r="O221" s="54"/>
      <c r="P221" s="54"/>
      <c r="Q221" s="54"/>
    </row>
    <row r="222">
      <c r="A222" s="54"/>
      <c r="B222" s="110">
        <v>45747.0</v>
      </c>
      <c r="C222" s="110"/>
      <c r="D222" s="102"/>
      <c r="E222" s="100">
        <v>2304157.0</v>
      </c>
      <c r="F222" s="99">
        <f t="shared" si="30"/>
        <v>863</v>
      </c>
      <c r="G222" s="101">
        <v>600.0</v>
      </c>
      <c r="H222" s="101">
        <v>270.0</v>
      </c>
      <c r="I222" s="101">
        <v>280.17</v>
      </c>
      <c r="J222" s="102">
        <f t="shared" si="28"/>
        <v>-10.17</v>
      </c>
      <c r="K222" s="103">
        <f t="shared" si="29"/>
        <v>32.46465817</v>
      </c>
      <c r="L222" s="54"/>
      <c r="M222" s="54"/>
      <c r="N222" s="54"/>
      <c r="O222" s="54"/>
      <c r="P222" s="54"/>
      <c r="Q222" s="54"/>
    </row>
    <row r="223">
      <c r="A223" s="68"/>
      <c r="B223" s="203" t="str">
        <f>IF(L223=4,"АПРЕЛЬ",IF(L223=5,"МАЙ",IF(L223=1,"ЯНВАРЬ",IF(L223=2,"ФЕВРАЛЬ",IF(L223=3,"МАРТ",IF(L223=6,"ИЮНЬ",IF(L223=7,"ИЮЛЬ",IF(L223=8,"АВГУСТ",IF(L223=9,"СЕНТЯБРЬ",IF(L223=10,"ОКТЯБРЬ",IF(L223=11,"НОЯБРЬ",IF(L223=12,"ДЕКАБРЬ"))))))))))))</f>
        <v>АПРЕЛЬ</v>
      </c>
      <c r="J223" s="66"/>
      <c r="K223" s="204"/>
      <c r="L223" s="91">
        <f>MONTH(B224)</f>
        <v>4</v>
      </c>
      <c r="M223" s="66"/>
      <c r="N223" s="66"/>
      <c r="O223" s="66"/>
      <c r="P223" s="66"/>
      <c r="Q223" s="66"/>
      <c r="R223" s="66"/>
      <c r="S223" s="372"/>
      <c r="T223" s="66"/>
      <c r="U223" s="66"/>
      <c r="V223" s="66"/>
      <c r="W223" s="66"/>
      <c r="X223" s="66"/>
      <c r="Y223" s="66"/>
      <c r="Z223" s="66"/>
      <c r="AA223" s="66"/>
      <c r="AB223" s="242"/>
      <c r="AC223" s="66"/>
      <c r="AD223" s="66"/>
    </row>
    <row r="224">
      <c r="A224" s="54"/>
      <c r="B224" s="110">
        <v>45749.0</v>
      </c>
      <c r="C224" s="110"/>
      <c r="D224" s="102"/>
      <c r="E224" s="206">
        <v>2305546.0</v>
      </c>
      <c r="F224" s="99">
        <f>E224-E222</f>
        <v>1389</v>
      </c>
      <c r="G224" s="101">
        <v>600.0</v>
      </c>
      <c r="H224" s="101">
        <v>419.0</v>
      </c>
      <c r="I224" s="101">
        <v>428.95</v>
      </c>
      <c r="J224" s="102">
        <f t="shared" ref="J224:J240" si="31">H224-I224</f>
        <v>-9.95</v>
      </c>
      <c r="K224" s="103">
        <f t="shared" ref="K224:K240" si="32">H224/F224*100</f>
        <v>30.16558675</v>
      </c>
      <c r="L224" s="54"/>
      <c r="M224" s="82" t="str">
        <f>"тотал"&amp;" "&amp;B223&amp;" "&amp;RIGHT(YEAR(B224),2)</f>
        <v>тотал АПРЕЛЬ 25</v>
      </c>
      <c r="N224" s="75"/>
      <c r="O224" s="75"/>
      <c r="P224" s="75"/>
      <c r="Q224" s="76"/>
    </row>
    <row r="225">
      <c r="A225" s="54"/>
      <c r="B225" s="110">
        <v>45754.0</v>
      </c>
      <c r="C225" s="110"/>
      <c r="D225" s="102"/>
      <c r="E225" s="100">
        <v>2306895.0</v>
      </c>
      <c r="F225" s="99">
        <f t="shared" ref="F225:F240" si="33">E225-E224</f>
        <v>1349</v>
      </c>
      <c r="G225" s="101">
        <v>600.0</v>
      </c>
      <c r="H225" s="101">
        <v>445.0</v>
      </c>
      <c r="I225" s="101">
        <v>449.79</v>
      </c>
      <c r="J225" s="102">
        <f t="shared" si="31"/>
        <v>-4.79</v>
      </c>
      <c r="K225" s="103">
        <f t="shared" si="32"/>
        <v>32.98739807</v>
      </c>
      <c r="L225" s="54"/>
      <c r="M225" s="198" t="s">
        <v>70</v>
      </c>
      <c r="N225" s="198" t="s">
        <v>71</v>
      </c>
      <c r="O225" s="198" t="s">
        <v>27</v>
      </c>
      <c r="P225" s="77" t="s">
        <v>28</v>
      </c>
      <c r="Q225" s="12" t="s">
        <v>78</v>
      </c>
    </row>
    <row r="226">
      <c r="A226" s="54"/>
      <c r="B226" s="110">
        <v>45755.0</v>
      </c>
      <c r="C226" s="110"/>
      <c r="D226" s="102"/>
      <c r="E226" s="100">
        <v>2307760.0</v>
      </c>
      <c r="F226" s="99">
        <f t="shared" si="33"/>
        <v>865</v>
      </c>
      <c r="G226" s="101">
        <v>600.0</v>
      </c>
      <c r="H226" s="101">
        <v>286.0</v>
      </c>
      <c r="I226" s="101">
        <v>301.84</v>
      </c>
      <c r="J226" s="102">
        <f t="shared" si="31"/>
        <v>-15.84</v>
      </c>
      <c r="K226" s="103">
        <f t="shared" si="32"/>
        <v>33.06358382</v>
      </c>
      <c r="L226" s="54"/>
      <c r="M226" s="199">
        <f>SUM(F224:F240)</f>
        <v>18502</v>
      </c>
      <c r="N226" s="199">
        <f>SUM(I224:I240)</f>
        <v>6188.57</v>
      </c>
      <c r="O226" s="428">
        <f>N226/M226*100</f>
        <v>33.44811372</v>
      </c>
      <c r="P226" s="79">
        <f>(M226/100)*(O226-Q226)</f>
        <v>637.97</v>
      </c>
      <c r="Q226" s="78">
        <v>30.0</v>
      </c>
    </row>
    <row r="227">
      <c r="A227" s="54"/>
      <c r="B227" s="110">
        <v>45756.0</v>
      </c>
      <c r="C227" s="110"/>
      <c r="D227" s="102"/>
      <c r="E227" s="100">
        <v>2308816.0</v>
      </c>
      <c r="F227" s="99">
        <f t="shared" si="33"/>
        <v>1056</v>
      </c>
      <c r="G227" s="101">
        <v>600.0</v>
      </c>
      <c r="H227" s="101">
        <v>376.0</v>
      </c>
      <c r="I227" s="101">
        <v>384.71</v>
      </c>
      <c r="J227" s="102">
        <f t="shared" si="31"/>
        <v>-8.71</v>
      </c>
      <c r="K227" s="103">
        <f t="shared" si="32"/>
        <v>35.60606061</v>
      </c>
      <c r="L227" s="54"/>
      <c r="M227" s="54"/>
      <c r="N227" s="54"/>
      <c r="O227" s="54"/>
      <c r="P227" s="54"/>
      <c r="Q227" s="54"/>
    </row>
    <row r="228">
      <c r="A228" s="54"/>
      <c r="B228" s="110">
        <v>45757.0</v>
      </c>
      <c r="C228" s="110"/>
      <c r="D228" s="102"/>
      <c r="E228" s="100">
        <v>2309270.0</v>
      </c>
      <c r="F228" s="99">
        <f t="shared" si="33"/>
        <v>454</v>
      </c>
      <c r="G228" s="101">
        <v>558.0</v>
      </c>
      <c r="H228" s="101">
        <v>111.0</v>
      </c>
      <c r="I228" s="101">
        <v>100.0</v>
      </c>
      <c r="J228" s="102">
        <f t="shared" si="31"/>
        <v>11</v>
      </c>
      <c r="K228" s="103">
        <f t="shared" si="32"/>
        <v>24.44933921</v>
      </c>
      <c r="L228" s="54"/>
      <c r="M228" s="54"/>
      <c r="N228" s="54"/>
      <c r="O228" s="54"/>
      <c r="P228" s="54"/>
      <c r="Q228" s="54"/>
    </row>
    <row r="229">
      <c r="A229" s="54"/>
      <c r="B229" s="110">
        <v>45758.0</v>
      </c>
      <c r="C229" s="110"/>
      <c r="D229" s="102"/>
      <c r="E229" s="100">
        <v>2310325.0</v>
      </c>
      <c r="F229" s="99">
        <f t="shared" si="33"/>
        <v>1055</v>
      </c>
      <c r="G229" s="101">
        <v>600.0</v>
      </c>
      <c r="H229" s="101">
        <v>413.0</v>
      </c>
      <c r="I229" s="101">
        <v>433.82</v>
      </c>
      <c r="J229" s="102">
        <f t="shared" si="31"/>
        <v>-20.82</v>
      </c>
      <c r="K229" s="103">
        <f t="shared" si="32"/>
        <v>39.14691943</v>
      </c>
      <c r="L229" s="54"/>
      <c r="M229" s="54"/>
      <c r="N229" s="54"/>
      <c r="O229" s="54"/>
      <c r="P229" s="54"/>
      <c r="Q229" s="54"/>
    </row>
    <row r="230">
      <c r="A230" s="54"/>
      <c r="B230" s="110">
        <v>45759.0</v>
      </c>
      <c r="C230" s="110"/>
      <c r="D230" s="102"/>
      <c r="E230" s="100">
        <v>2311458.0</v>
      </c>
      <c r="F230" s="99">
        <f t="shared" si="33"/>
        <v>1133</v>
      </c>
      <c r="G230" s="101">
        <v>600.0</v>
      </c>
      <c r="H230" s="101">
        <v>371.0</v>
      </c>
      <c r="I230" s="101">
        <v>380.04</v>
      </c>
      <c r="J230" s="102">
        <f t="shared" si="31"/>
        <v>-9.04</v>
      </c>
      <c r="K230" s="103">
        <f t="shared" si="32"/>
        <v>32.74492498</v>
      </c>
      <c r="L230" s="54"/>
      <c r="M230" s="54"/>
      <c r="N230" s="54"/>
      <c r="O230" s="54"/>
      <c r="P230" s="54"/>
      <c r="Q230" s="54"/>
    </row>
    <row r="231">
      <c r="A231" s="54"/>
      <c r="B231" s="110">
        <v>45761.0</v>
      </c>
      <c r="C231" s="110"/>
      <c r="D231" s="102"/>
      <c r="E231" s="100">
        <v>2312899.0</v>
      </c>
      <c r="F231" s="99">
        <f t="shared" si="33"/>
        <v>1441</v>
      </c>
      <c r="G231" s="101">
        <v>600.0</v>
      </c>
      <c r="H231" s="101">
        <v>466.0</v>
      </c>
      <c r="I231" s="101">
        <v>481.94</v>
      </c>
      <c r="J231" s="102">
        <f t="shared" si="31"/>
        <v>-15.94</v>
      </c>
      <c r="K231" s="103">
        <f t="shared" si="32"/>
        <v>32.33865371</v>
      </c>
      <c r="L231" s="54"/>
      <c r="M231" s="54"/>
      <c r="N231" s="54"/>
      <c r="O231" s="54"/>
      <c r="P231" s="54"/>
      <c r="Q231" s="54"/>
    </row>
    <row r="232">
      <c r="A232" s="54"/>
      <c r="B232" s="110">
        <v>45764.0</v>
      </c>
      <c r="C232" s="110"/>
      <c r="D232" s="102"/>
      <c r="E232" s="100">
        <v>2313987.0</v>
      </c>
      <c r="F232" s="99">
        <f t="shared" si="33"/>
        <v>1088</v>
      </c>
      <c r="G232" s="101">
        <v>600.0</v>
      </c>
      <c r="H232" s="101">
        <v>350.0</v>
      </c>
      <c r="I232" s="101">
        <v>353.7</v>
      </c>
      <c r="J232" s="102">
        <f t="shared" si="31"/>
        <v>-3.7</v>
      </c>
      <c r="K232" s="103">
        <f t="shared" si="32"/>
        <v>32.16911765</v>
      </c>
      <c r="L232" s="54"/>
      <c r="M232" s="54"/>
      <c r="N232" s="54"/>
      <c r="O232" s="54"/>
      <c r="P232" s="54"/>
      <c r="Q232" s="54"/>
    </row>
    <row r="233">
      <c r="A233" s="54"/>
      <c r="B233" s="110">
        <v>45765.0</v>
      </c>
      <c r="C233" s="110"/>
      <c r="D233" s="102"/>
      <c r="E233" s="100">
        <v>2315041.0</v>
      </c>
      <c r="F233" s="99">
        <f t="shared" si="33"/>
        <v>1054</v>
      </c>
      <c r="G233" s="101">
        <v>600.0</v>
      </c>
      <c r="H233" s="101">
        <v>329.0</v>
      </c>
      <c r="I233" s="101">
        <v>338.51</v>
      </c>
      <c r="J233" s="102">
        <f t="shared" si="31"/>
        <v>-9.51</v>
      </c>
      <c r="K233" s="103">
        <f t="shared" si="32"/>
        <v>31.21442125</v>
      </c>
      <c r="L233" s="54"/>
      <c r="M233" s="54"/>
      <c r="N233" s="54"/>
      <c r="O233" s="54"/>
      <c r="P233" s="54"/>
      <c r="Q233" s="54"/>
    </row>
    <row r="234">
      <c r="A234" s="54"/>
      <c r="B234" s="110">
        <v>45768.0</v>
      </c>
      <c r="C234" s="110"/>
      <c r="D234" s="102"/>
      <c r="E234" s="100">
        <v>2316173.0</v>
      </c>
      <c r="F234" s="99">
        <f t="shared" si="33"/>
        <v>1132</v>
      </c>
      <c r="G234" s="101">
        <v>579.0</v>
      </c>
      <c r="H234" s="101">
        <v>339.0</v>
      </c>
      <c r="I234" s="101">
        <v>328.82</v>
      </c>
      <c r="J234" s="102">
        <f t="shared" si="31"/>
        <v>10.18</v>
      </c>
      <c r="K234" s="103">
        <f t="shared" si="32"/>
        <v>29.94699647</v>
      </c>
      <c r="L234" s="54"/>
      <c r="M234" s="54"/>
      <c r="N234" s="54"/>
      <c r="O234" s="54"/>
      <c r="P234" s="54"/>
      <c r="Q234" s="54"/>
    </row>
    <row r="235">
      <c r="A235" s="54"/>
      <c r="B235" s="110">
        <v>45769.0</v>
      </c>
      <c r="C235" s="110"/>
      <c r="D235" s="102"/>
      <c r="E235" s="100">
        <v>2317461.0</v>
      </c>
      <c r="F235" s="99">
        <f t="shared" si="33"/>
        <v>1288</v>
      </c>
      <c r="G235" s="101">
        <v>600.0</v>
      </c>
      <c r="H235" s="101">
        <v>445.0</v>
      </c>
      <c r="I235" s="101">
        <v>440.22</v>
      </c>
      <c r="J235" s="102">
        <f t="shared" si="31"/>
        <v>4.78</v>
      </c>
      <c r="K235" s="103">
        <f t="shared" si="32"/>
        <v>34.54968944</v>
      </c>
      <c r="L235" s="54"/>
      <c r="M235" s="54"/>
      <c r="N235" s="54"/>
      <c r="O235" s="54"/>
      <c r="P235" s="54"/>
      <c r="Q235" s="54"/>
    </row>
    <row r="236">
      <c r="A236" s="54"/>
      <c r="B236" s="110">
        <v>45771.0</v>
      </c>
      <c r="C236" s="110"/>
      <c r="D236" s="102"/>
      <c r="E236" s="100">
        <v>2318553.0</v>
      </c>
      <c r="F236" s="99">
        <f t="shared" si="33"/>
        <v>1092</v>
      </c>
      <c r="G236" s="101">
        <v>600.0</v>
      </c>
      <c r="H236" s="101">
        <v>371.0</v>
      </c>
      <c r="I236" s="101">
        <v>380.9</v>
      </c>
      <c r="J236" s="102">
        <f t="shared" si="31"/>
        <v>-9.9</v>
      </c>
      <c r="K236" s="103">
        <f t="shared" si="32"/>
        <v>33.97435897</v>
      </c>
      <c r="L236" s="54"/>
      <c r="M236" s="54"/>
      <c r="N236" s="54"/>
      <c r="O236" s="54"/>
      <c r="P236" s="54"/>
      <c r="Q236" s="54"/>
    </row>
    <row r="237">
      <c r="A237" s="54"/>
      <c r="B237" s="110">
        <v>45772.0</v>
      </c>
      <c r="C237" s="110"/>
      <c r="D237" s="102"/>
      <c r="E237" s="100">
        <v>2319609.0</v>
      </c>
      <c r="F237" s="99">
        <f t="shared" si="33"/>
        <v>1056</v>
      </c>
      <c r="G237" s="101">
        <v>600.0</v>
      </c>
      <c r="H237" s="101">
        <v>350.0</v>
      </c>
      <c r="I237" s="101">
        <v>351.38</v>
      </c>
      <c r="J237" s="102">
        <f t="shared" si="31"/>
        <v>-1.38</v>
      </c>
      <c r="K237" s="103">
        <f t="shared" si="32"/>
        <v>33.14393939</v>
      </c>
      <c r="L237" s="54"/>
      <c r="M237" s="54"/>
      <c r="N237" s="54"/>
      <c r="O237" s="54"/>
      <c r="P237" s="54"/>
      <c r="Q237" s="54"/>
    </row>
    <row r="238">
      <c r="A238" s="54"/>
      <c r="B238" s="110">
        <v>45774.0</v>
      </c>
      <c r="C238" s="110"/>
      <c r="D238" s="102"/>
      <c r="E238" s="100">
        <v>2320740.0</v>
      </c>
      <c r="F238" s="99">
        <f t="shared" si="33"/>
        <v>1131</v>
      </c>
      <c r="G238" s="101">
        <v>600.0</v>
      </c>
      <c r="H238" s="101">
        <v>371.0</v>
      </c>
      <c r="I238" s="101">
        <v>373.56</v>
      </c>
      <c r="J238" s="102">
        <f t="shared" si="31"/>
        <v>-2.56</v>
      </c>
      <c r="K238" s="103">
        <f t="shared" si="32"/>
        <v>32.80282935</v>
      </c>
      <c r="L238" s="54"/>
      <c r="M238" s="54"/>
      <c r="N238" s="54"/>
      <c r="O238" s="54"/>
      <c r="P238" s="54"/>
      <c r="Q238" s="54"/>
    </row>
    <row r="239">
      <c r="A239" s="54"/>
      <c r="B239" s="110">
        <v>45775.0</v>
      </c>
      <c r="C239" s="110"/>
      <c r="D239" s="102"/>
      <c r="E239" s="100">
        <v>2321605.0</v>
      </c>
      <c r="F239" s="99">
        <f t="shared" si="33"/>
        <v>865</v>
      </c>
      <c r="G239" s="101">
        <v>600.0</v>
      </c>
      <c r="H239" s="101">
        <v>292.0</v>
      </c>
      <c r="I239" s="101">
        <v>301.83</v>
      </c>
      <c r="J239" s="102">
        <f t="shared" si="31"/>
        <v>-9.83</v>
      </c>
      <c r="K239" s="103">
        <f t="shared" si="32"/>
        <v>33.75722543</v>
      </c>
      <c r="L239" s="54"/>
      <c r="M239" s="54"/>
      <c r="N239" s="54"/>
      <c r="O239" s="54"/>
      <c r="P239" s="54"/>
      <c r="Q239" s="54"/>
    </row>
    <row r="240">
      <c r="A240" s="54"/>
      <c r="B240" s="110">
        <v>45777.0</v>
      </c>
      <c r="C240" s="110"/>
      <c r="D240" s="102"/>
      <c r="E240" s="100">
        <v>2322659.0</v>
      </c>
      <c r="F240" s="99">
        <f t="shared" si="33"/>
        <v>1054</v>
      </c>
      <c r="G240" s="101">
        <v>595.0</v>
      </c>
      <c r="H240" s="101">
        <v>345.0</v>
      </c>
      <c r="I240" s="101">
        <v>358.56</v>
      </c>
      <c r="J240" s="102">
        <f t="shared" si="31"/>
        <v>-13.56</v>
      </c>
      <c r="K240" s="103">
        <f t="shared" si="32"/>
        <v>32.73244782</v>
      </c>
      <c r="L240" s="54"/>
      <c r="M240" s="54"/>
      <c r="N240" s="54"/>
      <c r="O240" s="54"/>
      <c r="P240" s="54"/>
      <c r="Q240" s="54"/>
    </row>
    <row r="241">
      <c r="A241" s="68"/>
      <c r="B241" s="203" t="str">
        <f>IF(L241=4,"АПРЕЛЬ",IF(L241=5,"МАЙ",IF(L241=1,"ЯНВАРЬ",IF(L241=2,"ФЕВРАЛЬ",IF(L241=3,"МАРТ",IF(L241=6,"ИЮНЬ",IF(L241=7,"ИЮЛЬ",IF(L241=8,"АВГУСТ",IF(L241=9,"СЕНТЯБРЬ",IF(L241=10,"ОКТЯБРЬ",IF(L241=11,"НОЯБРЬ",IF(L241=12,"ДЕКАБРЬ"))))))))))))</f>
        <v>МАЙ</v>
      </c>
      <c r="J241" s="66"/>
      <c r="K241" s="204"/>
      <c r="L241" s="91">
        <f>MONTH(B242)</f>
        <v>5</v>
      </c>
      <c r="M241" s="66"/>
      <c r="N241" s="66"/>
      <c r="O241" s="66"/>
      <c r="P241" s="66"/>
      <c r="Q241" s="66"/>
      <c r="R241" s="66"/>
      <c r="S241" s="372"/>
      <c r="T241" s="66"/>
      <c r="U241" s="66"/>
      <c r="V241" s="66"/>
      <c r="W241" s="66"/>
      <c r="X241" s="66"/>
      <c r="Y241" s="66"/>
      <c r="Z241" s="66"/>
      <c r="AA241" s="66"/>
      <c r="AB241" s="242"/>
      <c r="AC241" s="66"/>
      <c r="AD241" s="66"/>
    </row>
    <row r="242">
      <c r="A242" s="54"/>
      <c r="B242" s="110">
        <v>45778.0</v>
      </c>
      <c r="C242" s="100" t="s">
        <v>123</v>
      </c>
      <c r="D242" s="101" t="s">
        <v>398</v>
      </c>
      <c r="E242" s="100">
        <v>2323692.0</v>
      </c>
      <c r="F242" s="99">
        <f>E242-E240</f>
        <v>1033</v>
      </c>
      <c r="G242" s="101">
        <v>600.0</v>
      </c>
      <c r="H242" s="101">
        <v>371.0</v>
      </c>
      <c r="I242" s="101">
        <v>373.34</v>
      </c>
      <c r="J242" s="102">
        <f t="shared" ref="J242:J252" si="34">H242-I242</f>
        <v>-2.34</v>
      </c>
      <c r="K242" s="103">
        <f t="shared" ref="K242:K252" si="35">H242/F242*100</f>
        <v>35.91481123</v>
      </c>
      <c r="L242" s="54"/>
      <c r="M242" s="82" t="str">
        <f>"тотал"&amp;" "&amp;B241&amp;" "&amp;RIGHT(YEAR(B242),2)</f>
        <v>тотал МАЙ 25</v>
      </c>
      <c r="N242" s="75"/>
      <c r="O242" s="75"/>
      <c r="P242" s="75"/>
      <c r="Q242" s="76"/>
    </row>
    <row r="243">
      <c r="A243" s="54"/>
      <c r="B243" s="110">
        <v>45790.0</v>
      </c>
      <c r="C243" s="100" t="s">
        <v>123</v>
      </c>
      <c r="D243" s="101" t="s">
        <v>398</v>
      </c>
      <c r="E243" s="100">
        <v>2324840.0</v>
      </c>
      <c r="F243" s="99">
        <f t="shared" ref="F243:F252" si="36">E243-E242</f>
        <v>1148</v>
      </c>
      <c r="G243" s="101">
        <v>600.0</v>
      </c>
      <c r="H243" s="101">
        <v>403.0</v>
      </c>
      <c r="I243" s="101">
        <v>418.8</v>
      </c>
      <c r="J243" s="102">
        <f t="shared" si="34"/>
        <v>-15.8</v>
      </c>
      <c r="K243" s="103">
        <f t="shared" si="35"/>
        <v>35.10452962</v>
      </c>
      <c r="L243" s="54"/>
      <c r="M243" s="198" t="s">
        <v>70</v>
      </c>
      <c r="N243" s="198" t="s">
        <v>71</v>
      </c>
      <c r="O243" s="198" t="s">
        <v>27</v>
      </c>
      <c r="P243" s="77" t="s">
        <v>28</v>
      </c>
      <c r="Q243" s="12" t="s">
        <v>78</v>
      </c>
    </row>
    <row r="244">
      <c r="A244" s="54"/>
      <c r="B244" s="110">
        <v>45791.0</v>
      </c>
      <c r="C244" s="100" t="s">
        <v>123</v>
      </c>
      <c r="D244" s="101" t="s">
        <v>398</v>
      </c>
      <c r="E244" s="100">
        <v>2325896.0</v>
      </c>
      <c r="F244" s="99">
        <f t="shared" si="36"/>
        <v>1056</v>
      </c>
      <c r="G244" s="101">
        <v>579.0</v>
      </c>
      <c r="H244" s="101">
        <v>329.0</v>
      </c>
      <c r="I244" s="101">
        <v>320.1</v>
      </c>
      <c r="J244" s="102">
        <f t="shared" si="34"/>
        <v>8.9</v>
      </c>
      <c r="K244" s="103">
        <f t="shared" si="35"/>
        <v>31.15530303</v>
      </c>
      <c r="L244" s="54"/>
      <c r="M244" s="199">
        <f>SUM(F242:F252)</f>
        <v>10489</v>
      </c>
      <c r="N244" s="199">
        <f>SUM(I242:I252)</f>
        <v>3423.85</v>
      </c>
      <c r="O244" s="428">
        <f>N244/M244*100</f>
        <v>32.64229192</v>
      </c>
      <c r="P244" s="79">
        <f>(M244/100)*(O244-Q244)</f>
        <v>277.15</v>
      </c>
      <c r="Q244" s="78">
        <v>30.0</v>
      </c>
    </row>
    <row r="245">
      <c r="A245" s="54"/>
      <c r="B245" s="110">
        <v>45792.0</v>
      </c>
      <c r="C245" s="100" t="s">
        <v>123</v>
      </c>
      <c r="D245" s="101" t="s">
        <v>398</v>
      </c>
      <c r="E245" s="100">
        <v>2326350.0</v>
      </c>
      <c r="F245" s="99">
        <f t="shared" si="36"/>
        <v>454</v>
      </c>
      <c r="G245" s="101">
        <v>600.0</v>
      </c>
      <c r="H245" s="101">
        <v>191.0</v>
      </c>
      <c r="I245" s="101">
        <v>179.0</v>
      </c>
      <c r="J245" s="102">
        <f t="shared" si="34"/>
        <v>12</v>
      </c>
      <c r="K245" s="103">
        <f t="shared" si="35"/>
        <v>42.07048458</v>
      </c>
      <c r="L245" s="54"/>
      <c r="M245" s="54"/>
      <c r="N245" s="54"/>
      <c r="O245" s="54"/>
      <c r="P245" s="54"/>
      <c r="Q245" s="54"/>
    </row>
    <row r="246">
      <c r="A246" s="54"/>
      <c r="B246" s="110">
        <v>45793.0</v>
      </c>
      <c r="C246" s="100" t="s">
        <v>123</v>
      </c>
      <c r="D246" s="101" t="s">
        <v>398</v>
      </c>
      <c r="E246" s="100">
        <v>2327405.0</v>
      </c>
      <c r="F246" s="99">
        <f t="shared" si="36"/>
        <v>1055</v>
      </c>
      <c r="G246" s="101">
        <v>600.0</v>
      </c>
      <c r="H246" s="101">
        <v>350.0</v>
      </c>
      <c r="I246" s="101">
        <v>365.27</v>
      </c>
      <c r="J246" s="102">
        <f t="shared" si="34"/>
        <v>-15.27</v>
      </c>
      <c r="K246" s="103">
        <f t="shared" si="35"/>
        <v>33.17535545</v>
      </c>
      <c r="L246" s="54"/>
      <c r="M246" s="54"/>
      <c r="N246" s="54"/>
      <c r="O246" s="54"/>
      <c r="P246" s="54"/>
      <c r="Q246" s="54"/>
    </row>
    <row r="247">
      <c r="A247" s="54"/>
      <c r="B247" s="110">
        <v>45794.0</v>
      </c>
      <c r="C247" s="100" t="s">
        <v>123</v>
      </c>
      <c r="D247" s="101" t="s">
        <v>398</v>
      </c>
      <c r="E247" s="100">
        <v>2328539.0</v>
      </c>
      <c r="F247" s="99">
        <f t="shared" si="36"/>
        <v>1134</v>
      </c>
      <c r="G247" s="101">
        <v>430.0</v>
      </c>
      <c r="H247" s="101">
        <v>201.0</v>
      </c>
      <c r="I247" s="101">
        <v>200.0</v>
      </c>
      <c r="J247" s="102">
        <f t="shared" si="34"/>
        <v>1</v>
      </c>
      <c r="K247" s="103">
        <f t="shared" si="35"/>
        <v>17.72486772</v>
      </c>
      <c r="L247" s="54"/>
      <c r="M247" s="54"/>
      <c r="N247" s="54"/>
      <c r="O247" s="54"/>
      <c r="P247" s="54"/>
      <c r="Q247" s="54"/>
    </row>
    <row r="248">
      <c r="A248" s="54"/>
      <c r="B248" s="110">
        <v>45795.0</v>
      </c>
      <c r="C248" s="100" t="s">
        <v>123</v>
      </c>
      <c r="D248" s="101" t="s">
        <v>398</v>
      </c>
      <c r="E248" s="100">
        <v>2328951.0</v>
      </c>
      <c r="F248" s="99">
        <f t="shared" si="36"/>
        <v>412</v>
      </c>
      <c r="G248" s="101">
        <v>600.0</v>
      </c>
      <c r="H248" s="101">
        <v>292.0</v>
      </c>
      <c r="I248" s="101">
        <v>300.0</v>
      </c>
      <c r="J248" s="102">
        <f t="shared" si="34"/>
        <v>-8</v>
      </c>
      <c r="K248" s="103">
        <f t="shared" si="35"/>
        <v>70.87378641</v>
      </c>
      <c r="L248" s="54"/>
      <c r="M248" s="54"/>
      <c r="N248" s="54"/>
      <c r="O248" s="54"/>
      <c r="P248" s="54"/>
      <c r="Q248" s="54"/>
    </row>
    <row r="249">
      <c r="A249" s="54"/>
      <c r="B249" s="110">
        <v>45802.0</v>
      </c>
      <c r="C249" s="100" t="s">
        <v>123</v>
      </c>
      <c r="D249" s="101" t="s">
        <v>398</v>
      </c>
      <c r="E249" s="100">
        <v>2330082.0</v>
      </c>
      <c r="F249" s="99">
        <f t="shared" si="36"/>
        <v>1131</v>
      </c>
      <c r="G249" s="101">
        <v>600.0</v>
      </c>
      <c r="H249" s="101">
        <v>371.0</v>
      </c>
      <c r="I249" s="101">
        <v>366.33</v>
      </c>
      <c r="J249" s="102">
        <f t="shared" si="34"/>
        <v>4.67</v>
      </c>
      <c r="K249" s="103">
        <f t="shared" si="35"/>
        <v>32.80282935</v>
      </c>
      <c r="L249" s="54"/>
      <c r="M249" s="54"/>
      <c r="N249" s="54"/>
      <c r="O249" s="54"/>
      <c r="P249" s="54"/>
      <c r="Q249" s="54"/>
    </row>
    <row r="250">
      <c r="A250" s="54"/>
      <c r="B250" s="110">
        <v>45803.0</v>
      </c>
      <c r="C250" s="100" t="s">
        <v>399</v>
      </c>
      <c r="D250" s="101" t="s">
        <v>398</v>
      </c>
      <c r="E250" s="100">
        <v>2331553.0</v>
      </c>
      <c r="F250" s="99">
        <f t="shared" si="36"/>
        <v>1471</v>
      </c>
      <c r="G250" s="101">
        <v>600.0</v>
      </c>
      <c r="H250" s="101">
        <v>413.0</v>
      </c>
      <c r="I250" s="101">
        <v>407.43</v>
      </c>
      <c r="J250" s="102">
        <f t="shared" si="34"/>
        <v>5.57</v>
      </c>
      <c r="K250" s="103">
        <f t="shared" si="35"/>
        <v>28.07613868</v>
      </c>
      <c r="L250" s="54"/>
      <c r="M250" s="54"/>
      <c r="N250" s="54"/>
      <c r="O250" s="54"/>
      <c r="P250" s="54"/>
      <c r="Q250" s="54"/>
    </row>
    <row r="251">
      <c r="A251" s="54"/>
      <c r="B251" s="110">
        <v>45807.0</v>
      </c>
      <c r="C251" s="100" t="s">
        <v>123</v>
      </c>
      <c r="D251" s="101" t="s">
        <v>398</v>
      </c>
      <c r="E251" s="100">
        <v>2332695.0</v>
      </c>
      <c r="F251" s="99">
        <f t="shared" si="36"/>
        <v>1142</v>
      </c>
      <c r="G251" s="101">
        <v>430.0</v>
      </c>
      <c r="H251" s="101">
        <v>180.0</v>
      </c>
      <c r="I251" s="101">
        <v>183.37</v>
      </c>
      <c r="J251" s="102">
        <f t="shared" si="34"/>
        <v>-3.37</v>
      </c>
      <c r="K251" s="103">
        <f t="shared" si="35"/>
        <v>15.76182137</v>
      </c>
      <c r="L251" s="54"/>
      <c r="M251" s="54"/>
      <c r="N251" s="54"/>
      <c r="O251" s="54"/>
      <c r="P251" s="54"/>
      <c r="Q251" s="54"/>
    </row>
    <row r="252">
      <c r="A252" s="54"/>
      <c r="B252" s="110">
        <v>45808.0</v>
      </c>
      <c r="C252" s="100" t="s">
        <v>123</v>
      </c>
      <c r="D252" s="101" t="s">
        <v>398</v>
      </c>
      <c r="E252" s="100">
        <v>2333148.0</v>
      </c>
      <c r="F252" s="99">
        <f t="shared" si="36"/>
        <v>453</v>
      </c>
      <c r="G252" s="101">
        <v>600.0</v>
      </c>
      <c r="H252" s="101">
        <v>307.0</v>
      </c>
      <c r="I252" s="101">
        <v>310.21</v>
      </c>
      <c r="J252" s="102">
        <f t="shared" si="34"/>
        <v>-3.21</v>
      </c>
      <c r="K252" s="103">
        <f t="shared" si="35"/>
        <v>67.77041943</v>
      </c>
      <c r="L252" s="54"/>
      <c r="M252" s="54"/>
      <c r="N252" s="54"/>
      <c r="O252" s="54"/>
      <c r="P252" s="54"/>
      <c r="Q252" s="54"/>
    </row>
    <row r="253">
      <c r="A253" s="68"/>
      <c r="B253" s="203" t="str">
        <f>IF(L253=4,"АПРЕЛЬ",IF(L253=5,"МАЙ",IF(L253=1,"ЯНВАРЬ",IF(L253=2,"ФЕВРАЛЬ",IF(L253=3,"МАРТ",IF(L253=6,"ИЮНЬ",IF(L253=7,"ИЮЛЬ",IF(L253=8,"АВГУСТ",IF(L253=9,"СЕНТЯБРЬ",IF(L253=10,"ОКТЯБРЬ",IF(L253=11,"НОЯБРЬ",IF(L253=12,"ДЕКАБРЬ"))))))))))))</f>
        <v>ИЮНЬ</v>
      </c>
      <c r="J253" s="66"/>
      <c r="K253" s="204"/>
      <c r="L253" s="91">
        <f>MONTH(B254)</f>
        <v>6</v>
      </c>
      <c r="M253" s="66"/>
      <c r="N253" s="66"/>
      <c r="O253" s="66"/>
      <c r="P253" s="66"/>
      <c r="Q253" s="66"/>
      <c r="R253" s="66"/>
      <c r="S253" s="372"/>
      <c r="T253" s="66"/>
      <c r="U253" s="66"/>
      <c r="V253" s="66"/>
      <c r="W253" s="66"/>
      <c r="X253" s="66"/>
      <c r="Y253" s="66"/>
      <c r="Z253" s="66"/>
      <c r="AA253" s="66"/>
      <c r="AB253" s="242"/>
      <c r="AC253" s="66"/>
      <c r="AD253" s="66"/>
    </row>
    <row r="254">
      <c r="A254" s="54"/>
      <c r="B254" s="110">
        <v>45810.0</v>
      </c>
      <c r="C254" s="100" t="s">
        <v>123</v>
      </c>
      <c r="D254" s="101" t="s">
        <v>398</v>
      </c>
      <c r="E254" s="100">
        <v>2334432.0</v>
      </c>
      <c r="F254" s="99">
        <f>E254-E252</f>
        <v>1284</v>
      </c>
      <c r="G254" s="101">
        <v>600.0</v>
      </c>
      <c r="H254" s="101">
        <v>398.0</v>
      </c>
      <c r="I254" s="101">
        <v>402.88</v>
      </c>
      <c r="J254" s="102">
        <f t="shared" ref="J254:J266" si="37">H254-I254</f>
        <v>-4.88</v>
      </c>
      <c r="K254" s="103">
        <f t="shared" ref="K254:K266" si="38">H254/F254*100</f>
        <v>30.99688474</v>
      </c>
      <c r="L254" s="54"/>
      <c r="M254" s="82" t="str">
        <f>"тотал"&amp;" "&amp;B253&amp;" "&amp;RIGHT(YEAR(B254),2)</f>
        <v>тотал ИЮНЬ 25</v>
      </c>
      <c r="N254" s="75"/>
      <c r="O254" s="75"/>
      <c r="P254" s="75"/>
      <c r="Q254" s="76"/>
    </row>
    <row r="255">
      <c r="A255" s="54"/>
      <c r="B255" s="110">
        <v>45812.0</v>
      </c>
      <c r="C255" s="100" t="s">
        <v>123</v>
      </c>
      <c r="D255" s="101" t="s">
        <v>398</v>
      </c>
      <c r="E255" s="100">
        <v>2335747.0</v>
      </c>
      <c r="F255" s="99">
        <f t="shared" ref="F255:F266" si="39">E255-E254</f>
        <v>1315</v>
      </c>
      <c r="G255" s="101">
        <v>600.0</v>
      </c>
      <c r="H255" s="101">
        <v>413.0</v>
      </c>
      <c r="I255" s="101">
        <v>420.81</v>
      </c>
      <c r="J255" s="102">
        <f t="shared" si="37"/>
        <v>-7.81</v>
      </c>
      <c r="K255" s="103">
        <f t="shared" si="38"/>
        <v>31.40684411</v>
      </c>
      <c r="L255" s="54"/>
      <c r="M255" s="198" t="s">
        <v>70</v>
      </c>
      <c r="N255" s="198" t="s">
        <v>71</v>
      </c>
      <c r="O255" s="198" t="s">
        <v>27</v>
      </c>
      <c r="P255" s="77" t="s">
        <v>28</v>
      </c>
      <c r="Q255" s="12" t="s">
        <v>78</v>
      </c>
    </row>
    <row r="256">
      <c r="A256" s="54"/>
      <c r="B256" s="110">
        <v>45814.0</v>
      </c>
      <c r="C256" s="100" t="s">
        <v>123</v>
      </c>
      <c r="D256" s="101" t="s">
        <v>398</v>
      </c>
      <c r="E256" s="100">
        <v>2336846.0</v>
      </c>
      <c r="F256" s="99">
        <f t="shared" si="39"/>
        <v>1099</v>
      </c>
      <c r="G256" s="101">
        <v>345.0</v>
      </c>
      <c r="H256" s="101">
        <v>95.0</v>
      </c>
      <c r="I256" s="101">
        <v>100.0</v>
      </c>
      <c r="J256" s="102">
        <f t="shared" si="37"/>
        <v>-5</v>
      </c>
      <c r="K256" s="103">
        <f t="shared" si="38"/>
        <v>8.64422202</v>
      </c>
      <c r="L256" s="54"/>
      <c r="M256" s="199">
        <f>SUM(F254:F266)</f>
        <v>14819</v>
      </c>
      <c r="N256" s="199">
        <f>SUM(I254:I266)</f>
        <v>4571.86</v>
      </c>
      <c r="O256" s="428">
        <f>N256/M256*100</f>
        <v>30.8513395</v>
      </c>
      <c r="P256" s="79">
        <f>(M256/100)*(O256-Q256)</f>
        <v>126.16</v>
      </c>
      <c r="Q256" s="78">
        <v>30.0</v>
      </c>
    </row>
    <row r="257">
      <c r="A257" s="54"/>
      <c r="B257" s="110">
        <v>45814.0</v>
      </c>
      <c r="C257" s="100" t="s">
        <v>123</v>
      </c>
      <c r="D257" s="101" t="s">
        <v>398</v>
      </c>
      <c r="E257" s="100">
        <v>2337259.0</v>
      </c>
      <c r="F257" s="99">
        <f t="shared" si="39"/>
        <v>413</v>
      </c>
      <c r="G257" s="101">
        <v>600.0</v>
      </c>
      <c r="H257" s="101">
        <v>371.0</v>
      </c>
      <c r="I257" s="101">
        <v>373.48</v>
      </c>
      <c r="J257" s="102">
        <f t="shared" si="37"/>
        <v>-2.48</v>
      </c>
      <c r="K257" s="103">
        <f t="shared" si="38"/>
        <v>89.83050847</v>
      </c>
      <c r="L257" s="54"/>
      <c r="M257" s="54"/>
      <c r="N257" s="54"/>
      <c r="O257" s="54"/>
      <c r="P257" s="54"/>
      <c r="Q257" s="54"/>
    </row>
    <row r="258">
      <c r="A258" s="54"/>
      <c r="B258" s="110">
        <v>45816.0</v>
      </c>
      <c r="C258" s="100" t="s">
        <v>123</v>
      </c>
      <c r="D258" s="101" t="s">
        <v>398</v>
      </c>
      <c r="E258" s="100">
        <v>2338396.0</v>
      </c>
      <c r="F258" s="99">
        <f t="shared" si="39"/>
        <v>1137</v>
      </c>
      <c r="G258" s="101">
        <v>600.0</v>
      </c>
      <c r="H258" s="101">
        <v>355.0</v>
      </c>
      <c r="I258" s="101">
        <v>360.14</v>
      </c>
      <c r="J258" s="102">
        <f t="shared" si="37"/>
        <v>-5.14</v>
      </c>
      <c r="K258" s="103">
        <f t="shared" si="38"/>
        <v>31.22251539</v>
      </c>
      <c r="L258" s="54"/>
      <c r="M258" s="54"/>
      <c r="N258" s="54"/>
      <c r="O258" s="54"/>
      <c r="P258" s="54"/>
      <c r="Q258" s="54"/>
    </row>
    <row r="259">
      <c r="A259" s="54"/>
      <c r="B259" s="110">
        <v>45818.0</v>
      </c>
      <c r="C259" s="100" t="s">
        <v>123</v>
      </c>
      <c r="D259" s="101" t="s">
        <v>398</v>
      </c>
      <c r="E259" s="100">
        <v>2339261.0</v>
      </c>
      <c r="F259" s="99">
        <f t="shared" si="39"/>
        <v>865</v>
      </c>
      <c r="G259" s="101">
        <v>600.0</v>
      </c>
      <c r="H259" s="101">
        <v>265.0</v>
      </c>
      <c r="I259" s="101">
        <v>269.43</v>
      </c>
      <c r="J259" s="102">
        <f t="shared" si="37"/>
        <v>-4.43</v>
      </c>
      <c r="K259" s="103">
        <f t="shared" si="38"/>
        <v>30.63583815</v>
      </c>
      <c r="L259" s="54"/>
      <c r="M259" s="54"/>
      <c r="N259" s="54"/>
      <c r="O259" s="54"/>
      <c r="P259" s="54"/>
      <c r="Q259" s="54"/>
    </row>
    <row r="260">
      <c r="A260" s="54"/>
      <c r="B260" s="110">
        <v>45819.0</v>
      </c>
      <c r="C260" s="100" t="s">
        <v>123</v>
      </c>
      <c r="D260" s="101" t="s">
        <v>398</v>
      </c>
      <c r="E260" s="100">
        <v>2340577.0</v>
      </c>
      <c r="F260" s="99">
        <f t="shared" si="39"/>
        <v>1316</v>
      </c>
      <c r="G260" s="101">
        <v>600.0</v>
      </c>
      <c r="H260" s="101">
        <v>419.0</v>
      </c>
      <c r="I260" s="101">
        <v>423.0</v>
      </c>
      <c r="J260" s="102">
        <f t="shared" si="37"/>
        <v>-4</v>
      </c>
      <c r="K260" s="103">
        <f t="shared" si="38"/>
        <v>31.83890578</v>
      </c>
      <c r="L260" s="54"/>
      <c r="M260" s="54"/>
      <c r="N260" s="54"/>
      <c r="O260" s="54"/>
      <c r="P260" s="54"/>
      <c r="Q260" s="54"/>
    </row>
    <row r="261">
      <c r="A261" s="54"/>
      <c r="B261" s="110">
        <v>45823.0</v>
      </c>
      <c r="C261" s="100" t="s">
        <v>152</v>
      </c>
      <c r="D261" s="101" t="s">
        <v>398</v>
      </c>
      <c r="E261" s="100">
        <v>2341570.0</v>
      </c>
      <c r="F261" s="99">
        <f t="shared" si="39"/>
        <v>993</v>
      </c>
      <c r="G261" s="101">
        <v>600.0</v>
      </c>
      <c r="H261" s="101">
        <v>307.0</v>
      </c>
      <c r="I261" s="101">
        <v>296.58</v>
      </c>
      <c r="J261" s="102">
        <f t="shared" si="37"/>
        <v>10.42</v>
      </c>
      <c r="K261" s="103">
        <f t="shared" si="38"/>
        <v>30.9164149</v>
      </c>
      <c r="L261" s="54"/>
      <c r="M261" s="54"/>
      <c r="N261" s="54"/>
      <c r="O261" s="54"/>
      <c r="P261" s="54"/>
      <c r="Q261" s="54"/>
    </row>
    <row r="262">
      <c r="A262" s="54"/>
      <c r="B262" s="110">
        <v>45825.0</v>
      </c>
      <c r="C262" s="100" t="s">
        <v>123</v>
      </c>
      <c r="D262" s="101" t="s">
        <v>398</v>
      </c>
      <c r="E262" s="100">
        <v>2343267.0</v>
      </c>
      <c r="F262" s="99">
        <f t="shared" si="39"/>
        <v>1697</v>
      </c>
      <c r="G262" s="101">
        <v>600.0</v>
      </c>
      <c r="H262" s="101">
        <v>445.0</v>
      </c>
      <c r="I262" s="101">
        <v>420.71</v>
      </c>
      <c r="J262" s="102">
        <f t="shared" si="37"/>
        <v>24.29</v>
      </c>
      <c r="K262" s="103">
        <f t="shared" si="38"/>
        <v>26.22274602</v>
      </c>
      <c r="L262" s="54"/>
      <c r="M262" s="54"/>
      <c r="N262" s="54"/>
      <c r="O262" s="54"/>
      <c r="P262" s="54"/>
      <c r="Q262" s="54"/>
    </row>
    <row r="263">
      <c r="A263" s="54"/>
      <c r="B263" s="110">
        <v>45827.0</v>
      </c>
      <c r="C263" s="100" t="s">
        <v>123</v>
      </c>
      <c r="D263" s="101" t="s">
        <v>398</v>
      </c>
      <c r="E263" s="100">
        <v>2344334.0</v>
      </c>
      <c r="F263" s="99">
        <f t="shared" si="39"/>
        <v>1067</v>
      </c>
      <c r="G263" s="101">
        <v>600.0</v>
      </c>
      <c r="H263" s="101">
        <v>350.0</v>
      </c>
      <c r="I263" s="101">
        <v>354.59</v>
      </c>
      <c r="J263" s="102">
        <f t="shared" si="37"/>
        <v>-4.59</v>
      </c>
      <c r="K263" s="103">
        <f t="shared" si="38"/>
        <v>32.8022493</v>
      </c>
      <c r="L263" s="54"/>
      <c r="M263" s="54"/>
      <c r="N263" s="54"/>
      <c r="O263" s="54"/>
      <c r="P263" s="54"/>
      <c r="Q263" s="54"/>
    </row>
    <row r="264">
      <c r="A264" s="54"/>
      <c r="B264" s="110">
        <v>45828.0</v>
      </c>
      <c r="C264" s="100" t="s">
        <v>123</v>
      </c>
      <c r="D264" s="101" t="s">
        <v>398</v>
      </c>
      <c r="E264" s="100">
        <v>2345391.0</v>
      </c>
      <c r="F264" s="99">
        <f t="shared" si="39"/>
        <v>1057</v>
      </c>
      <c r="G264" s="101">
        <v>600.0</v>
      </c>
      <c r="H264" s="101">
        <v>345.0</v>
      </c>
      <c r="I264" s="101">
        <v>350.0</v>
      </c>
      <c r="J264" s="102">
        <f t="shared" si="37"/>
        <v>-5</v>
      </c>
      <c r="K264" s="103">
        <f t="shared" si="38"/>
        <v>32.63954588</v>
      </c>
      <c r="L264" s="54"/>
      <c r="M264" s="54"/>
      <c r="N264" s="54"/>
      <c r="O264" s="54"/>
      <c r="P264" s="54"/>
      <c r="Q264" s="54"/>
    </row>
    <row r="265">
      <c r="A265" s="54"/>
      <c r="B265" s="110">
        <v>45830.0</v>
      </c>
      <c r="C265" s="100" t="s">
        <v>123</v>
      </c>
      <c r="D265" s="101" t="s">
        <v>398</v>
      </c>
      <c r="E265" s="100">
        <v>2346522.0</v>
      </c>
      <c r="F265" s="99">
        <f t="shared" si="39"/>
        <v>1131</v>
      </c>
      <c r="G265" s="101">
        <v>600.0</v>
      </c>
      <c r="H265" s="101">
        <v>371.0</v>
      </c>
      <c r="I265" s="101">
        <v>364.73</v>
      </c>
      <c r="J265" s="102">
        <f t="shared" si="37"/>
        <v>6.27</v>
      </c>
      <c r="K265" s="103">
        <f t="shared" si="38"/>
        <v>32.80282935</v>
      </c>
      <c r="L265" s="54"/>
      <c r="M265" s="54"/>
      <c r="N265" s="54"/>
      <c r="O265" s="54"/>
      <c r="P265" s="54"/>
      <c r="Q265" s="54"/>
    </row>
    <row r="266">
      <c r="A266" s="54"/>
      <c r="B266" s="110">
        <v>45832.0</v>
      </c>
      <c r="C266" s="100" t="s">
        <v>123</v>
      </c>
      <c r="D266" s="101" t="s">
        <v>398</v>
      </c>
      <c r="E266" s="100">
        <v>2347967.0</v>
      </c>
      <c r="F266" s="99">
        <f t="shared" si="39"/>
        <v>1445</v>
      </c>
      <c r="G266" s="101">
        <v>600.0</v>
      </c>
      <c r="H266" s="101">
        <v>456.0</v>
      </c>
      <c r="I266" s="101">
        <v>435.51</v>
      </c>
      <c r="J266" s="102">
        <f t="shared" si="37"/>
        <v>20.49</v>
      </c>
      <c r="K266" s="103">
        <f t="shared" si="38"/>
        <v>31.55709343</v>
      </c>
      <c r="L266" s="54"/>
      <c r="M266" s="54"/>
      <c r="N266" s="54"/>
      <c r="O266" s="54"/>
      <c r="P266" s="54"/>
      <c r="Q266" s="54"/>
    </row>
    <row r="267">
      <c r="A267" s="68"/>
      <c r="B267" s="203" t="str">
        <f>IF(L267=4,"АПРЕЛЬ",IF(L267=5,"МАЙ",IF(L267=1,"ЯНВАРЬ",IF(L267=2,"ФЕВРАЛЬ",IF(L267=3,"МАРТ",IF(L267=6,"ИЮНЬ",IF(L267=7,"ИЮЛЬ",IF(L267=8,"АВГУСТ",IF(L267=9,"СЕНТЯБРЬ",IF(L267=10,"ОКТЯБРЬ",IF(L267=11,"НОЯБРЬ",IF(L267=12,"ДЕКАБРЬ"))))))))))))</f>
        <v>ИЮЛЬ</v>
      </c>
      <c r="J267" s="66"/>
      <c r="K267" s="204"/>
      <c r="L267" s="91">
        <f>MONTH(B268)</f>
        <v>7</v>
      </c>
      <c r="M267" s="66"/>
      <c r="N267" s="66"/>
      <c r="O267" s="66"/>
      <c r="P267" s="66"/>
      <c r="Q267" s="66"/>
      <c r="R267" s="66"/>
      <c r="S267" s="372"/>
      <c r="T267" s="66"/>
      <c r="U267" s="66"/>
      <c r="V267" s="66"/>
      <c r="W267" s="66"/>
      <c r="X267" s="66"/>
      <c r="Y267" s="66"/>
      <c r="Z267" s="66"/>
      <c r="AA267" s="66"/>
      <c r="AB267" s="242"/>
      <c r="AC267" s="66"/>
      <c r="AD267" s="66"/>
    </row>
    <row r="268">
      <c r="A268" s="54"/>
      <c r="B268" s="110">
        <v>45845.0</v>
      </c>
      <c r="C268" s="100" t="s">
        <v>123</v>
      </c>
      <c r="D268" s="101" t="s">
        <v>398</v>
      </c>
      <c r="E268" s="100">
        <v>2349076.0</v>
      </c>
      <c r="F268" s="99">
        <f>E268-E266</f>
        <v>1109</v>
      </c>
      <c r="G268" s="101">
        <v>600.0</v>
      </c>
      <c r="H268" s="101">
        <v>371.0</v>
      </c>
      <c r="I268" s="101">
        <v>374.97</v>
      </c>
      <c r="J268" s="102">
        <f t="shared" ref="J268:J270" si="40">H268-I268</f>
        <v>-3.97</v>
      </c>
      <c r="K268" s="103">
        <f t="shared" ref="K268:K270" si="41">I268/F268*100</f>
        <v>33.81154193</v>
      </c>
      <c r="L268" s="54"/>
      <c r="M268" s="82" t="str">
        <f>"тотал"&amp;" "&amp;B267&amp;" "&amp;RIGHT(YEAR(B268),2)</f>
        <v>тотал ИЮЛЬ 25</v>
      </c>
      <c r="N268" s="75"/>
      <c r="O268" s="75"/>
      <c r="P268" s="75"/>
      <c r="Q268" s="76"/>
    </row>
    <row r="269">
      <c r="A269" s="54"/>
      <c r="B269" s="110">
        <v>45847.0</v>
      </c>
      <c r="C269" s="100" t="s">
        <v>123</v>
      </c>
      <c r="D269" s="101" t="s">
        <v>398</v>
      </c>
      <c r="E269" s="100">
        <v>2350470.0</v>
      </c>
      <c r="F269" s="99">
        <f t="shared" ref="F269:F270" si="42">E269-E268</f>
        <v>1394</v>
      </c>
      <c r="G269" s="101">
        <v>600.0</v>
      </c>
      <c r="H269" s="101">
        <v>424.0</v>
      </c>
      <c r="I269" s="101">
        <v>420.76</v>
      </c>
      <c r="J269" s="102">
        <f t="shared" si="40"/>
        <v>3.24</v>
      </c>
      <c r="K269" s="103">
        <f t="shared" si="41"/>
        <v>30.18364419</v>
      </c>
      <c r="L269" s="54"/>
      <c r="M269" s="198" t="s">
        <v>70</v>
      </c>
      <c r="N269" s="198" t="s">
        <v>71</v>
      </c>
      <c r="O269" s="198" t="s">
        <v>27</v>
      </c>
      <c r="P269" s="77" t="s">
        <v>28</v>
      </c>
      <c r="Q269" s="12" t="s">
        <v>78</v>
      </c>
    </row>
    <row r="270">
      <c r="A270" s="54"/>
      <c r="B270" s="110">
        <v>45849.0</v>
      </c>
      <c r="C270" s="100" t="s">
        <v>123</v>
      </c>
      <c r="D270" s="101" t="s">
        <v>398</v>
      </c>
      <c r="E270" s="100">
        <v>2351981.0</v>
      </c>
      <c r="F270" s="99">
        <f t="shared" si="42"/>
        <v>1511</v>
      </c>
      <c r="G270" s="101">
        <v>600.0</v>
      </c>
      <c r="H270" s="101">
        <v>488.0</v>
      </c>
      <c r="I270" s="101">
        <v>477.34</v>
      </c>
      <c r="J270" s="102">
        <f t="shared" si="40"/>
        <v>10.66</v>
      </c>
      <c r="K270" s="103">
        <f t="shared" si="41"/>
        <v>31.59099934</v>
      </c>
      <c r="L270" s="54"/>
      <c r="M270" s="199">
        <f>SUM(F268:F270)</f>
        <v>4014</v>
      </c>
      <c r="N270" s="199">
        <f>SUM(I268:I270)</f>
        <v>1273.07</v>
      </c>
      <c r="O270" s="428">
        <f>N270/M270*100</f>
        <v>31.71574489</v>
      </c>
      <c r="P270" s="79">
        <f>(M270/100)*(O270-Q270)</f>
        <v>68.87</v>
      </c>
      <c r="Q270" s="78">
        <v>30.0</v>
      </c>
    </row>
    <row r="271">
      <c r="A271" s="68"/>
      <c r="B271" s="203" t="str">
        <f>IF(L271=4,"АПРЕЛЬ",IF(L271=5,"МАЙ",IF(L271=1,"ЯНВАРЬ",IF(L271=2,"ФЕВРАЛЬ",IF(L271=3,"МАРТ",IF(L271=6,"ИЮНЬ",IF(L271=7,"ИЮЛЬ",IF(L271=8,"АВГУСТ",IF(L271=9,"СЕНТЯБРЬ",IF(L271=10,"ОКТЯБРЬ",IF(L271=11,"НОЯБРЬ",IF(L271=12,"ДЕКАБРЬ"))))))))))))</f>
        <v>АВГУСТ</v>
      </c>
      <c r="J271" s="66"/>
      <c r="K271" s="204"/>
      <c r="L271" s="91">
        <f>MONTH(B272)</f>
        <v>8</v>
      </c>
      <c r="M271" s="66"/>
      <c r="N271" s="66"/>
      <c r="O271" s="66"/>
      <c r="P271" s="66"/>
      <c r="Q271" s="66"/>
      <c r="R271" s="66"/>
      <c r="S271" s="372"/>
      <c r="T271" s="66"/>
      <c r="U271" s="66"/>
      <c r="V271" s="66"/>
      <c r="W271" s="66"/>
      <c r="X271" s="66"/>
      <c r="Y271" s="66"/>
      <c r="Z271" s="66"/>
      <c r="AA271" s="66"/>
      <c r="AB271" s="242"/>
      <c r="AC271" s="66"/>
      <c r="AD271" s="66"/>
    </row>
    <row r="272">
      <c r="A272" s="54"/>
      <c r="B272" s="110">
        <v>45872.0</v>
      </c>
      <c r="C272" s="100" t="s">
        <v>123</v>
      </c>
      <c r="D272" s="101" t="s">
        <v>398</v>
      </c>
      <c r="E272" s="100">
        <v>2353192.0</v>
      </c>
      <c r="F272" s="99">
        <f>E272-E270</f>
        <v>1211</v>
      </c>
      <c r="G272" s="101">
        <v>600.0</v>
      </c>
      <c r="H272" s="101">
        <v>392.0</v>
      </c>
      <c r="I272" s="101">
        <v>383.88</v>
      </c>
      <c r="J272" s="102">
        <f t="shared" ref="J272:J290" si="43">H272-I272</f>
        <v>8.12</v>
      </c>
      <c r="K272" s="103">
        <f t="shared" ref="K272:K290" si="44">I272/F272*100</f>
        <v>31.69942197</v>
      </c>
      <c r="L272" s="54"/>
      <c r="M272" s="82" t="str">
        <f>"тотал"&amp;" "&amp;B271&amp;" "&amp;RIGHT(YEAR(B272),2)</f>
        <v>тотал АВГУСТ 25</v>
      </c>
      <c r="N272" s="75"/>
      <c r="O272" s="75"/>
      <c r="P272" s="75"/>
      <c r="Q272" s="76"/>
    </row>
    <row r="273">
      <c r="A273" s="54"/>
      <c r="B273" s="110">
        <v>45874.0</v>
      </c>
      <c r="C273" s="100" t="s">
        <v>123</v>
      </c>
      <c r="D273" s="101" t="s">
        <v>398</v>
      </c>
      <c r="E273" s="100">
        <v>2353966.0</v>
      </c>
      <c r="F273" s="99">
        <f t="shared" ref="F273:F290" si="45">E273-E272</f>
        <v>774</v>
      </c>
      <c r="G273" s="101">
        <v>600.0</v>
      </c>
      <c r="H273" s="101">
        <v>233.0</v>
      </c>
      <c r="I273" s="101">
        <v>238.14</v>
      </c>
      <c r="J273" s="102">
        <f t="shared" si="43"/>
        <v>-5.14</v>
      </c>
      <c r="K273" s="103">
        <f t="shared" si="44"/>
        <v>30.76744186</v>
      </c>
      <c r="L273" s="54"/>
      <c r="M273" s="198" t="s">
        <v>70</v>
      </c>
      <c r="N273" s="198" t="s">
        <v>71</v>
      </c>
      <c r="O273" s="198" t="s">
        <v>27</v>
      </c>
      <c r="P273" s="77" t="s">
        <v>28</v>
      </c>
      <c r="Q273" s="12" t="s">
        <v>78</v>
      </c>
    </row>
    <row r="274">
      <c r="A274" s="54"/>
      <c r="B274" s="110">
        <v>45876.0</v>
      </c>
      <c r="C274" s="100" t="s">
        <v>123</v>
      </c>
      <c r="D274" s="101" t="s">
        <v>398</v>
      </c>
      <c r="E274" s="100">
        <v>2355478.0</v>
      </c>
      <c r="F274" s="99">
        <f t="shared" si="45"/>
        <v>1512</v>
      </c>
      <c r="G274" s="101">
        <v>600.0</v>
      </c>
      <c r="H274" s="101">
        <v>488.0</v>
      </c>
      <c r="I274" s="101">
        <v>481.01</v>
      </c>
      <c r="J274" s="102">
        <f t="shared" si="43"/>
        <v>6.99</v>
      </c>
      <c r="K274" s="103">
        <f t="shared" si="44"/>
        <v>31.81283069</v>
      </c>
      <c r="L274" s="54"/>
      <c r="M274" s="199">
        <f>SUM(F272:F290)</f>
        <v>18575</v>
      </c>
      <c r="N274" s="199">
        <f>SUM(I272:I290)</f>
        <v>5857.76</v>
      </c>
      <c r="O274" s="428">
        <f>N274/M274*100</f>
        <v>31.53572005</v>
      </c>
      <c r="P274" s="79">
        <f>(M274/100)*(O274-Q274)</f>
        <v>285.26</v>
      </c>
      <c r="Q274" s="78">
        <v>30.0</v>
      </c>
    </row>
    <row r="275">
      <c r="A275" s="54"/>
      <c r="B275" s="110">
        <v>45877.0</v>
      </c>
      <c r="C275" s="100" t="s">
        <v>123</v>
      </c>
      <c r="D275" s="101" t="s">
        <v>398</v>
      </c>
      <c r="E275" s="100">
        <v>2356534.0</v>
      </c>
      <c r="F275" s="99">
        <f t="shared" si="45"/>
        <v>1056</v>
      </c>
      <c r="G275" s="101">
        <v>600.0</v>
      </c>
      <c r="H275" s="101">
        <v>329.0</v>
      </c>
      <c r="I275" s="101">
        <v>330.95</v>
      </c>
      <c r="J275" s="102">
        <f t="shared" si="43"/>
        <v>-1.95</v>
      </c>
      <c r="K275" s="103">
        <f t="shared" si="44"/>
        <v>31.33996212</v>
      </c>
      <c r="L275" s="54"/>
      <c r="M275" s="54"/>
      <c r="N275" s="54"/>
      <c r="O275" s="54"/>
      <c r="P275" s="54"/>
      <c r="Q275" s="54"/>
    </row>
    <row r="276">
      <c r="A276" s="54"/>
      <c r="B276" s="110">
        <v>45881.0</v>
      </c>
      <c r="C276" s="100" t="s">
        <v>123</v>
      </c>
      <c r="D276" s="101" t="s">
        <v>398</v>
      </c>
      <c r="E276" s="100">
        <v>2357777.0</v>
      </c>
      <c r="F276" s="99">
        <f t="shared" si="45"/>
        <v>1243</v>
      </c>
      <c r="G276" s="101">
        <v>600.0</v>
      </c>
      <c r="H276" s="101">
        <v>392.0</v>
      </c>
      <c r="I276" s="101">
        <v>401.0</v>
      </c>
      <c r="J276" s="102">
        <f t="shared" si="43"/>
        <v>-9</v>
      </c>
      <c r="K276" s="103">
        <f t="shared" si="44"/>
        <v>32.26065969</v>
      </c>
      <c r="L276" s="54"/>
      <c r="M276" s="54"/>
      <c r="N276" s="54"/>
      <c r="O276" s="54"/>
      <c r="P276" s="54"/>
      <c r="Q276" s="54"/>
    </row>
    <row r="277">
      <c r="A277" s="54"/>
      <c r="B277" s="110">
        <v>45882.0</v>
      </c>
      <c r="C277" s="100" t="s">
        <v>123</v>
      </c>
      <c r="D277" s="101" t="s">
        <v>398</v>
      </c>
      <c r="E277" s="100">
        <v>2358645.0</v>
      </c>
      <c r="F277" s="99">
        <f t="shared" si="45"/>
        <v>868</v>
      </c>
      <c r="G277" s="101">
        <v>600.0</v>
      </c>
      <c r="H277" s="101">
        <v>265.0</v>
      </c>
      <c r="I277" s="101">
        <v>274.59</v>
      </c>
      <c r="J277" s="102">
        <f t="shared" si="43"/>
        <v>-9.59</v>
      </c>
      <c r="K277" s="103">
        <f t="shared" si="44"/>
        <v>31.63479263</v>
      </c>
      <c r="L277" s="54"/>
      <c r="M277" s="54"/>
      <c r="N277" s="54"/>
      <c r="O277" s="54"/>
      <c r="P277" s="54"/>
      <c r="Q277" s="54"/>
    </row>
    <row r="278">
      <c r="A278" s="54"/>
      <c r="B278" s="110">
        <v>45883.0</v>
      </c>
      <c r="C278" s="100" t="s">
        <v>123</v>
      </c>
      <c r="D278" s="101" t="s">
        <v>398</v>
      </c>
      <c r="E278" s="100">
        <v>2359895.0</v>
      </c>
      <c r="F278" s="99">
        <f t="shared" si="45"/>
        <v>1250</v>
      </c>
      <c r="G278" s="101">
        <v>600.0</v>
      </c>
      <c r="H278" s="101">
        <v>403.0</v>
      </c>
      <c r="I278" s="101">
        <v>400.26</v>
      </c>
      <c r="J278" s="102">
        <f t="shared" si="43"/>
        <v>2.74</v>
      </c>
      <c r="K278" s="103">
        <f t="shared" si="44"/>
        <v>32.0208</v>
      </c>
      <c r="L278" s="54"/>
      <c r="M278" s="54"/>
      <c r="N278" s="54"/>
      <c r="O278" s="54"/>
      <c r="P278" s="54"/>
      <c r="Q278" s="54"/>
    </row>
    <row r="279">
      <c r="A279" s="54"/>
      <c r="B279" s="110">
        <v>45885.0</v>
      </c>
      <c r="C279" s="100" t="s">
        <v>123</v>
      </c>
      <c r="D279" s="101" t="s">
        <v>398</v>
      </c>
      <c r="E279" s="100">
        <v>2361406.0</v>
      </c>
      <c r="F279" s="99">
        <f t="shared" si="45"/>
        <v>1511</v>
      </c>
      <c r="G279" s="101">
        <v>600.0</v>
      </c>
      <c r="H279" s="101">
        <v>472.0</v>
      </c>
      <c r="I279" s="101">
        <v>467.88</v>
      </c>
      <c r="J279" s="102">
        <f t="shared" si="43"/>
        <v>4.12</v>
      </c>
      <c r="K279" s="103">
        <f t="shared" si="44"/>
        <v>30.96492389</v>
      </c>
      <c r="L279" s="54"/>
      <c r="M279" s="54"/>
      <c r="N279" s="54"/>
      <c r="O279" s="54"/>
      <c r="P279" s="54"/>
      <c r="Q279" s="54"/>
    </row>
    <row r="280">
      <c r="A280" s="54"/>
      <c r="B280" s="110">
        <v>45887.0</v>
      </c>
      <c r="C280" s="100" t="s">
        <v>123</v>
      </c>
      <c r="D280" s="101" t="s">
        <v>398</v>
      </c>
      <c r="E280" s="100">
        <v>2362761.0</v>
      </c>
      <c r="F280" s="99">
        <f t="shared" si="45"/>
        <v>1355</v>
      </c>
      <c r="G280" s="101">
        <v>547.0</v>
      </c>
      <c r="H280" s="101">
        <v>360.0</v>
      </c>
      <c r="I280" s="101">
        <v>350.0</v>
      </c>
      <c r="J280" s="102">
        <f t="shared" si="43"/>
        <v>10</v>
      </c>
      <c r="K280" s="103">
        <f t="shared" si="44"/>
        <v>25.8302583</v>
      </c>
      <c r="L280" s="54"/>
      <c r="M280" s="54"/>
      <c r="N280" s="54"/>
      <c r="O280" s="54"/>
      <c r="P280" s="54"/>
      <c r="Q280" s="54"/>
    </row>
    <row r="281">
      <c r="A281" s="54"/>
      <c r="B281" s="110">
        <v>45887.0</v>
      </c>
      <c r="C281" s="100" t="s">
        <v>123</v>
      </c>
      <c r="D281" s="101" t="s">
        <v>398</v>
      </c>
      <c r="E281" s="100">
        <v>2362955.0</v>
      </c>
      <c r="F281" s="99">
        <f t="shared" si="45"/>
        <v>194</v>
      </c>
      <c r="G281" s="101">
        <v>600.0</v>
      </c>
      <c r="H281" s="101">
        <v>117.0</v>
      </c>
      <c r="I281" s="101">
        <v>130.05</v>
      </c>
      <c r="J281" s="102">
        <f t="shared" si="43"/>
        <v>-13.05</v>
      </c>
      <c r="K281" s="103">
        <f t="shared" si="44"/>
        <v>67.03608247</v>
      </c>
      <c r="L281" s="54"/>
      <c r="M281" s="54"/>
      <c r="N281" s="54"/>
      <c r="O281" s="54"/>
      <c r="P281" s="54"/>
      <c r="Q281" s="54"/>
    </row>
    <row r="282">
      <c r="A282" s="54"/>
      <c r="B282" s="110">
        <v>45889.0</v>
      </c>
      <c r="C282" s="100" t="s">
        <v>123</v>
      </c>
      <c r="D282" s="101" t="s">
        <v>398</v>
      </c>
      <c r="E282" s="100">
        <v>2364273.0</v>
      </c>
      <c r="F282" s="99">
        <f t="shared" si="45"/>
        <v>1318</v>
      </c>
      <c r="G282" s="101">
        <v>600.0</v>
      </c>
      <c r="H282" s="101">
        <v>398.0</v>
      </c>
      <c r="I282" s="101">
        <v>400.0</v>
      </c>
      <c r="J282" s="102">
        <f t="shared" si="43"/>
        <v>-2</v>
      </c>
      <c r="K282" s="103">
        <f t="shared" si="44"/>
        <v>30.34901366</v>
      </c>
      <c r="L282" s="54"/>
      <c r="M282" s="54"/>
      <c r="N282" s="54"/>
      <c r="O282" s="54"/>
      <c r="P282" s="54"/>
      <c r="Q282" s="54"/>
    </row>
    <row r="283">
      <c r="A283" s="54"/>
      <c r="B283" s="110">
        <v>45889.0</v>
      </c>
      <c r="C283" s="100" t="s">
        <v>123</v>
      </c>
      <c r="D283" s="101" t="s">
        <v>398</v>
      </c>
      <c r="E283" s="100">
        <v>2364535.0</v>
      </c>
      <c r="F283" s="99">
        <f t="shared" si="45"/>
        <v>262</v>
      </c>
      <c r="G283" s="101">
        <v>600.0</v>
      </c>
      <c r="H283" s="101">
        <v>85.0</v>
      </c>
      <c r="I283" s="101">
        <v>100.0</v>
      </c>
      <c r="J283" s="102">
        <f t="shared" si="43"/>
        <v>-15</v>
      </c>
      <c r="K283" s="103">
        <f t="shared" si="44"/>
        <v>38.16793893</v>
      </c>
      <c r="L283" s="54"/>
      <c r="M283" s="54"/>
      <c r="N283" s="54"/>
      <c r="O283" s="54"/>
      <c r="P283" s="54"/>
      <c r="Q283" s="54"/>
    </row>
    <row r="284">
      <c r="A284" s="54"/>
      <c r="B284" s="110">
        <v>45891.0</v>
      </c>
      <c r="C284" s="100" t="s">
        <v>123</v>
      </c>
      <c r="D284" s="101" t="s">
        <v>398</v>
      </c>
      <c r="E284" s="100">
        <v>2365787.0</v>
      </c>
      <c r="F284" s="99">
        <f t="shared" si="45"/>
        <v>1252</v>
      </c>
      <c r="G284" s="101">
        <v>521.0</v>
      </c>
      <c r="H284" s="101">
        <v>313.0</v>
      </c>
      <c r="I284" s="101">
        <v>400.0</v>
      </c>
      <c r="J284" s="102">
        <f t="shared" si="43"/>
        <v>-87</v>
      </c>
      <c r="K284" s="103">
        <f t="shared" si="44"/>
        <v>31.94888179</v>
      </c>
      <c r="L284" s="54"/>
      <c r="M284" s="54"/>
      <c r="N284" s="54"/>
      <c r="O284" s="54"/>
      <c r="P284" s="54"/>
      <c r="Q284" s="54"/>
    </row>
    <row r="285">
      <c r="A285" s="54"/>
      <c r="B285" s="110">
        <v>45893.0</v>
      </c>
      <c r="C285" s="100" t="s">
        <v>123</v>
      </c>
      <c r="D285" s="101" t="s">
        <v>398</v>
      </c>
      <c r="E285" s="100">
        <v>2367014.0</v>
      </c>
      <c r="F285" s="99">
        <f t="shared" si="45"/>
        <v>1227</v>
      </c>
      <c r="G285" s="101">
        <v>526.0</v>
      </c>
      <c r="H285" s="101">
        <v>313.0</v>
      </c>
      <c r="I285" s="101">
        <v>300.0</v>
      </c>
      <c r="J285" s="102">
        <f t="shared" si="43"/>
        <v>13</v>
      </c>
      <c r="K285" s="103">
        <f t="shared" si="44"/>
        <v>24.44987775</v>
      </c>
      <c r="L285" s="54"/>
      <c r="M285" s="54"/>
      <c r="N285" s="54"/>
      <c r="O285" s="54"/>
      <c r="P285" s="54"/>
      <c r="Q285" s="54"/>
    </row>
    <row r="286">
      <c r="A286" s="54"/>
      <c r="B286" s="110">
        <v>45894.0</v>
      </c>
      <c r="C286" s="100" t="s">
        <v>123</v>
      </c>
      <c r="D286" s="101" t="s">
        <v>398</v>
      </c>
      <c r="E286" s="100">
        <v>2367531.0</v>
      </c>
      <c r="F286" s="99">
        <f t="shared" si="45"/>
        <v>517</v>
      </c>
      <c r="G286" s="101">
        <v>568.0</v>
      </c>
      <c r="H286" s="101">
        <v>212.0</v>
      </c>
      <c r="I286" s="101">
        <v>200.0</v>
      </c>
      <c r="J286" s="102">
        <f t="shared" si="43"/>
        <v>12</v>
      </c>
      <c r="K286" s="103">
        <f t="shared" si="44"/>
        <v>38.68471954</v>
      </c>
      <c r="L286" s="54"/>
      <c r="M286" s="54"/>
      <c r="N286" s="54"/>
      <c r="O286" s="54"/>
      <c r="P286" s="54"/>
      <c r="Q286" s="54"/>
    </row>
    <row r="287">
      <c r="A287" s="54"/>
      <c r="B287" s="110">
        <v>45896.0</v>
      </c>
      <c r="C287" s="100" t="s">
        <v>123</v>
      </c>
      <c r="D287" s="101" t="s">
        <v>398</v>
      </c>
      <c r="E287" s="100">
        <v>2368436.0</v>
      </c>
      <c r="F287" s="99">
        <f t="shared" si="45"/>
        <v>905</v>
      </c>
      <c r="G287" s="101">
        <v>367.0</v>
      </c>
      <c r="H287" s="101">
        <v>111.0</v>
      </c>
      <c r="I287" s="101">
        <v>100.0</v>
      </c>
      <c r="J287" s="102">
        <f t="shared" si="43"/>
        <v>11</v>
      </c>
      <c r="K287" s="103">
        <f t="shared" si="44"/>
        <v>11.04972376</v>
      </c>
      <c r="L287" s="54"/>
      <c r="M287" s="54"/>
      <c r="N287" s="54"/>
      <c r="O287" s="54"/>
      <c r="P287" s="54"/>
      <c r="Q287" s="54"/>
    </row>
    <row r="288">
      <c r="A288" s="54"/>
      <c r="B288" s="110">
        <v>45896.0</v>
      </c>
      <c r="C288" s="100" t="s">
        <v>123</v>
      </c>
      <c r="D288" s="101" t="s">
        <v>398</v>
      </c>
      <c r="E288" s="100">
        <v>2369044.0</v>
      </c>
      <c r="F288" s="99">
        <f t="shared" si="45"/>
        <v>608</v>
      </c>
      <c r="G288" s="101">
        <v>584.0</v>
      </c>
      <c r="H288" s="101">
        <v>424.0</v>
      </c>
      <c r="I288" s="101">
        <v>400.0</v>
      </c>
      <c r="J288" s="102">
        <f t="shared" si="43"/>
        <v>24</v>
      </c>
      <c r="K288" s="103">
        <f t="shared" si="44"/>
        <v>65.78947368</v>
      </c>
      <c r="L288" s="54"/>
      <c r="M288" s="54"/>
      <c r="N288" s="54"/>
      <c r="O288" s="54"/>
      <c r="P288" s="54"/>
      <c r="Q288" s="54"/>
    </row>
    <row r="289">
      <c r="A289" s="54"/>
      <c r="B289" s="110">
        <v>45898.0</v>
      </c>
      <c r="C289" s="100" t="s">
        <v>123</v>
      </c>
      <c r="D289" s="101" t="s">
        <v>398</v>
      </c>
      <c r="E289" s="100">
        <v>2369949.0</v>
      </c>
      <c r="F289" s="99">
        <f t="shared" si="45"/>
        <v>905</v>
      </c>
      <c r="G289" s="101">
        <v>383.0</v>
      </c>
      <c r="H289" s="101">
        <v>106.0</v>
      </c>
      <c r="I289" s="101">
        <v>100.0</v>
      </c>
      <c r="J289" s="102">
        <f t="shared" si="43"/>
        <v>6</v>
      </c>
      <c r="K289" s="103">
        <f t="shared" si="44"/>
        <v>11.04972376</v>
      </c>
      <c r="L289" s="54"/>
      <c r="M289" s="54"/>
      <c r="N289" s="54"/>
      <c r="O289" s="54"/>
      <c r="P289" s="54"/>
      <c r="Q289" s="54"/>
    </row>
    <row r="290">
      <c r="A290" s="54"/>
      <c r="B290" s="110">
        <v>45898.0</v>
      </c>
      <c r="C290" s="100" t="s">
        <v>123</v>
      </c>
      <c r="D290" s="101" t="s">
        <v>398</v>
      </c>
      <c r="E290" s="100">
        <v>2370556.0</v>
      </c>
      <c r="F290" s="99">
        <f t="shared" si="45"/>
        <v>607</v>
      </c>
      <c r="G290" s="101">
        <v>600.0</v>
      </c>
      <c r="H290" s="101">
        <v>403.0</v>
      </c>
      <c r="I290" s="101">
        <v>400.0</v>
      </c>
      <c r="J290" s="102">
        <f t="shared" si="43"/>
        <v>3</v>
      </c>
      <c r="K290" s="103">
        <f t="shared" si="44"/>
        <v>65.89785832</v>
      </c>
      <c r="L290" s="54"/>
      <c r="M290" s="54"/>
      <c r="N290" s="54"/>
      <c r="O290" s="54"/>
      <c r="P290" s="54"/>
      <c r="Q290" s="54"/>
    </row>
    <row r="291">
      <c r="A291" s="68"/>
      <c r="B291" s="203" t="str">
        <f>IF(L291=4,"АПРЕЛЬ",IF(L291=5,"МАЙ",IF(L291=1,"ЯНВАРЬ",IF(L291=2,"ФЕВРАЛЬ",IF(L291=3,"МАРТ",IF(L291=6,"ИЮНЬ",IF(L291=7,"ИЮЛЬ",IF(L291=8,"АВГУСТ",IF(L291=9,"СЕНТЯБРЬ",IF(L291=10,"ОКТЯБРЬ",IF(L291=11,"НОЯБРЬ",IF(L291=12,"ДЕКАБРЬ"))))))))))))</f>
        <v>ОКТЯБРЬ</v>
      </c>
      <c r="J291" s="66"/>
      <c r="K291" s="204"/>
      <c r="L291" s="91">
        <f>MONTH(B292)</f>
        <v>10</v>
      </c>
      <c r="M291" s="66"/>
      <c r="N291" s="66"/>
      <c r="O291" s="66"/>
      <c r="P291" s="66"/>
      <c r="Q291" s="66"/>
      <c r="R291" s="66"/>
      <c r="S291" s="372"/>
      <c r="T291" s="66"/>
      <c r="U291" s="66"/>
      <c r="V291" s="66"/>
      <c r="W291" s="66"/>
      <c r="X291" s="66"/>
      <c r="Y291" s="66"/>
      <c r="Z291" s="66"/>
      <c r="AA291" s="66"/>
      <c r="AB291" s="242"/>
      <c r="AC291" s="66"/>
      <c r="AD291" s="66"/>
    </row>
    <row r="292">
      <c r="A292" s="54"/>
      <c r="B292" s="110">
        <v>45937.0</v>
      </c>
      <c r="C292" s="100" t="s">
        <v>79</v>
      </c>
      <c r="D292" s="101" t="s">
        <v>398</v>
      </c>
      <c r="E292" s="100">
        <v>2371702.0</v>
      </c>
      <c r="F292" s="99">
        <f>E292-E290</f>
        <v>1146</v>
      </c>
      <c r="G292" s="101">
        <v>208.0</v>
      </c>
      <c r="H292" s="101">
        <v>101.0</v>
      </c>
      <c r="I292" s="101">
        <v>100.0</v>
      </c>
      <c r="J292" s="102">
        <f t="shared" ref="J292:J293" si="46">H292-I292</f>
        <v>1</v>
      </c>
      <c r="K292" s="103">
        <f t="shared" ref="K292:K293" si="47">I292/F292*100</f>
        <v>8.72600349</v>
      </c>
      <c r="L292" s="54"/>
      <c r="M292" s="82" t="str">
        <f>"тотал"&amp;" "&amp;B291&amp;" "&amp;RIGHT(YEAR(B292),2)</f>
        <v>тотал ОКТЯБРЬ 25</v>
      </c>
      <c r="N292" s="75"/>
      <c r="O292" s="75"/>
      <c r="P292" s="75"/>
      <c r="Q292" s="76"/>
    </row>
    <row r="293">
      <c r="A293" s="54"/>
      <c r="B293" s="110">
        <v>45939.0</v>
      </c>
      <c r="C293" s="100" t="s">
        <v>79</v>
      </c>
      <c r="D293" s="101" t="s">
        <v>398</v>
      </c>
      <c r="E293" s="100">
        <v>2371916.0</v>
      </c>
      <c r="F293" s="99">
        <f>E293-E292</f>
        <v>214</v>
      </c>
      <c r="G293" s="101">
        <v>600.0</v>
      </c>
      <c r="H293" s="101">
        <v>466.0</v>
      </c>
      <c r="I293" s="101">
        <v>455.25</v>
      </c>
      <c r="J293" s="102">
        <f t="shared" si="46"/>
        <v>10.75</v>
      </c>
      <c r="K293" s="103">
        <f t="shared" si="47"/>
        <v>212.7336449</v>
      </c>
      <c r="L293" s="54"/>
      <c r="M293" s="198" t="s">
        <v>70</v>
      </c>
      <c r="N293" s="198" t="s">
        <v>71</v>
      </c>
      <c r="O293" s="198" t="s">
        <v>27</v>
      </c>
      <c r="P293" s="77" t="s">
        <v>28</v>
      </c>
      <c r="Q293" s="12" t="s">
        <v>78</v>
      </c>
    </row>
    <row r="294">
      <c r="A294" s="54"/>
      <c r="B294" s="99"/>
      <c r="C294" s="99"/>
      <c r="D294" s="102"/>
      <c r="E294" s="99"/>
      <c r="F294" s="99"/>
      <c r="G294" s="102"/>
      <c r="H294" s="102"/>
      <c r="I294" s="102"/>
      <c r="J294" s="102"/>
      <c r="K294" s="102"/>
      <c r="L294" s="54"/>
      <c r="M294" s="199">
        <f>SUM(F292:F310)</f>
        <v>1360</v>
      </c>
      <c r="N294" s="199">
        <f>SUM(I292:I310)</f>
        <v>555.25</v>
      </c>
      <c r="O294" s="428">
        <f>N294/M294*100</f>
        <v>40.82720588</v>
      </c>
      <c r="P294" s="79">
        <f>(M294/100)*(O294-Q294)</f>
        <v>147.25</v>
      </c>
      <c r="Q294" s="78">
        <v>30.0</v>
      </c>
    </row>
    <row r="295">
      <c r="A295" s="54"/>
      <c r="B295" s="99"/>
      <c r="C295" s="99"/>
      <c r="D295" s="102"/>
      <c r="E295" s="99"/>
      <c r="F295" s="99"/>
      <c r="G295" s="102"/>
      <c r="H295" s="102"/>
      <c r="I295" s="102"/>
      <c r="J295" s="102"/>
      <c r="K295" s="102"/>
      <c r="L295" s="54"/>
      <c r="M295" s="54"/>
      <c r="N295" s="54"/>
      <c r="O295" s="54"/>
      <c r="P295" s="54"/>
      <c r="Q295" s="54"/>
    </row>
    <row r="296">
      <c r="A296" s="54"/>
      <c r="B296" s="99"/>
      <c r="C296" s="99"/>
      <c r="D296" s="102"/>
      <c r="E296" s="99"/>
      <c r="F296" s="99"/>
      <c r="G296" s="102"/>
      <c r="H296" s="102"/>
      <c r="I296" s="102"/>
      <c r="J296" s="102"/>
      <c r="K296" s="102"/>
      <c r="L296" s="54"/>
      <c r="M296" s="54"/>
      <c r="N296" s="54"/>
      <c r="O296" s="54"/>
      <c r="P296" s="54"/>
      <c r="Q296" s="54"/>
    </row>
    <row r="297">
      <c r="A297" s="54"/>
      <c r="B297" s="99"/>
      <c r="C297" s="99"/>
      <c r="D297" s="102"/>
      <c r="E297" s="99"/>
      <c r="F297" s="99"/>
      <c r="G297" s="102"/>
      <c r="H297" s="102"/>
      <c r="I297" s="102"/>
      <c r="J297" s="102"/>
      <c r="K297" s="102"/>
      <c r="L297" s="54"/>
      <c r="M297" s="54"/>
      <c r="N297" s="54"/>
      <c r="O297" s="54"/>
      <c r="P297" s="54"/>
      <c r="Q297" s="54"/>
    </row>
    <row r="298">
      <c r="A298" s="54"/>
      <c r="B298" s="99"/>
      <c r="C298" s="99"/>
      <c r="D298" s="102"/>
      <c r="E298" s="99"/>
      <c r="F298" s="99"/>
      <c r="G298" s="102"/>
      <c r="H298" s="102"/>
      <c r="I298" s="102"/>
      <c r="J298" s="102"/>
      <c r="K298" s="102"/>
      <c r="L298" s="54"/>
      <c r="M298" s="54"/>
      <c r="N298" s="54"/>
      <c r="O298" s="54"/>
      <c r="P298" s="54"/>
      <c r="Q298" s="54"/>
    </row>
    <row r="299">
      <c r="A299" s="54"/>
      <c r="B299" s="99"/>
      <c r="C299" s="99"/>
      <c r="D299" s="102"/>
      <c r="E299" s="99"/>
      <c r="F299" s="99"/>
      <c r="G299" s="102"/>
      <c r="H299" s="102"/>
      <c r="I299" s="102"/>
      <c r="J299" s="102"/>
      <c r="K299" s="102"/>
      <c r="L299" s="54"/>
      <c r="M299" s="54"/>
      <c r="N299" s="54"/>
      <c r="O299" s="54"/>
      <c r="P299" s="54"/>
      <c r="Q299" s="54"/>
    </row>
    <row r="300">
      <c r="A300" s="54"/>
      <c r="B300" s="99"/>
      <c r="C300" s="99"/>
      <c r="D300" s="102"/>
      <c r="E300" s="99"/>
      <c r="F300" s="99"/>
      <c r="G300" s="102"/>
      <c r="H300" s="102"/>
      <c r="I300" s="102"/>
      <c r="J300" s="102"/>
      <c r="K300" s="102"/>
      <c r="L300" s="54"/>
      <c r="M300" s="54"/>
      <c r="N300" s="54"/>
      <c r="O300" s="54"/>
      <c r="P300" s="54"/>
      <c r="Q300" s="54"/>
    </row>
    <row r="301">
      <c r="A301" s="54"/>
      <c r="B301" s="99"/>
      <c r="C301" s="99"/>
      <c r="D301" s="102"/>
      <c r="E301" s="99"/>
      <c r="F301" s="99"/>
      <c r="G301" s="102"/>
      <c r="H301" s="102"/>
      <c r="I301" s="102"/>
      <c r="J301" s="102"/>
      <c r="K301" s="102"/>
      <c r="L301" s="54"/>
      <c r="M301" s="54"/>
      <c r="N301" s="54"/>
      <c r="O301" s="54"/>
      <c r="P301" s="54"/>
      <c r="Q301" s="54"/>
    </row>
    <row r="302">
      <c r="A302" s="54"/>
      <c r="B302" s="99"/>
      <c r="C302" s="99"/>
      <c r="D302" s="102"/>
      <c r="E302" s="99"/>
      <c r="F302" s="99"/>
      <c r="G302" s="102"/>
      <c r="H302" s="102"/>
      <c r="I302" s="102"/>
      <c r="J302" s="102"/>
      <c r="K302" s="102"/>
      <c r="L302" s="54"/>
      <c r="M302" s="54"/>
      <c r="N302" s="54"/>
      <c r="O302" s="54"/>
      <c r="P302" s="54"/>
      <c r="Q302" s="54"/>
    </row>
    <row r="303">
      <c r="A303" s="54"/>
      <c r="B303" s="99"/>
      <c r="C303" s="99"/>
      <c r="D303" s="102"/>
      <c r="E303" s="99"/>
      <c r="F303" s="99"/>
      <c r="G303" s="102"/>
      <c r="H303" s="102"/>
      <c r="I303" s="102"/>
      <c r="J303" s="102"/>
      <c r="K303" s="102"/>
      <c r="L303" s="54"/>
      <c r="M303" s="54"/>
      <c r="N303" s="54"/>
      <c r="O303" s="54"/>
      <c r="P303" s="54"/>
      <c r="Q303" s="54"/>
    </row>
    <row r="304">
      <c r="A304" s="54"/>
      <c r="B304" s="99"/>
      <c r="C304" s="99"/>
      <c r="D304" s="102"/>
      <c r="E304" s="99"/>
      <c r="F304" s="99"/>
      <c r="G304" s="102"/>
      <c r="H304" s="102"/>
      <c r="I304" s="102"/>
      <c r="J304" s="102"/>
      <c r="K304" s="102"/>
      <c r="L304" s="54"/>
      <c r="M304" s="54"/>
      <c r="N304" s="54"/>
      <c r="O304" s="54"/>
      <c r="P304" s="54"/>
      <c r="Q304" s="54"/>
    </row>
    <row r="305">
      <c r="A305" s="54"/>
      <c r="B305" s="99"/>
      <c r="C305" s="99"/>
      <c r="D305" s="102"/>
      <c r="E305" s="99"/>
      <c r="F305" s="99"/>
      <c r="G305" s="102"/>
      <c r="H305" s="102"/>
      <c r="I305" s="102"/>
      <c r="J305" s="102"/>
      <c r="K305" s="102"/>
      <c r="L305" s="54"/>
      <c r="M305" s="54"/>
      <c r="N305" s="54"/>
      <c r="O305" s="54"/>
      <c r="P305" s="54"/>
      <c r="Q305" s="54"/>
    </row>
    <row r="306">
      <c r="A306" s="54"/>
      <c r="B306" s="99"/>
      <c r="C306" s="99"/>
      <c r="D306" s="102"/>
      <c r="E306" s="99"/>
      <c r="F306" s="99"/>
      <c r="G306" s="102"/>
      <c r="H306" s="102"/>
      <c r="I306" s="102"/>
      <c r="J306" s="102"/>
      <c r="K306" s="102"/>
      <c r="L306" s="54"/>
      <c r="M306" s="54"/>
      <c r="N306" s="54"/>
      <c r="O306" s="54"/>
      <c r="P306" s="54"/>
      <c r="Q306" s="54"/>
    </row>
    <row r="307">
      <c r="A307" s="54"/>
      <c r="B307" s="99"/>
      <c r="C307" s="99"/>
      <c r="D307" s="102"/>
      <c r="E307" s="99"/>
      <c r="F307" s="99"/>
      <c r="G307" s="102"/>
      <c r="H307" s="102"/>
      <c r="I307" s="102"/>
      <c r="J307" s="102"/>
      <c r="K307" s="102"/>
      <c r="L307" s="54"/>
      <c r="M307" s="54"/>
      <c r="N307" s="54"/>
      <c r="O307" s="54"/>
      <c r="P307" s="54"/>
      <c r="Q307" s="54"/>
    </row>
    <row r="308">
      <c r="A308" s="54"/>
      <c r="B308" s="99"/>
      <c r="C308" s="99"/>
      <c r="D308" s="102"/>
      <c r="E308" s="99"/>
      <c r="F308" s="99"/>
      <c r="G308" s="102"/>
      <c r="H308" s="102"/>
      <c r="I308" s="102"/>
      <c r="J308" s="102"/>
      <c r="K308" s="102"/>
      <c r="L308" s="54"/>
      <c r="M308" s="54"/>
      <c r="N308" s="54"/>
      <c r="O308" s="54"/>
      <c r="P308" s="54"/>
      <c r="Q308" s="54"/>
    </row>
    <row r="309">
      <c r="A309" s="54"/>
      <c r="B309" s="99"/>
      <c r="C309" s="99"/>
      <c r="D309" s="102"/>
      <c r="E309" s="99"/>
      <c r="F309" s="99"/>
      <c r="G309" s="102"/>
      <c r="H309" s="102"/>
      <c r="I309" s="102"/>
      <c r="J309" s="102"/>
      <c r="K309" s="102"/>
      <c r="L309" s="54"/>
      <c r="M309" s="54"/>
      <c r="N309" s="54"/>
      <c r="O309" s="54"/>
      <c r="P309" s="54"/>
      <c r="Q309" s="54"/>
    </row>
    <row r="310">
      <c r="A310" s="54"/>
      <c r="B310" s="99"/>
      <c r="C310" s="99"/>
      <c r="D310" s="102"/>
      <c r="E310" s="99"/>
      <c r="F310" s="99"/>
      <c r="G310" s="102"/>
      <c r="H310" s="102"/>
      <c r="I310" s="102"/>
      <c r="J310" s="102"/>
      <c r="K310" s="102"/>
      <c r="L310" s="54"/>
      <c r="M310" s="54"/>
      <c r="N310" s="54"/>
      <c r="O310" s="54"/>
      <c r="P310" s="54"/>
      <c r="Q310" s="54"/>
    </row>
    <row r="311">
      <c r="A311" s="54"/>
      <c r="B311" s="99"/>
      <c r="C311" s="99"/>
      <c r="D311" s="102"/>
      <c r="E311" s="99"/>
      <c r="F311" s="99"/>
      <c r="G311" s="102"/>
      <c r="H311" s="102"/>
      <c r="I311" s="102"/>
      <c r="J311" s="102"/>
      <c r="K311" s="102"/>
      <c r="L311" s="54"/>
      <c r="M311" s="54"/>
      <c r="N311" s="54"/>
      <c r="O311" s="54"/>
      <c r="P311" s="54"/>
      <c r="Q311" s="54"/>
    </row>
    <row r="312">
      <c r="A312" s="54"/>
      <c r="B312" s="99"/>
      <c r="C312" s="99"/>
      <c r="D312" s="102"/>
      <c r="E312" s="99"/>
      <c r="F312" s="99"/>
      <c r="G312" s="102"/>
      <c r="H312" s="102"/>
      <c r="I312" s="102"/>
      <c r="J312" s="102"/>
      <c r="K312" s="102"/>
      <c r="L312" s="54"/>
      <c r="M312" s="54"/>
      <c r="N312" s="54"/>
      <c r="O312" s="54"/>
      <c r="P312" s="54"/>
      <c r="Q312" s="54"/>
    </row>
    <row r="313">
      <c r="A313" s="54"/>
      <c r="B313" s="99"/>
      <c r="C313" s="99"/>
      <c r="D313" s="102"/>
      <c r="E313" s="99"/>
      <c r="F313" s="99"/>
      <c r="G313" s="102"/>
      <c r="H313" s="102"/>
      <c r="I313" s="102"/>
      <c r="J313" s="102"/>
      <c r="K313" s="102"/>
      <c r="L313" s="54"/>
      <c r="M313" s="54"/>
      <c r="N313" s="54"/>
      <c r="O313" s="54"/>
      <c r="P313" s="54"/>
      <c r="Q313" s="54"/>
    </row>
    <row r="314">
      <c r="A314" s="54"/>
      <c r="B314" s="99"/>
      <c r="C314" s="99"/>
      <c r="D314" s="102"/>
      <c r="E314" s="99"/>
      <c r="F314" s="99"/>
      <c r="G314" s="102"/>
      <c r="H314" s="102"/>
      <c r="I314" s="102"/>
      <c r="J314" s="102"/>
      <c r="K314" s="102"/>
      <c r="L314" s="54"/>
      <c r="M314" s="54"/>
      <c r="N314" s="54"/>
      <c r="O314" s="54"/>
      <c r="P314" s="54"/>
      <c r="Q314" s="54"/>
    </row>
    <row r="315">
      <c r="A315" s="54"/>
      <c r="B315" s="99"/>
      <c r="C315" s="99"/>
      <c r="D315" s="102"/>
      <c r="E315" s="99"/>
      <c r="F315" s="99"/>
      <c r="G315" s="102"/>
      <c r="H315" s="102"/>
      <c r="I315" s="102"/>
      <c r="J315" s="102"/>
      <c r="K315" s="102"/>
      <c r="L315" s="54"/>
      <c r="M315" s="54"/>
      <c r="N315" s="54"/>
      <c r="O315" s="54"/>
      <c r="P315" s="54"/>
      <c r="Q315" s="54"/>
    </row>
    <row r="316">
      <c r="A316" s="54"/>
      <c r="B316" s="99"/>
      <c r="C316" s="99"/>
      <c r="D316" s="102"/>
      <c r="E316" s="99"/>
      <c r="F316" s="99"/>
      <c r="G316" s="102"/>
      <c r="H316" s="102"/>
      <c r="I316" s="102"/>
      <c r="J316" s="102"/>
      <c r="K316" s="102"/>
      <c r="L316" s="54"/>
      <c r="M316" s="54"/>
      <c r="N316" s="54"/>
      <c r="O316" s="54"/>
      <c r="P316" s="54"/>
      <c r="Q316" s="54"/>
    </row>
    <row r="317">
      <c r="A317" s="54"/>
      <c r="B317" s="99"/>
      <c r="C317" s="99"/>
      <c r="D317" s="102"/>
      <c r="E317" s="99"/>
      <c r="F317" s="99"/>
      <c r="G317" s="102"/>
      <c r="H317" s="102"/>
      <c r="I317" s="102"/>
      <c r="J317" s="102"/>
      <c r="K317" s="102"/>
      <c r="L317" s="54"/>
      <c r="M317" s="54"/>
      <c r="N317" s="54"/>
      <c r="O317" s="54"/>
      <c r="P317" s="54"/>
      <c r="Q317" s="54"/>
    </row>
    <row r="318">
      <c r="A318" s="54"/>
      <c r="B318" s="99"/>
      <c r="C318" s="99"/>
      <c r="D318" s="102"/>
      <c r="E318" s="99"/>
      <c r="F318" s="99"/>
      <c r="G318" s="102"/>
      <c r="H318" s="102"/>
      <c r="I318" s="102"/>
      <c r="J318" s="102"/>
      <c r="K318" s="102"/>
      <c r="L318" s="54"/>
      <c r="M318" s="54"/>
      <c r="N318" s="54"/>
      <c r="O318" s="54"/>
      <c r="P318" s="54"/>
      <c r="Q318" s="54"/>
    </row>
    <row r="319">
      <c r="A319" s="54"/>
      <c r="B319" s="99"/>
      <c r="C319" s="99"/>
      <c r="D319" s="102"/>
      <c r="E319" s="99"/>
      <c r="F319" s="99"/>
      <c r="G319" s="102"/>
      <c r="H319" s="102"/>
      <c r="I319" s="102"/>
      <c r="J319" s="102"/>
      <c r="K319" s="102"/>
      <c r="L319" s="54"/>
      <c r="M319" s="54"/>
      <c r="N319" s="54"/>
      <c r="O319" s="54"/>
      <c r="P319" s="54"/>
      <c r="Q319" s="54"/>
    </row>
    <row r="320">
      <c r="A320" s="54"/>
      <c r="B320" s="99"/>
      <c r="C320" s="99"/>
      <c r="D320" s="102"/>
      <c r="E320" s="99"/>
      <c r="F320" s="99"/>
      <c r="G320" s="102"/>
      <c r="H320" s="102"/>
      <c r="I320" s="102"/>
      <c r="J320" s="102"/>
      <c r="K320" s="102"/>
      <c r="L320" s="54"/>
      <c r="M320" s="54"/>
      <c r="N320" s="54"/>
      <c r="O320" s="54"/>
      <c r="P320" s="54"/>
      <c r="Q320" s="54"/>
    </row>
    <row r="321">
      <c r="A321" s="54"/>
      <c r="B321" s="99"/>
      <c r="C321" s="99"/>
      <c r="D321" s="102"/>
      <c r="E321" s="99"/>
      <c r="F321" s="99"/>
      <c r="G321" s="102"/>
      <c r="H321" s="102"/>
      <c r="I321" s="102"/>
      <c r="J321" s="102"/>
      <c r="K321" s="102"/>
      <c r="L321" s="54"/>
      <c r="M321" s="54"/>
      <c r="N321" s="54"/>
      <c r="O321" s="54"/>
      <c r="P321" s="54"/>
      <c r="Q321" s="54"/>
    </row>
    <row r="322">
      <c r="A322" s="54"/>
      <c r="B322" s="99"/>
      <c r="C322" s="99"/>
      <c r="D322" s="102"/>
      <c r="E322" s="99"/>
      <c r="F322" s="99"/>
      <c r="G322" s="102"/>
      <c r="H322" s="102"/>
      <c r="I322" s="102"/>
      <c r="J322" s="102"/>
      <c r="K322" s="102"/>
      <c r="L322" s="54"/>
      <c r="M322" s="54"/>
      <c r="N322" s="54"/>
      <c r="O322" s="54"/>
      <c r="P322" s="54"/>
      <c r="Q322" s="54"/>
    </row>
    <row r="323">
      <c r="A323" s="54"/>
      <c r="B323" s="99"/>
      <c r="C323" s="99"/>
      <c r="D323" s="102"/>
      <c r="E323" s="99"/>
      <c r="F323" s="99"/>
      <c r="G323" s="102"/>
      <c r="H323" s="102"/>
      <c r="I323" s="102"/>
      <c r="J323" s="102"/>
      <c r="K323" s="102"/>
      <c r="L323" s="54"/>
      <c r="M323" s="54"/>
      <c r="N323" s="54"/>
      <c r="O323" s="54"/>
      <c r="P323" s="54"/>
      <c r="Q323" s="54"/>
    </row>
    <row r="324">
      <c r="A324" s="54"/>
      <c r="B324" s="99"/>
      <c r="C324" s="99"/>
      <c r="D324" s="102"/>
      <c r="E324" s="99"/>
      <c r="F324" s="99"/>
      <c r="G324" s="102"/>
      <c r="H324" s="102"/>
      <c r="I324" s="102"/>
      <c r="J324" s="102"/>
      <c r="K324" s="102"/>
      <c r="L324" s="54"/>
      <c r="M324" s="54"/>
      <c r="N324" s="54"/>
      <c r="O324" s="54"/>
      <c r="P324" s="54"/>
      <c r="Q324" s="54"/>
    </row>
    <row r="325">
      <c r="A325" s="54"/>
      <c r="B325" s="99"/>
      <c r="C325" s="99"/>
      <c r="D325" s="102"/>
      <c r="E325" s="99"/>
      <c r="F325" s="99"/>
      <c r="G325" s="102"/>
      <c r="H325" s="102"/>
      <c r="I325" s="102"/>
      <c r="J325" s="102"/>
      <c r="K325" s="102"/>
      <c r="L325" s="54"/>
      <c r="M325" s="54"/>
      <c r="N325" s="54"/>
      <c r="O325" s="54"/>
      <c r="P325" s="54"/>
      <c r="Q325" s="54"/>
    </row>
    <row r="326">
      <c r="A326" s="54"/>
      <c r="B326" s="99"/>
      <c r="C326" s="99"/>
      <c r="D326" s="102"/>
      <c r="E326" s="99"/>
      <c r="F326" s="99"/>
      <c r="G326" s="102"/>
      <c r="H326" s="102"/>
      <c r="I326" s="102"/>
      <c r="J326" s="102"/>
      <c r="K326" s="102"/>
      <c r="L326" s="54"/>
      <c r="M326" s="54"/>
      <c r="N326" s="54"/>
      <c r="O326" s="54"/>
      <c r="P326" s="54"/>
      <c r="Q326" s="54"/>
    </row>
    <row r="327">
      <c r="A327" s="54"/>
      <c r="B327" s="99"/>
      <c r="C327" s="99"/>
      <c r="D327" s="102"/>
      <c r="E327" s="99"/>
      <c r="F327" s="99"/>
      <c r="G327" s="102"/>
      <c r="H327" s="102"/>
      <c r="I327" s="102"/>
      <c r="J327" s="102"/>
      <c r="K327" s="102"/>
      <c r="L327" s="54"/>
      <c r="M327" s="54"/>
      <c r="N327" s="54"/>
      <c r="O327" s="54"/>
      <c r="P327" s="54"/>
      <c r="Q327" s="54"/>
    </row>
    <row r="328">
      <c r="A328" s="54"/>
      <c r="B328" s="99"/>
      <c r="C328" s="99"/>
      <c r="D328" s="102"/>
      <c r="E328" s="99"/>
      <c r="F328" s="99"/>
      <c r="G328" s="102"/>
      <c r="H328" s="102"/>
      <c r="I328" s="102"/>
      <c r="J328" s="102"/>
      <c r="K328" s="102"/>
      <c r="L328" s="54"/>
      <c r="M328" s="54"/>
      <c r="N328" s="54"/>
      <c r="O328" s="54"/>
      <c r="P328" s="54"/>
      <c r="Q328" s="54"/>
    </row>
    <row r="329">
      <c r="A329" s="54"/>
      <c r="B329" s="99"/>
      <c r="C329" s="99"/>
      <c r="D329" s="102"/>
      <c r="E329" s="99"/>
      <c r="F329" s="99"/>
      <c r="G329" s="102"/>
      <c r="H329" s="102"/>
      <c r="I329" s="102"/>
      <c r="J329" s="102"/>
      <c r="K329" s="102"/>
      <c r="L329" s="54"/>
      <c r="M329" s="54"/>
      <c r="N329" s="54"/>
      <c r="O329" s="54"/>
      <c r="P329" s="54"/>
      <c r="Q329" s="54"/>
    </row>
    <row r="330">
      <c r="A330" s="54"/>
      <c r="B330" s="99"/>
      <c r="C330" s="99"/>
      <c r="D330" s="102"/>
      <c r="E330" s="99"/>
      <c r="F330" s="99"/>
      <c r="G330" s="102"/>
      <c r="H330" s="102"/>
      <c r="I330" s="102"/>
      <c r="J330" s="102"/>
      <c r="K330" s="102"/>
      <c r="L330" s="54"/>
      <c r="M330" s="54"/>
      <c r="N330" s="54"/>
      <c r="O330" s="54"/>
      <c r="P330" s="54"/>
      <c r="Q330" s="54"/>
    </row>
    <row r="331">
      <c r="A331" s="54"/>
      <c r="B331" s="99"/>
      <c r="C331" s="99"/>
      <c r="D331" s="102"/>
      <c r="E331" s="99"/>
      <c r="F331" s="99"/>
      <c r="G331" s="102"/>
      <c r="H331" s="102"/>
      <c r="I331" s="102"/>
      <c r="J331" s="102"/>
      <c r="K331" s="102"/>
      <c r="L331" s="54"/>
      <c r="M331" s="54"/>
      <c r="N331" s="54"/>
      <c r="O331" s="54"/>
      <c r="P331" s="54"/>
      <c r="Q331" s="54"/>
    </row>
    <row r="332">
      <c r="A332" s="54"/>
      <c r="B332" s="99"/>
      <c r="C332" s="99"/>
      <c r="D332" s="102"/>
      <c r="E332" s="99"/>
      <c r="F332" s="99"/>
      <c r="G332" s="102"/>
      <c r="H332" s="102"/>
      <c r="I332" s="102"/>
      <c r="J332" s="102"/>
      <c r="K332" s="102"/>
      <c r="L332" s="54"/>
      <c r="M332" s="54"/>
      <c r="N332" s="54"/>
      <c r="O332" s="54"/>
      <c r="P332" s="54"/>
      <c r="Q332" s="54"/>
    </row>
    <row r="333">
      <c r="A333" s="54"/>
      <c r="B333" s="99"/>
      <c r="C333" s="99"/>
      <c r="D333" s="102"/>
      <c r="E333" s="99"/>
      <c r="F333" s="99"/>
      <c r="G333" s="102"/>
      <c r="H333" s="102"/>
      <c r="I333" s="102"/>
      <c r="J333" s="102"/>
      <c r="K333" s="102"/>
      <c r="L333" s="54"/>
      <c r="M333" s="54"/>
      <c r="N333" s="54"/>
      <c r="O333" s="54"/>
      <c r="P333" s="54"/>
      <c r="Q333" s="54"/>
    </row>
    <row r="334">
      <c r="A334" s="54"/>
      <c r="B334" s="99"/>
      <c r="C334" s="99"/>
      <c r="D334" s="102"/>
      <c r="E334" s="99"/>
      <c r="F334" s="99"/>
      <c r="G334" s="102"/>
      <c r="H334" s="102"/>
      <c r="I334" s="102"/>
      <c r="J334" s="102"/>
      <c r="K334" s="102"/>
      <c r="L334" s="54"/>
      <c r="M334" s="54"/>
      <c r="N334" s="54"/>
      <c r="O334" s="54"/>
      <c r="P334" s="54"/>
      <c r="Q334" s="54"/>
    </row>
    <row r="335">
      <c r="A335" s="54"/>
      <c r="B335" s="99"/>
      <c r="C335" s="99"/>
      <c r="D335" s="102"/>
      <c r="E335" s="99"/>
      <c r="F335" s="99"/>
      <c r="G335" s="102"/>
      <c r="H335" s="102"/>
      <c r="I335" s="102"/>
      <c r="J335" s="102"/>
      <c r="K335" s="102"/>
      <c r="L335" s="54"/>
      <c r="M335" s="54"/>
      <c r="N335" s="54"/>
      <c r="O335" s="54"/>
      <c r="P335" s="54"/>
      <c r="Q335" s="54"/>
    </row>
    <row r="336">
      <c r="A336" s="54"/>
      <c r="B336" s="99"/>
      <c r="C336" s="99"/>
      <c r="D336" s="102"/>
      <c r="E336" s="99"/>
      <c r="F336" s="99"/>
      <c r="G336" s="102"/>
      <c r="H336" s="102"/>
      <c r="I336" s="102"/>
      <c r="J336" s="102"/>
      <c r="K336" s="102"/>
      <c r="L336" s="54"/>
      <c r="M336" s="54"/>
      <c r="N336" s="54"/>
      <c r="O336" s="54"/>
      <c r="P336" s="54"/>
      <c r="Q336" s="54"/>
    </row>
    <row r="337">
      <c r="A337" s="54"/>
      <c r="B337" s="99"/>
      <c r="C337" s="99"/>
      <c r="D337" s="102"/>
      <c r="E337" s="99"/>
      <c r="F337" s="99"/>
      <c r="G337" s="102"/>
      <c r="H337" s="102"/>
      <c r="I337" s="102"/>
      <c r="J337" s="102"/>
      <c r="K337" s="102"/>
      <c r="L337" s="54"/>
      <c r="M337" s="54"/>
      <c r="N337" s="54"/>
      <c r="O337" s="54"/>
      <c r="P337" s="54"/>
      <c r="Q337" s="54"/>
    </row>
    <row r="338">
      <c r="A338" s="54"/>
      <c r="B338" s="99"/>
      <c r="C338" s="99"/>
      <c r="D338" s="102"/>
      <c r="E338" s="99"/>
      <c r="F338" s="99"/>
      <c r="G338" s="102"/>
      <c r="H338" s="102"/>
      <c r="I338" s="102"/>
      <c r="J338" s="102"/>
      <c r="K338" s="102"/>
      <c r="L338" s="54"/>
      <c r="M338" s="54"/>
      <c r="N338" s="54"/>
      <c r="O338" s="54"/>
      <c r="P338" s="54"/>
      <c r="Q338" s="54"/>
    </row>
    <row r="339">
      <c r="A339" s="54"/>
      <c r="B339" s="99"/>
      <c r="C339" s="99"/>
      <c r="D339" s="102"/>
      <c r="E339" s="99"/>
      <c r="F339" s="99"/>
      <c r="G339" s="102"/>
      <c r="H339" s="102"/>
      <c r="I339" s="102"/>
      <c r="J339" s="102"/>
      <c r="K339" s="102"/>
      <c r="L339" s="54"/>
      <c r="M339" s="54"/>
      <c r="N339" s="54"/>
      <c r="O339" s="54"/>
      <c r="P339" s="54"/>
      <c r="Q339" s="54"/>
    </row>
    <row r="340">
      <c r="A340" s="54"/>
      <c r="B340" s="99"/>
      <c r="C340" s="99"/>
      <c r="D340" s="102"/>
      <c r="E340" s="99"/>
      <c r="F340" s="99"/>
      <c r="G340" s="102"/>
      <c r="H340" s="102"/>
      <c r="I340" s="102"/>
      <c r="J340" s="102"/>
      <c r="K340" s="102"/>
      <c r="L340" s="54"/>
      <c r="M340" s="54"/>
      <c r="N340" s="54"/>
      <c r="O340" s="54"/>
      <c r="P340" s="54"/>
      <c r="Q340" s="54"/>
    </row>
    <row r="341">
      <c r="A341" s="54"/>
      <c r="B341" s="99"/>
      <c r="C341" s="99"/>
      <c r="D341" s="102"/>
      <c r="E341" s="99"/>
      <c r="F341" s="99"/>
      <c r="G341" s="102"/>
      <c r="H341" s="102"/>
      <c r="I341" s="102"/>
      <c r="J341" s="102"/>
      <c r="K341" s="102"/>
      <c r="L341" s="54"/>
      <c r="M341" s="54"/>
      <c r="N341" s="54"/>
      <c r="O341" s="54"/>
      <c r="P341" s="54"/>
      <c r="Q341" s="54"/>
    </row>
    <row r="342">
      <c r="A342" s="54"/>
      <c r="B342" s="99"/>
      <c r="C342" s="99"/>
      <c r="D342" s="102"/>
      <c r="E342" s="99"/>
      <c r="F342" s="99"/>
      <c r="G342" s="102"/>
      <c r="H342" s="102"/>
      <c r="I342" s="102"/>
      <c r="J342" s="102"/>
      <c r="K342" s="102"/>
      <c r="L342" s="54"/>
      <c r="M342" s="54"/>
      <c r="N342" s="54"/>
      <c r="O342" s="54"/>
      <c r="P342" s="54"/>
      <c r="Q342" s="54"/>
    </row>
    <row r="343">
      <c r="A343" s="54"/>
      <c r="B343" s="99"/>
      <c r="C343" s="99"/>
      <c r="D343" s="102"/>
      <c r="E343" s="99"/>
      <c r="F343" s="99"/>
      <c r="G343" s="102"/>
      <c r="H343" s="102"/>
      <c r="I343" s="102"/>
      <c r="J343" s="102"/>
      <c r="K343" s="102"/>
      <c r="L343" s="54"/>
      <c r="M343" s="54"/>
      <c r="N343" s="54"/>
      <c r="O343" s="54"/>
      <c r="P343" s="54"/>
      <c r="Q343" s="54"/>
    </row>
    <row r="344">
      <c r="A344" s="54"/>
      <c r="B344" s="99"/>
      <c r="C344" s="99"/>
      <c r="D344" s="102"/>
      <c r="E344" s="99"/>
      <c r="F344" s="99"/>
      <c r="G344" s="102"/>
      <c r="H344" s="102"/>
      <c r="I344" s="102"/>
      <c r="J344" s="102"/>
      <c r="K344" s="102"/>
      <c r="L344" s="54"/>
      <c r="M344" s="54"/>
      <c r="N344" s="54"/>
      <c r="O344" s="54"/>
      <c r="P344" s="54"/>
      <c r="Q344" s="54"/>
    </row>
    <row r="345">
      <c r="A345" s="54"/>
      <c r="B345" s="99"/>
      <c r="C345" s="99"/>
      <c r="D345" s="102"/>
      <c r="E345" s="99"/>
      <c r="F345" s="99"/>
      <c r="G345" s="102"/>
      <c r="H345" s="102"/>
      <c r="I345" s="102"/>
      <c r="J345" s="102"/>
      <c r="K345" s="102"/>
      <c r="L345" s="54"/>
      <c r="M345" s="54"/>
      <c r="N345" s="54"/>
      <c r="O345" s="54"/>
      <c r="P345" s="54"/>
      <c r="Q345" s="54"/>
    </row>
    <row r="346">
      <c r="A346" s="54"/>
      <c r="B346" s="99"/>
      <c r="C346" s="99"/>
      <c r="D346" s="102"/>
      <c r="E346" s="99"/>
      <c r="F346" s="99"/>
      <c r="G346" s="102"/>
      <c r="H346" s="102"/>
      <c r="I346" s="102"/>
      <c r="J346" s="102"/>
      <c r="K346" s="102"/>
      <c r="L346" s="54"/>
      <c r="M346" s="54"/>
      <c r="N346" s="54"/>
      <c r="O346" s="54"/>
      <c r="P346" s="54"/>
      <c r="Q346" s="54"/>
    </row>
    <row r="347">
      <c r="A347" s="54"/>
      <c r="B347" s="99"/>
      <c r="C347" s="99"/>
      <c r="D347" s="102"/>
      <c r="E347" s="99"/>
      <c r="F347" s="99"/>
      <c r="G347" s="102"/>
      <c r="H347" s="102"/>
      <c r="I347" s="102"/>
      <c r="J347" s="102"/>
      <c r="K347" s="102"/>
      <c r="L347" s="54"/>
      <c r="M347" s="54"/>
      <c r="N347" s="54"/>
      <c r="O347" s="54"/>
      <c r="P347" s="54"/>
      <c r="Q347" s="54"/>
    </row>
    <row r="348">
      <c r="A348" s="54"/>
      <c r="B348" s="114"/>
      <c r="C348" s="114"/>
      <c r="D348" s="54"/>
      <c r="E348" s="114"/>
      <c r="F348" s="11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</row>
    <row r="349">
      <c r="A349" s="54"/>
      <c r="B349" s="114"/>
      <c r="C349" s="114"/>
      <c r="D349" s="54"/>
      <c r="E349" s="114"/>
      <c r="F349" s="11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</row>
    <row r="350">
      <c r="A350" s="54"/>
      <c r="B350" s="114"/>
      <c r="C350" s="114"/>
      <c r="D350" s="54"/>
      <c r="E350" s="114"/>
      <c r="F350" s="11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</row>
    <row r="351">
      <c r="A351" s="54"/>
      <c r="B351" s="114"/>
      <c r="C351" s="114"/>
      <c r="D351" s="54"/>
      <c r="E351" s="114"/>
      <c r="F351" s="11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</row>
    <row r="352">
      <c r="A352" s="54"/>
      <c r="B352" s="114"/>
      <c r="C352" s="114"/>
      <c r="D352" s="54"/>
      <c r="E352" s="114"/>
      <c r="F352" s="11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</row>
    <row r="353">
      <c r="A353" s="54"/>
      <c r="B353" s="114"/>
      <c r="C353" s="114"/>
      <c r="D353" s="54"/>
      <c r="E353" s="114"/>
      <c r="F353" s="11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</row>
    <row r="354">
      <c r="A354" s="54"/>
      <c r="B354" s="114"/>
      <c r="C354" s="114"/>
      <c r="D354" s="54"/>
      <c r="E354" s="114"/>
      <c r="F354" s="11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</row>
    <row r="355">
      <c r="A355" s="54"/>
      <c r="B355" s="114"/>
      <c r="C355" s="114"/>
      <c r="D355" s="54"/>
      <c r="E355" s="114"/>
      <c r="F355" s="11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</row>
    <row r="356">
      <c r="A356" s="54"/>
      <c r="B356" s="114"/>
      <c r="C356" s="114"/>
      <c r="D356" s="54"/>
      <c r="E356" s="114"/>
      <c r="F356" s="11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</row>
    <row r="357">
      <c r="A357" s="54"/>
      <c r="B357" s="114"/>
      <c r="C357" s="114"/>
      <c r="D357" s="54"/>
      <c r="E357" s="114"/>
      <c r="F357" s="11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</row>
    <row r="358">
      <c r="A358" s="54"/>
      <c r="B358" s="114"/>
      <c r="C358" s="114"/>
      <c r="D358" s="54"/>
      <c r="E358" s="114"/>
      <c r="F358" s="11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</row>
    <row r="359">
      <c r="A359" s="54"/>
      <c r="B359" s="114"/>
      <c r="C359" s="114"/>
      <c r="D359" s="54"/>
      <c r="E359" s="114"/>
      <c r="F359" s="11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</row>
    <row r="360">
      <c r="A360" s="54"/>
      <c r="B360" s="114"/>
      <c r="C360" s="114"/>
      <c r="D360" s="54"/>
      <c r="E360" s="114"/>
      <c r="F360" s="11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</row>
    <row r="361">
      <c r="A361" s="54"/>
      <c r="B361" s="114"/>
      <c r="C361" s="114"/>
      <c r="D361" s="54"/>
      <c r="E361" s="114"/>
      <c r="F361" s="11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</row>
    <row r="362">
      <c r="A362" s="54"/>
      <c r="B362" s="114"/>
      <c r="C362" s="114"/>
      <c r="D362" s="54"/>
      <c r="E362" s="114"/>
      <c r="F362" s="11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</row>
    <row r="363">
      <c r="A363" s="54"/>
      <c r="B363" s="114"/>
      <c r="C363" s="114"/>
      <c r="D363" s="54"/>
      <c r="E363" s="114"/>
      <c r="F363" s="11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</row>
    <row r="364">
      <c r="A364" s="54"/>
      <c r="B364" s="114"/>
      <c r="C364" s="114"/>
      <c r="D364" s="54"/>
      <c r="E364" s="114"/>
      <c r="F364" s="11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</row>
    <row r="365">
      <c r="A365" s="54"/>
      <c r="B365" s="114"/>
      <c r="C365" s="114"/>
      <c r="D365" s="54"/>
      <c r="E365" s="114"/>
      <c r="F365" s="11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</row>
    <row r="366">
      <c r="A366" s="54"/>
      <c r="B366" s="114"/>
      <c r="C366" s="114"/>
      <c r="D366" s="54"/>
      <c r="E366" s="114"/>
      <c r="F366" s="11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</row>
    <row r="367">
      <c r="A367" s="54"/>
      <c r="B367" s="114"/>
      <c r="C367" s="114"/>
      <c r="D367" s="54"/>
      <c r="E367" s="114"/>
      <c r="F367" s="11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</row>
    <row r="368">
      <c r="A368" s="54"/>
      <c r="B368" s="114"/>
      <c r="C368" s="114"/>
      <c r="D368" s="54"/>
      <c r="E368" s="114"/>
      <c r="F368" s="11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</row>
    <row r="369">
      <c r="A369" s="54"/>
      <c r="B369" s="114"/>
      <c r="C369" s="114"/>
      <c r="D369" s="54"/>
      <c r="E369" s="114"/>
      <c r="F369" s="11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</row>
    <row r="370">
      <c r="A370" s="54"/>
      <c r="B370" s="114"/>
      <c r="C370" s="114"/>
      <c r="D370" s="54"/>
      <c r="E370" s="114"/>
      <c r="F370" s="11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</row>
    <row r="371">
      <c r="A371" s="54"/>
      <c r="B371" s="114"/>
      <c r="C371" s="114"/>
      <c r="D371" s="54"/>
      <c r="E371" s="114"/>
      <c r="F371" s="11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</row>
    <row r="372">
      <c r="A372" s="54"/>
      <c r="B372" s="114"/>
      <c r="C372" s="114"/>
      <c r="D372" s="54"/>
      <c r="E372" s="114"/>
      <c r="F372" s="11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</row>
    <row r="373">
      <c r="A373" s="54"/>
      <c r="B373" s="114"/>
      <c r="C373" s="114"/>
      <c r="D373" s="54"/>
      <c r="E373" s="114"/>
      <c r="F373" s="11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</row>
    <row r="374">
      <c r="A374" s="54"/>
      <c r="B374" s="114"/>
      <c r="C374" s="114"/>
      <c r="D374" s="54"/>
      <c r="E374" s="114"/>
      <c r="F374" s="11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</row>
    <row r="375">
      <c r="A375" s="54"/>
      <c r="B375" s="114"/>
      <c r="C375" s="114"/>
      <c r="D375" s="54"/>
      <c r="E375" s="114"/>
      <c r="F375" s="11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</row>
    <row r="376">
      <c r="A376" s="54"/>
      <c r="B376" s="114"/>
      <c r="C376" s="114"/>
      <c r="D376" s="54"/>
      <c r="E376" s="114"/>
      <c r="F376" s="11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</row>
    <row r="377">
      <c r="A377" s="54"/>
      <c r="B377" s="114"/>
      <c r="C377" s="114"/>
      <c r="D377" s="54"/>
      <c r="E377" s="114"/>
      <c r="F377" s="11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</row>
    <row r="378">
      <c r="A378" s="54"/>
      <c r="B378" s="114"/>
      <c r="C378" s="114"/>
      <c r="D378" s="54"/>
      <c r="E378" s="114"/>
      <c r="F378" s="11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</row>
    <row r="379">
      <c r="A379" s="54"/>
      <c r="B379" s="114"/>
      <c r="C379" s="114"/>
      <c r="D379" s="54"/>
      <c r="E379" s="114"/>
      <c r="F379" s="11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</row>
    <row r="380">
      <c r="A380" s="54"/>
      <c r="B380" s="114"/>
      <c r="C380" s="114"/>
      <c r="D380" s="54"/>
      <c r="E380" s="114"/>
      <c r="F380" s="11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</row>
    <row r="381">
      <c r="A381" s="54"/>
      <c r="B381" s="114"/>
      <c r="C381" s="114"/>
      <c r="D381" s="54"/>
      <c r="E381" s="114"/>
      <c r="F381" s="11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</row>
    <row r="382">
      <c r="A382" s="54"/>
      <c r="B382" s="114"/>
      <c r="C382" s="114"/>
      <c r="D382" s="54"/>
      <c r="E382" s="114"/>
      <c r="F382" s="11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</row>
    <row r="383">
      <c r="A383" s="54"/>
      <c r="B383" s="114"/>
      <c r="C383" s="114"/>
      <c r="D383" s="54"/>
      <c r="E383" s="114"/>
      <c r="F383" s="11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</row>
    <row r="384">
      <c r="A384" s="54"/>
      <c r="B384" s="114"/>
      <c r="C384" s="114"/>
      <c r="D384" s="54"/>
      <c r="E384" s="114"/>
      <c r="F384" s="11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</row>
    <row r="385">
      <c r="A385" s="54"/>
      <c r="B385" s="114"/>
      <c r="C385" s="114"/>
      <c r="D385" s="54"/>
      <c r="E385" s="114"/>
      <c r="F385" s="11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</row>
    <row r="386">
      <c r="A386" s="54"/>
      <c r="B386" s="114"/>
      <c r="C386" s="114"/>
      <c r="D386" s="54"/>
      <c r="E386" s="114"/>
      <c r="F386" s="11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</row>
    <row r="387">
      <c r="A387" s="54"/>
      <c r="B387" s="114"/>
      <c r="C387" s="114"/>
      <c r="D387" s="54"/>
      <c r="E387" s="114"/>
      <c r="F387" s="11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</row>
    <row r="388">
      <c r="A388" s="54"/>
      <c r="B388" s="114"/>
      <c r="C388" s="114"/>
      <c r="D388" s="54"/>
      <c r="E388" s="114"/>
      <c r="F388" s="11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</row>
    <row r="389">
      <c r="A389" s="54"/>
      <c r="B389" s="114"/>
      <c r="C389" s="114"/>
      <c r="D389" s="54"/>
      <c r="E389" s="114"/>
      <c r="F389" s="11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</row>
    <row r="390">
      <c r="A390" s="54"/>
      <c r="B390" s="114"/>
      <c r="C390" s="114"/>
      <c r="D390" s="54"/>
      <c r="E390" s="114"/>
      <c r="F390" s="11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</row>
    <row r="391">
      <c r="A391" s="54"/>
      <c r="B391" s="114"/>
      <c r="C391" s="114"/>
      <c r="D391" s="54"/>
      <c r="E391" s="114"/>
      <c r="F391" s="11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</row>
    <row r="392">
      <c r="A392" s="54"/>
      <c r="B392" s="114"/>
      <c r="C392" s="114"/>
      <c r="D392" s="54"/>
      <c r="E392" s="114"/>
      <c r="F392" s="11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</row>
    <row r="393">
      <c r="A393" s="54"/>
      <c r="B393" s="114"/>
      <c r="C393" s="114"/>
      <c r="D393" s="54"/>
      <c r="E393" s="114"/>
      <c r="F393" s="11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</row>
    <row r="394">
      <c r="A394" s="54"/>
      <c r="B394" s="114"/>
      <c r="C394" s="114"/>
      <c r="D394" s="54"/>
      <c r="E394" s="114"/>
      <c r="F394" s="11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</row>
    <row r="395">
      <c r="A395" s="54"/>
      <c r="B395" s="114"/>
      <c r="C395" s="114"/>
      <c r="D395" s="54"/>
      <c r="E395" s="114"/>
      <c r="F395" s="11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</row>
    <row r="396">
      <c r="A396" s="54"/>
      <c r="B396" s="114"/>
      <c r="C396" s="114"/>
      <c r="D396" s="54"/>
      <c r="E396" s="114"/>
      <c r="F396" s="11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</row>
    <row r="397">
      <c r="A397" s="54"/>
      <c r="B397" s="114"/>
      <c r="C397" s="114"/>
      <c r="D397" s="54"/>
      <c r="E397" s="114"/>
      <c r="F397" s="11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</row>
    <row r="398">
      <c r="A398" s="54"/>
      <c r="B398" s="114"/>
      <c r="C398" s="114"/>
      <c r="D398" s="54"/>
      <c r="E398" s="114"/>
      <c r="F398" s="11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</row>
    <row r="399">
      <c r="A399" s="54"/>
      <c r="B399" s="114"/>
      <c r="C399" s="114"/>
      <c r="D399" s="54"/>
      <c r="E399" s="114"/>
      <c r="F399" s="11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</row>
    <row r="400">
      <c r="A400" s="54"/>
      <c r="B400" s="114"/>
      <c r="C400" s="114"/>
      <c r="D400" s="54"/>
      <c r="E400" s="114"/>
      <c r="F400" s="11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</row>
    <row r="401">
      <c r="A401" s="54"/>
      <c r="B401" s="114"/>
      <c r="C401" s="114"/>
      <c r="D401" s="54"/>
      <c r="E401" s="114"/>
      <c r="F401" s="11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</row>
    <row r="402">
      <c r="A402" s="54"/>
      <c r="B402" s="114"/>
      <c r="C402" s="114"/>
      <c r="D402" s="54"/>
      <c r="E402" s="114"/>
      <c r="F402" s="11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</row>
    <row r="403">
      <c r="A403" s="54"/>
      <c r="B403" s="114"/>
      <c r="C403" s="114"/>
      <c r="D403" s="54"/>
      <c r="E403" s="114"/>
      <c r="F403" s="11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</row>
    <row r="404">
      <c r="A404" s="54"/>
      <c r="B404" s="114"/>
      <c r="C404" s="114"/>
      <c r="D404" s="54"/>
      <c r="E404" s="114"/>
      <c r="F404" s="11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</row>
    <row r="405">
      <c r="A405" s="54"/>
      <c r="B405" s="114"/>
      <c r="C405" s="114"/>
      <c r="D405" s="54"/>
      <c r="E405" s="114"/>
      <c r="F405" s="11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</row>
    <row r="406">
      <c r="A406" s="54"/>
      <c r="B406" s="114"/>
      <c r="C406" s="114"/>
      <c r="D406" s="54"/>
      <c r="E406" s="114"/>
      <c r="F406" s="11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</row>
    <row r="407">
      <c r="A407" s="54"/>
      <c r="B407" s="114"/>
      <c r="C407" s="114"/>
      <c r="D407" s="54"/>
      <c r="E407" s="114"/>
      <c r="F407" s="11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</row>
    <row r="408">
      <c r="A408" s="54"/>
      <c r="B408" s="114"/>
      <c r="C408" s="114"/>
      <c r="D408" s="54"/>
      <c r="E408" s="114"/>
      <c r="F408" s="11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</row>
    <row r="409">
      <c r="A409" s="54"/>
      <c r="B409" s="114"/>
      <c r="C409" s="114"/>
      <c r="D409" s="54"/>
      <c r="E409" s="114"/>
      <c r="F409" s="11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</row>
    <row r="410">
      <c r="A410" s="54"/>
      <c r="B410" s="114"/>
      <c r="C410" s="114"/>
      <c r="D410" s="54"/>
      <c r="E410" s="114"/>
      <c r="F410" s="11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</row>
    <row r="411">
      <c r="A411" s="54"/>
      <c r="B411" s="114"/>
      <c r="C411" s="114"/>
      <c r="D411" s="54"/>
      <c r="E411" s="114"/>
      <c r="F411" s="11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</row>
    <row r="412">
      <c r="A412" s="54"/>
      <c r="B412" s="114"/>
      <c r="C412" s="114"/>
      <c r="D412" s="54"/>
      <c r="E412" s="114"/>
      <c r="F412" s="11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</row>
    <row r="413">
      <c r="A413" s="54"/>
      <c r="B413" s="114"/>
      <c r="C413" s="114"/>
      <c r="D413" s="54"/>
      <c r="E413" s="114"/>
      <c r="F413" s="11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</row>
    <row r="414">
      <c r="A414" s="54"/>
      <c r="B414" s="114"/>
      <c r="C414" s="114"/>
      <c r="D414" s="54"/>
      <c r="E414" s="114"/>
      <c r="F414" s="11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</row>
    <row r="415">
      <c r="A415" s="54"/>
      <c r="B415" s="114"/>
      <c r="C415" s="114"/>
      <c r="D415" s="54"/>
      <c r="E415" s="114"/>
      <c r="F415" s="11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</row>
    <row r="416">
      <c r="A416" s="54"/>
      <c r="B416" s="114"/>
      <c r="C416" s="114"/>
      <c r="D416" s="54"/>
      <c r="E416" s="114"/>
      <c r="F416" s="11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</row>
    <row r="417">
      <c r="A417" s="54"/>
      <c r="B417" s="114"/>
      <c r="C417" s="114"/>
      <c r="D417" s="54"/>
      <c r="E417" s="114"/>
      <c r="F417" s="11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</row>
    <row r="418">
      <c r="A418" s="54"/>
      <c r="B418" s="114"/>
      <c r="C418" s="114"/>
      <c r="D418" s="54"/>
      <c r="E418" s="114"/>
      <c r="F418" s="11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</row>
    <row r="419">
      <c r="A419" s="54"/>
      <c r="B419" s="114"/>
      <c r="C419" s="114"/>
      <c r="D419" s="54"/>
      <c r="E419" s="114"/>
      <c r="F419" s="11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</row>
    <row r="420">
      <c r="A420" s="54"/>
      <c r="B420" s="114"/>
      <c r="C420" s="114"/>
      <c r="D420" s="54"/>
      <c r="E420" s="114"/>
      <c r="F420" s="11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</row>
    <row r="421">
      <c r="A421" s="54"/>
      <c r="B421" s="114"/>
      <c r="C421" s="114"/>
      <c r="D421" s="54"/>
      <c r="E421" s="114"/>
      <c r="F421" s="11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</row>
    <row r="422">
      <c r="A422" s="54"/>
      <c r="B422" s="114"/>
      <c r="C422" s="114"/>
      <c r="D422" s="54"/>
      <c r="E422" s="114"/>
      <c r="F422" s="11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</row>
    <row r="423">
      <c r="A423" s="54"/>
      <c r="B423" s="114"/>
      <c r="C423" s="114"/>
      <c r="D423" s="54"/>
      <c r="E423" s="114"/>
      <c r="F423" s="11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</row>
    <row r="424">
      <c r="A424" s="54"/>
      <c r="B424" s="114"/>
      <c r="C424" s="114"/>
      <c r="D424" s="54"/>
      <c r="E424" s="114"/>
      <c r="F424" s="11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</row>
    <row r="425">
      <c r="A425" s="54"/>
      <c r="B425" s="114"/>
      <c r="C425" s="114"/>
      <c r="D425" s="54"/>
      <c r="E425" s="114"/>
      <c r="F425" s="11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</row>
    <row r="426">
      <c r="A426" s="54"/>
      <c r="B426" s="114"/>
      <c r="C426" s="114"/>
      <c r="D426" s="54"/>
      <c r="E426" s="114"/>
      <c r="F426" s="11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</row>
    <row r="427">
      <c r="A427" s="54"/>
      <c r="B427" s="114"/>
      <c r="C427" s="114"/>
      <c r="D427" s="54"/>
      <c r="E427" s="114"/>
      <c r="F427" s="11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</row>
    <row r="428">
      <c r="A428" s="54"/>
      <c r="B428" s="114"/>
      <c r="C428" s="114"/>
      <c r="D428" s="54"/>
      <c r="E428" s="114"/>
      <c r="F428" s="11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</row>
    <row r="429">
      <c r="A429" s="54"/>
      <c r="B429" s="114"/>
      <c r="C429" s="114"/>
      <c r="D429" s="54"/>
      <c r="E429" s="114"/>
      <c r="F429" s="11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</row>
    <row r="430">
      <c r="A430" s="54"/>
      <c r="B430" s="114"/>
      <c r="C430" s="114"/>
      <c r="D430" s="54"/>
      <c r="E430" s="114"/>
      <c r="F430" s="11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</row>
    <row r="431">
      <c r="A431" s="54"/>
      <c r="B431" s="114"/>
      <c r="C431" s="114"/>
      <c r="D431" s="54"/>
      <c r="E431" s="114"/>
      <c r="F431" s="11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</row>
    <row r="432">
      <c r="A432" s="54"/>
      <c r="B432" s="114"/>
      <c r="C432" s="114"/>
      <c r="D432" s="54"/>
      <c r="E432" s="114"/>
      <c r="F432" s="11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</row>
    <row r="433">
      <c r="A433" s="54"/>
      <c r="B433" s="114"/>
      <c r="C433" s="114"/>
      <c r="D433" s="54"/>
      <c r="E433" s="114"/>
      <c r="F433" s="11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</row>
    <row r="434">
      <c r="A434" s="54"/>
      <c r="B434" s="114"/>
      <c r="C434" s="114"/>
      <c r="D434" s="54"/>
      <c r="E434" s="114"/>
      <c r="F434" s="11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</row>
    <row r="435">
      <c r="A435" s="54"/>
      <c r="B435" s="114"/>
      <c r="C435" s="114"/>
      <c r="D435" s="54"/>
      <c r="E435" s="114"/>
      <c r="F435" s="11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</row>
    <row r="436">
      <c r="A436" s="54"/>
      <c r="B436" s="114"/>
      <c r="C436" s="114"/>
      <c r="D436" s="54"/>
      <c r="E436" s="114"/>
      <c r="F436" s="11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</row>
    <row r="437">
      <c r="A437" s="54"/>
      <c r="B437" s="114"/>
      <c r="C437" s="114"/>
      <c r="D437" s="54"/>
      <c r="E437" s="114"/>
      <c r="F437" s="11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</row>
    <row r="438">
      <c r="A438" s="54"/>
      <c r="B438" s="114"/>
      <c r="C438" s="114"/>
      <c r="D438" s="54"/>
      <c r="E438" s="114"/>
      <c r="F438" s="11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</row>
    <row r="439">
      <c r="A439" s="54"/>
      <c r="B439" s="114"/>
      <c r="C439" s="114"/>
      <c r="D439" s="54"/>
      <c r="E439" s="114"/>
      <c r="F439" s="11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</row>
    <row r="440">
      <c r="A440" s="54"/>
      <c r="B440" s="114"/>
      <c r="C440" s="114"/>
      <c r="D440" s="54"/>
      <c r="E440" s="114"/>
      <c r="F440" s="11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</row>
    <row r="441">
      <c r="A441" s="54"/>
      <c r="B441" s="114"/>
      <c r="C441" s="114"/>
      <c r="D441" s="54"/>
      <c r="E441" s="114"/>
      <c r="F441" s="11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</row>
    <row r="442">
      <c r="A442" s="54"/>
      <c r="B442" s="114"/>
      <c r="C442" s="114"/>
      <c r="D442" s="54"/>
      <c r="E442" s="114"/>
      <c r="F442" s="11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</row>
    <row r="443">
      <c r="A443" s="54"/>
      <c r="B443" s="114"/>
      <c r="C443" s="114"/>
      <c r="D443" s="54"/>
      <c r="E443" s="114"/>
      <c r="F443" s="11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</row>
    <row r="444">
      <c r="A444" s="54"/>
      <c r="B444" s="114"/>
      <c r="C444" s="114"/>
      <c r="D444" s="54"/>
      <c r="E444" s="114"/>
      <c r="F444" s="11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</row>
    <row r="445">
      <c r="A445" s="54"/>
      <c r="B445" s="114"/>
      <c r="C445" s="114"/>
      <c r="D445" s="54"/>
      <c r="E445" s="114"/>
      <c r="F445" s="11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</row>
    <row r="446">
      <c r="A446" s="54"/>
      <c r="B446" s="114"/>
      <c r="C446" s="114"/>
      <c r="D446" s="54"/>
      <c r="E446" s="114"/>
      <c r="F446" s="11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</row>
    <row r="447">
      <c r="A447" s="54"/>
      <c r="B447" s="114"/>
      <c r="C447" s="114"/>
      <c r="D447" s="54"/>
      <c r="E447" s="114"/>
      <c r="F447" s="11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</row>
    <row r="448">
      <c r="A448" s="54"/>
      <c r="B448" s="114"/>
      <c r="C448" s="114"/>
      <c r="D448" s="54"/>
      <c r="E448" s="114"/>
      <c r="F448" s="11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</row>
    <row r="449">
      <c r="A449" s="54"/>
      <c r="B449" s="114"/>
      <c r="C449" s="114"/>
      <c r="D449" s="54"/>
      <c r="E449" s="114"/>
      <c r="F449" s="11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</row>
    <row r="450">
      <c r="A450" s="54"/>
      <c r="B450" s="114"/>
      <c r="C450" s="114"/>
      <c r="D450" s="54"/>
      <c r="E450" s="114"/>
      <c r="F450" s="11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</row>
    <row r="451">
      <c r="A451" s="54"/>
      <c r="B451" s="114"/>
      <c r="C451" s="114"/>
      <c r="D451" s="54"/>
      <c r="E451" s="114"/>
      <c r="F451" s="11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</row>
    <row r="452">
      <c r="A452" s="54"/>
      <c r="B452" s="114"/>
      <c r="C452" s="114"/>
      <c r="D452" s="54"/>
      <c r="E452" s="114"/>
      <c r="F452" s="11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</row>
    <row r="453">
      <c r="A453" s="54"/>
      <c r="B453" s="114"/>
      <c r="C453" s="114"/>
      <c r="D453" s="54"/>
      <c r="E453" s="114"/>
      <c r="F453" s="11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</row>
    <row r="454">
      <c r="A454" s="54"/>
      <c r="B454" s="114"/>
      <c r="C454" s="114"/>
      <c r="D454" s="54"/>
      <c r="E454" s="114"/>
      <c r="F454" s="11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</row>
    <row r="455">
      <c r="A455" s="54"/>
      <c r="B455" s="114"/>
      <c r="C455" s="114"/>
      <c r="D455" s="54"/>
      <c r="E455" s="114"/>
      <c r="F455" s="11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</row>
    <row r="456">
      <c r="A456" s="54"/>
      <c r="B456" s="114"/>
      <c r="C456" s="114"/>
      <c r="D456" s="54"/>
      <c r="E456" s="114"/>
      <c r="F456" s="11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</row>
    <row r="457">
      <c r="A457" s="54"/>
      <c r="B457" s="114"/>
      <c r="C457" s="114"/>
      <c r="D457" s="54"/>
      <c r="E457" s="114"/>
      <c r="F457" s="11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</row>
    <row r="458">
      <c r="A458" s="54"/>
      <c r="B458" s="114"/>
      <c r="C458" s="114"/>
      <c r="D458" s="54"/>
      <c r="E458" s="114"/>
      <c r="F458" s="11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</row>
    <row r="459">
      <c r="A459" s="54"/>
      <c r="B459" s="114"/>
      <c r="C459" s="114"/>
      <c r="D459" s="54"/>
      <c r="E459" s="114"/>
      <c r="F459" s="11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</row>
    <row r="460">
      <c r="A460" s="54"/>
      <c r="B460" s="114"/>
      <c r="C460" s="114"/>
      <c r="D460" s="54"/>
      <c r="E460" s="114"/>
      <c r="F460" s="11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</row>
    <row r="461">
      <c r="A461" s="54"/>
      <c r="B461" s="114"/>
      <c r="C461" s="114"/>
      <c r="D461" s="54"/>
      <c r="E461" s="114"/>
      <c r="F461" s="11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</row>
    <row r="462">
      <c r="A462" s="54"/>
      <c r="B462" s="114"/>
      <c r="C462" s="114"/>
      <c r="D462" s="54"/>
      <c r="E462" s="114"/>
      <c r="F462" s="11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</row>
    <row r="463">
      <c r="A463" s="54"/>
      <c r="B463" s="114"/>
      <c r="C463" s="114"/>
      <c r="D463" s="54"/>
      <c r="E463" s="114"/>
      <c r="F463" s="11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</row>
    <row r="464">
      <c r="A464" s="54"/>
      <c r="B464" s="114"/>
      <c r="C464" s="114"/>
      <c r="D464" s="54"/>
      <c r="E464" s="114"/>
      <c r="F464" s="11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</row>
    <row r="465">
      <c r="A465" s="54"/>
      <c r="B465" s="114"/>
      <c r="C465" s="114"/>
      <c r="D465" s="54"/>
      <c r="E465" s="114"/>
      <c r="F465" s="11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</row>
    <row r="466">
      <c r="A466" s="54"/>
      <c r="B466" s="114"/>
      <c r="C466" s="114"/>
      <c r="D466" s="54"/>
      <c r="E466" s="114"/>
      <c r="F466" s="11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</row>
    <row r="467">
      <c r="A467" s="54"/>
      <c r="B467" s="114"/>
      <c r="C467" s="114"/>
      <c r="D467" s="54"/>
      <c r="E467" s="114"/>
      <c r="F467" s="11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</row>
    <row r="468">
      <c r="A468" s="54"/>
      <c r="B468" s="114"/>
      <c r="C468" s="114"/>
      <c r="D468" s="54"/>
      <c r="E468" s="114"/>
      <c r="F468" s="11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</row>
    <row r="469">
      <c r="A469" s="54"/>
      <c r="B469" s="114"/>
      <c r="C469" s="114"/>
      <c r="D469" s="54"/>
      <c r="E469" s="114"/>
      <c r="F469" s="11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</row>
    <row r="470">
      <c r="A470" s="54"/>
      <c r="B470" s="114"/>
      <c r="C470" s="114"/>
      <c r="D470" s="54"/>
      <c r="E470" s="114"/>
      <c r="F470" s="11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</row>
    <row r="471">
      <c r="A471" s="54"/>
      <c r="B471" s="114"/>
      <c r="C471" s="114"/>
      <c r="D471" s="54"/>
      <c r="E471" s="114"/>
      <c r="F471" s="11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</row>
    <row r="472">
      <c r="A472" s="54"/>
      <c r="B472" s="114"/>
      <c r="C472" s="114"/>
      <c r="D472" s="54"/>
      <c r="E472" s="114"/>
      <c r="F472" s="11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</row>
    <row r="473">
      <c r="A473" s="54"/>
      <c r="B473" s="114"/>
      <c r="C473" s="114"/>
      <c r="D473" s="54"/>
      <c r="E473" s="114"/>
      <c r="F473" s="11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</row>
    <row r="474">
      <c r="A474" s="54"/>
      <c r="B474" s="114"/>
      <c r="C474" s="114"/>
      <c r="D474" s="54"/>
      <c r="E474" s="114"/>
      <c r="F474" s="11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</row>
    <row r="475">
      <c r="A475" s="54"/>
      <c r="B475" s="114"/>
      <c r="C475" s="114"/>
      <c r="D475" s="54"/>
      <c r="E475" s="114"/>
      <c r="F475" s="11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</row>
    <row r="476">
      <c r="A476" s="54"/>
      <c r="B476" s="114"/>
      <c r="C476" s="114"/>
      <c r="D476" s="54"/>
      <c r="E476" s="114"/>
      <c r="F476" s="11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</row>
    <row r="477">
      <c r="A477" s="54"/>
      <c r="B477" s="114"/>
      <c r="C477" s="114"/>
      <c r="D477" s="54"/>
      <c r="E477" s="114"/>
      <c r="F477" s="11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</row>
    <row r="478">
      <c r="A478" s="54"/>
      <c r="B478" s="114"/>
      <c r="C478" s="114"/>
      <c r="D478" s="54"/>
      <c r="E478" s="114"/>
      <c r="F478" s="11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</row>
    <row r="479">
      <c r="A479" s="54"/>
      <c r="B479" s="114"/>
      <c r="C479" s="114"/>
      <c r="D479" s="54"/>
      <c r="E479" s="114"/>
      <c r="F479" s="11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>
      <c r="A480" s="54"/>
      <c r="B480" s="114"/>
      <c r="C480" s="114"/>
      <c r="D480" s="54"/>
      <c r="E480" s="114"/>
      <c r="F480" s="11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>
      <c r="A481" s="54"/>
      <c r="B481" s="114"/>
      <c r="C481" s="114"/>
      <c r="D481" s="54"/>
      <c r="E481" s="114"/>
      <c r="F481" s="11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>
      <c r="A482" s="54"/>
      <c r="B482" s="114"/>
      <c r="C482" s="114"/>
      <c r="D482" s="54"/>
      <c r="E482" s="114"/>
      <c r="F482" s="11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>
      <c r="A483" s="54"/>
      <c r="B483" s="114"/>
      <c r="C483" s="114"/>
      <c r="D483" s="54"/>
      <c r="E483" s="114"/>
      <c r="F483" s="11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>
      <c r="A484" s="54"/>
      <c r="B484" s="114"/>
      <c r="C484" s="114"/>
      <c r="D484" s="54"/>
      <c r="E484" s="114"/>
      <c r="F484" s="11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>
      <c r="A485" s="54"/>
      <c r="B485" s="114"/>
      <c r="C485" s="114"/>
      <c r="D485" s="54"/>
      <c r="E485" s="114"/>
      <c r="F485" s="11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>
      <c r="A486" s="54"/>
      <c r="B486" s="114"/>
      <c r="C486" s="114"/>
      <c r="D486" s="54"/>
      <c r="E486" s="114"/>
      <c r="F486" s="11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>
      <c r="A487" s="54"/>
      <c r="B487" s="114"/>
      <c r="C487" s="114"/>
      <c r="D487" s="54"/>
      <c r="E487" s="114"/>
      <c r="F487" s="11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>
      <c r="A488" s="54"/>
      <c r="B488" s="114"/>
      <c r="C488" s="114"/>
      <c r="D488" s="54"/>
      <c r="E488" s="114"/>
      <c r="F488" s="11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>
      <c r="A489" s="54"/>
      <c r="B489" s="114"/>
      <c r="C489" s="114"/>
      <c r="D489" s="54"/>
      <c r="E489" s="114"/>
      <c r="F489" s="11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>
      <c r="A490" s="54"/>
      <c r="B490" s="114"/>
      <c r="C490" s="114"/>
      <c r="D490" s="54"/>
      <c r="E490" s="114"/>
      <c r="F490" s="11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>
      <c r="A491" s="54"/>
      <c r="B491" s="114"/>
      <c r="C491" s="114"/>
      <c r="D491" s="54"/>
      <c r="E491" s="114"/>
      <c r="F491" s="11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>
      <c r="A492" s="54"/>
      <c r="B492" s="114"/>
      <c r="C492" s="114"/>
      <c r="D492" s="54"/>
      <c r="E492" s="114"/>
      <c r="F492" s="11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>
      <c r="A493" s="54"/>
      <c r="B493" s="114"/>
      <c r="C493" s="114"/>
      <c r="D493" s="54"/>
      <c r="E493" s="114"/>
      <c r="F493" s="11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>
      <c r="A494" s="54"/>
      <c r="B494" s="114"/>
      <c r="C494" s="114"/>
      <c r="D494" s="54"/>
      <c r="E494" s="114"/>
      <c r="F494" s="11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5">
      <c r="A495" s="54"/>
      <c r="B495" s="114"/>
      <c r="C495" s="114"/>
      <c r="D495" s="54"/>
      <c r="E495" s="114"/>
      <c r="F495" s="11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</row>
    <row r="496">
      <c r="A496" s="54"/>
      <c r="B496" s="114"/>
      <c r="C496" s="114"/>
      <c r="D496" s="54"/>
      <c r="E496" s="114"/>
      <c r="F496" s="11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</row>
    <row r="497">
      <c r="A497" s="54"/>
      <c r="B497" s="114"/>
      <c r="C497" s="114"/>
      <c r="D497" s="54"/>
      <c r="E497" s="114"/>
      <c r="F497" s="11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</row>
    <row r="498">
      <c r="A498" s="54"/>
      <c r="B498" s="114"/>
      <c r="C498" s="114"/>
      <c r="D498" s="54"/>
      <c r="E498" s="114"/>
      <c r="F498" s="11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</row>
    <row r="499">
      <c r="A499" s="54"/>
      <c r="B499" s="114"/>
      <c r="C499" s="114"/>
      <c r="D499" s="54"/>
      <c r="E499" s="114"/>
      <c r="F499" s="11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</row>
    <row r="500">
      <c r="A500" s="54"/>
      <c r="B500" s="114"/>
      <c r="C500" s="114"/>
      <c r="D500" s="54"/>
      <c r="E500" s="114"/>
      <c r="F500" s="11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</row>
    <row r="501">
      <c r="A501" s="54"/>
      <c r="B501" s="114"/>
      <c r="C501" s="114"/>
      <c r="D501" s="54"/>
      <c r="E501" s="114"/>
      <c r="F501" s="11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</row>
    <row r="502">
      <c r="A502" s="54"/>
      <c r="B502" s="114"/>
      <c r="C502" s="114"/>
      <c r="D502" s="54"/>
      <c r="E502" s="114"/>
      <c r="F502" s="11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</row>
    <row r="503">
      <c r="A503" s="54"/>
      <c r="B503" s="114"/>
      <c r="C503" s="114"/>
      <c r="D503" s="54"/>
      <c r="E503" s="114"/>
      <c r="F503" s="11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</row>
    <row r="504">
      <c r="A504" s="54"/>
      <c r="B504" s="114"/>
      <c r="C504" s="114"/>
      <c r="D504" s="54"/>
      <c r="E504" s="114"/>
      <c r="F504" s="11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</row>
    <row r="505">
      <c r="A505" s="54"/>
      <c r="B505" s="114"/>
      <c r="C505" s="114"/>
      <c r="D505" s="54"/>
      <c r="E505" s="114"/>
      <c r="F505" s="11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</row>
    <row r="506">
      <c r="A506" s="54"/>
      <c r="B506" s="114"/>
      <c r="C506" s="114"/>
      <c r="D506" s="54"/>
      <c r="E506" s="114"/>
      <c r="F506" s="11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</row>
    <row r="507">
      <c r="A507" s="54"/>
      <c r="B507" s="114"/>
      <c r="C507" s="114"/>
      <c r="D507" s="54"/>
      <c r="E507" s="114"/>
      <c r="F507" s="11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</row>
    <row r="508">
      <c r="A508" s="54"/>
      <c r="B508" s="114"/>
      <c r="C508" s="114"/>
      <c r="D508" s="54"/>
      <c r="E508" s="114"/>
      <c r="F508" s="11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</row>
    <row r="509">
      <c r="A509" s="54"/>
      <c r="B509" s="114"/>
      <c r="C509" s="114"/>
      <c r="D509" s="54"/>
      <c r="E509" s="114"/>
      <c r="F509" s="11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</row>
    <row r="510">
      <c r="A510" s="54"/>
      <c r="B510" s="114"/>
      <c r="C510" s="114"/>
      <c r="D510" s="54"/>
      <c r="E510" s="114"/>
      <c r="F510" s="11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</row>
    <row r="511">
      <c r="A511" s="54"/>
      <c r="B511" s="114"/>
      <c r="C511" s="114"/>
      <c r="D511" s="54"/>
      <c r="E511" s="114"/>
      <c r="F511" s="11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</row>
    <row r="512">
      <c r="A512" s="54"/>
      <c r="B512" s="114"/>
      <c r="C512" s="114"/>
      <c r="D512" s="54"/>
      <c r="E512" s="114"/>
      <c r="F512" s="11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</row>
    <row r="513">
      <c r="A513" s="54"/>
      <c r="B513" s="114"/>
      <c r="C513" s="114"/>
      <c r="D513" s="54"/>
      <c r="E513" s="114"/>
      <c r="F513" s="11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</row>
    <row r="514">
      <c r="A514" s="54"/>
      <c r="B514" s="114"/>
      <c r="C514" s="114"/>
      <c r="D514" s="54"/>
      <c r="E514" s="114"/>
      <c r="F514" s="11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</row>
    <row r="515">
      <c r="A515" s="54"/>
      <c r="B515" s="114"/>
      <c r="C515" s="114"/>
      <c r="D515" s="54"/>
      <c r="E515" s="114"/>
      <c r="F515" s="11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</row>
    <row r="516">
      <c r="A516" s="54"/>
      <c r="B516" s="114"/>
      <c r="C516" s="114"/>
      <c r="D516" s="54"/>
      <c r="E516" s="114"/>
      <c r="F516" s="11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</row>
    <row r="517">
      <c r="A517" s="54"/>
      <c r="B517" s="114"/>
      <c r="C517" s="114"/>
      <c r="D517" s="54"/>
      <c r="E517" s="114"/>
      <c r="F517" s="11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</row>
    <row r="518">
      <c r="A518" s="54"/>
      <c r="B518" s="114"/>
      <c r="C518" s="114"/>
      <c r="D518" s="54"/>
      <c r="E518" s="114"/>
      <c r="F518" s="11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</row>
    <row r="519">
      <c r="A519" s="54"/>
      <c r="B519" s="114"/>
      <c r="C519" s="114"/>
      <c r="D519" s="54"/>
      <c r="E519" s="114"/>
      <c r="F519" s="11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</row>
    <row r="520">
      <c r="A520" s="54"/>
      <c r="B520" s="114"/>
      <c r="C520" s="114"/>
      <c r="D520" s="54"/>
      <c r="E520" s="114"/>
      <c r="F520" s="11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</row>
    <row r="521">
      <c r="A521" s="54"/>
      <c r="B521" s="114"/>
      <c r="C521" s="114"/>
      <c r="D521" s="54"/>
      <c r="E521" s="114"/>
      <c r="F521" s="11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</row>
    <row r="522">
      <c r="A522" s="54"/>
      <c r="B522" s="114"/>
      <c r="C522" s="114"/>
      <c r="D522" s="54"/>
      <c r="E522" s="114"/>
      <c r="F522" s="11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</row>
    <row r="523">
      <c r="A523" s="54"/>
      <c r="B523" s="114"/>
      <c r="C523" s="114"/>
      <c r="D523" s="54"/>
      <c r="E523" s="114"/>
      <c r="F523" s="11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</row>
    <row r="524">
      <c r="A524" s="54"/>
      <c r="B524" s="114"/>
      <c r="C524" s="114"/>
      <c r="D524" s="54"/>
      <c r="E524" s="114"/>
      <c r="F524" s="11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</row>
    <row r="525">
      <c r="A525" s="54"/>
      <c r="B525" s="114"/>
      <c r="C525" s="114"/>
      <c r="D525" s="54"/>
      <c r="E525" s="114"/>
      <c r="F525" s="11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</row>
    <row r="526">
      <c r="A526" s="54"/>
      <c r="B526" s="114"/>
      <c r="C526" s="114"/>
      <c r="D526" s="54"/>
      <c r="E526" s="114"/>
      <c r="F526" s="11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</row>
    <row r="527">
      <c r="A527" s="54"/>
      <c r="B527" s="114"/>
      <c r="C527" s="114"/>
      <c r="D527" s="54"/>
      <c r="E527" s="114"/>
      <c r="F527" s="11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</row>
    <row r="528">
      <c r="A528" s="54"/>
      <c r="B528" s="114"/>
      <c r="C528" s="114"/>
      <c r="D528" s="54"/>
      <c r="E528" s="114"/>
      <c r="F528" s="11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</row>
    <row r="529">
      <c r="A529" s="54"/>
      <c r="B529" s="114"/>
      <c r="C529" s="114"/>
      <c r="D529" s="54"/>
      <c r="E529" s="114"/>
      <c r="F529" s="11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</row>
    <row r="530">
      <c r="A530" s="54"/>
      <c r="B530" s="114"/>
      <c r="C530" s="114"/>
      <c r="D530" s="54"/>
      <c r="E530" s="114"/>
      <c r="F530" s="11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</row>
    <row r="531">
      <c r="A531" s="54"/>
      <c r="B531" s="114"/>
      <c r="C531" s="114"/>
      <c r="D531" s="54"/>
      <c r="E531" s="114"/>
      <c r="F531" s="11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</row>
    <row r="532">
      <c r="A532" s="54"/>
      <c r="B532" s="114"/>
      <c r="C532" s="114"/>
      <c r="D532" s="54"/>
      <c r="E532" s="114"/>
      <c r="F532" s="11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</row>
    <row r="533">
      <c r="A533" s="54"/>
      <c r="B533" s="114"/>
      <c r="C533" s="114"/>
      <c r="D533" s="54"/>
      <c r="E533" s="114"/>
      <c r="F533" s="11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</row>
    <row r="534">
      <c r="A534" s="54"/>
      <c r="B534" s="114"/>
      <c r="C534" s="114"/>
      <c r="D534" s="54"/>
      <c r="E534" s="114"/>
      <c r="F534" s="11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</row>
    <row r="535">
      <c r="A535" s="54"/>
      <c r="B535" s="114"/>
      <c r="C535" s="114"/>
      <c r="D535" s="54"/>
      <c r="E535" s="114"/>
      <c r="F535" s="11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</row>
    <row r="536">
      <c r="A536" s="54"/>
      <c r="B536" s="114"/>
      <c r="C536" s="114"/>
      <c r="D536" s="54"/>
      <c r="E536" s="114"/>
      <c r="F536" s="11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</row>
    <row r="537">
      <c r="A537" s="54"/>
      <c r="B537" s="114"/>
      <c r="C537" s="114"/>
      <c r="D537" s="54"/>
      <c r="E537" s="114"/>
      <c r="F537" s="11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</row>
    <row r="538">
      <c r="A538" s="54"/>
      <c r="B538" s="114"/>
      <c r="C538" s="114"/>
      <c r="D538" s="54"/>
      <c r="E538" s="114"/>
      <c r="F538" s="11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</row>
    <row r="539">
      <c r="A539" s="54"/>
      <c r="B539" s="114"/>
      <c r="C539" s="114"/>
      <c r="D539" s="54"/>
      <c r="E539" s="114"/>
      <c r="F539" s="11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</row>
    <row r="540">
      <c r="A540" s="54"/>
      <c r="B540" s="114"/>
      <c r="C540" s="114"/>
      <c r="D540" s="54"/>
      <c r="E540" s="114"/>
      <c r="F540" s="11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</row>
    <row r="541">
      <c r="A541" s="54"/>
      <c r="B541" s="114"/>
      <c r="C541" s="114"/>
      <c r="D541" s="54"/>
      <c r="E541" s="114"/>
      <c r="F541" s="11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</row>
    <row r="542">
      <c r="A542" s="54"/>
      <c r="B542" s="114"/>
      <c r="C542" s="114"/>
      <c r="D542" s="54"/>
      <c r="E542" s="114"/>
      <c r="F542" s="11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</row>
    <row r="543">
      <c r="A543" s="54"/>
      <c r="B543" s="114"/>
      <c r="C543" s="114"/>
      <c r="D543" s="54"/>
      <c r="E543" s="114"/>
      <c r="F543" s="11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</row>
    <row r="544">
      <c r="A544" s="54"/>
      <c r="B544" s="114"/>
      <c r="C544" s="114"/>
      <c r="D544" s="54"/>
      <c r="E544" s="114"/>
      <c r="F544" s="11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</row>
    <row r="545">
      <c r="A545" s="54"/>
      <c r="B545" s="114"/>
      <c r="C545" s="114"/>
      <c r="D545" s="54"/>
      <c r="E545" s="114"/>
      <c r="F545" s="11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</row>
    <row r="546">
      <c r="A546" s="54"/>
      <c r="B546" s="114"/>
      <c r="C546" s="114"/>
      <c r="D546" s="54"/>
      <c r="E546" s="114"/>
      <c r="F546" s="11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</row>
    <row r="547">
      <c r="A547" s="54"/>
      <c r="B547" s="114"/>
      <c r="C547" s="114"/>
      <c r="D547" s="54"/>
      <c r="E547" s="114"/>
      <c r="F547" s="11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</row>
    <row r="548">
      <c r="A548" s="54"/>
      <c r="B548" s="114"/>
      <c r="C548" s="114"/>
      <c r="D548" s="54"/>
      <c r="E548" s="114"/>
      <c r="F548" s="11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</row>
    <row r="549">
      <c r="A549" s="54"/>
      <c r="B549" s="114"/>
      <c r="C549" s="114"/>
      <c r="D549" s="54"/>
      <c r="E549" s="114"/>
      <c r="F549" s="11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</row>
    <row r="550">
      <c r="A550" s="54"/>
      <c r="B550" s="114"/>
      <c r="C550" s="114"/>
      <c r="D550" s="54"/>
      <c r="E550" s="114"/>
      <c r="F550" s="11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</row>
    <row r="551">
      <c r="A551" s="54"/>
      <c r="B551" s="54"/>
      <c r="C551" s="54"/>
      <c r="D551" s="54"/>
      <c r="E551" s="114"/>
      <c r="F551" s="11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</row>
    <row r="552">
      <c r="A552" s="54"/>
      <c r="B552" s="54"/>
      <c r="C552" s="54"/>
      <c r="D552" s="54"/>
      <c r="E552" s="114"/>
      <c r="F552" s="11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</row>
    <row r="553">
      <c r="A553" s="54"/>
      <c r="B553" s="54"/>
      <c r="C553" s="54"/>
      <c r="D553" s="54"/>
      <c r="E553" s="114"/>
      <c r="F553" s="11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</row>
    <row r="554">
      <c r="A554" s="54"/>
      <c r="B554" s="54"/>
      <c r="C554" s="54"/>
      <c r="D554" s="54"/>
      <c r="E554" s="114"/>
      <c r="F554" s="11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</row>
    <row r="555">
      <c r="A555" s="54"/>
      <c r="B555" s="54"/>
      <c r="C555" s="54"/>
      <c r="D555" s="54"/>
      <c r="E555" s="114"/>
      <c r="F555" s="11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</row>
    <row r="556">
      <c r="A556" s="54"/>
      <c r="B556" s="54"/>
      <c r="C556" s="54"/>
      <c r="D556" s="54"/>
      <c r="E556" s="114"/>
      <c r="F556" s="11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</row>
    <row r="557">
      <c r="A557" s="54"/>
      <c r="B557" s="54"/>
      <c r="C557" s="54"/>
      <c r="D557" s="54"/>
      <c r="E557" s="114"/>
      <c r="F557" s="11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</row>
    <row r="558">
      <c r="A558" s="54"/>
      <c r="B558" s="54"/>
      <c r="C558" s="54"/>
      <c r="D558" s="54"/>
      <c r="E558" s="114"/>
      <c r="F558" s="11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</row>
    <row r="559">
      <c r="A559" s="54"/>
      <c r="B559" s="54"/>
      <c r="C559" s="54"/>
      <c r="D559" s="54"/>
      <c r="E559" s="114"/>
      <c r="F559" s="11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</row>
    <row r="560">
      <c r="A560" s="54"/>
      <c r="B560" s="54"/>
      <c r="C560" s="54"/>
      <c r="D560" s="54"/>
      <c r="E560" s="114"/>
      <c r="F560" s="11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</row>
    <row r="561">
      <c r="A561" s="54"/>
      <c r="B561" s="54"/>
      <c r="C561" s="54"/>
      <c r="D561" s="54"/>
      <c r="E561" s="114"/>
      <c r="F561" s="11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</row>
    <row r="562">
      <c r="A562" s="54"/>
      <c r="B562" s="54"/>
      <c r="C562" s="54"/>
      <c r="D562" s="54"/>
      <c r="E562" s="114"/>
      <c r="F562" s="11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</row>
    <row r="563">
      <c r="A563" s="54"/>
      <c r="B563" s="54"/>
      <c r="C563" s="54"/>
      <c r="D563" s="54"/>
      <c r="E563" s="114"/>
      <c r="F563" s="11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</row>
    <row r="564">
      <c r="A564" s="54"/>
      <c r="B564" s="54"/>
      <c r="C564" s="54"/>
      <c r="D564" s="54"/>
      <c r="E564" s="114"/>
      <c r="F564" s="11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</row>
    <row r="565">
      <c r="A565" s="54"/>
      <c r="B565" s="54"/>
      <c r="C565" s="54"/>
      <c r="D565" s="54"/>
      <c r="E565" s="114"/>
      <c r="F565" s="11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</row>
    <row r="566">
      <c r="A566" s="54"/>
      <c r="B566" s="54"/>
      <c r="C566" s="54"/>
      <c r="D566" s="54"/>
      <c r="E566" s="114"/>
      <c r="F566" s="11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</row>
    <row r="567">
      <c r="A567" s="54"/>
      <c r="B567" s="54"/>
      <c r="C567" s="54"/>
      <c r="D567" s="54"/>
      <c r="E567" s="114"/>
      <c r="F567" s="11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</row>
    <row r="568">
      <c r="A568" s="54"/>
      <c r="B568" s="54"/>
      <c r="C568" s="54"/>
      <c r="D568" s="54"/>
      <c r="E568" s="114"/>
      <c r="F568" s="11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</row>
    <row r="569">
      <c r="A569" s="54"/>
      <c r="B569" s="54"/>
      <c r="C569" s="54"/>
      <c r="D569" s="54"/>
      <c r="E569" s="114"/>
      <c r="F569" s="11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</row>
    <row r="570">
      <c r="A570" s="54"/>
      <c r="B570" s="54"/>
      <c r="C570" s="54"/>
      <c r="D570" s="54"/>
      <c r="E570" s="114"/>
      <c r="F570" s="11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</row>
    <row r="571">
      <c r="A571" s="54"/>
      <c r="B571" s="54"/>
      <c r="C571" s="54"/>
      <c r="D571" s="54"/>
      <c r="E571" s="114"/>
      <c r="F571" s="11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</row>
    <row r="572">
      <c r="A572" s="54"/>
      <c r="B572" s="54"/>
      <c r="C572" s="54"/>
      <c r="D572" s="54"/>
      <c r="E572" s="114"/>
      <c r="F572" s="11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</row>
    <row r="573">
      <c r="A573" s="54"/>
      <c r="B573" s="54"/>
      <c r="C573" s="54"/>
      <c r="D573" s="54"/>
      <c r="E573" s="114"/>
      <c r="F573" s="11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</row>
    <row r="574">
      <c r="A574" s="54"/>
      <c r="B574" s="54"/>
      <c r="C574" s="54"/>
      <c r="D574" s="54"/>
      <c r="E574" s="114"/>
      <c r="F574" s="11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</row>
    <row r="575">
      <c r="A575" s="54"/>
      <c r="B575" s="54"/>
      <c r="C575" s="54"/>
      <c r="D575" s="54"/>
      <c r="E575" s="114"/>
      <c r="F575" s="11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</row>
    <row r="576">
      <c r="A576" s="54"/>
      <c r="B576" s="54"/>
      <c r="C576" s="54"/>
      <c r="D576" s="54"/>
      <c r="E576" s="114"/>
      <c r="F576" s="11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</row>
    <row r="577">
      <c r="A577" s="54"/>
      <c r="B577" s="54"/>
      <c r="C577" s="54"/>
      <c r="D577" s="54"/>
      <c r="E577" s="114"/>
      <c r="F577" s="11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</row>
    <row r="578">
      <c r="A578" s="54"/>
      <c r="B578" s="54"/>
      <c r="C578" s="54"/>
      <c r="D578" s="54"/>
      <c r="E578" s="114"/>
      <c r="F578" s="11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</row>
    <row r="579">
      <c r="A579" s="54"/>
      <c r="B579" s="54"/>
      <c r="C579" s="54"/>
      <c r="D579" s="54"/>
      <c r="E579" s="114"/>
      <c r="F579" s="11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</row>
    <row r="580">
      <c r="A580" s="54"/>
      <c r="B580" s="54"/>
      <c r="C580" s="54"/>
      <c r="D580" s="54"/>
      <c r="E580" s="114"/>
      <c r="F580" s="11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</row>
    <row r="581">
      <c r="A581" s="54"/>
      <c r="B581" s="54"/>
      <c r="C581" s="54"/>
      <c r="D581" s="54"/>
      <c r="E581" s="114"/>
      <c r="F581" s="11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</row>
    <row r="582">
      <c r="A582" s="54"/>
      <c r="B582" s="54"/>
      <c r="C582" s="54"/>
      <c r="D582" s="54"/>
      <c r="E582" s="114"/>
      <c r="F582" s="11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</row>
    <row r="583">
      <c r="A583" s="54"/>
      <c r="B583" s="54"/>
      <c r="C583" s="54"/>
      <c r="D583" s="54"/>
      <c r="E583" s="114"/>
      <c r="F583" s="11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</row>
    <row r="584">
      <c r="A584" s="54"/>
      <c r="B584" s="54"/>
      <c r="C584" s="54"/>
      <c r="D584" s="54"/>
      <c r="E584" s="114"/>
      <c r="F584" s="11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</row>
    <row r="585">
      <c r="A585" s="54"/>
      <c r="B585" s="54"/>
      <c r="C585" s="54"/>
      <c r="D585" s="54"/>
      <c r="E585" s="114"/>
      <c r="F585" s="11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</row>
    <row r="586">
      <c r="A586" s="54"/>
      <c r="B586" s="54"/>
      <c r="C586" s="54"/>
      <c r="D586" s="54"/>
      <c r="E586" s="114"/>
      <c r="F586" s="11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>
      <c r="A587" s="54"/>
      <c r="B587" s="54"/>
      <c r="C587" s="54"/>
      <c r="D587" s="54"/>
      <c r="E587" s="114"/>
      <c r="F587" s="11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>
      <c r="A588" s="54"/>
      <c r="B588" s="54"/>
      <c r="C588" s="54"/>
      <c r="D588" s="54"/>
      <c r="E588" s="114"/>
      <c r="F588" s="11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>
      <c r="A589" s="54"/>
      <c r="B589" s="54"/>
      <c r="C589" s="54"/>
      <c r="D589" s="54"/>
      <c r="E589" s="114"/>
      <c r="F589" s="11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>
      <c r="A590" s="54"/>
      <c r="B590" s="54"/>
      <c r="C590" s="54"/>
      <c r="D590" s="54"/>
      <c r="E590" s="114"/>
      <c r="F590" s="11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>
      <c r="A591" s="54"/>
      <c r="B591" s="54"/>
      <c r="C591" s="54"/>
      <c r="D591" s="54"/>
      <c r="E591" s="114"/>
      <c r="F591" s="11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>
      <c r="A592" s="54"/>
      <c r="B592" s="54"/>
      <c r="C592" s="54"/>
      <c r="D592" s="54"/>
      <c r="E592" s="114"/>
      <c r="F592" s="11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>
      <c r="A593" s="54"/>
      <c r="B593" s="54"/>
      <c r="C593" s="54"/>
      <c r="D593" s="54"/>
      <c r="E593" s="114"/>
      <c r="F593" s="11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>
      <c r="A594" s="54"/>
      <c r="B594" s="54"/>
      <c r="C594" s="54"/>
      <c r="D594" s="54"/>
      <c r="E594" s="114"/>
      <c r="F594" s="11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>
      <c r="A595" s="54"/>
      <c r="B595" s="54"/>
      <c r="C595" s="54"/>
      <c r="D595" s="54"/>
      <c r="E595" s="114"/>
      <c r="F595" s="11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>
      <c r="A596" s="54"/>
      <c r="B596" s="54"/>
      <c r="C596" s="54"/>
      <c r="D596" s="54"/>
      <c r="E596" s="114"/>
      <c r="F596" s="11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>
      <c r="A597" s="54"/>
      <c r="B597" s="54"/>
      <c r="C597" s="54"/>
      <c r="D597" s="54"/>
      <c r="E597" s="114"/>
      <c r="F597" s="11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>
      <c r="A598" s="54"/>
      <c r="B598" s="54"/>
      <c r="C598" s="54"/>
      <c r="D598" s="54"/>
      <c r="E598" s="114"/>
      <c r="F598" s="11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>
      <c r="A599" s="54"/>
      <c r="B599" s="54"/>
      <c r="C599" s="54"/>
      <c r="D599" s="54"/>
      <c r="E599" s="114"/>
      <c r="F599" s="11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>
      <c r="A600" s="54"/>
      <c r="B600" s="54"/>
      <c r="C600" s="54"/>
      <c r="D600" s="54"/>
      <c r="E600" s="114"/>
      <c r="F600" s="11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>
      <c r="A601" s="54"/>
      <c r="B601" s="54"/>
      <c r="C601" s="54"/>
      <c r="D601" s="54"/>
      <c r="E601" s="114"/>
      <c r="F601" s="11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>
      <c r="A602" s="54"/>
      <c r="B602" s="54"/>
      <c r="C602" s="54"/>
      <c r="D602" s="54"/>
      <c r="E602" s="114"/>
      <c r="F602" s="11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>
      <c r="A603" s="54"/>
      <c r="B603" s="54"/>
      <c r="C603" s="54"/>
      <c r="D603" s="54"/>
      <c r="E603" s="114"/>
      <c r="F603" s="11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>
      <c r="A604" s="54"/>
      <c r="B604" s="54"/>
      <c r="C604" s="54"/>
      <c r="D604" s="54"/>
      <c r="E604" s="114"/>
      <c r="F604" s="11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>
      <c r="A605" s="54"/>
      <c r="B605" s="54"/>
      <c r="C605" s="54"/>
      <c r="D605" s="54"/>
      <c r="E605" s="114"/>
      <c r="F605" s="11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>
      <c r="A606" s="54"/>
      <c r="B606" s="54"/>
      <c r="C606" s="54"/>
      <c r="D606" s="54"/>
      <c r="E606" s="114"/>
      <c r="F606" s="11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>
      <c r="A607" s="54"/>
      <c r="B607" s="54"/>
      <c r="C607" s="54"/>
      <c r="D607" s="54"/>
      <c r="E607" s="114"/>
      <c r="F607" s="11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>
      <c r="A608" s="54"/>
      <c r="B608" s="54"/>
      <c r="C608" s="54"/>
      <c r="D608" s="54"/>
      <c r="E608" s="114"/>
      <c r="F608" s="11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>
      <c r="A609" s="54"/>
      <c r="B609" s="54"/>
      <c r="C609" s="54"/>
      <c r="D609" s="54"/>
      <c r="E609" s="114"/>
      <c r="F609" s="11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>
      <c r="A610" s="54"/>
      <c r="B610" s="54"/>
      <c r="C610" s="54"/>
      <c r="D610" s="54"/>
      <c r="E610" s="114"/>
      <c r="F610" s="11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1">
      <c r="A611" s="54"/>
      <c r="B611" s="54"/>
      <c r="C611" s="54"/>
      <c r="D611" s="54"/>
      <c r="E611" s="114"/>
      <c r="F611" s="11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</row>
    <row r="612">
      <c r="A612" s="54"/>
      <c r="B612" s="54"/>
      <c r="C612" s="54"/>
      <c r="D612" s="54"/>
      <c r="E612" s="114"/>
      <c r="F612" s="11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</row>
    <row r="613">
      <c r="A613" s="54"/>
      <c r="B613" s="54"/>
      <c r="C613" s="54"/>
      <c r="D613" s="54"/>
      <c r="E613" s="114"/>
      <c r="F613" s="11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</row>
    <row r="614">
      <c r="A614" s="54"/>
      <c r="B614" s="54"/>
      <c r="C614" s="54"/>
      <c r="D614" s="54"/>
      <c r="E614" s="114"/>
      <c r="F614" s="11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</row>
    <row r="615">
      <c r="A615" s="54"/>
      <c r="B615" s="54"/>
      <c r="C615" s="54"/>
      <c r="D615" s="54"/>
      <c r="E615" s="114"/>
      <c r="F615" s="11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</row>
    <row r="616">
      <c r="A616" s="54"/>
      <c r="B616" s="54"/>
      <c r="C616" s="54"/>
      <c r="D616" s="54"/>
      <c r="E616" s="114"/>
      <c r="F616" s="11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</row>
    <row r="617">
      <c r="A617" s="54"/>
      <c r="B617" s="54"/>
      <c r="C617" s="54"/>
      <c r="D617" s="54"/>
      <c r="E617" s="114"/>
      <c r="F617" s="11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</row>
    <row r="618">
      <c r="A618" s="54"/>
      <c r="B618" s="54"/>
      <c r="C618" s="54"/>
      <c r="D618" s="54"/>
      <c r="E618" s="114"/>
      <c r="F618" s="11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</row>
    <row r="619">
      <c r="A619" s="54"/>
      <c r="B619" s="54"/>
      <c r="C619" s="54"/>
      <c r="D619" s="54"/>
      <c r="E619" s="114"/>
      <c r="F619" s="11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</row>
    <row r="620">
      <c r="A620" s="54"/>
      <c r="B620" s="54"/>
      <c r="C620" s="54"/>
      <c r="D620" s="54"/>
      <c r="E620" s="114"/>
      <c r="F620" s="11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</row>
    <row r="621">
      <c r="A621" s="54"/>
      <c r="B621" s="54"/>
      <c r="C621" s="54"/>
      <c r="D621" s="54"/>
      <c r="E621" s="114"/>
      <c r="F621" s="11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</row>
    <row r="622">
      <c r="A622" s="54"/>
      <c r="B622" s="54"/>
      <c r="C622" s="54"/>
      <c r="D622" s="54"/>
      <c r="E622" s="114"/>
      <c r="F622" s="11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</row>
    <row r="623">
      <c r="A623" s="54"/>
      <c r="B623" s="54"/>
      <c r="C623" s="54"/>
      <c r="D623" s="54"/>
      <c r="E623" s="114"/>
      <c r="F623" s="11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</row>
    <row r="624">
      <c r="A624" s="54"/>
      <c r="B624" s="54"/>
      <c r="C624" s="54"/>
      <c r="D624" s="54"/>
      <c r="E624" s="114"/>
      <c r="F624" s="11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</row>
    <row r="625">
      <c r="A625" s="54"/>
      <c r="B625" s="54"/>
      <c r="C625" s="54"/>
      <c r="D625" s="54"/>
      <c r="E625" s="114"/>
      <c r="F625" s="11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</row>
    <row r="626">
      <c r="A626" s="54"/>
      <c r="B626" s="54"/>
      <c r="C626" s="54"/>
      <c r="D626" s="54"/>
      <c r="E626" s="114"/>
      <c r="F626" s="11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</row>
    <row r="627">
      <c r="A627" s="54"/>
      <c r="B627" s="54"/>
      <c r="C627" s="54"/>
      <c r="D627" s="54"/>
      <c r="E627" s="114"/>
      <c r="F627" s="11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</row>
    <row r="628">
      <c r="A628" s="54"/>
      <c r="B628" s="54"/>
      <c r="C628" s="54"/>
      <c r="D628" s="54"/>
      <c r="E628" s="114"/>
      <c r="F628" s="11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</row>
    <row r="629">
      <c r="A629" s="54"/>
      <c r="B629" s="54"/>
      <c r="C629" s="54"/>
      <c r="D629" s="54"/>
      <c r="E629" s="114"/>
      <c r="F629" s="11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</row>
    <row r="630">
      <c r="A630" s="54"/>
      <c r="B630" s="54"/>
      <c r="C630" s="54"/>
      <c r="D630" s="54"/>
      <c r="E630" s="114"/>
      <c r="F630" s="11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</row>
    <row r="631">
      <c r="A631" s="54"/>
      <c r="B631" s="54"/>
      <c r="C631" s="54"/>
      <c r="D631" s="54"/>
      <c r="E631" s="114"/>
      <c r="F631" s="11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</row>
    <row r="632">
      <c r="A632" s="54"/>
      <c r="B632" s="54"/>
      <c r="C632" s="54"/>
      <c r="D632" s="54"/>
      <c r="E632" s="114"/>
      <c r="F632" s="11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</row>
    <row r="633">
      <c r="A633" s="54"/>
      <c r="B633" s="54"/>
      <c r="C633" s="54"/>
      <c r="D633" s="54"/>
      <c r="E633" s="114"/>
      <c r="F633" s="11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</row>
    <row r="634">
      <c r="A634" s="54"/>
      <c r="B634" s="54"/>
      <c r="C634" s="54"/>
      <c r="D634" s="54"/>
      <c r="E634" s="114"/>
      <c r="F634" s="11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</row>
    <row r="635">
      <c r="A635" s="54"/>
      <c r="B635" s="54"/>
      <c r="C635" s="54"/>
      <c r="D635" s="54"/>
      <c r="E635" s="114"/>
      <c r="F635" s="11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</row>
    <row r="636">
      <c r="A636" s="54"/>
      <c r="B636" s="54"/>
      <c r="C636" s="54"/>
      <c r="D636" s="54"/>
      <c r="E636" s="114"/>
      <c r="F636" s="11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</row>
    <row r="637">
      <c r="A637" s="54"/>
      <c r="B637" s="54"/>
      <c r="C637" s="54"/>
      <c r="D637" s="54"/>
      <c r="E637" s="114"/>
      <c r="F637" s="11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</row>
    <row r="638">
      <c r="A638" s="54"/>
      <c r="B638" s="54"/>
      <c r="C638" s="54"/>
      <c r="D638" s="54"/>
      <c r="E638" s="114"/>
      <c r="F638" s="11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</row>
    <row r="639">
      <c r="A639" s="54"/>
      <c r="B639" s="54"/>
      <c r="C639" s="54"/>
      <c r="D639" s="54"/>
      <c r="E639" s="114"/>
      <c r="F639" s="11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</row>
    <row r="640">
      <c r="A640" s="54"/>
      <c r="B640" s="54"/>
      <c r="C640" s="54"/>
      <c r="D640" s="54"/>
      <c r="E640" s="114"/>
      <c r="F640" s="11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</row>
    <row r="641">
      <c r="A641" s="54"/>
      <c r="B641" s="54"/>
      <c r="C641" s="54"/>
      <c r="D641" s="54"/>
      <c r="E641" s="114"/>
      <c r="F641" s="11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</row>
    <row r="642">
      <c r="A642" s="54"/>
      <c r="B642" s="54"/>
      <c r="C642" s="54"/>
      <c r="D642" s="54"/>
      <c r="E642" s="114"/>
      <c r="F642" s="11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</row>
    <row r="643">
      <c r="A643" s="54"/>
      <c r="B643" s="54"/>
      <c r="C643" s="54"/>
      <c r="D643" s="54"/>
      <c r="E643" s="114"/>
      <c r="F643" s="11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</row>
    <row r="644">
      <c r="A644" s="54"/>
      <c r="B644" s="54"/>
      <c r="C644" s="54"/>
      <c r="D644" s="54"/>
      <c r="E644" s="114"/>
      <c r="F644" s="11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</row>
    <row r="645">
      <c r="A645" s="54"/>
      <c r="B645" s="54"/>
      <c r="C645" s="54"/>
      <c r="D645" s="54"/>
      <c r="E645" s="114"/>
      <c r="F645" s="11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</row>
    <row r="646">
      <c r="A646" s="54"/>
      <c r="B646" s="54"/>
      <c r="C646" s="54"/>
      <c r="D646" s="54"/>
      <c r="E646" s="114"/>
      <c r="F646" s="11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</row>
    <row r="647">
      <c r="A647" s="54"/>
      <c r="B647" s="54"/>
      <c r="C647" s="54"/>
      <c r="D647" s="54"/>
      <c r="E647" s="114"/>
      <c r="F647" s="11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</row>
    <row r="648">
      <c r="A648" s="54"/>
      <c r="B648" s="54"/>
      <c r="C648" s="54"/>
      <c r="D648" s="54"/>
      <c r="E648" s="114"/>
      <c r="F648" s="11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</row>
    <row r="649">
      <c r="A649" s="54"/>
      <c r="B649" s="54"/>
      <c r="C649" s="54"/>
      <c r="D649" s="54"/>
      <c r="E649" s="114"/>
      <c r="F649" s="11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</row>
    <row r="650">
      <c r="A650" s="54"/>
      <c r="B650" s="54"/>
      <c r="C650" s="54"/>
      <c r="D650" s="54"/>
      <c r="E650" s="114"/>
      <c r="F650" s="11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</row>
    <row r="651">
      <c r="A651" s="54"/>
      <c r="B651" s="54"/>
      <c r="C651" s="54"/>
      <c r="D651" s="54"/>
      <c r="E651" s="114"/>
      <c r="F651" s="11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</row>
    <row r="652">
      <c r="A652" s="54"/>
      <c r="B652" s="54"/>
      <c r="C652" s="54"/>
      <c r="D652" s="54"/>
      <c r="E652" s="114"/>
      <c r="F652" s="11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</row>
    <row r="653">
      <c r="A653" s="54"/>
      <c r="B653" s="54"/>
      <c r="C653" s="54"/>
      <c r="D653" s="54"/>
      <c r="E653" s="114"/>
      <c r="F653" s="11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</row>
    <row r="654">
      <c r="A654" s="54"/>
      <c r="B654" s="54"/>
      <c r="C654" s="54"/>
      <c r="D654" s="54"/>
      <c r="E654" s="114"/>
      <c r="F654" s="11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</row>
    <row r="655">
      <c r="A655" s="54"/>
      <c r="B655" s="54"/>
      <c r="C655" s="54"/>
      <c r="D655" s="54"/>
      <c r="E655" s="114"/>
      <c r="F655" s="11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</row>
    <row r="656">
      <c r="A656" s="54"/>
      <c r="B656" s="54"/>
      <c r="C656" s="54"/>
      <c r="D656" s="54"/>
      <c r="E656" s="114"/>
      <c r="F656" s="11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</row>
    <row r="657">
      <c r="A657" s="54"/>
      <c r="B657" s="54"/>
      <c r="C657" s="54"/>
      <c r="D657" s="54"/>
      <c r="E657" s="114"/>
      <c r="F657" s="11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</row>
    <row r="658">
      <c r="A658" s="54"/>
      <c r="B658" s="54"/>
      <c r="C658" s="54"/>
      <c r="D658" s="54"/>
      <c r="E658" s="114"/>
      <c r="F658" s="11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</row>
    <row r="659">
      <c r="A659" s="54"/>
      <c r="B659" s="54"/>
      <c r="C659" s="54"/>
      <c r="D659" s="54"/>
      <c r="E659" s="114"/>
      <c r="F659" s="11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</row>
    <row r="660">
      <c r="A660" s="54"/>
      <c r="B660" s="54"/>
      <c r="C660" s="54"/>
      <c r="D660" s="54"/>
      <c r="E660" s="114"/>
      <c r="F660" s="11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</row>
    <row r="661">
      <c r="A661" s="54"/>
      <c r="B661" s="54"/>
      <c r="C661" s="54"/>
      <c r="D661" s="54"/>
      <c r="E661" s="114"/>
      <c r="F661" s="11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</row>
    <row r="662">
      <c r="A662" s="54"/>
      <c r="B662" s="54"/>
      <c r="C662" s="54"/>
      <c r="D662" s="54"/>
      <c r="E662" s="114"/>
      <c r="F662" s="11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</row>
    <row r="663">
      <c r="A663" s="54"/>
      <c r="B663" s="54"/>
      <c r="C663" s="54"/>
      <c r="D663" s="54"/>
      <c r="E663" s="114"/>
      <c r="F663" s="11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</row>
    <row r="664">
      <c r="A664" s="54"/>
      <c r="B664" s="54"/>
      <c r="C664" s="54"/>
      <c r="D664" s="54"/>
      <c r="E664" s="114"/>
      <c r="F664" s="11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</row>
    <row r="665">
      <c r="A665" s="54"/>
      <c r="B665" s="54"/>
      <c r="C665" s="54"/>
      <c r="D665" s="54"/>
      <c r="E665" s="114"/>
      <c r="F665" s="11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</row>
    <row r="666">
      <c r="A666" s="54"/>
      <c r="B666" s="54"/>
      <c r="C666" s="54"/>
      <c r="D666" s="54"/>
      <c r="E666" s="114"/>
      <c r="F666" s="11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</row>
    <row r="667">
      <c r="A667" s="54"/>
      <c r="B667" s="54"/>
      <c r="C667" s="54"/>
      <c r="D667" s="54"/>
      <c r="E667" s="114"/>
      <c r="F667" s="11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</row>
    <row r="668">
      <c r="A668" s="54"/>
      <c r="B668" s="54"/>
      <c r="C668" s="54"/>
      <c r="D668" s="54"/>
      <c r="E668" s="114"/>
      <c r="F668" s="11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</row>
    <row r="669">
      <c r="A669" s="54"/>
      <c r="B669" s="54"/>
      <c r="C669" s="54"/>
      <c r="D669" s="54"/>
      <c r="E669" s="114"/>
      <c r="F669" s="11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</row>
    <row r="670">
      <c r="A670" s="54"/>
      <c r="B670" s="54"/>
      <c r="C670" s="54"/>
      <c r="D670" s="54"/>
      <c r="E670" s="114"/>
      <c r="F670" s="11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</row>
    <row r="671">
      <c r="A671" s="54"/>
      <c r="B671" s="54"/>
      <c r="C671" s="54"/>
      <c r="D671" s="54"/>
      <c r="E671" s="114"/>
      <c r="F671" s="11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</row>
    <row r="672">
      <c r="A672" s="54"/>
      <c r="B672" s="54"/>
      <c r="C672" s="54"/>
      <c r="D672" s="54"/>
      <c r="E672" s="114"/>
      <c r="F672" s="11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</row>
    <row r="673">
      <c r="A673" s="54"/>
      <c r="B673" s="54"/>
      <c r="C673" s="54"/>
      <c r="D673" s="54"/>
      <c r="E673" s="114"/>
      <c r="F673" s="11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</row>
    <row r="674">
      <c r="A674" s="54"/>
      <c r="B674" s="54"/>
      <c r="C674" s="54"/>
      <c r="D674" s="54"/>
      <c r="E674" s="114"/>
      <c r="F674" s="11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</row>
    <row r="675">
      <c r="A675" s="54"/>
      <c r="B675" s="54"/>
      <c r="C675" s="54"/>
      <c r="D675" s="54"/>
      <c r="E675" s="114"/>
      <c r="F675" s="11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</row>
    <row r="676">
      <c r="A676" s="54"/>
      <c r="B676" s="54"/>
      <c r="C676" s="54"/>
      <c r="D676" s="54"/>
      <c r="E676" s="114"/>
      <c r="F676" s="11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</row>
    <row r="677">
      <c r="A677" s="54"/>
      <c r="B677" s="54"/>
      <c r="C677" s="54"/>
      <c r="D677" s="54"/>
      <c r="E677" s="114"/>
      <c r="F677" s="11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</row>
    <row r="678">
      <c r="A678" s="54"/>
      <c r="B678" s="54"/>
      <c r="C678" s="54"/>
      <c r="D678" s="54"/>
      <c r="E678" s="114"/>
      <c r="F678" s="11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</row>
    <row r="679">
      <c r="A679" s="54"/>
      <c r="B679" s="54"/>
      <c r="C679" s="54"/>
      <c r="D679" s="54"/>
      <c r="E679" s="114"/>
      <c r="F679" s="11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</row>
    <row r="680">
      <c r="A680" s="54"/>
      <c r="B680" s="54"/>
      <c r="C680" s="54"/>
      <c r="D680" s="54"/>
      <c r="E680" s="114"/>
      <c r="F680" s="11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</row>
    <row r="681">
      <c r="A681" s="54"/>
      <c r="B681" s="54"/>
      <c r="C681" s="54"/>
      <c r="D681" s="54"/>
      <c r="E681" s="114"/>
      <c r="F681" s="11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</row>
    <row r="682">
      <c r="A682" s="54"/>
      <c r="B682" s="54"/>
      <c r="C682" s="54"/>
      <c r="D682" s="54"/>
      <c r="E682" s="114"/>
      <c r="F682" s="11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</row>
    <row r="683">
      <c r="A683" s="54"/>
      <c r="B683" s="54"/>
      <c r="C683" s="54"/>
      <c r="D683" s="54"/>
      <c r="E683" s="114"/>
      <c r="F683" s="11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</row>
    <row r="684">
      <c r="A684" s="54"/>
      <c r="B684" s="54"/>
      <c r="C684" s="54"/>
      <c r="D684" s="54"/>
      <c r="E684" s="114"/>
      <c r="F684" s="11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</row>
    <row r="685">
      <c r="A685" s="54"/>
      <c r="B685" s="54"/>
      <c r="C685" s="54"/>
      <c r="D685" s="54"/>
      <c r="E685" s="114"/>
      <c r="F685" s="11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</row>
    <row r="686">
      <c r="A686" s="54"/>
      <c r="B686" s="54"/>
      <c r="C686" s="54"/>
      <c r="D686" s="54"/>
      <c r="E686" s="114"/>
      <c r="F686" s="11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</row>
    <row r="687">
      <c r="A687" s="54"/>
      <c r="B687" s="54"/>
      <c r="C687" s="54"/>
      <c r="D687" s="54"/>
      <c r="E687" s="114"/>
      <c r="F687" s="11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</row>
    <row r="688">
      <c r="A688" s="54"/>
      <c r="B688" s="54"/>
      <c r="C688" s="54"/>
      <c r="D688" s="54"/>
      <c r="E688" s="114"/>
      <c r="F688" s="11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</row>
    <row r="689">
      <c r="A689" s="54"/>
      <c r="B689" s="54"/>
      <c r="C689" s="54"/>
      <c r="D689" s="54"/>
      <c r="E689" s="114"/>
      <c r="F689" s="11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</row>
    <row r="690">
      <c r="A690" s="54"/>
      <c r="B690" s="54"/>
      <c r="C690" s="54"/>
      <c r="D690" s="54"/>
      <c r="E690" s="114"/>
      <c r="F690" s="11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</row>
    <row r="691">
      <c r="A691" s="54"/>
      <c r="B691" s="54"/>
      <c r="C691" s="54"/>
      <c r="D691" s="54"/>
      <c r="E691" s="114"/>
      <c r="F691" s="11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</row>
    <row r="692">
      <c r="A692" s="54"/>
      <c r="B692" s="54"/>
      <c r="C692" s="54"/>
      <c r="D692" s="54"/>
      <c r="E692" s="114"/>
      <c r="F692" s="11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</row>
    <row r="693">
      <c r="A693" s="54"/>
      <c r="B693" s="54"/>
      <c r="C693" s="54"/>
      <c r="D693" s="54"/>
      <c r="E693" s="114"/>
      <c r="F693" s="11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</row>
    <row r="694">
      <c r="A694" s="54"/>
      <c r="B694" s="54"/>
      <c r="C694" s="54"/>
      <c r="D694" s="54"/>
      <c r="E694" s="114"/>
      <c r="F694" s="11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</row>
    <row r="695">
      <c r="A695" s="54"/>
      <c r="B695" s="54"/>
      <c r="C695" s="54"/>
      <c r="D695" s="54"/>
      <c r="E695" s="114"/>
      <c r="F695" s="11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</row>
    <row r="696">
      <c r="A696" s="54"/>
      <c r="B696" s="54"/>
      <c r="C696" s="54"/>
      <c r="D696" s="54"/>
      <c r="E696" s="114"/>
      <c r="F696" s="11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</row>
    <row r="697">
      <c r="A697" s="54"/>
      <c r="B697" s="54"/>
      <c r="C697" s="54"/>
      <c r="D697" s="54"/>
      <c r="E697" s="114"/>
      <c r="F697" s="11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</row>
    <row r="698">
      <c r="A698" s="54"/>
      <c r="B698" s="54"/>
      <c r="C698" s="54"/>
      <c r="D698" s="54"/>
      <c r="E698" s="114"/>
      <c r="F698" s="11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</row>
    <row r="699">
      <c r="A699" s="54"/>
      <c r="B699" s="54"/>
      <c r="C699" s="54"/>
      <c r="D699" s="54"/>
      <c r="E699" s="114"/>
      <c r="F699" s="11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</row>
    <row r="700">
      <c r="A700" s="54"/>
      <c r="B700" s="54"/>
      <c r="C700" s="54"/>
      <c r="D700" s="54"/>
      <c r="E700" s="114"/>
      <c r="F700" s="11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</row>
    <row r="701">
      <c r="A701" s="54"/>
      <c r="B701" s="54"/>
      <c r="C701" s="54"/>
      <c r="D701" s="54"/>
      <c r="E701" s="114"/>
      <c r="F701" s="11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</row>
    <row r="702">
      <c r="A702" s="54"/>
      <c r="B702" s="54"/>
      <c r="C702" s="54"/>
      <c r="D702" s="54"/>
      <c r="E702" s="114"/>
      <c r="F702" s="11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</row>
    <row r="703">
      <c r="A703" s="54"/>
      <c r="B703" s="54"/>
      <c r="C703" s="54"/>
      <c r="D703" s="54"/>
      <c r="E703" s="114"/>
      <c r="F703" s="11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</row>
    <row r="704">
      <c r="A704" s="54"/>
      <c r="B704" s="54"/>
      <c r="C704" s="54"/>
      <c r="D704" s="54"/>
      <c r="E704" s="114"/>
      <c r="F704" s="11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</row>
    <row r="705">
      <c r="A705" s="54"/>
      <c r="B705" s="54"/>
      <c r="C705" s="54"/>
      <c r="D705" s="54"/>
      <c r="E705" s="114"/>
      <c r="F705" s="11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</row>
    <row r="706">
      <c r="A706" s="54"/>
      <c r="B706" s="54"/>
      <c r="C706" s="54"/>
      <c r="D706" s="54"/>
      <c r="E706" s="114"/>
      <c r="F706" s="11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</row>
    <row r="707">
      <c r="A707" s="54"/>
      <c r="B707" s="54"/>
      <c r="C707" s="54"/>
      <c r="D707" s="54"/>
      <c r="E707" s="114"/>
      <c r="F707" s="11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</row>
    <row r="708">
      <c r="A708" s="54"/>
      <c r="B708" s="54"/>
      <c r="C708" s="54"/>
      <c r="D708" s="54"/>
      <c r="E708" s="114"/>
      <c r="F708" s="11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</row>
    <row r="709">
      <c r="A709" s="54"/>
      <c r="B709" s="54"/>
      <c r="C709" s="54"/>
      <c r="D709" s="54"/>
      <c r="E709" s="114"/>
      <c r="F709" s="11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</row>
    <row r="710">
      <c r="A710" s="54"/>
      <c r="B710" s="54"/>
      <c r="C710" s="54"/>
      <c r="D710" s="54"/>
      <c r="E710" s="114"/>
      <c r="F710" s="11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</row>
    <row r="711">
      <c r="A711" s="54"/>
      <c r="B711" s="54"/>
      <c r="C711" s="54"/>
      <c r="D711" s="54"/>
      <c r="E711" s="114"/>
      <c r="F711" s="11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</row>
    <row r="712">
      <c r="A712" s="54"/>
      <c r="B712" s="54"/>
      <c r="C712" s="54"/>
      <c r="D712" s="54"/>
      <c r="E712" s="114"/>
      <c r="F712" s="11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</row>
    <row r="713">
      <c r="A713" s="54"/>
      <c r="B713" s="54"/>
      <c r="C713" s="54"/>
      <c r="D713" s="54"/>
      <c r="E713" s="114"/>
      <c r="F713" s="11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</row>
    <row r="714">
      <c r="A714" s="54"/>
      <c r="B714" s="54"/>
      <c r="C714" s="54"/>
      <c r="D714" s="54"/>
      <c r="E714" s="114"/>
      <c r="F714" s="11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</row>
    <row r="715">
      <c r="A715" s="54"/>
      <c r="B715" s="54"/>
      <c r="C715" s="54"/>
      <c r="D715" s="54"/>
      <c r="E715" s="114"/>
      <c r="F715" s="11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</row>
    <row r="716">
      <c r="A716" s="54"/>
      <c r="B716" s="54"/>
      <c r="C716" s="54"/>
      <c r="D716" s="54"/>
      <c r="E716" s="114"/>
      <c r="F716" s="11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</row>
    <row r="717">
      <c r="A717" s="54"/>
      <c r="B717" s="54"/>
      <c r="C717" s="54"/>
      <c r="D717" s="54"/>
      <c r="E717" s="114"/>
      <c r="F717" s="11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</row>
    <row r="718">
      <c r="A718" s="54"/>
      <c r="B718" s="54"/>
      <c r="C718" s="54"/>
      <c r="D718" s="54"/>
      <c r="E718" s="114"/>
      <c r="F718" s="11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</row>
    <row r="719">
      <c r="A719" s="54"/>
      <c r="B719" s="54"/>
      <c r="C719" s="54"/>
      <c r="D719" s="54"/>
      <c r="E719" s="114"/>
      <c r="F719" s="11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</row>
    <row r="720">
      <c r="A720" s="54"/>
      <c r="B720" s="54"/>
      <c r="C720" s="54"/>
      <c r="D720" s="54"/>
      <c r="E720" s="114"/>
      <c r="F720" s="11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</row>
    <row r="721">
      <c r="A721" s="54"/>
      <c r="B721" s="54"/>
      <c r="C721" s="54"/>
      <c r="D721" s="54"/>
      <c r="E721" s="114"/>
      <c r="F721" s="11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</row>
    <row r="722">
      <c r="A722" s="54"/>
      <c r="B722" s="54"/>
      <c r="C722" s="54"/>
      <c r="D722" s="54"/>
      <c r="E722" s="114"/>
      <c r="F722" s="11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</row>
    <row r="723">
      <c r="A723" s="54"/>
      <c r="B723" s="54"/>
      <c r="C723" s="54"/>
      <c r="D723" s="54"/>
      <c r="E723" s="114"/>
      <c r="F723" s="11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</row>
    <row r="724">
      <c r="A724" s="54"/>
      <c r="B724" s="54"/>
      <c r="C724" s="54"/>
      <c r="D724" s="54"/>
      <c r="E724" s="114"/>
      <c r="F724" s="11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</row>
    <row r="725">
      <c r="A725" s="54"/>
      <c r="B725" s="54"/>
      <c r="C725" s="54"/>
      <c r="D725" s="54"/>
      <c r="E725" s="114"/>
      <c r="F725" s="11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</row>
    <row r="726">
      <c r="A726" s="54"/>
      <c r="B726" s="54"/>
      <c r="C726" s="54"/>
      <c r="D726" s="54"/>
      <c r="E726" s="114"/>
      <c r="F726" s="11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</row>
    <row r="727">
      <c r="A727" s="54"/>
      <c r="B727" s="54"/>
      <c r="C727" s="54"/>
      <c r="D727" s="54"/>
      <c r="E727" s="114"/>
      <c r="F727" s="11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</row>
    <row r="728">
      <c r="A728" s="54"/>
      <c r="B728" s="54"/>
      <c r="C728" s="54"/>
      <c r="D728" s="54"/>
      <c r="E728" s="114"/>
      <c r="F728" s="11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</row>
    <row r="729">
      <c r="A729" s="54"/>
      <c r="B729" s="54"/>
      <c r="C729" s="54"/>
      <c r="D729" s="54"/>
      <c r="E729" s="114"/>
      <c r="F729" s="11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</row>
    <row r="730">
      <c r="A730" s="54"/>
      <c r="B730" s="54"/>
      <c r="C730" s="54"/>
      <c r="D730" s="54"/>
      <c r="E730" s="114"/>
      <c r="F730" s="11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</row>
    <row r="731">
      <c r="A731" s="54"/>
      <c r="B731" s="54"/>
      <c r="C731" s="54"/>
      <c r="D731" s="54"/>
      <c r="E731" s="114"/>
      <c r="F731" s="11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</row>
    <row r="732">
      <c r="A732" s="54"/>
      <c r="B732" s="54"/>
      <c r="C732" s="54"/>
      <c r="D732" s="54"/>
      <c r="E732" s="114"/>
      <c r="F732" s="11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</row>
    <row r="733">
      <c r="A733" s="54"/>
      <c r="B733" s="54"/>
      <c r="C733" s="54"/>
      <c r="D733" s="54"/>
      <c r="E733" s="114"/>
      <c r="F733" s="11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</row>
    <row r="734">
      <c r="A734" s="54"/>
      <c r="B734" s="54"/>
      <c r="C734" s="54"/>
      <c r="D734" s="54"/>
      <c r="E734" s="114"/>
      <c r="F734" s="11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</row>
    <row r="735">
      <c r="A735" s="54"/>
      <c r="B735" s="54"/>
      <c r="C735" s="54"/>
      <c r="D735" s="54"/>
      <c r="E735" s="114"/>
      <c r="F735" s="11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</row>
    <row r="736">
      <c r="A736" s="54"/>
      <c r="B736" s="54"/>
      <c r="C736" s="54"/>
      <c r="D736" s="54"/>
      <c r="E736" s="114"/>
      <c r="F736" s="11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</row>
    <row r="737">
      <c r="A737" s="54"/>
      <c r="B737" s="54"/>
      <c r="C737" s="54"/>
      <c r="D737" s="54"/>
      <c r="E737" s="114"/>
      <c r="F737" s="11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</row>
    <row r="738">
      <c r="A738" s="54"/>
      <c r="B738" s="54"/>
      <c r="C738" s="54"/>
      <c r="D738" s="54"/>
      <c r="E738" s="114"/>
      <c r="F738" s="11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</row>
    <row r="739">
      <c r="A739" s="54"/>
      <c r="B739" s="54"/>
      <c r="C739" s="54"/>
      <c r="D739" s="54"/>
      <c r="E739" s="114"/>
      <c r="F739" s="11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</row>
    <row r="740">
      <c r="A740" s="54"/>
      <c r="B740" s="54"/>
      <c r="C740" s="54"/>
      <c r="D740" s="54"/>
      <c r="E740" s="114"/>
      <c r="F740" s="11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</row>
    <row r="741">
      <c r="A741" s="54"/>
      <c r="B741" s="54"/>
      <c r="C741" s="54"/>
      <c r="D741" s="54"/>
      <c r="E741" s="114"/>
      <c r="F741" s="11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</row>
    <row r="742">
      <c r="A742" s="54"/>
      <c r="B742" s="54"/>
      <c r="C742" s="54"/>
      <c r="D742" s="54"/>
      <c r="E742" s="114"/>
      <c r="F742" s="11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</row>
    <row r="743">
      <c r="A743" s="54"/>
      <c r="B743" s="54"/>
      <c r="C743" s="54"/>
      <c r="D743" s="54"/>
      <c r="E743" s="114"/>
      <c r="F743" s="11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</row>
    <row r="744">
      <c r="A744" s="54"/>
      <c r="B744" s="54"/>
      <c r="C744" s="54"/>
      <c r="D744" s="54"/>
      <c r="E744" s="114"/>
      <c r="F744" s="11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</row>
    <row r="745">
      <c r="A745" s="54"/>
      <c r="B745" s="54"/>
      <c r="C745" s="54"/>
      <c r="D745" s="54"/>
      <c r="E745" s="114"/>
      <c r="F745" s="11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</row>
    <row r="746">
      <c r="A746" s="54"/>
      <c r="B746" s="54"/>
      <c r="C746" s="54"/>
      <c r="D746" s="54"/>
      <c r="E746" s="114"/>
      <c r="F746" s="11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</row>
    <row r="747">
      <c r="A747" s="54"/>
      <c r="B747" s="54"/>
      <c r="C747" s="54"/>
      <c r="D747" s="54"/>
      <c r="E747" s="114"/>
      <c r="F747" s="11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</row>
    <row r="748">
      <c r="A748" s="54"/>
      <c r="B748" s="54"/>
      <c r="C748" s="54"/>
      <c r="D748" s="54"/>
      <c r="E748" s="114"/>
      <c r="F748" s="11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</row>
    <row r="749">
      <c r="A749" s="54"/>
      <c r="B749" s="54"/>
      <c r="C749" s="54"/>
      <c r="D749" s="54"/>
      <c r="E749" s="114"/>
      <c r="F749" s="11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</row>
    <row r="750">
      <c r="A750" s="54"/>
      <c r="B750" s="54"/>
      <c r="C750" s="54"/>
      <c r="D750" s="54"/>
      <c r="E750" s="114"/>
      <c r="F750" s="11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</row>
    <row r="751">
      <c r="A751" s="54"/>
      <c r="B751" s="54"/>
      <c r="C751" s="54"/>
      <c r="D751" s="54"/>
      <c r="E751" s="114"/>
      <c r="F751" s="11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</row>
    <row r="752">
      <c r="A752" s="54"/>
      <c r="B752" s="54"/>
      <c r="C752" s="54"/>
      <c r="D752" s="54"/>
      <c r="E752" s="114"/>
      <c r="F752" s="11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</row>
    <row r="753">
      <c r="A753" s="54"/>
      <c r="B753" s="54"/>
      <c r="C753" s="54"/>
      <c r="D753" s="54"/>
      <c r="E753" s="114"/>
      <c r="F753" s="11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</row>
    <row r="754">
      <c r="A754" s="54"/>
      <c r="B754" s="54"/>
      <c r="C754" s="54"/>
      <c r="D754" s="54"/>
      <c r="E754" s="114"/>
      <c r="F754" s="11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</row>
    <row r="755">
      <c r="A755" s="54"/>
      <c r="B755" s="54"/>
      <c r="C755" s="54"/>
      <c r="D755" s="54"/>
      <c r="E755" s="114"/>
      <c r="F755" s="11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</row>
    <row r="756">
      <c r="A756" s="54"/>
      <c r="B756" s="54"/>
      <c r="C756" s="54"/>
      <c r="D756" s="54"/>
      <c r="E756" s="114"/>
      <c r="F756" s="11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</row>
    <row r="757">
      <c r="A757" s="54"/>
      <c r="B757" s="54"/>
      <c r="C757" s="54"/>
      <c r="D757" s="54"/>
      <c r="E757" s="114"/>
      <c r="F757" s="11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</row>
    <row r="758">
      <c r="A758" s="54"/>
      <c r="B758" s="54"/>
      <c r="C758" s="54"/>
      <c r="D758" s="54"/>
      <c r="E758" s="114"/>
      <c r="F758" s="11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</row>
    <row r="759">
      <c r="A759" s="54"/>
      <c r="B759" s="54"/>
      <c r="C759" s="54"/>
      <c r="D759" s="54"/>
      <c r="E759" s="114"/>
      <c r="F759" s="11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</row>
    <row r="760">
      <c r="A760" s="54"/>
      <c r="B760" s="54"/>
      <c r="C760" s="54"/>
      <c r="D760" s="54"/>
      <c r="E760" s="114"/>
      <c r="F760" s="11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</row>
    <row r="761">
      <c r="A761" s="54"/>
      <c r="B761" s="54"/>
      <c r="C761" s="54"/>
      <c r="D761" s="54"/>
      <c r="E761" s="114"/>
      <c r="F761" s="11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</row>
    <row r="762">
      <c r="A762" s="54"/>
      <c r="B762" s="54"/>
      <c r="C762" s="54"/>
      <c r="D762" s="54"/>
      <c r="E762" s="114"/>
      <c r="F762" s="11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</row>
    <row r="763">
      <c r="A763" s="54"/>
      <c r="B763" s="54"/>
      <c r="C763" s="54"/>
      <c r="D763" s="54"/>
      <c r="E763" s="114"/>
      <c r="F763" s="11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</row>
    <row r="764">
      <c r="A764" s="54"/>
      <c r="B764" s="54"/>
      <c r="C764" s="54"/>
      <c r="D764" s="54"/>
      <c r="E764" s="114"/>
      <c r="F764" s="11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</row>
    <row r="765">
      <c r="A765" s="54"/>
      <c r="B765" s="54"/>
      <c r="C765" s="54"/>
      <c r="D765" s="54"/>
      <c r="E765" s="114"/>
      <c r="F765" s="11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</row>
    <row r="766">
      <c r="A766" s="54"/>
      <c r="B766" s="54"/>
      <c r="C766" s="54"/>
      <c r="D766" s="54"/>
      <c r="E766" s="114"/>
      <c r="F766" s="11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</row>
    <row r="767">
      <c r="A767" s="54"/>
      <c r="B767" s="54"/>
      <c r="C767" s="54"/>
      <c r="D767" s="54"/>
      <c r="E767" s="114"/>
      <c r="F767" s="11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</row>
    <row r="768">
      <c r="A768" s="54"/>
      <c r="B768" s="54"/>
      <c r="C768" s="54"/>
      <c r="D768" s="54"/>
      <c r="E768" s="114"/>
      <c r="F768" s="11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</row>
    <row r="769">
      <c r="A769" s="54"/>
      <c r="B769" s="54"/>
      <c r="C769" s="54"/>
      <c r="D769" s="54"/>
      <c r="E769" s="114"/>
      <c r="F769" s="11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</row>
    <row r="770">
      <c r="A770" s="54"/>
      <c r="B770" s="54"/>
      <c r="C770" s="54"/>
      <c r="D770" s="54"/>
      <c r="E770" s="114"/>
      <c r="F770" s="11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</row>
    <row r="771">
      <c r="A771" s="54"/>
      <c r="B771" s="54"/>
      <c r="C771" s="54"/>
      <c r="D771" s="54"/>
      <c r="E771" s="114"/>
      <c r="F771" s="11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</row>
    <row r="772">
      <c r="A772" s="54"/>
      <c r="B772" s="54"/>
      <c r="C772" s="54"/>
      <c r="D772" s="54"/>
      <c r="E772" s="114"/>
      <c r="F772" s="11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</row>
    <row r="773">
      <c r="A773" s="54"/>
      <c r="B773" s="54"/>
      <c r="C773" s="54"/>
      <c r="D773" s="54"/>
      <c r="E773" s="114"/>
      <c r="F773" s="11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</row>
    <row r="774">
      <c r="A774" s="54"/>
      <c r="B774" s="54"/>
      <c r="C774" s="54"/>
      <c r="D774" s="54"/>
      <c r="E774" s="114"/>
      <c r="F774" s="11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</row>
    <row r="775">
      <c r="A775" s="54"/>
      <c r="B775" s="54"/>
      <c r="C775" s="54"/>
      <c r="D775" s="54"/>
      <c r="E775" s="114"/>
      <c r="F775" s="11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</row>
    <row r="776">
      <c r="A776" s="54"/>
      <c r="B776" s="54"/>
      <c r="C776" s="54"/>
      <c r="D776" s="54"/>
      <c r="E776" s="114"/>
      <c r="F776" s="11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</row>
    <row r="777">
      <c r="A777" s="54"/>
      <c r="B777" s="54"/>
      <c r="C777" s="54"/>
      <c r="D777" s="54"/>
      <c r="E777" s="114"/>
      <c r="F777" s="11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</row>
    <row r="778">
      <c r="A778" s="54"/>
      <c r="B778" s="54"/>
      <c r="C778" s="54"/>
      <c r="D778" s="54"/>
      <c r="E778" s="114"/>
      <c r="F778" s="11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</row>
    <row r="779">
      <c r="A779" s="54"/>
      <c r="B779" s="54"/>
      <c r="C779" s="54"/>
      <c r="D779" s="54"/>
      <c r="E779" s="114"/>
      <c r="F779" s="11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</row>
    <row r="780">
      <c r="A780" s="54"/>
      <c r="B780" s="54"/>
      <c r="C780" s="54"/>
      <c r="D780" s="54"/>
      <c r="E780" s="114"/>
      <c r="F780" s="11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</row>
    <row r="781">
      <c r="A781" s="54"/>
      <c r="B781" s="54"/>
      <c r="C781" s="54"/>
      <c r="D781" s="54"/>
      <c r="E781" s="114"/>
      <c r="F781" s="11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</row>
    <row r="782">
      <c r="A782" s="54"/>
      <c r="B782" s="54"/>
      <c r="C782" s="54"/>
      <c r="D782" s="54"/>
      <c r="E782" s="114"/>
      <c r="F782" s="11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</row>
    <row r="783">
      <c r="A783" s="54"/>
      <c r="B783" s="54"/>
      <c r="C783" s="54"/>
      <c r="D783" s="54"/>
      <c r="E783" s="114"/>
      <c r="F783" s="11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</row>
    <row r="784">
      <c r="A784" s="54"/>
      <c r="B784" s="54"/>
      <c r="C784" s="54"/>
      <c r="D784" s="54"/>
      <c r="E784" s="114"/>
      <c r="F784" s="11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</row>
    <row r="785">
      <c r="A785" s="54"/>
      <c r="B785" s="54"/>
      <c r="C785" s="54"/>
      <c r="D785" s="54"/>
      <c r="E785" s="114"/>
      <c r="F785" s="11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</row>
    <row r="786">
      <c r="A786" s="54"/>
      <c r="B786" s="54"/>
      <c r="C786" s="54"/>
      <c r="D786" s="54"/>
      <c r="E786" s="114"/>
      <c r="F786" s="11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</row>
    <row r="787">
      <c r="A787" s="54"/>
      <c r="B787" s="54"/>
      <c r="C787" s="54"/>
      <c r="D787" s="54"/>
      <c r="E787" s="114"/>
      <c r="F787" s="11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</row>
    <row r="788">
      <c r="A788" s="54"/>
      <c r="B788" s="54"/>
      <c r="C788" s="54"/>
      <c r="D788" s="54"/>
      <c r="E788" s="114"/>
      <c r="F788" s="11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</row>
    <row r="789">
      <c r="A789" s="54"/>
      <c r="B789" s="54"/>
      <c r="C789" s="54"/>
      <c r="D789" s="54"/>
      <c r="E789" s="114"/>
      <c r="F789" s="11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</row>
    <row r="790">
      <c r="A790" s="54"/>
      <c r="B790" s="54"/>
      <c r="C790" s="54"/>
      <c r="D790" s="54"/>
      <c r="E790" s="114"/>
      <c r="F790" s="11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</row>
    <row r="791">
      <c r="A791" s="54"/>
      <c r="B791" s="54"/>
      <c r="C791" s="54"/>
      <c r="D791" s="54"/>
      <c r="E791" s="114"/>
      <c r="F791" s="11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</row>
    <row r="792">
      <c r="A792" s="54"/>
      <c r="B792" s="54"/>
      <c r="C792" s="54"/>
      <c r="D792" s="54"/>
      <c r="E792" s="114"/>
      <c r="F792" s="11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</row>
    <row r="793">
      <c r="A793" s="54"/>
      <c r="B793" s="54"/>
      <c r="C793" s="54"/>
      <c r="D793" s="54"/>
      <c r="E793" s="114"/>
      <c r="F793" s="11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</row>
    <row r="794">
      <c r="A794" s="54"/>
      <c r="B794" s="54"/>
      <c r="C794" s="54"/>
      <c r="D794" s="54"/>
      <c r="E794" s="114"/>
      <c r="F794" s="11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</row>
    <row r="795">
      <c r="A795" s="54"/>
      <c r="B795" s="54"/>
      <c r="C795" s="54"/>
      <c r="D795" s="54"/>
      <c r="E795" s="114"/>
      <c r="F795" s="11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</row>
    <row r="796">
      <c r="A796" s="54"/>
      <c r="B796" s="54"/>
      <c r="C796" s="54"/>
      <c r="D796" s="54"/>
      <c r="E796" s="114"/>
      <c r="F796" s="11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</row>
    <row r="797">
      <c r="A797" s="54"/>
      <c r="B797" s="54"/>
      <c r="C797" s="54"/>
      <c r="D797" s="54"/>
      <c r="E797" s="114"/>
      <c r="F797" s="11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</row>
    <row r="798">
      <c r="A798" s="54"/>
      <c r="B798" s="54"/>
      <c r="C798" s="54"/>
      <c r="D798" s="54"/>
      <c r="E798" s="114"/>
      <c r="F798" s="11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</row>
    <row r="799">
      <c r="A799" s="54"/>
      <c r="B799" s="54"/>
      <c r="C799" s="54"/>
      <c r="D799" s="54"/>
      <c r="E799" s="114"/>
      <c r="F799" s="11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</row>
    <row r="800">
      <c r="A800" s="54"/>
      <c r="B800" s="54"/>
      <c r="C800" s="54"/>
      <c r="D800" s="54"/>
      <c r="E800" s="114"/>
      <c r="F800" s="11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</row>
    <row r="801">
      <c r="A801" s="54"/>
      <c r="B801" s="54"/>
      <c r="C801" s="54"/>
      <c r="D801" s="54"/>
      <c r="E801" s="114"/>
      <c r="F801" s="11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</row>
    <row r="802">
      <c r="A802" s="54"/>
      <c r="B802" s="54"/>
      <c r="C802" s="54"/>
      <c r="D802" s="54"/>
      <c r="E802" s="114"/>
      <c r="F802" s="11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</row>
    <row r="803">
      <c r="A803" s="54"/>
      <c r="B803" s="54"/>
      <c r="C803" s="54"/>
      <c r="D803" s="54"/>
      <c r="E803" s="114"/>
      <c r="F803" s="11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</row>
    <row r="804">
      <c r="A804" s="54"/>
      <c r="B804" s="54"/>
      <c r="C804" s="54"/>
      <c r="D804" s="54"/>
      <c r="E804" s="114"/>
      <c r="F804" s="11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</row>
    <row r="805">
      <c r="A805" s="54"/>
      <c r="B805" s="54"/>
      <c r="C805" s="54"/>
      <c r="D805" s="54"/>
      <c r="E805" s="114"/>
      <c r="F805" s="11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</row>
    <row r="806">
      <c r="A806" s="54"/>
      <c r="B806" s="54"/>
      <c r="C806" s="54"/>
      <c r="D806" s="54"/>
      <c r="E806" s="114"/>
      <c r="F806" s="11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</row>
    <row r="807">
      <c r="A807" s="54"/>
      <c r="B807" s="54"/>
      <c r="C807" s="54"/>
      <c r="D807" s="54"/>
      <c r="E807" s="114"/>
      <c r="F807" s="11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</row>
    <row r="808">
      <c r="A808" s="54"/>
      <c r="B808" s="54"/>
      <c r="C808" s="54"/>
      <c r="D808" s="54"/>
      <c r="E808" s="114"/>
      <c r="F808" s="11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</row>
    <row r="809">
      <c r="A809" s="54"/>
      <c r="B809" s="54"/>
      <c r="C809" s="54"/>
      <c r="D809" s="54"/>
      <c r="E809" s="114"/>
      <c r="F809" s="11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</row>
    <row r="810">
      <c r="A810" s="54"/>
      <c r="B810" s="54"/>
      <c r="C810" s="54"/>
      <c r="D810" s="54"/>
      <c r="E810" s="114"/>
      <c r="F810" s="11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</row>
    <row r="811">
      <c r="A811" s="54"/>
      <c r="B811" s="54"/>
      <c r="C811" s="54"/>
      <c r="D811" s="54"/>
      <c r="E811" s="114"/>
      <c r="F811" s="11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</row>
    <row r="812">
      <c r="A812" s="54"/>
      <c r="B812" s="54"/>
      <c r="C812" s="54"/>
      <c r="D812" s="54"/>
      <c r="E812" s="114"/>
      <c r="F812" s="11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</row>
    <row r="813">
      <c r="A813" s="54"/>
      <c r="B813" s="54"/>
      <c r="C813" s="54"/>
      <c r="D813" s="54"/>
      <c r="E813" s="114"/>
      <c r="F813" s="11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</row>
    <row r="814">
      <c r="A814" s="54"/>
      <c r="B814" s="54"/>
      <c r="C814" s="54"/>
      <c r="D814" s="54"/>
      <c r="E814" s="114"/>
      <c r="F814" s="11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</row>
    <row r="815">
      <c r="A815" s="54"/>
      <c r="B815" s="54"/>
      <c r="C815" s="54"/>
      <c r="D815" s="54"/>
      <c r="E815" s="114"/>
      <c r="F815" s="11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</row>
    <row r="816">
      <c r="A816" s="54"/>
      <c r="B816" s="54"/>
      <c r="C816" s="54"/>
      <c r="D816" s="54"/>
      <c r="E816" s="114"/>
      <c r="F816" s="11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</row>
    <row r="817">
      <c r="A817" s="54"/>
      <c r="B817" s="54"/>
      <c r="C817" s="54"/>
      <c r="D817" s="54"/>
      <c r="E817" s="114"/>
      <c r="F817" s="11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</row>
    <row r="818">
      <c r="A818" s="54"/>
      <c r="B818" s="54"/>
      <c r="C818" s="54"/>
      <c r="D818" s="54"/>
      <c r="E818" s="114"/>
      <c r="F818" s="11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</row>
    <row r="819">
      <c r="A819" s="54"/>
      <c r="B819" s="54"/>
      <c r="C819" s="54"/>
      <c r="D819" s="54"/>
      <c r="E819" s="114"/>
      <c r="F819" s="11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</row>
    <row r="820">
      <c r="A820" s="54"/>
      <c r="B820" s="54"/>
      <c r="C820" s="54"/>
      <c r="D820" s="54"/>
      <c r="E820" s="114"/>
      <c r="F820" s="11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</row>
    <row r="821">
      <c r="A821" s="54"/>
      <c r="B821" s="54"/>
      <c r="C821" s="54"/>
      <c r="D821" s="54"/>
      <c r="E821" s="114"/>
      <c r="F821" s="11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</row>
    <row r="822">
      <c r="A822" s="54"/>
      <c r="B822" s="54"/>
      <c r="C822" s="54"/>
      <c r="D822" s="54"/>
      <c r="E822" s="114"/>
      <c r="F822" s="11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</row>
    <row r="823">
      <c r="A823" s="54"/>
      <c r="B823" s="54"/>
      <c r="C823" s="54"/>
      <c r="D823" s="54"/>
      <c r="E823" s="114"/>
      <c r="F823" s="11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</row>
    <row r="824">
      <c r="A824" s="54"/>
      <c r="B824" s="54"/>
      <c r="C824" s="54"/>
      <c r="D824" s="54"/>
      <c r="E824" s="114"/>
      <c r="F824" s="11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</row>
    <row r="825">
      <c r="A825" s="54"/>
      <c r="B825" s="54"/>
      <c r="C825" s="54"/>
      <c r="D825" s="54"/>
      <c r="E825" s="114"/>
      <c r="F825" s="11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</row>
    <row r="826">
      <c r="A826" s="54"/>
      <c r="B826" s="54"/>
      <c r="C826" s="54"/>
      <c r="D826" s="54"/>
      <c r="E826" s="114"/>
      <c r="F826" s="11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</row>
    <row r="827">
      <c r="A827" s="54"/>
      <c r="B827" s="54"/>
      <c r="C827" s="54"/>
      <c r="D827" s="54"/>
      <c r="E827" s="114"/>
      <c r="F827" s="11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</row>
    <row r="828">
      <c r="A828" s="54"/>
      <c r="B828" s="54"/>
      <c r="C828" s="54"/>
      <c r="D828" s="54"/>
      <c r="E828" s="114"/>
      <c r="F828" s="11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</row>
    <row r="829">
      <c r="A829" s="54"/>
      <c r="B829" s="54"/>
      <c r="C829" s="54"/>
      <c r="D829" s="54"/>
      <c r="E829" s="114"/>
      <c r="F829" s="11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</row>
    <row r="830">
      <c r="A830" s="54"/>
      <c r="B830" s="54"/>
      <c r="C830" s="54"/>
      <c r="D830" s="54"/>
      <c r="E830" s="114"/>
      <c r="F830" s="11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</row>
    <row r="831">
      <c r="A831" s="54"/>
      <c r="B831" s="54"/>
      <c r="C831" s="54"/>
      <c r="D831" s="54"/>
      <c r="E831" s="114"/>
      <c r="F831" s="11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</row>
    <row r="832">
      <c r="A832" s="54"/>
      <c r="B832" s="54"/>
      <c r="C832" s="54"/>
      <c r="D832" s="54"/>
      <c r="E832" s="114"/>
      <c r="F832" s="11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</row>
    <row r="833">
      <c r="A833" s="54"/>
      <c r="B833" s="54"/>
      <c r="C833" s="54"/>
      <c r="D833" s="54"/>
      <c r="E833" s="114"/>
      <c r="F833" s="11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</row>
    <row r="834">
      <c r="A834" s="54"/>
      <c r="B834" s="54"/>
      <c r="C834" s="54"/>
      <c r="D834" s="54"/>
      <c r="E834" s="114"/>
      <c r="F834" s="11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</row>
    <row r="835">
      <c r="A835" s="54"/>
      <c r="B835" s="54"/>
      <c r="C835" s="54"/>
      <c r="D835" s="54"/>
      <c r="E835" s="114"/>
      <c r="F835" s="11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</row>
    <row r="836">
      <c r="A836" s="54"/>
      <c r="B836" s="54"/>
      <c r="C836" s="54"/>
      <c r="D836" s="54"/>
      <c r="E836" s="114"/>
      <c r="F836" s="11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</row>
    <row r="837">
      <c r="A837" s="54"/>
      <c r="B837" s="54"/>
      <c r="C837" s="54"/>
      <c r="D837" s="54"/>
      <c r="E837" s="114"/>
      <c r="F837" s="11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</row>
    <row r="838">
      <c r="A838" s="54"/>
      <c r="B838" s="54"/>
      <c r="C838" s="54"/>
      <c r="D838" s="54"/>
      <c r="E838" s="114"/>
      <c r="F838" s="11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</row>
    <row r="839">
      <c r="A839" s="54"/>
      <c r="B839" s="54"/>
      <c r="C839" s="54"/>
      <c r="D839" s="54"/>
      <c r="E839" s="114"/>
      <c r="F839" s="11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</row>
    <row r="840">
      <c r="A840" s="54"/>
      <c r="B840" s="54"/>
      <c r="C840" s="54"/>
      <c r="D840" s="54"/>
      <c r="E840" s="114"/>
      <c r="F840" s="11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</row>
    <row r="841">
      <c r="A841" s="54"/>
      <c r="B841" s="54"/>
      <c r="C841" s="54"/>
      <c r="D841" s="54"/>
      <c r="E841" s="114"/>
      <c r="F841" s="11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</row>
    <row r="842">
      <c r="A842" s="54"/>
      <c r="B842" s="54"/>
      <c r="C842" s="54"/>
      <c r="D842" s="54"/>
      <c r="E842" s="114"/>
      <c r="F842" s="11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</row>
    <row r="843">
      <c r="A843" s="54"/>
      <c r="B843" s="54"/>
      <c r="C843" s="54"/>
      <c r="D843" s="54"/>
      <c r="E843" s="114"/>
      <c r="F843" s="11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</row>
    <row r="844">
      <c r="A844" s="54"/>
      <c r="B844" s="54"/>
      <c r="C844" s="54"/>
      <c r="D844" s="54"/>
      <c r="E844" s="114"/>
      <c r="F844" s="11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</row>
    <row r="845">
      <c r="A845" s="54"/>
      <c r="B845" s="54"/>
      <c r="C845" s="54"/>
      <c r="D845" s="54"/>
      <c r="E845" s="114"/>
      <c r="F845" s="11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</row>
    <row r="846">
      <c r="A846" s="54"/>
      <c r="B846" s="54"/>
      <c r="C846" s="54"/>
      <c r="D846" s="54"/>
      <c r="E846" s="114"/>
      <c r="F846" s="11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</row>
    <row r="847">
      <c r="A847" s="54"/>
      <c r="B847" s="54"/>
      <c r="C847" s="54"/>
      <c r="D847" s="54"/>
      <c r="E847" s="114"/>
      <c r="F847" s="11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</row>
    <row r="848">
      <c r="A848" s="54"/>
      <c r="B848" s="54"/>
      <c r="C848" s="54"/>
      <c r="D848" s="54"/>
      <c r="E848" s="114"/>
      <c r="F848" s="11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</row>
    <row r="849">
      <c r="A849" s="54"/>
      <c r="B849" s="54"/>
      <c r="C849" s="54"/>
      <c r="D849" s="54"/>
      <c r="E849" s="114"/>
      <c r="F849" s="11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</row>
    <row r="850">
      <c r="A850" s="54"/>
      <c r="B850" s="54"/>
      <c r="C850" s="54"/>
      <c r="D850" s="54"/>
      <c r="E850" s="114"/>
      <c r="F850" s="11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</row>
    <row r="851">
      <c r="A851" s="54"/>
      <c r="B851" s="54"/>
      <c r="C851" s="54"/>
      <c r="D851" s="54"/>
      <c r="E851" s="114"/>
      <c r="F851" s="11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</row>
    <row r="852">
      <c r="A852" s="54"/>
      <c r="B852" s="54"/>
      <c r="C852" s="54"/>
      <c r="D852" s="54"/>
      <c r="E852" s="114"/>
      <c r="F852" s="11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</row>
    <row r="853">
      <c r="A853" s="54"/>
      <c r="B853" s="54"/>
      <c r="C853" s="54"/>
      <c r="D853" s="54"/>
      <c r="E853" s="114"/>
      <c r="F853" s="11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</row>
    <row r="854">
      <c r="A854" s="54"/>
      <c r="B854" s="54"/>
      <c r="C854" s="54"/>
      <c r="D854" s="54"/>
      <c r="E854" s="114"/>
      <c r="F854" s="11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</row>
    <row r="855">
      <c r="A855" s="54"/>
      <c r="B855" s="54"/>
      <c r="C855" s="54"/>
      <c r="D855" s="54"/>
      <c r="E855" s="114"/>
      <c r="F855" s="11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</row>
    <row r="856">
      <c r="A856" s="54"/>
      <c r="B856" s="54"/>
      <c r="C856" s="54"/>
      <c r="D856" s="54"/>
      <c r="E856" s="114"/>
      <c r="F856" s="11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</row>
    <row r="857">
      <c r="A857" s="54"/>
      <c r="B857" s="54"/>
      <c r="C857" s="54"/>
      <c r="D857" s="54"/>
      <c r="E857" s="114"/>
      <c r="F857" s="11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</row>
    <row r="858">
      <c r="A858" s="54"/>
      <c r="B858" s="54"/>
      <c r="C858" s="54"/>
      <c r="D858" s="54"/>
      <c r="E858" s="114"/>
      <c r="F858" s="11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</row>
    <row r="859">
      <c r="A859" s="54"/>
      <c r="B859" s="54"/>
      <c r="C859" s="54"/>
      <c r="D859" s="54"/>
      <c r="E859" s="114"/>
      <c r="F859" s="11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</row>
    <row r="860">
      <c r="A860" s="54"/>
      <c r="B860" s="54"/>
      <c r="C860" s="54"/>
      <c r="D860" s="54"/>
      <c r="E860" s="114"/>
      <c r="F860" s="11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</row>
    <row r="861">
      <c r="A861" s="54"/>
      <c r="B861" s="54"/>
      <c r="C861" s="54"/>
      <c r="D861" s="54"/>
      <c r="E861" s="114"/>
      <c r="F861" s="11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</row>
    <row r="862">
      <c r="A862" s="54"/>
      <c r="B862" s="54"/>
      <c r="C862" s="54"/>
      <c r="D862" s="54"/>
      <c r="E862" s="114"/>
      <c r="F862" s="11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</row>
    <row r="863">
      <c r="A863" s="54"/>
      <c r="B863" s="54"/>
      <c r="C863" s="54"/>
      <c r="D863" s="54"/>
      <c r="E863" s="114"/>
      <c r="F863" s="11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</row>
    <row r="864">
      <c r="A864" s="54"/>
      <c r="B864" s="54"/>
      <c r="C864" s="54"/>
      <c r="D864" s="54"/>
      <c r="E864" s="114"/>
      <c r="F864" s="11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</row>
    <row r="865">
      <c r="A865" s="54"/>
      <c r="B865" s="54"/>
      <c r="C865" s="54"/>
      <c r="D865" s="54"/>
      <c r="E865" s="114"/>
      <c r="F865" s="11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</row>
    <row r="866">
      <c r="A866" s="54"/>
      <c r="B866" s="54"/>
      <c r="C866" s="54"/>
      <c r="D866" s="54"/>
      <c r="E866" s="114"/>
      <c r="F866" s="11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</row>
    <row r="867">
      <c r="A867" s="54"/>
      <c r="B867" s="54"/>
      <c r="C867" s="54"/>
      <c r="D867" s="54"/>
      <c r="E867" s="114"/>
      <c r="F867" s="11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</row>
    <row r="868">
      <c r="A868" s="54"/>
      <c r="B868" s="54"/>
      <c r="C868" s="54"/>
      <c r="D868" s="54"/>
      <c r="E868" s="114"/>
      <c r="F868" s="11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</row>
    <row r="869">
      <c r="A869" s="54"/>
      <c r="B869" s="54"/>
      <c r="C869" s="54"/>
      <c r="D869" s="54"/>
      <c r="E869" s="114"/>
      <c r="F869" s="11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</row>
    <row r="870">
      <c r="A870" s="54"/>
      <c r="B870" s="54"/>
      <c r="C870" s="54"/>
      <c r="D870" s="54"/>
      <c r="E870" s="114"/>
      <c r="F870" s="11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</row>
    <row r="871">
      <c r="A871" s="54"/>
      <c r="B871" s="54"/>
      <c r="C871" s="54"/>
      <c r="D871" s="54"/>
      <c r="E871" s="114"/>
      <c r="F871" s="11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</row>
    <row r="872">
      <c r="A872" s="54"/>
      <c r="B872" s="54"/>
      <c r="C872" s="54"/>
      <c r="D872" s="54"/>
      <c r="E872" s="114"/>
      <c r="F872" s="11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</row>
    <row r="873">
      <c r="A873" s="54"/>
      <c r="B873" s="54"/>
      <c r="C873" s="54"/>
      <c r="D873" s="54"/>
      <c r="E873" s="114"/>
      <c r="F873" s="11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</row>
    <row r="874">
      <c r="A874" s="54"/>
      <c r="B874" s="54"/>
      <c r="C874" s="54"/>
      <c r="D874" s="54"/>
      <c r="E874" s="114"/>
      <c r="F874" s="11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</row>
    <row r="875">
      <c r="A875" s="54"/>
      <c r="B875" s="54"/>
      <c r="C875" s="54"/>
      <c r="D875" s="54"/>
      <c r="E875" s="114"/>
      <c r="F875" s="11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</row>
    <row r="876">
      <c r="A876" s="54"/>
      <c r="B876" s="54"/>
      <c r="C876" s="54"/>
      <c r="D876" s="54"/>
      <c r="E876" s="114"/>
      <c r="F876" s="11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</row>
    <row r="877">
      <c r="A877" s="54"/>
      <c r="B877" s="54"/>
      <c r="C877" s="54"/>
      <c r="D877" s="54"/>
      <c r="E877" s="114"/>
      <c r="F877" s="11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</row>
    <row r="878">
      <c r="A878" s="54"/>
      <c r="B878" s="54"/>
      <c r="C878" s="54"/>
      <c r="D878" s="54"/>
      <c r="E878" s="114"/>
      <c r="F878" s="11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</row>
    <row r="879">
      <c r="A879" s="54"/>
      <c r="B879" s="54"/>
      <c r="C879" s="54"/>
      <c r="D879" s="54"/>
      <c r="E879" s="114"/>
      <c r="F879" s="11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</row>
    <row r="880">
      <c r="A880" s="54"/>
      <c r="B880" s="54"/>
      <c r="C880" s="54"/>
      <c r="D880" s="54"/>
      <c r="E880" s="114"/>
      <c r="F880" s="11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</row>
    <row r="881">
      <c r="A881" s="54"/>
      <c r="B881" s="54"/>
      <c r="C881" s="54"/>
      <c r="D881" s="54"/>
      <c r="E881" s="114"/>
      <c r="F881" s="11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</row>
    <row r="882">
      <c r="A882" s="54"/>
      <c r="B882" s="54"/>
      <c r="C882" s="54"/>
      <c r="D882" s="54"/>
      <c r="E882" s="114"/>
      <c r="F882" s="11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</row>
    <row r="883">
      <c r="A883" s="54"/>
      <c r="B883" s="54"/>
      <c r="C883" s="54"/>
      <c r="D883" s="54"/>
      <c r="E883" s="114"/>
      <c r="F883" s="11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</row>
    <row r="884">
      <c r="A884" s="54"/>
      <c r="B884" s="54"/>
      <c r="C884" s="54"/>
      <c r="D884" s="54"/>
      <c r="E884" s="114"/>
      <c r="F884" s="11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</row>
    <row r="885">
      <c r="A885" s="54"/>
      <c r="B885" s="54"/>
      <c r="C885" s="54"/>
      <c r="D885" s="54"/>
      <c r="E885" s="114"/>
      <c r="F885" s="11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</row>
    <row r="886">
      <c r="A886" s="54"/>
      <c r="B886" s="54"/>
      <c r="C886" s="54"/>
      <c r="D886" s="54"/>
      <c r="E886" s="114"/>
      <c r="F886" s="11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</row>
    <row r="887">
      <c r="A887" s="54"/>
      <c r="B887" s="54"/>
      <c r="C887" s="54"/>
      <c r="D887" s="54"/>
      <c r="E887" s="114"/>
      <c r="F887" s="11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</row>
    <row r="888">
      <c r="A888" s="54"/>
      <c r="B888" s="54"/>
      <c r="C888" s="54"/>
      <c r="D888" s="54"/>
      <c r="E888" s="114"/>
      <c r="F888" s="11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</row>
    <row r="889">
      <c r="A889" s="54"/>
      <c r="B889" s="54"/>
      <c r="C889" s="54"/>
      <c r="D889" s="54"/>
      <c r="E889" s="114"/>
      <c r="F889" s="11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</row>
    <row r="890">
      <c r="A890" s="54"/>
      <c r="B890" s="54"/>
      <c r="C890" s="54"/>
      <c r="D890" s="54"/>
      <c r="E890" s="114"/>
      <c r="F890" s="11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</row>
    <row r="891">
      <c r="A891" s="54"/>
      <c r="B891" s="54"/>
      <c r="C891" s="54"/>
      <c r="D891" s="54"/>
      <c r="E891" s="114"/>
      <c r="F891" s="11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</row>
    <row r="892">
      <c r="A892" s="54"/>
      <c r="B892" s="54"/>
      <c r="C892" s="54"/>
      <c r="D892" s="54"/>
      <c r="E892" s="114"/>
      <c r="F892" s="11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</row>
    <row r="893">
      <c r="A893" s="54"/>
      <c r="B893" s="54"/>
      <c r="C893" s="54"/>
      <c r="D893" s="54"/>
      <c r="E893" s="114"/>
      <c r="F893" s="11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</row>
    <row r="894">
      <c r="A894" s="54"/>
      <c r="B894" s="54"/>
      <c r="C894" s="54"/>
      <c r="D894" s="54"/>
      <c r="E894" s="114"/>
      <c r="F894" s="11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</row>
    <row r="895">
      <c r="A895" s="54"/>
      <c r="B895" s="54"/>
      <c r="C895" s="54"/>
      <c r="D895" s="54"/>
      <c r="E895" s="114"/>
      <c r="F895" s="11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>
      <c r="A896" s="54"/>
      <c r="B896" s="54"/>
      <c r="C896" s="54"/>
      <c r="D896" s="54"/>
      <c r="E896" s="114"/>
      <c r="F896" s="11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>
      <c r="A897" s="54"/>
      <c r="B897" s="54"/>
      <c r="C897" s="54"/>
      <c r="D897" s="54"/>
      <c r="E897" s="114"/>
      <c r="F897" s="11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>
      <c r="A898" s="54"/>
      <c r="B898" s="54"/>
      <c r="C898" s="54"/>
      <c r="D898" s="54"/>
      <c r="E898" s="114"/>
      <c r="F898" s="11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>
      <c r="A899" s="54"/>
      <c r="B899" s="54"/>
      <c r="C899" s="54"/>
      <c r="D899" s="54"/>
      <c r="E899" s="114"/>
      <c r="F899" s="11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>
      <c r="A900" s="54"/>
      <c r="B900" s="54"/>
      <c r="C900" s="54"/>
      <c r="D900" s="54"/>
      <c r="E900" s="114"/>
      <c r="F900" s="11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>
      <c r="A901" s="54"/>
      <c r="B901" s="54"/>
      <c r="C901" s="54"/>
      <c r="D901" s="54"/>
      <c r="E901" s="114"/>
      <c r="F901" s="11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>
      <c r="A902" s="54"/>
      <c r="B902" s="54"/>
      <c r="C902" s="54"/>
      <c r="D902" s="54"/>
      <c r="E902" s="114"/>
      <c r="F902" s="11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>
      <c r="A903" s="54"/>
      <c r="B903" s="54"/>
      <c r="C903" s="54"/>
      <c r="D903" s="54"/>
      <c r="E903" s="114"/>
      <c r="F903" s="11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>
      <c r="A904" s="54"/>
      <c r="B904" s="54"/>
      <c r="C904" s="54"/>
      <c r="D904" s="54"/>
      <c r="E904" s="114"/>
      <c r="F904" s="11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>
      <c r="A905" s="54"/>
      <c r="B905" s="54"/>
      <c r="C905" s="54"/>
      <c r="D905" s="54"/>
      <c r="E905" s="114"/>
      <c r="F905" s="11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6">
      <c r="A906" s="54"/>
      <c r="B906" s="54"/>
      <c r="C906" s="54"/>
      <c r="D906" s="54"/>
      <c r="E906" s="114"/>
      <c r="F906" s="11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</row>
    <row r="907">
      <c r="A907" s="54"/>
      <c r="B907" s="54"/>
      <c r="C907" s="54"/>
      <c r="D907" s="54"/>
      <c r="E907" s="114"/>
      <c r="F907" s="11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</row>
    <row r="908">
      <c r="A908" s="54"/>
      <c r="B908" s="54"/>
      <c r="C908" s="54"/>
      <c r="D908" s="54"/>
      <c r="E908" s="114"/>
      <c r="F908" s="11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</row>
    <row r="909">
      <c r="A909" s="54"/>
      <c r="B909" s="54"/>
      <c r="C909" s="54"/>
      <c r="D909" s="54"/>
      <c r="E909" s="114"/>
      <c r="F909" s="11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</row>
    <row r="910">
      <c r="A910" s="54"/>
      <c r="B910" s="54"/>
      <c r="C910" s="54"/>
      <c r="D910" s="54"/>
      <c r="E910" s="114"/>
      <c r="F910" s="11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</row>
    <row r="911">
      <c r="A911" s="54"/>
      <c r="B911" s="54"/>
      <c r="C911" s="54"/>
      <c r="D911" s="54"/>
      <c r="E911" s="114"/>
      <c r="F911" s="11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</row>
    <row r="912">
      <c r="A912" s="54"/>
      <c r="B912" s="54"/>
      <c r="C912" s="54"/>
      <c r="D912" s="54"/>
      <c r="E912" s="114"/>
      <c r="F912" s="11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</row>
    <row r="913">
      <c r="A913" s="54"/>
      <c r="B913" s="54"/>
      <c r="C913" s="54"/>
      <c r="D913" s="54"/>
      <c r="E913" s="114"/>
      <c r="F913" s="11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</row>
    <row r="914">
      <c r="A914" s="54"/>
      <c r="B914" s="54"/>
      <c r="C914" s="54"/>
      <c r="D914" s="54"/>
      <c r="E914" s="114"/>
      <c r="F914" s="11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</row>
    <row r="915">
      <c r="A915" s="54"/>
      <c r="B915" s="54"/>
      <c r="C915" s="54"/>
      <c r="D915" s="54"/>
      <c r="E915" s="114"/>
      <c r="F915" s="11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</row>
    <row r="916">
      <c r="A916" s="54"/>
      <c r="B916" s="54"/>
      <c r="C916" s="54"/>
      <c r="D916" s="54"/>
      <c r="E916" s="114"/>
      <c r="F916" s="11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</row>
    <row r="917">
      <c r="A917" s="54"/>
      <c r="B917" s="54"/>
      <c r="C917" s="54"/>
      <c r="D917" s="54"/>
      <c r="E917" s="114"/>
      <c r="F917" s="11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</row>
    <row r="918">
      <c r="A918" s="54"/>
      <c r="B918" s="54"/>
      <c r="C918" s="54"/>
      <c r="D918" s="54"/>
      <c r="E918" s="114"/>
      <c r="F918" s="11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</row>
    <row r="919">
      <c r="A919" s="54"/>
      <c r="B919" s="54"/>
      <c r="C919" s="54"/>
      <c r="D919" s="54"/>
      <c r="E919" s="114"/>
      <c r="F919" s="11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</row>
    <row r="920">
      <c r="A920" s="54"/>
      <c r="B920" s="54"/>
      <c r="C920" s="54"/>
      <c r="D920" s="54"/>
      <c r="E920" s="114"/>
      <c r="F920" s="11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</row>
    <row r="921">
      <c r="A921" s="54"/>
      <c r="B921" s="54"/>
      <c r="C921" s="54"/>
      <c r="D921" s="54"/>
      <c r="E921" s="114"/>
      <c r="F921" s="11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</row>
    <row r="922">
      <c r="A922" s="54"/>
      <c r="B922" s="54"/>
      <c r="C922" s="54"/>
      <c r="D922" s="54"/>
      <c r="E922" s="114"/>
      <c r="F922" s="11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</row>
    <row r="923">
      <c r="A923" s="54"/>
      <c r="B923" s="54"/>
      <c r="C923" s="54"/>
      <c r="D923" s="54"/>
      <c r="E923" s="114"/>
      <c r="F923" s="11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</row>
    <row r="924">
      <c r="A924" s="54"/>
      <c r="B924" s="54"/>
      <c r="C924" s="54"/>
      <c r="D924" s="54"/>
      <c r="E924" s="114"/>
      <c r="F924" s="11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</row>
    <row r="925">
      <c r="A925" s="54"/>
      <c r="B925" s="54"/>
      <c r="C925" s="54"/>
      <c r="D925" s="54"/>
      <c r="E925" s="114"/>
      <c r="F925" s="11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</row>
    <row r="926">
      <c r="A926" s="54"/>
      <c r="B926" s="54"/>
      <c r="C926" s="54"/>
      <c r="D926" s="54"/>
      <c r="E926" s="114"/>
      <c r="F926" s="11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</row>
    <row r="927">
      <c r="A927" s="54"/>
      <c r="B927" s="54"/>
      <c r="C927" s="54"/>
      <c r="D927" s="54"/>
      <c r="E927" s="114"/>
      <c r="F927" s="11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</row>
    <row r="928">
      <c r="A928" s="54"/>
      <c r="B928" s="54"/>
      <c r="C928" s="54"/>
      <c r="D928" s="54"/>
      <c r="E928" s="114"/>
      <c r="F928" s="11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</row>
    <row r="929">
      <c r="A929" s="54"/>
      <c r="B929" s="54"/>
      <c r="C929" s="54"/>
      <c r="D929" s="54"/>
      <c r="E929" s="114"/>
      <c r="F929" s="11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</row>
    <row r="930">
      <c r="A930" s="54"/>
      <c r="B930" s="54"/>
      <c r="C930" s="54"/>
      <c r="D930" s="54"/>
      <c r="E930" s="114"/>
      <c r="F930" s="11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</row>
    <row r="931">
      <c r="A931" s="54"/>
      <c r="B931" s="54"/>
      <c r="C931" s="54"/>
      <c r="D931" s="54"/>
      <c r="E931" s="114"/>
      <c r="F931" s="11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</row>
    <row r="932">
      <c r="A932" s="54"/>
      <c r="B932" s="54"/>
      <c r="C932" s="54"/>
      <c r="D932" s="54"/>
      <c r="E932" s="114"/>
      <c r="F932" s="11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</row>
    <row r="933">
      <c r="A933" s="54"/>
      <c r="B933" s="54"/>
      <c r="C933" s="54"/>
      <c r="D933" s="54"/>
      <c r="E933" s="114"/>
      <c r="F933" s="11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</row>
    <row r="934">
      <c r="A934" s="54"/>
      <c r="B934" s="54"/>
      <c r="C934" s="54"/>
      <c r="D934" s="54"/>
      <c r="E934" s="114"/>
      <c r="F934" s="11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</row>
    <row r="935">
      <c r="A935" s="54"/>
      <c r="B935" s="54"/>
      <c r="C935" s="54"/>
      <c r="D935" s="54"/>
      <c r="E935" s="114"/>
      <c r="F935" s="11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</row>
    <row r="936">
      <c r="A936" s="54"/>
      <c r="B936" s="54"/>
      <c r="C936" s="54"/>
      <c r="D936" s="54"/>
      <c r="E936" s="114"/>
      <c r="F936" s="11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</row>
    <row r="937">
      <c r="A937" s="54"/>
      <c r="B937" s="54"/>
      <c r="C937" s="54"/>
      <c r="D937" s="54"/>
      <c r="E937" s="114"/>
      <c r="F937" s="11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</row>
    <row r="938">
      <c r="A938" s="54"/>
      <c r="B938" s="54"/>
      <c r="C938" s="54"/>
      <c r="D938" s="54"/>
      <c r="E938" s="114"/>
      <c r="F938" s="11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</row>
    <row r="939">
      <c r="A939" s="54"/>
      <c r="B939" s="54"/>
      <c r="C939" s="54"/>
      <c r="D939" s="54"/>
      <c r="E939" s="114"/>
      <c r="F939" s="11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</row>
    <row r="940">
      <c r="A940" s="54"/>
      <c r="B940" s="54"/>
      <c r="C940" s="54"/>
      <c r="D940" s="54"/>
      <c r="E940" s="114"/>
      <c r="F940" s="11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</row>
    <row r="941">
      <c r="A941" s="54"/>
      <c r="B941" s="54"/>
      <c r="C941" s="54"/>
      <c r="D941" s="54"/>
      <c r="E941" s="114"/>
      <c r="F941" s="11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</row>
    <row r="942">
      <c r="A942" s="54"/>
      <c r="B942" s="54"/>
      <c r="C942" s="54"/>
      <c r="D942" s="54"/>
      <c r="E942" s="114"/>
      <c r="F942" s="11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</row>
    <row r="943">
      <c r="A943" s="54"/>
      <c r="B943" s="54"/>
      <c r="C943" s="54"/>
      <c r="D943" s="54"/>
      <c r="E943" s="114"/>
      <c r="F943" s="11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</row>
    <row r="944">
      <c r="A944" s="54"/>
      <c r="B944" s="54"/>
      <c r="C944" s="54"/>
      <c r="D944" s="54"/>
      <c r="E944" s="114"/>
      <c r="F944" s="11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</row>
    <row r="945">
      <c r="A945" s="54"/>
      <c r="B945" s="54"/>
      <c r="C945" s="54"/>
      <c r="D945" s="54"/>
      <c r="E945" s="114"/>
      <c r="F945" s="11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</row>
    <row r="946">
      <c r="A946" s="54"/>
      <c r="B946" s="54"/>
      <c r="C946" s="54"/>
      <c r="D946" s="54"/>
      <c r="E946" s="114"/>
      <c r="F946" s="11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</row>
    <row r="947">
      <c r="A947" s="54"/>
      <c r="B947" s="54"/>
      <c r="C947" s="54"/>
      <c r="D947" s="54"/>
      <c r="E947" s="114"/>
      <c r="F947" s="11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</row>
    <row r="948">
      <c r="A948" s="54"/>
      <c r="B948" s="54"/>
      <c r="C948" s="54"/>
      <c r="D948" s="54"/>
      <c r="E948" s="114"/>
      <c r="F948" s="11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</row>
    <row r="949">
      <c r="A949" s="54"/>
      <c r="B949" s="54"/>
      <c r="C949" s="54"/>
      <c r="D949" s="54"/>
      <c r="E949" s="114"/>
      <c r="F949" s="11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</row>
    <row r="950">
      <c r="A950" s="54"/>
      <c r="B950" s="54"/>
      <c r="C950" s="54"/>
      <c r="D950" s="54"/>
      <c r="E950" s="114"/>
      <c r="F950" s="11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</row>
    <row r="951">
      <c r="A951" s="54"/>
      <c r="B951" s="54"/>
      <c r="C951" s="54"/>
      <c r="D951" s="54"/>
      <c r="E951" s="114"/>
      <c r="F951" s="11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</row>
    <row r="952">
      <c r="A952" s="54"/>
      <c r="B952" s="54"/>
      <c r="C952" s="54"/>
      <c r="D952" s="54"/>
      <c r="E952" s="114"/>
      <c r="F952" s="11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</row>
    <row r="953">
      <c r="A953" s="54"/>
      <c r="B953" s="54"/>
      <c r="C953" s="54"/>
      <c r="D953" s="54"/>
      <c r="E953" s="114"/>
      <c r="F953" s="11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</row>
    <row r="954">
      <c r="A954" s="54"/>
      <c r="B954" s="54"/>
      <c r="C954" s="54"/>
      <c r="D954" s="54"/>
      <c r="E954" s="114"/>
      <c r="F954" s="11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</row>
    <row r="955">
      <c r="A955" s="54"/>
      <c r="B955" s="54"/>
      <c r="C955" s="54"/>
      <c r="D955" s="54"/>
      <c r="E955" s="114"/>
      <c r="F955" s="11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</row>
    <row r="956">
      <c r="A956" s="54"/>
      <c r="B956" s="54"/>
      <c r="C956" s="54"/>
      <c r="D956" s="54"/>
      <c r="E956" s="114"/>
      <c r="F956" s="11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</row>
    <row r="957">
      <c r="A957" s="54"/>
      <c r="B957" s="54"/>
      <c r="C957" s="54"/>
      <c r="D957" s="54"/>
      <c r="E957" s="114"/>
      <c r="F957" s="11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</row>
    <row r="958">
      <c r="A958" s="54"/>
      <c r="B958" s="54"/>
      <c r="C958" s="54"/>
      <c r="D958" s="54"/>
      <c r="E958" s="114"/>
      <c r="F958" s="11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</row>
    <row r="959">
      <c r="A959" s="54"/>
      <c r="B959" s="54"/>
      <c r="C959" s="54"/>
      <c r="D959" s="54"/>
      <c r="E959" s="114"/>
      <c r="F959" s="11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</row>
    <row r="960">
      <c r="A960" s="54"/>
      <c r="B960" s="54"/>
      <c r="C960" s="54"/>
      <c r="D960" s="54"/>
      <c r="E960" s="114"/>
      <c r="F960" s="11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</row>
    <row r="961">
      <c r="A961" s="54"/>
      <c r="B961" s="54"/>
      <c r="C961" s="54"/>
      <c r="D961" s="54"/>
      <c r="E961" s="114"/>
      <c r="F961" s="11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</row>
    <row r="962">
      <c r="A962" s="54"/>
      <c r="B962" s="54"/>
      <c r="C962" s="54"/>
      <c r="D962" s="54"/>
      <c r="E962" s="114"/>
      <c r="F962" s="11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</row>
    <row r="963">
      <c r="A963" s="54"/>
      <c r="B963" s="54"/>
      <c r="C963" s="54"/>
      <c r="D963" s="54"/>
      <c r="E963" s="114"/>
      <c r="F963" s="11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</row>
    <row r="964">
      <c r="A964" s="54"/>
      <c r="B964" s="54"/>
      <c r="C964" s="54"/>
      <c r="D964" s="54"/>
      <c r="E964" s="114"/>
      <c r="F964" s="11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</row>
    <row r="965">
      <c r="A965" s="54"/>
      <c r="B965" s="54"/>
      <c r="C965" s="54"/>
      <c r="D965" s="54"/>
      <c r="E965" s="114"/>
      <c r="F965" s="11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</row>
    <row r="966">
      <c r="A966" s="54"/>
      <c r="B966" s="54"/>
      <c r="C966" s="54"/>
      <c r="D966" s="54"/>
      <c r="E966" s="114"/>
      <c r="F966" s="11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</row>
    <row r="967">
      <c r="A967" s="54"/>
      <c r="B967" s="54"/>
      <c r="C967" s="54"/>
      <c r="D967" s="54"/>
      <c r="E967" s="114"/>
      <c r="F967" s="11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</row>
    <row r="968">
      <c r="A968" s="54"/>
      <c r="B968" s="54"/>
      <c r="C968" s="54"/>
      <c r="D968" s="54"/>
      <c r="E968" s="114"/>
      <c r="F968" s="11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</row>
    <row r="969">
      <c r="A969" s="54"/>
      <c r="B969" s="54"/>
      <c r="C969" s="54"/>
      <c r="D969" s="54"/>
      <c r="E969" s="114"/>
      <c r="F969" s="11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</row>
    <row r="970">
      <c r="A970" s="54"/>
      <c r="B970" s="54"/>
      <c r="C970" s="54"/>
      <c r="D970" s="54"/>
      <c r="E970" s="114"/>
      <c r="F970" s="11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</row>
    <row r="971">
      <c r="A971" s="54"/>
      <c r="B971" s="54"/>
      <c r="C971" s="54"/>
      <c r="D971" s="54"/>
      <c r="E971" s="114"/>
      <c r="F971" s="11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</row>
    <row r="972">
      <c r="A972" s="54"/>
      <c r="B972" s="54"/>
      <c r="C972" s="54"/>
      <c r="D972" s="54"/>
      <c r="E972" s="114"/>
      <c r="F972" s="11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</row>
    <row r="973">
      <c r="A973" s="54"/>
      <c r="B973" s="54"/>
      <c r="C973" s="54"/>
      <c r="D973" s="54"/>
      <c r="E973" s="114"/>
      <c r="F973" s="11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</row>
    <row r="974">
      <c r="A974" s="54"/>
      <c r="B974" s="54"/>
      <c r="C974" s="54"/>
      <c r="D974" s="54"/>
      <c r="E974" s="114"/>
      <c r="F974" s="11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</row>
    <row r="975">
      <c r="A975" s="54"/>
      <c r="B975" s="54"/>
      <c r="C975" s="54"/>
      <c r="D975" s="54"/>
      <c r="E975" s="114"/>
      <c r="F975" s="11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</row>
    <row r="976">
      <c r="A976" s="54"/>
      <c r="B976" s="54"/>
      <c r="C976" s="54"/>
      <c r="D976" s="54"/>
      <c r="E976" s="114"/>
      <c r="F976" s="11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</row>
    <row r="977">
      <c r="A977" s="54"/>
      <c r="B977" s="54"/>
      <c r="C977" s="54"/>
      <c r="D977" s="54"/>
      <c r="E977" s="114"/>
      <c r="F977" s="11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</row>
    <row r="978">
      <c r="A978" s="54"/>
      <c r="B978" s="54"/>
      <c r="C978" s="54"/>
      <c r="D978" s="54"/>
      <c r="E978" s="114"/>
      <c r="F978" s="11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</row>
    <row r="979">
      <c r="A979" s="54"/>
      <c r="B979" s="54"/>
      <c r="C979" s="54"/>
      <c r="D979" s="54"/>
      <c r="E979" s="114"/>
      <c r="F979" s="11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</row>
    <row r="980">
      <c r="A980" s="54"/>
      <c r="B980" s="54"/>
      <c r="C980" s="54"/>
      <c r="D980" s="54"/>
      <c r="E980" s="114"/>
      <c r="F980" s="11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</row>
    <row r="981">
      <c r="A981" s="54"/>
      <c r="B981" s="54"/>
      <c r="C981" s="54"/>
      <c r="D981" s="54"/>
      <c r="E981" s="114"/>
      <c r="F981" s="11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</row>
    <row r="982">
      <c r="A982" s="54"/>
      <c r="B982" s="54"/>
      <c r="C982" s="54"/>
      <c r="D982" s="54"/>
      <c r="E982" s="114"/>
      <c r="F982" s="11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</row>
    <row r="983">
      <c r="A983" s="54"/>
      <c r="B983" s="54"/>
      <c r="C983" s="54"/>
      <c r="D983" s="54"/>
      <c r="E983" s="114"/>
      <c r="F983" s="11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</row>
    <row r="984">
      <c r="A984" s="54"/>
      <c r="B984" s="54"/>
      <c r="C984" s="54"/>
      <c r="D984" s="54"/>
      <c r="E984" s="114"/>
      <c r="F984" s="11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</row>
    <row r="985">
      <c r="A985" s="54"/>
      <c r="B985" s="54"/>
      <c r="C985" s="54"/>
      <c r="D985" s="54"/>
      <c r="E985" s="114"/>
      <c r="F985" s="11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</row>
    <row r="986">
      <c r="A986" s="54"/>
      <c r="B986" s="54"/>
      <c r="C986" s="54"/>
      <c r="D986" s="54"/>
      <c r="E986" s="114"/>
      <c r="F986" s="11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</row>
    <row r="987">
      <c r="A987" s="54"/>
      <c r="B987" s="54"/>
      <c r="C987" s="54"/>
      <c r="D987" s="54"/>
      <c r="E987" s="114"/>
      <c r="F987" s="11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</row>
    <row r="988">
      <c r="A988" s="54"/>
      <c r="B988" s="54"/>
      <c r="C988" s="54"/>
      <c r="D988" s="54"/>
      <c r="E988" s="114"/>
      <c r="F988" s="11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</row>
    <row r="989">
      <c r="A989" s="54"/>
      <c r="B989" s="54"/>
      <c r="C989" s="54"/>
      <c r="D989" s="54"/>
      <c r="E989" s="114"/>
      <c r="F989" s="11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</row>
    <row r="990">
      <c r="A990" s="54"/>
      <c r="B990" s="54"/>
      <c r="C990" s="54"/>
      <c r="D990" s="54"/>
      <c r="E990" s="114"/>
      <c r="F990" s="11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</row>
    <row r="991">
      <c r="A991" s="54"/>
      <c r="B991" s="54"/>
      <c r="C991" s="54"/>
      <c r="D991" s="54"/>
      <c r="E991" s="114"/>
      <c r="F991" s="11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</row>
    <row r="992">
      <c r="A992" s="54"/>
      <c r="B992" s="54"/>
      <c r="C992" s="54"/>
      <c r="D992" s="54"/>
      <c r="E992" s="114"/>
      <c r="F992" s="11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</row>
    <row r="993">
      <c r="A993" s="54"/>
      <c r="B993" s="54"/>
      <c r="C993" s="54"/>
      <c r="D993" s="54"/>
      <c r="E993" s="114"/>
      <c r="F993" s="11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</row>
    <row r="994">
      <c r="A994" s="54"/>
      <c r="B994" s="54"/>
      <c r="C994" s="54"/>
      <c r="D994" s="54"/>
      <c r="E994" s="114"/>
      <c r="F994" s="11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</row>
    <row r="995">
      <c r="A995" s="54"/>
      <c r="B995" s="54"/>
      <c r="C995" s="54"/>
      <c r="D995" s="54"/>
      <c r="E995" s="114"/>
      <c r="F995" s="11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</row>
    <row r="996">
      <c r="A996" s="54"/>
      <c r="B996" s="54"/>
      <c r="C996" s="54"/>
      <c r="D996" s="54"/>
      <c r="E996" s="114"/>
      <c r="F996" s="11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</row>
    <row r="997">
      <c r="A997" s="54"/>
      <c r="B997" s="54"/>
      <c r="C997" s="54"/>
      <c r="D997" s="54"/>
      <c r="E997" s="114"/>
      <c r="F997" s="11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</row>
    <row r="998">
      <c r="A998" s="54"/>
      <c r="B998" s="54"/>
      <c r="C998" s="54"/>
      <c r="D998" s="54"/>
      <c r="E998" s="114"/>
      <c r="F998" s="11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</row>
  </sheetData>
  <mergeCells count="44">
    <mergeCell ref="B3:I3"/>
    <mergeCell ref="B21:I21"/>
    <mergeCell ref="M25:O25"/>
    <mergeCell ref="B38:I38"/>
    <mergeCell ref="M41:O41"/>
    <mergeCell ref="B61:I61"/>
    <mergeCell ref="M64:O64"/>
    <mergeCell ref="B74:I74"/>
    <mergeCell ref="M75:O75"/>
    <mergeCell ref="B82:I82"/>
    <mergeCell ref="M83:Q83"/>
    <mergeCell ref="N87:P87"/>
    <mergeCell ref="N88:P88"/>
    <mergeCell ref="M93:O93"/>
    <mergeCell ref="B91:I91"/>
    <mergeCell ref="B104:I104"/>
    <mergeCell ref="M105:O105"/>
    <mergeCell ref="B120:I120"/>
    <mergeCell ref="M121:O121"/>
    <mergeCell ref="B136:I136"/>
    <mergeCell ref="M137:Q137"/>
    <mergeCell ref="B145:I145"/>
    <mergeCell ref="M146:Q146"/>
    <mergeCell ref="B166:I166"/>
    <mergeCell ref="M167:Q167"/>
    <mergeCell ref="B182:I182"/>
    <mergeCell ref="B183:I183"/>
    <mergeCell ref="M184:Q184"/>
    <mergeCell ref="B197:I197"/>
    <mergeCell ref="M198:Q198"/>
    <mergeCell ref="B207:I207"/>
    <mergeCell ref="M208:Q208"/>
    <mergeCell ref="B223:I223"/>
    <mergeCell ref="M224:Q224"/>
    <mergeCell ref="M242:Q242"/>
    <mergeCell ref="B291:I291"/>
    <mergeCell ref="M292:Q292"/>
    <mergeCell ref="B241:I241"/>
    <mergeCell ref="B253:I253"/>
    <mergeCell ref="M254:Q254"/>
    <mergeCell ref="B267:I267"/>
    <mergeCell ref="M268:Q268"/>
    <mergeCell ref="B271:I271"/>
    <mergeCell ref="M272:Q272"/>
  </mergeCells>
  <conditionalFormatting sqref="K1:K998">
    <cfRule type="cellIs" dxfId="3" priority="1" operator="greaterThanOrEqual">
      <formula>32</formula>
    </cfRule>
  </conditionalFormatting>
  <conditionalFormatting sqref="K207 K223 K241 K253 K267 K271 K291">
    <cfRule type="cellIs" dxfId="4" priority="2" operator="greaterThanOrEqual">
      <formula>30</formula>
    </cfRule>
  </conditionalFormatting>
  <conditionalFormatting sqref="AB207 AB223 AB241 AB253 AB267 AB271 AB291">
    <cfRule type="cellIs" dxfId="7" priority="3" operator="greaterThan">
      <formula>30</formula>
    </cfRule>
  </conditionalFormatting>
  <conditionalFormatting sqref="AB207 AB223 AB241 AB253 AB267 AB271 AB291">
    <cfRule type="cellIs" dxfId="6" priority="4" operator="greaterThan">
      <formula>28</formula>
    </cfRule>
  </conditionalFormatting>
  <conditionalFormatting sqref="J2">
    <cfRule type="expression" dxfId="0" priority="5">
      <formula>ABS(J2:J999)&gt;5</formula>
    </cfRule>
  </conditionalFormatting>
  <conditionalFormatting sqref="J2 J207 J223 J241 J253 J267 J271 J291">
    <cfRule type="expression" dxfId="0" priority="6">
      <formula>ABS(J:J)&gt;10.3</formula>
    </cfRule>
  </conditionalFormatting>
  <conditionalFormatting sqref="J1:J998">
    <cfRule type="expression" dxfId="0" priority="7">
      <formula>ABS(J:J)&gt;5</formula>
    </cfRule>
  </conditionalFormatting>
  <conditionalFormatting sqref="K1:K998">
    <cfRule type="cellIs" dxfId="2" priority="8" operator="greaterThan">
      <formula>30</formula>
    </cfRule>
  </conditionalFormatting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2.88"/>
    <col customWidth="1" min="2" max="2" width="10.25"/>
    <col customWidth="1" min="4" max="4" width="9.63"/>
    <col customWidth="1" min="5" max="5" width="8.0"/>
    <col customWidth="1" min="6" max="6" width="8.88"/>
    <col customWidth="1" min="7" max="7" width="7.25"/>
    <col customWidth="1" min="8" max="8" width="7.0"/>
  </cols>
  <sheetData>
    <row r="1">
      <c r="A1" s="58" t="s">
        <v>54</v>
      </c>
      <c r="B1" s="59" t="s">
        <v>55</v>
      </c>
      <c r="C1" s="59"/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128</v>
      </c>
      <c r="M1" s="195">
        <v>24.0</v>
      </c>
      <c r="N1" s="9" t="s">
        <v>129</v>
      </c>
      <c r="O1" s="9">
        <v>70.0</v>
      </c>
    </row>
    <row r="2">
      <c r="A2" s="62" t="str">
        <f>"0154 9321"</f>
        <v>0154 9321</v>
      </c>
      <c r="B2" s="54"/>
      <c r="C2" s="54"/>
      <c r="D2" s="54" t="str">
        <f>D4</f>
        <v>Казаченко</v>
      </c>
      <c r="E2" s="54"/>
      <c r="F2" s="54">
        <f>SUM(F5:F1004)</f>
        <v>364181.03</v>
      </c>
      <c r="G2" s="54">
        <f>MAX(G4:G1004)</f>
        <v>600</v>
      </c>
      <c r="H2" s="54">
        <f t="shared" ref="H2:I2" si="1">SUM(H5:H1004)</f>
        <v>78815</v>
      </c>
      <c r="I2" s="54">
        <f t="shared" si="1"/>
        <v>97039.57</v>
      </c>
      <c r="J2" s="54">
        <f>H2-I2</f>
        <v>-18224.57</v>
      </c>
      <c r="K2" s="63">
        <f>I2/F2*100</f>
        <v>26.64597055</v>
      </c>
      <c r="L2" s="64" t="s">
        <v>65</v>
      </c>
      <c r="M2" s="65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</row>
    <row r="4">
      <c r="A4" s="54"/>
      <c r="B4" s="401">
        <v>45293.0</v>
      </c>
      <c r="C4" s="429"/>
      <c r="D4" s="404" t="s">
        <v>400</v>
      </c>
      <c r="E4" s="412">
        <v>1450672.0</v>
      </c>
      <c r="F4" s="405"/>
      <c r="G4" s="405">
        <v>600.0</v>
      </c>
      <c r="H4" s="406">
        <v>335.0</v>
      </c>
      <c r="I4" s="406">
        <v>366.01</v>
      </c>
      <c r="J4" s="406">
        <v>-31.01</v>
      </c>
      <c r="K4" s="290">
        <v>33.8</v>
      </c>
      <c r="L4" s="54"/>
      <c r="M4" s="54"/>
    </row>
    <row r="5">
      <c r="A5" s="54"/>
      <c r="B5" s="430">
        <v>45301.0</v>
      </c>
      <c r="C5" s="409"/>
      <c r="D5" s="411" t="s">
        <v>400</v>
      </c>
      <c r="E5" s="412">
        <v>1451133.0</v>
      </c>
      <c r="F5" s="412">
        <f>E5-E4</f>
        <v>461</v>
      </c>
      <c r="G5" s="412">
        <v>575.0</v>
      </c>
      <c r="H5" s="413">
        <v>95.0</v>
      </c>
      <c r="I5" s="413">
        <v>155.65</v>
      </c>
      <c r="J5" s="413">
        <v>-60.65</v>
      </c>
      <c r="K5" s="318">
        <f>I5/F5*100</f>
        <v>33.76355748</v>
      </c>
      <c r="L5" s="54"/>
      <c r="M5" s="54"/>
    </row>
    <row r="6">
      <c r="A6" s="54"/>
      <c r="B6" s="430">
        <v>45301.0</v>
      </c>
      <c r="C6" s="409"/>
      <c r="D6" s="411" t="s">
        <v>400</v>
      </c>
      <c r="E6" s="412">
        <v>1451133.0</v>
      </c>
      <c r="F6" s="412"/>
      <c r="G6" s="412" t="s">
        <v>401</v>
      </c>
      <c r="H6" s="415"/>
      <c r="I6" s="413"/>
      <c r="J6" s="415"/>
      <c r="K6" s="318"/>
      <c r="L6" s="54"/>
      <c r="M6" s="54"/>
    </row>
    <row r="7">
      <c r="A7" s="54"/>
      <c r="B7" s="430">
        <v>45302.0</v>
      </c>
      <c r="C7" s="409"/>
      <c r="D7" s="411" t="s">
        <v>400</v>
      </c>
      <c r="E7" s="412">
        <v>1452342.0</v>
      </c>
      <c r="F7" s="412">
        <v>548.2</v>
      </c>
      <c r="G7" s="412">
        <v>550.0</v>
      </c>
      <c r="H7" s="413">
        <v>240.0</v>
      </c>
      <c r="I7" s="413">
        <v>163.63</v>
      </c>
      <c r="J7" s="413">
        <v>76.37</v>
      </c>
      <c r="K7" s="318">
        <f>I7/F7*100</f>
        <v>29.8485954</v>
      </c>
      <c r="L7" s="54"/>
      <c r="M7" s="54"/>
    </row>
    <row r="8">
      <c r="A8" s="54"/>
      <c r="B8" s="430">
        <v>45302.0</v>
      </c>
      <c r="C8" s="409"/>
      <c r="D8" s="411" t="s">
        <v>400</v>
      </c>
      <c r="E8" s="412">
        <v>1452342.0</v>
      </c>
      <c r="F8" s="412"/>
      <c r="G8" s="412" t="s">
        <v>401</v>
      </c>
      <c r="H8" s="415"/>
      <c r="I8" s="413"/>
      <c r="J8" s="415"/>
      <c r="K8" s="318"/>
      <c r="L8" s="54"/>
      <c r="M8" s="54"/>
    </row>
    <row r="9">
      <c r="A9" s="54"/>
      <c r="B9" s="430">
        <v>45303.0</v>
      </c>
      <c r="C9" s="409"/>
      <c r="D9" s="411" t="s">
        <v>400</v>
      </c>
      <c r="E9" s="431"/>
      <c r="F9" s="412">
        <v>548.2</v>
      </c>
      <c r="G9" s="431"/>
      <c r="H9" s="415"/>
      <c r="I9" s="413">
        <v>159.66</v>
      </c>
      <c r="J9" s="413">
        <v>-159.66</v>
      </c>
      <c r="K9" s="318">
        <f t="shared" ref="K9:K10" si="2">I9/F9*100</f>
        <v>29.12440715</v>
      </c>
      <c r="L9" s="54"/>
      <c r="M9" s="54"/>
    </row>
    <row r="10">
      <c r="A10" s="54"/>
      <c r="B10" s="430">
        <v>45304.0</v>
      </c>
      <c r="C10" s="409"/>
      <c r="D10" s="411" t="s">
        <v>400</v>
      </c>
      <c r="E10" s="412">
        <v>1453364.0</v>
      </c>
      <c r="F10" s="412">
        <v>548.2</v>
      </c>
      <c r="G10" s="412">
        <v>600.0</v>
      </c>
      <c r="H10" s="413">
        <v>160.0</v>
      </c>
      <c r="I10" s="413">
        <v>250.0</v>
      </c>
      <c r="J10" s="413">
        <v>-90.0</v>
      </c>
      <c r="K10" s="318">
        <f t="shared" si="2"/>
        <v>45.60379424</v>
      </c>
      <c r="L10" s="54"/>
      <c r="M10" s="54"/>
    </row>
    <row r="11">
      <c r="A11" s="54"/>
      <c r="B11" s="430">
        <v>45304.0</v>
      </c>
      <c r="C11" s="409"/>
      <c r="D11" s="411" t="s">
        <v>400</v>
      </c>
      <c r="E11" s="412">
        <v>1453364.0</v>
      </c>
      <c r="F11" s="412"/>
      <c r="G11" s="412" t="s">
        <v>401</v>
      </c>
      <c r="H11" s="415"/>
      <c r="I11" s="413"/>
      <c r="J11" s="415"/>
      <c r="K11" s="318"/>
      <c r="L11" s="54"/>
      <c r="M11" s="54"/>
    </row>
    <row r="12">
      <c r="A12" s="54"/>
      <c r="B12" s="430">
        <v>45305.0</v>
      </c>
      <c r="C12" s="409"/>
      <c r="D12" s="411" t="s">
        <v>400</v>
      </c>
      <c r="E12" s="431"/>
      <c r="F12" s="412">
        <v>548.2</v>
      </c>
      <c r="G12" s="431"/>
      <c r="H12" s="415"/>
      <c r="I12" s="413">
        <v>163.63</v>
      </c>
      <c r="J12" s="413">
        <v>-163.63</v>
      </c>
      <c r="K12" s="318">
        <f>I12/F12*100</f>
        <v>29.8485954</v>
      </c>
      <c r="L12" s="63"/>
      <c r="M12" s="54"/>
    </row>
    <row r="13">
      <c r="A13" s="54"/>
      <c r="B13" s="430">
        <v>45305.0</v>
      </c>
      <c r="C13" s="409"/>
      <c r="D13" s="411" t="s">
        <v>400</v>
      </c>
      <c r="E13" s="431"/>
      <c r="F13" s="412"/>
      <c r="G13" s="412" t="s">
        <v>401</v>
      </c>
      <c r="H13" s="415"/>
      <c r="I13" s="413"/>
      <c r="J13" s="415"/>
      <c r="K13" s="318"/>
      <c r="L13" s="54"/>
      <c r="M13" s="54"/>
    </row>
    <row r="14">
      <c r="A14" s="54"/>
      <c r="B14" s="430">
        <v>45306.0</v>
      </c>
      <c r="C14" s="409"/>
      <c r="D14" s="411" t="s">
        <v>400</v>
      </c>
      <c r="E14" s="412">
        <v>1453874.0</v>
      </c>
      <c r="F14" s="412">
        <v>548.2</v>
      </c>
      <c r="G14" s="412">
        <v>600.0</v>
      </c>
      <c r="H14" s="413">
        <v>110.0</v>
      </c>
      <c r="I14" s="413">
        <v>132.63</v>
      </c>
      <c r="J14" s="413">
        <v>-22.63</v>
      </c>
      <c r="K14" s="318">
        <f>I14/F14*100</f>
        <v>24.19372492</v>
      </c>
      <c r="L14" s="54"/>
      <c r="M14" s="54"/>
    </row>
    <row r="15">
      <c r="A15" s="54"/>
      <c r="B15" s="430">
        <v>45308.0</v>
      </c>
      <c r="C15" s="409"/>
      <c r="D15" s="411" t="s">
        <v>400</v>
      </c>
      <c r="E15" s="412">
        <v>1455165.0</v>
      </c>
      <c r="F15" s="412">
        <v>1291.0</v>
      </c>
      <c r="G15" s="412">
        <v>600.0</v>
      </c>
      <c r="H15" s="413">
        <v>350.0</v>
      </c>
      <c r="I15" s="413">
        <v>399.7</v>
      </c>
      <c r="J15" s="413">
        <v>-49.7</v>
      </c>
      <c r="K15" s="290">
        <v>30.96</v>
      </c>
      <c r="L15" s="54"/>
      <c r="M15" s="54"/>
    </row>
    <row r="16">
      <c r="A16" s="54"/>
      <c r="B16" s="430">
        <v>45310.0</v>
      </c>
      <c r="C16" s="409"/>
      <c r="D16" s="411" t="s">
        <v>400</v>
      </c>
      <c r="E16" s="412">
        <v>1456187.0</v>
      </c>
      <c r="F16" s="412">
        <v>1022.0</v>
      </c>
      <c r="G16" s="412">
        <v>600.0</v>
      </c>
      <c r="H16" s="413">
        <v>270.0</v>
      </c>
      <c r="I16" s="413">
        <v>292.67</v>
      </c>
      <c r="J16" s="413">
        <v>-22.67</v>
      </c>
      <c r="K16" s="290">
        <v>28.64</v>
      </c>
      <c r="L16" s="54"/>
      <c r="M16" s="54"/>
    </row>
    <row r="17">
      <c r="A17" s="54"/>
      <c r="B17" s="430">
        <v>45311.0</v>
      </c>
      <c r="C17" s="409"/>
      <c r="D17" s="411" t="s">
        <v>400</v>
      </c>
      <c r="E17" s="412">
        <v>1456961.0</v>
      </c>
      <c r="F17" s="412">
        <v>774.0</v>
      </c>
      <c r="G17" s="412">
        <v>600.0</v>
      </c>
      <c r="H17" s="413">
        <v>70.0</v>
      </c>
      <c r="I17" s="413">
        <v>76.11</v>
      </c>
      <c r="J17" s="413">
        <v>-6.11</v>
      </c>
      <c r="K17" s="290">
        <v>9.83</v>
      </c>
      <c r="L17" s="54"/>
      <c r="M17" s="54"/>
    </row>
    <row r="18">
      <c r="A18" s="54"/>
      <c r="B18" s="430">
        <v>45312.0</v>
      </c>
      <c r="C18" s="409"/>
      <c r="D18" s="411" t="s">
        <v>400</v>
      </c>
      <c r="E18" s="412">
        <v>1457584.0</v>
      </c>
      <c r="F18" s="412">
        <v>623.0</v>
      </c>
      <c r="G18" s="412">
        <v>600.0</v>
      </c>
      <c r="H18" s="413">
        <v>275.0</v>
      </c>
      <c r="I18" s="413">
        <v>263.63</v>
      </c>
      <c r="J18" s="413">
        <v>11.37</v>
      </c>
      <c r="K18" s="290">
        <v>42.32</v>
      </c>
      <c r="L18" s="54"/>
      <c r="M18" s="54"/>
    </row>
    <row r="19">
      <c r="A19" s="54"/>
      <c r="B19" s="430">
        <v>45313.0</v>
      </c>
      <c r="C19" s="409"/>
      <c r="D19" s="411" t="s">
        <v>400</v>
      </c>
      <c r="E19" s="412">
        <v>1458606.0</v>
      </c>
      <c r="F19" s="412">
        <v>1022.0</v>
      </c>
      <c r="G19" s="412">
        <v>600.0</v>
      </c>
      <c r="H19" s="413">
        <v>70.0</v>
      </c>
      <c r="I19" s="413">
        <v>112.58</v>
      </c>
      <c r="J19" s="413">
        <v>-42.58</v>
      </c>
      <c r="K19" s="290">
        <v>11.02</v>
      </c>
      <c r="L19" s="54"/>
      <c r="M19" s="54"/>
    </row>
    <row r="20">
      <c r="A20" s="54"/>
      <c r="B20" s="430">
        <v>45314.0</v>
      </c>
      <c r="C20" s="409"/>
      <c r="D20" s="411" t="s">
        <v>400</v>
      </c>
      <c r="E20" s="412">
        <v>1458793.0</v>
      </c>
      <c r="F20" s="412">
        <v>187.0</v>
      </c>
      <c r="G20" s="412">
        <v>600.0</v>
      </c>
      <c r="H20" s="413">
        <v>290.0</v>
      </c>
      <c r="I20" s="413">
        <v>300.0</v>
      </c>
      <c r="J20" s="413">
        <v>-10.0</v>
      </c>
      <c r="K20" s="290">
        <v>160.43</v>
      </c>
      <c r="L20" s="54"/>
      <c r="M20" s="54"/>
    </row>
    <row r="21">
      <c r="A21" s="54"/>
      <c r="B21" s="430">
        <v>45315.0</v>
      </c>
      <c r="C21" s="409"/>
      <c r="D21" s="411" t="s">
        <v>400</v>
      </c>
      <c r="E21" s="412">
        <v>1459381.0</v>
      </c>
      <c r="F21" s="412">
        <v>588.0</v>
      </c>
      <c r="G21" s="412">
        <v>600.0</v>
      </c>
      <c r="H21" s="413">
        <v>70.0</v>
      </c>
      <c r="I21" s="413">
        <v>89.91</v>
      </c>
      <c r="J21" s="413">
        <v>-19.91</v>
      </c>
      <c r="K21" s="290">
        <v>15.29</v>
      </c>
      <c r="L21" s="54"/>
      <c r="M21" s="54"/>
    </row>
    <row r="22">
      <c r="A22" s="54"/>
      <c r="B22" s="430">
        <v>45316.0</v>
      </c>
      <c r="C22" s="409"/>
      <c r="D22" s="411" t="s">
        <v>400</v>
      </c>
      <c r="E22" s="412">
        <v>1460001.0</v>
      </c>
      <c r="F22" s="412">
        <v>620.0</v>
      </c>
      <c r="G22" s="412">
        <v>600.0</v>
      </c>
      <c r="H22" s="413">
        <v>310.0</v>
      </c>
      <c r="I22" s="413">
        <v>363.72</v>
      </c>
      <c r="J22" s="413">
        <v>-53.72</v>
      </c>
      <c r="K22" s="290">
        <v>58.66</v>
      </c>
      <c r="L22" s="54"/>
      <c r="M22" s="54"/>
    </row>
    <row r="23">
      <c r="A23" s="54"/>
      <c r="B23" s="430">
        <v>45318.0</v>
      </c>
      <c r="C23" s="409"/>
      <c r="D23" s="411" t="s">
        <v>400</v>
      </c>
      <c r="E23" s="412">
        <v>1461210.0</v>
      </c>
      <c r="F23" s="412">
        <v>1209.0</v>
      </c>
      <c r="G23" s="412">
        <v>600.0</v>
      </c>
      <c r="H23" s="413">
        <v>320.0</v>
      </c>
      <c r="I23" s="413">
        <v>356.44</v>
      </c>
      <c r="J23" s="413">
        <v>-36.44</v>
      </c>
      <c r="K23" s="290">
        <v>29.48</v>
      </c>
      <c r="L23" s="54"/>
      <c r="M23" s="54"/>
    </row>
    <row r="24">
      <c r="A24" s="54"/>
      <c r="B24" s="430">
        <v>45320.0</v>
      </c>
      <c r="C24" s="409"/>
      <c r="D24" s="411" t="s">
        <v>400</v>
      </c>
      <c r="E24" s="412">
        <v>1462231.0</v>
      </c>
      <c r="F24" s="412">
        <v>1021.0</v>
      </c>
      <c r="G24" s="412">
        <v>600.0</v>
      </c>
      <c r="H24" s="413">
        <v>255.0</v>
      </c>
      <c r="I24" s="413">
        <v>284.33</v>
      </c>
      <c r="J24" s="413">
        <v>-29.33</v>
      </c>
      <c r="K24" s="290">
        <v>27.85</v>
      </c>
      <c r="L24" s="54"/>
      <c r="M24" s="54"/>
    </row>
    <row r="25">
      <c r="A25" s="54"/>
      <c r="B25" s="430">
        <v>45321.0</v>
      </c>
      <c r="C25" s="409"/>
      <c r="D25" s="411" t="s">
        <v>400</v>
      </c>
      <c r="E25" s="412">
        <v>1463438.0</v>
      </c>
      <c r="F25" s="412">
        <v>1207.0</v>
      </c>
      <c r="G25" s="412">
        <v>600.0</v>
      </c>
      <c r="H25" s="413">
        <v>270.0</v>
      </c>
      <c r="I25" s="413">
        <v>363.62</v>
      </c>
      <c r="J25" s="413">
        <v>-93.62</v>
      </c>
      <c r="K25" s="290">
        <v>30.13</v>
      </c>
      <c r="L25" s="54"/>
      <c r="M25" s="54"/>
    </row>
    <row r="26">
      <c r="A26" s="66"/>
      <c r="B26" s="67" t="s">
        <v>68</v>
      </c>
      <c r="J26" s="66"/>
      <c r="K26" s="66"/>
      <c r="L26" s="66"/>
      <c r="M26" s="66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</row>
    <row r="27">
      <c r="A27" s="54"/>
      <c r="B27" s="401">
        <v>45325.0</v>
      </c>
      <c r="C27" s="429"/>
      <c r="D27" s="432"/>
      <c r="E27" s="412">
        <v>1463814.0</v>
      </c>
      <c r="F27" s="405">
        <v>376.0</v>
      </c>
      <c r="G27" s="405">
        <v>600.0</v>
      </c>
      <c r="H27" s="406">
        <v>110.0</v>
      </c>
      <c r="I27" s="406">
        <v>128.0</v>
      </c>
      <c r="J27" s="406">
        <v>-18.0</v>
      </c>
      <c r="K27" s="290">
        <v>34.04</v>
      </c>
      <c r="L27" s="54"/>
      <c r="M27" s="54"/>
    </row>
    <row r="28">
      <c r="A28" s="54"/>
      <c r="B28" s="430">
        <v>45326.0</v>
      </c>
      <c r="C28" s="409"/>
      <c r="D28" s="433"/>
      <c r="E28" s="412">
        <v>1464451.0</v>
      </c>
      <c r="F28" s="412">
        <v>637.0</v>
      </c>
      <c r="G28" s="412">
        <v>600.0</v>
      </c>
      <c r="H28" s="413">
        <v>135.0</v>
      </c>
      <c r="I28" s="413">
        <v>171.68</v>
      </c>
      <c r="J28" s="413">
        <v>-36.68</v>
      </c>
      <c r="K28" s="290">
        <v>26.95</v>
      </c>
      <c r="L28" s="54"/>
      <c r="M28" s="54"/>
    </row>
    <row r="29">
      <c r="A29" s="54"/>
      <c r="B29" s="430">
        <v>45327.0</v>
      </c>
      <c r="C29" s="409"/>
      <c r="D29" s="433"/>
      <c r="E29" s="412">
        <v>1465835.0</v>
      </c>
      <c r="F29" s="412">
        <v>1384.0</v>
      </c>
      <c r="G29" s="412">
        <v>600.0</v>
      </c>
      <c r="H29" s="413">
        <v>385.0</v>
      </c>
      <c r="I29" s="413">
        <v>368.36</v>
      </c>
      <c r="J29" s="413">
        <v>16.64</v>
      </c>
      <c r="K29" s="290">
        <v>26.62</v>
      </c>
      <c r="L29" s="54"/>
      <c r="M29" s="74" t="s">
        <v>402</v>
      </c>
      <c r="N29" s="75"/>
      <c r="O29" s="76"/>
    </row>
    <row r="30">
      <c r="A30" s="54"/>
      <c r="B30" s="430">
        <v>45328.0</v>
      </c>
      <c r="C30" s="409"/>
      <c r="D30" s="433"/>
      <c r="E30" s="412">
        <v>1466022.0</v>
      </c>
      <c r="F30" s="412">
        <v>187.0</v>
      </c>
      <c r="G30" s="412">
        <v>600.0</v>
      </c>
      <c r="H30" s="413">
        <v>75.0</v>
      </c>
      <c r="I30" s="413">
        <v>97.64</v>
      </c>
      <c r="J30" s="413">
        <v>-22.64</v>
      </c>
      <c r="K30" s="290">
        <v>52.21</v>
      </c>
      <c r="L30" s="54"/>
      <c r="M30" s="77" t="s">
        <v>70</v>
      </c>
      <c r="N30" s="78" t="s">
        <v>71</v>
      </c>
      <c r="O30" s="78" t="s">
        <v>27</v>
      </c>
    </row>
    <row r="31">
      <c r="A31" s="54"/>
      <c r="B31" s="430">
        <v>45329.0</v>
      </c>
      <c r="C31" s="409"/>
      <c r="D31" s="433"/>
      <c r="E31" s="412">
        <v>1466649.0</v>
      </c>
      <c r="F31" s="412">
        <v>627.0</v>
      </c>
      <c r="G31" s="412">
        <v>600.0</v>
      </c>
      <c r="H31" s="413">
        <v>155.0</v>
      </c>
      <c r="I31" s="413">
        <v>174.23</v>
      </c>
      <c r="J31" s="413">
        <v>-19.23</v>
      </c>
      <c r="K31" s="290">
        <v>27.79</v>
      </c>
      <c r="L31" s="54"/>
      <c r="M31" s="79">
        <f>SUM(F27:F46)</f>
        <v>13798</v>
      </c>
      <c r="N31" s="80">
        <f>SUM(I27:I46)</f>
        <v>4142.2</v>
      </c>
      <c r="O31" s="81">
        <f>N31/M31*100</f>
        <v>30.0202928</v>
      </c>
    </row>
    <row r="32">
      <c r="A32" s="54"/>
      <c r="B32" s="430">
        <v>45330.0</v>
      </c>
      <c r="C32" s="409"/>
      <c r="D32" s="433"/>
      <c r="E32" s="412">
        <v>1468021.0</v>
      </c>
      <c r="F32" s="412">
        <v>1372.0</v>
      </c>
      <c r="G32" s="412">
        <v>600.0</v>
      </c>
      <c r="H32" s="413">
        <v>370.0</v>
      </c>
      <c r="I32" s="413">
        <v>380.0</v>
      </c>
      <c r="J32" s="413">
        <v>-10.0</v>
      </c>
      <c r="K32" s="290">
        <v>27.7</v>
      </c>
      <c r="L32" s="54"/>
      <c r="M32" s="54"/>
    </row>
    <row r="33">
      <c r="A33" s="54"/>
      <c r="B33" s="430">
        <v>45330.0</v>
      </c>
      <c r="C33" s="409"/>
      <c r="D33" s="433"/>
      <c r="E33" s="412">
        <v>1468021.0</v>
      </c>
      <c r="F33" s="412">
        <v>0.0</v>
      </c>
      <c r="G33" s="412" t="s">
        <v>401</v>
      </c>
      <c r="H33" s="415"/>
      <c r="I33" s="413"/>
      <c r="J33" s="413">
        <v>-20.0</v>
      </c>
      <c r="K33" s="290" t="s">
        <v>140</v>
      </c>
      <c r="L33" s="54"/>
      <c r="M33" s="54"/>
    </row>
    <row r="34">
      <c r="A34" s="54"/>
      <c r="B34" s="430">
        <v>45331.0</v>
      </c>
      <c r="C34" s="409"/>
      <c r="D34" s="433"/>
      <c r="E34" s="412">
        <v>1468209.0</v>
      </c>
      <c r="F34" s="412">
        <v>188.0</v>
      </c>
      <c r="G34" s="412">
        <v>600.0</v>
      </c>
      <c r="H34" s="413">
        <v>95.0</v>
      </c>
      <c r="I34" s="413">
        <v>121.57</v>
      </c>
      <c r="J34" s="413">
        <v>-26.57</v>
      </c>
      <c r="K34" s="290">
        <v>64.66</v>
      </c>
      <c r="L34" s="54"/>
      <c r="M34" s="54"/>
    </row>
    <row r="35">
      <c r="A35" s="54"/>
      <c r="B35" s="430">
        <v>45332.0</v>
      </c>
      <c r="C35" s="409"/>
      <c r="D35" s="433"/>
      <c r="E35" s="412">
        <v>1468844.0</v>
      </c>
      <c r="F35" s="412">
        <v>635.0</v>
      </c>
      <c r="G35" s="412">
        <v>600.0</v>
      </c>
      <c r="H35" s="413">
        <v>190.0</v>
      </c>
      <c r="I35" s="413">
        <v>209.48</v>
      </c>
      <c r="J35" s="413">
        <v>-19.48</v>
      </c>
      <c r="K35" s="290">
        <v>32.99</v>
      </c>
      <c r="L35" s="54"/>
      <c r="M35" s="54"/>
    </row>
    <row r="36">
      <c r="A36" s="54"/>
      <c r="B36" s="430">
        <v>45333.0</v>
      </c>
      <c r="C36" s="409"/>
      <c r="D36" s="433"/>
      <c r="E36" s="412">
        <v>1470222.0</v>
      </c>
      <c r="F36" s="412">
        <v>1378.0</v>
      </c>
      <c r="G36" s="412">
        <v>600.0</v>
      </c>
      <c r="H36" s="413">
        <v>360.0</v>
      </c>
      <c r="I36" s="413">
        <v>378.74</v>
      </c>
      <c r="J36" s="413">
        <v>-18.74</v>
      </c>
      <c r="K36" s="290">
        <v>27.48</v>
      </c>
      <c r="L36" s="54"/>
      <c r="M36" s="54"/>
    </row>
    <row r="37">
      <c r="A37" s="54"/>
      <c r="B37" s="430">
        <v>45334.0</v>
      </c>
      <c r="C37" s="409"/>
      <c r="D37" s="433"/>
      <c r="E37" s="412">
        <v>1470412.0</v>
      </c>
      <c r="F37" s="412">
        <v>190.0</v>
      </c>
      <c r="G37" s="412">
        <v>600.0</v>
      </c>
      <c r="H37" s="413">
        <v>70.0</v>
      </c>
      <c r="I37" s="413">
        <v>93.82</v>
      </c>
      <c r="J37" s="413">
        <v>-23.82</v>
      </c>
      <c r="K37" s="290">
        <v>49.38</v>
      </c>
      <c r="L37" s="54"/>
      <c r="M37" s="54"/>
    </row>
    <row r="38">
      <c r="A38" s="54"/>
      <c r="B38" s="430">
        <v>45335.0</v>
      </c>
      <c r="C38" s="409"/>
      <c r="D38" s="433"/>
      <c r="E38" s="412">
        <v>1471040.0</v>
      </c>
      <c r="F38" s="412">
        <v>628.0</v>
      </c>
      <c r="G38" s="412">
        <v>600.0</v>
      </c>
      <c r="H38" s="413">
        <v>160.0</v>
      </c>
      <c r="I38" s="413">
        <v>183.49</v>
      </c>
      <c r="J38" s="413">
        <v>-23.49</v>
      </c>
      <c r="K38" s="290">
        <v>29.22</v>
      </c>
      <c r="L38" s="54"/>
      <c r="M38" s="54"/>
    </row>
    <row r="39">
      <c r="A39" s="54"/>
      <c r="B39" s="430">
        <v>45336.0</v>
      </c>
      <c r="C39" s="409"/>
      <c r="D39" s="433"/>
      <c r="E39" s="412">
        <v>1472422.0</v>
      </c>
      <c r="F39" s="412">
        <v>1382.0</v>
      </c>
      <c r="G39" s="412">
        <v>600.0</v>
      </c>
      <c r="H39" s="413">
        <v>380.0</v>
      </c>
      <c r="I39" s="413">
        <v>400.0</v>
      </c>
      <c r="J39" s="413">
        <v>-20.0</v>
      </c>
      <c r="K39" s="290">
        <v>28.94</v>
      </c>
      <c r="L39" s="54"/>
      <c r="M39" s="54"/>
    </row>
    <row r="40">
      <c r="A40" s="54"/>
      <c r="B40" s="430">
        <v>45345.0</v>
      </c>
      <c r="C40" s="409"/>
      <c r="D40" s="433"/>
      <c r="E40" s="412">
        <v>1472815.0</v>
      </c>
      <c r="F40" s="412">
        <v>393.0</v>
      </c>
      <c r="G40" s="412">
        <v>600.0</v>
      </c>
      <c r="H40" s="413">
        <v>140.0</v>
      </c>
      <c r="I40" s="413">
        <v>162.7</v>
      </c>
      <c r="J40" s="413">
        <v>-22.7</v>
      </c>
      <c r="K40" s="290">
        <v>41.4</v>
      </c>
      <c r="L40" s="54"/>
      <c r="M40" s="54"/>
    </row>
    <row r="41">
      <c r="A41" s="54"/>
      <c r="B41" s="430">
        <v>45346.0</v>
      </c>
      <c r="C41" s="409"/>
      <c r="D41" s="433"/>
      <c r="E41" s="412">
        <v>1473444.0</v>
      </c>
      <c r="F41" s="412">
        <v>629.0</v>
      </c>
      <c r="G41" s="412">
        <v>600.0</v>
      </c>
      <c r="H41" s="413">
        <v>160.0</v>
      </c>
      <c r="I41" s="413">
        <v>180.0</v>
      </c>
      <c r="J41" s="413">
        <v>-20.0</v>
      </c>
      <c r="K41" s="290">
        <v>28.62</v>
      </c>
      <c r="L41" s="54"/>
      <c r="M41" s="54"/>
    </row>
    <row r="42">
      <c r="A42" s="54"/>
      <c r="B42" s="430">
        <v>45347.0</v>
      </c>
      <c r="C42" s="409"/>
      <c r="D42" s="433"/>
      <c r="E42" s="412">
        <v>1474824.0</v>
      </c>
      <c r="F42" s="412">
        <v>1380.0</v>
      </c>
      <c r="G42" s="412">
        <v>600.0</v>
      </c>
      <c r="H42" s="413">
        <v>335.0</v>
      </c>
      <c r="I42" s="413">
        <v>350.0</v>
      </c>
      <c r="J42" s="413">
        <v>-15.0</v>
      </c>
      <c r="K42" s="290">
        <v>25.36</v>
      </c>
      <c r="L42" s="54"/>
      <c r="M42" s="54"/>
    </row>
    <row r="43">
      <c r="A43" s="54"/>
      <c r="B43" s="430">
        <v>45348.0</v>
      </c>
      <c r="C43" s="409"/>
      <c r="D43" s="433"/>
      <c r="E43" s="412">
        <v>1475027.0</v>
      </c>
      <c r="F43" s="412">
        <v>203.0</v>
      </c>
      <c r="G43" s="412">
        <v>600.0</v>
      </c>
      <c r="H43" s="413">
        <v>80.0</v>
      </c>
      <c r="I43" s="413">
        <v>105.23</v>
      </c>
      <c r="J43" s="413">
        <v>-25.23</v>
      </c>
      <c r="K43" s="290">
        <v>51.84</v>
      </c>
      <c r="L43" s="54"/>
      <c r="M43" s="54"/>
    </row>
    <row r="44">
      <c r="A44" s="54"/>
      <c r="B44" s="430">
        <v>45349.0</v>
      </c>
      <c r="C44" s="409"/>
      <c r="D44" s="433"/>
      <c r="E44" s="412">
        <v>1475655.0</v>
      </c>
      <c r="F44" s="412">
        <v>628.0</v>
      </c>
      <c r="G44" s="412">
        <v>600.0</v>
      </c>
      <c r="H44" s="413">
        <v>165.0</v>
      </c>
      <c r="I44" s="413">
        <v>188.15</v>
      </c>
      <c r="J44" s="413">
        <v>-23.15</v>
      </c>
      <c r="K44" s="290">
        <v>29.96</v>
      </c>
      <c r="L44" s="54"/>
      <c r="M44" s="54"/>
    </row>
    <row r="45">
      <c r="A45" s="54"/>
      <c r="B45" s="430">
        <v>45350.0</v>
      </c>
      <c r="C45" s="409"/>
      <c r="D45" s="433"/>
      <c r="E45" s="412">
        <v>1477034.0</v>
      </c>
      <c r="F45" s="412">
        <v>1379.0</v>
      </c>
      <c r="G45" s="412">
        <v>595.0</v>
      </c>
      <c r="H45" s="413">
        <v>340.0</v>
      </c>
      <c r="I45" s="413">
        <v>349.99</v>
      </c>
      <c r="J45" s="413">
        <v>-9.99</v>
      </c>
      <c r="K45" s="290">
        <v>25.38</v>
      </c>
      <c r="L45" s="54"/>
      <c r="M45" s="54"/>
    </row>
    <row r="46">
      <c r="A46" s="54"/>
      <c r="B46" s="430">
        <v>45351.0</v>
      </c>
      <c r="C46" s="409"/>
      <c r="D46" s="433"/>
      <c r="E46" s="412">
        <v>1477236.0</v>
      </c>
      <c r="F46" s="412">
        <v>202.0</v>
      </c>
      <c r="G46" s="412">
        <v>600.0</v>
      </c>
      <c r="H46" s="413">
        <v>75.0</v>
      </c>
      <c r="I46" s="413">
        <v>99.12</v>
      </c>
      <c r="J46" s="413">
        <v>-24.12</v>
      </c>
      <c r="K46" s="290">
        <v>49.07</v>
      </c>
      <c r="L46" s="54"/>
      <c r="M46" s="54"/>
    </row>
    <row r="47">
      <c r="A47" s="66"/>
      <c r="B47" s="67" t="s">
        <v>72</v>
      </c>
      <c r="J47" s="66"/>
      <c r="K47" s="66"/>
      <c r="L47" s="66"/>
      <c r="M47" s="66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</row>
    <row r="48">
      <c r="A48" s="54"/>
      <c r="B48" s="401">
        <v>45352.0</v>
      </c>
      <c r="C48" s="429"/>
      <c r="D48" s="432"/>
      <c r="E48" s="412">
        <v>1477864.0</v>
      </c>
      <c r="F48" s="405">
        <v>628.0</v>
      </c>
      <c r="G48" s="405">
        <v>600.0</v>
      </c>
      <c r="H48" s="406">
        <v>160.0</v>
      </c>
      <c r="I48" s="406">
        <v>186.24</v>
      </c>
      <c r="J48" s="406">
        <v>-26.24</v>
      </c>
      <c r="K48" s="434">
        <v>29.66</v>
      </c>
      <c r="L48" s="54"/>
      <c r="M48" s="54"/>
    </row>
    <row r="49">
      <c r="A49" s="54"/>
      <c r="B49" s="430">
        <v>45353.0</v>
      </c>
      <c r="C49" s="409"/>
      <c r="D49" s="433"/>
      <c r="E49" s="412">
        <v>1479244.0</v>
      </c>
      <c r="F49" s="412">
        <v>1380.0</v>
      </c>
      <c r="G49" s="412">
        <v>570.0</v>
      </c>
      <c r="H49" s="413">
        <v>285.0</v>
      </c>
      <c r="I49" s="413">
        <v>350.0</v>
      </c>
      <c r="J49" s="413">
        <v>-65.0</v>
      </c>
      <c r="K49" s="434">
        <v>25.36</v>
      </c>
      <c r="L49" s="54"/>
      <c r="M49" s="54"/>
    </row>
    <row r="50">
      <c r="A50" s="54"/>
      <c r="B50" s="430">
        <v>45354.0</v>
      </c>
      <c r="C50" s="409"/>
      <c r="D50" s="433"/>
      <c r="E50" s="412">
        <v>1479431.0</v>
      </c>
      <c r="F50" s="412">
        <v>187.0</v>
      </c>
      <c r="G50" s="412">
        <v>600.0</v>
      </c>
      <c r="H50" s="413">
        <v>90.0</v>
      </c>
      <c r="I50" s="413">
        <v>119.79</v>
      </c>
      <c r="J50" s="413">
        <v>-29.79</v>
      </c>
      <c r="K50" s="434">
        <v>64.06</v>
      </c>
      <c r="L50" s="54"/>
      <c r="M50" s="74" t="s">
        <v>73</v>
      </c>
      <c r="N50" s="75"/>
      <c r="O50" s="76"/>
    </row>
    <row r="51">
      <c r="A51" s="54"/>
      <c r="B51" s="430">
        <v>45355.0</v>
      </c>
      <c r="C51" s="409"/>
      <c r="D51" s="433"/>
      <c r="E51" s="412">
        <v>1480379.0</v>
      </c>
      <c r="F51" s="412">
        <v>948.0</v>
      </c>
      <c r="G51" s="412">
        <v>600.0</v>
      </c>
      <c r="H51" s="413">
        <v>200.0</v>
      </c>
      <c r="I51" s="413">
        <v>197.59</v>
      </c>
      <c r="J51" s="413">
        <v>2.41</v>
      </c>
      <c r="K51" s="434">
        <v>20.84</v>
      </c>
      <c r="L51" s="54"/>
      <c r="M51" s="77" t="s">
        <v>70</v>
      </c>
      <c r="N51" s="78" t="s">
        <v>71</v>
      </c>
      <c r="O51" s="78" t="s">
        <v>27</v>
      </c>
    </row>
    <row r="52">
      <c r="A52" s="54"/>
      <c r="B52" s="430">
        <v>45356.0</v>
      </c>
      <c r="C52" s="409"/>
      <c r="D52" s="433"/>
      <c r="E52" s="412">
        <v>1481448.0</v>
      </c>
      <c r="F52" s="412">
        <v>1069.0</v>
      </c>
      <c r="G52" s="412">
        <v>570.0</v>
      </c>
      <c r="H52" s="413">
        <v>330.0</v>
      </c>
      <c r="I52" s="413">
        <v>350.01</v>
      </c>
      <c r="J52" s="413">
        <v>-20.01</v>
      </c>
      <c r="K52" s="434">
        <v>32.74</v>
      </c>
      <c r="L52" s="54"/>
      <c r="M52" s="79">
        <f>SUM(F48:F72)</f>
        <v>19974</v>
      </c>
      <c r="N52" s="80">
        <f>SUM(I48:I72)</f>
        <v>5744.79</v>
      </c>
      <c r="O52" s="81">
        <f>N52/M52*100</f>
        <v>28.76133974</v>
      </c>
    </row>
    <row r="53">
      <c r="A53" s="54"/>
      <c r="B53" s="430">
        <v>45357.0</v>
      </c>
      <c r="C53" s="409"/>
      <c r="D53" s="433"/>
      <c r="E53" s="412">
        <v>1481636.0</v>
      </c>
      <c r="F53" s="412">
        <v>188.0</v>
      </c>
      <c r="G53" s="412">
        <v>600.0</v>
      </c>
      <c r="H53" s="413">
        <v>90.0</v>
      </c>
      <c r="I53" s="413">
        <v>118.57</v>
      </c>
      <c r="J53" s="413">
        <v>-28.57</v>
      </c>
      <c r="K53" s="434">
        <v>63.07</v>
      </c>
      <c r="L53" s="54"/>
      <c r="M53" s="54"/>
    </row>
    <row r="54">
      <c r="A54" s="54"/>
      <c r="B54" s="430">
        <v>45358.0</v>
      </c>
      <c r="C54" s="409"/>
      <c r="D54" s="433"/>
      <c r="E54" s="412">
        <v>1482264.0</v>
      </c>
      <c r="F54" s="412">
        <v>628.0</v>
      </c>
      <c r="G54" s="412">
        <v>600.0</v>
      </c>
      <c r="H54" s="413">
        <v>160.0</v>
      </c>
      <c r="I54" s="413">
        <v>178.62</v>
      </c>
      <c r="J54" s="413">
        <v>-18.62</v>
      </c>
      <c r="K54" s="434">
        <v>28.44</v>
      </c>
      <c r="L54" s="54"/>
      <c r="M54" s="54"/>
    </row>
    <row r="55">
      <c r="A55" s="54"/>
      <c r="B55" s="430">
        <v>45359.0</v>
      </c>
      <c r="C55" s="409"/>
      <c r="D55" s="433"/>
      <c r="E55" s="412">
        <v>1483643.0</v>
      </c>
      <c r="F55" s="412">
        <v>1379.0</v>
      </c>
      <c r="G55" s="412">
        <v>570.0</v>
      </c>
      <c r="H55" s="413">
        <v>330.0</v>
      </c>
      <c r="I55" s="413">
        <v>350.0</v>
      </c>
      <c r="J55" s="413">
        <v>-20.0</v>
      </c>
      <c r="K55" s="434">
        <v>25.38</v>
      </c>
      <c r="L55" s="54"/>
      <c r="M55" s="54"/>
    </row>
    <row r="56">
      <c r="A56" s="54"/>
      <c r="B56" s="430">
        <v>45360.0</v>
      </c>
      <c r="C56" s="409"/>
      <c r="D56" s="433"/>
      <c r="E56" s="412">
        <v>1483841.0</v>
      </c>
      <c r="F56" s="412">
        <v>198.0</v>
      </c>
      <c r="G56" s="412">
        <v>600.0</v>
      </c>
      <c r="H56" s="413">
        <v>110.0</v>
      </c>
      <c r="I56" s="413">
        <v>128.95</v>
      </c>
      <c r="J56" s="413">
        <v>-18.95</v>
      </c>
      <c r="K56" s="434">
        <v>65.13</v>
      </c>
      <c r="L56" s="54"/>
      <c r="M56" s="54"/>
    </row>
    <row r="57">
      <c r="A57" s="54"/>
      <c r="B57" s="430">
        <v>45361.0</v>
      </c>
      <c r="C57" s="409"/>
      <c r="D57" s="433"/>
      <c r="E57" s="412">
        <v>1484469.0</v>
      </c>
      <c r="F57" s="412">
        <v>628.0</v>
      </c>
      <c r="G57" s="412">
        <v>600.0</v>
      </c>
      <c r="H57" s="413">
        <v>160.0</v>
      </c>
      <c r="I57" s="413">
        <v>181.16</v>
      </c>
      <c r="J57" s="413">
        <v>-21.16</v>
      </c>
      <c r="K57" s="434">
        <v>28.85</v>
      </c>
      <c r="L57" s="54"/>
      <c r="M57" s="54"/>
    </row>
    <row r="58">
      <c r="A58" s="54"/>
      <c r="B58" s="430">
        <v>45363.0</v>
      </c>
      <c r="C58" s="409"/>
      <c r="D58" s="433"/>
      <c r="E58" s="412">
        <v>1485847.0</v>
      </c>
      <c r="F58" s="412">
        <v>1378.0</v>
      </c>
      <c r="G58" s="412">
        <v>560.0</v>
      </c>
      <c r="H58" s="413">
        <v>330.0</v>
      </c>
      <c r="I58" s="413">
        <v>350.0</v>
      </c>
      <c r="J58" s="413">
        <v>-20.0</v>
      </c>
      <c r="K58" s="434">
        <v>25.4</v>
      </c>
      <c r="L58" s="54"/>
      <c r="M58" s="54"/>
    </row>
    <row r="59">
      <c r="A59" s="54"/>
      <c r="B59" s="430">
        <v>45365.0</v>
      </c>
      <c r="C59" s="409"/>
      <c r="D59" s="433"/>
      <c r="E59" s="412">
        <v>1486704.0</v>
      </c>
      <c r="F59" s="412">
        <v>857.0</v>
      </c>
      <c r="G59" s="412">
        <v>600.0</v>
      </c>
      <c r="H59" s="413">
        <v>290.0</v>
      </c>
      <c r="I59" s="413">
        <v>332.55</v>
      </c>
      <c r="J59" s="413">
        <v>-42.55</v>
      </c>
      <c r="K59" s="434">
        <v>38.8</v>
      </c>
      <c r="L59" s="54"/>
      <c r="M59" s="54"/>
    </row>
    <row r="60">
      <c r="A60" s="54"/>
      <c r="B60" s="430">
        <v>45366.0</v>
      </c>
      <c r="C60" s="409"/>
      <c r="D60" s="433"/>
      <c r="E60" s="412">
        <v>1488080.0</v>
      </c>
      <c r="F60" s="412">
        <v>1376.0</v>
      </c>
      <c r="G60" s="412">
        <v>460.0</v>
      </c>
      <c r="H60" s="413">
        <v>240.0</v>
      </c>
      <c r="I60" s="413">
        <v>250.0</v>
      </c>
      <c r="J60" s="413">
        <v>-10.0</v>
      </c>
      <c r="K60" s="434">
        <v>18.17</v>
      </c>
      <c r="L60" s="54"/>
      <c r="M60" s="54"/>
    </row>
    <row r="61">
      <c r="A61" s="54"/>
      <c r="B61" s="430">
        <v>45370.0</v>
      </c>
      <c r="C61" s="409"/>
      <c r="D61" s="433"/>
      <c r="E61" s="412">
        <v>1488330.0</v>
      </c>
      <c r="F61" s="412">
        <v>250.0</v>
      </c>
      <c r="G61" s="412">
        <v>600.0</v>
      </c>
      <c r="H61" s="413">
        <v>205.0</v>
      </c>
      <c r="I61" s="413">
        <v>232.74</v>
      </c>
      <c r="J61" s="413">
        <v>-27.74</v>
      </c>
      <c r="K61" s="434">
        <v>93.1</v>
      </c>
      <c r="L61" s="54"/>
      <c r="M61" s="54"/>
    </row>
    <row r="62">
      <c r="A62" s="54"/>
      <c r="B62" s="430">
        <v>45371.0</v>
      </c>
      <c r="C62" s="409"/>
      <c r="D62" s="433"/>
      <c r="E62" s="412">
        <v>1488960.0</v>
      </c>
      <c r="F62" s="412">
        <v>630.0</v>
      </c>
      <c r="G62" s="412">
        <v>600.0</v>
      </c>
      <c r="H62" s="413">
        <v>155.0</v>
      </c>
      <c r="I62" s="413">
        <v>150.0</v>
      </c>
      <c r="J62" s="413">
        <v>5.0</v>
      </c>
      <c r="K62" s="434">
        <v>23.81</v>
      </c>
      <c r="L62" s="54"/>
      <c r="M62" s="54"/>
    </row>
    <row r="63">
      <c r="A63" s="54"/>
      <c r="B63" s="430">
        <v>45372.0</v>
      </c>
      <c r="C63" s="409"/>
      <c r="D63" s="433"/>
      <c r="E63" s="412">
        <v>1489937.0</v>
      </c>
      <c r="F63" s="412">
        <v>977.0</v>
      </c>
      <c r="G63" s="412">
        <v>520.0</v>
      </c>
      <c r="H63" s="413">
        <v>195.0</v>
      </c>
      <c r="I63" s="413">
        <v>200.0</v>
      </c>
      <c r="J63" s="413">
        <v>-5.0</v>
      </c>
      <c r="K63" s="434">
        <v>20.47</v>
      </c>
      <c r="L63" s="54"/>
      <c r="M63" s="54"/>
    </row>
    <row r="64">
      <c r="A64" s="54"/>
      <c r="B64" s="430">
        <v>45373.0</v>
      </c>
      <c r="C64" s="409"/>
      <c r="D64" s="433"/>
      <c r="E64" s="412">
        <v>1490591.0</v>
      </c>
      <c r="F64" s="412">
        <v>654.0</v>
      </c>
      <c r="G64" s="412">
        <v>600.0</v>
      </c>
      <c r="H64" s="413">
        <v>250.0</v>
      </c>
      <c r="I64" s="413">
        <v>262.83</v>
      </c>
      <c r="J64" s="413">
        <v>-12.83</v>
      </c>
      <c r="K64" s="434">
        <v>40.19</v>
      </c>
      <c r="L64" s="54"/>
      <c r="M64" s="54"/>
    </row>
    <row r="65">
      <c r="A65" s="54"/>
      <c r="B65" s="430">
        <v>45374.0</v>
      </c>
      <c r="C65" s="409"/>
      <c r="D65" s="433"/>
      <c r="E65" s="412">
        <v>1491221.0</v>
      </c>
      <c r="F65" s="412">
        <v>630.0</v>
      </c>
      <c r="G65" s="412">
        <v>580.0</v>
      </c>
      <c r="H65" s="413">
        <v>160.0</v>
      </c>
      <c r="I65" s="413">
        <v>150.0</v>
      </c>
      <c r="J65" s="413">
        <v>10.0</v>
      </c>
      <c r="K65" s="434">
        <v>23.81</v>
      </c>
      <c r="L65" s="54"/>
      <c r="M65" s="54"/>
    </row>
    <row r="66">
      <c r="A66" s="54"/>
      <c r="B66" s="430">
        <v>45375.0</v>
      </c>
      <c r="C66" s="409"/>
      <c r="D66" s="433"/>
      <c r="E66" s="412">
        <v>1492209.0</v>
      </c>
      <c r="F66" s="412">
        <v>988.0</v>
      </c>
      <c r="G66" s="412">
        <v>580.0</v>
      </c>
      <c r="H66" s="413">
        <v>270.0</v>
      </c>
      <c r="I66" s="413">
        <v>270.0</v>
      </c>
      <c r="J66" s="413">
        <v>0.0</v>
      </c>
      <c r="K66" s="434">
        <v>27.33</v>
      </c>
      <c r="L66" s="54"/>
      <c r="M66" s="54"/>
    </row>
    <row r="67">
      <c r="A67" s="54"/>
      <c r="B67" s="430">
        <v>45376.0</v>
      </c>
      <c r="C67" s="409"/>
      <c r="D67" s="433"/>
      <c r="E67" s="412">
        <v>1492814.0</v>
      </c>
      <c r="F67" s="412">
        <v>605.0</v>
      </c>
      <c r="G67" s="412">
        <v>600.0</v>
      </c>
      <c r="H67" s="413">
        <v>200.0</v>
      </c>
      <c r="I67" s="413">
        <v>216.19</v>
      </c>
      <c r="J67" s="413">
        <v>-16.19</v>
      </c>
      <c r="K67" s="434">
        <v>35.73</v>
      </c>
      <c r="L67" s="54"/>
      <c r="M67" s="54"/>
    </row>
    <row r="68">
      <c r="A68" s="54"/>
      <c r="B68" s="430">
        <v>45377.0</v>
      </c>
      <c r="C68" s="409"/>
      <c r="D68" s="433"/>
      <c r="E68" s="412">
        <v>1493442.0</v>
      </c>
      <c r="F68" s="412">
        <v>628.0</v>
      </c>
      <c r="G68" s="412">
        <v>600.0</v>
      </c>
      <c r="H68" s="413">
        <v>145.0</v>
      </c>
      <c r="I68" s="413">
        <v>167.85</v>
      </c>
      <c r="J68" s="413">
        <v>-22.85</v>
      </c>
      <c r="K68" s="434">
        <v>26.73</v>
      </c>
      <c r="L68" s="54"/>
      <c r="M68" s="54"/>
    </row>
    <row r="69">
      <c r="A69" s="54"/>
      <c r="B69" s="430">
        <v>45378.0</v>
      </c>
      <c r="C69" s="409"/>
      <c r="D69" s="433"/>
      <c r="E69" s="412">
        <v>1494430.0</v>
      </c>
      <c r="F69" s="412">
        <v>988.0</v>
      </c>
      <c r="G69" s="412">
        <v>600.0</v>
      </c>
      <c r="H69" s="413">
        <v>250.0</v>
      </c>
      <c r="I69" s="413">
        <v>264.47</v>
      </c>
      <c r="J69" s="413">
        <v>-14.47</v>
      </c>
      <c r="K69" s="434">
        <v>26.77</v>
      </c>
      <c r="L69" s="54"/>
      <c r="M69" s="54"/>
    </row>
    <row r="70">
      <c r="A70" s="54"/>
      <c r="B70" s="430">
        <v>45380.0</v>
      </c>
      <c r="C70" s="409"/>
      <c r="D70" s="433"/>
      <c r="E70" s="412">
        <v>1495604.0</v>
      </c>
      <c r="F70" s="412">
        <v>1174.0</v>
      </c>
      <c r="G70" s="412">
        <v>600.0</v>
      </c>
      <c r="H70" s="413">
        <v>300.0</v>
      </c>
      <c r="I70" s="413">
        <v>324.83</v>
      </c>
      <c r="J70" s="413">
        <v>-24.83</v>
      </c>
      <c r="K70" s="434">
        <v>27.67</v>
      </c>
      <c r="L70" s="54"/>
      <c r="M70" s="54"/>
    </row>
    <row r="71">
      <c r="A71" s="54"/>
      <c r="B71" s="430">
        <v>45381.0</v>
      </c>
      <c r="C71" s="409"/>
      <c r="D71" s="433"/>
      <c r="E71" s="412">
        <v>1496231.0</v>
      </c>
      <c r="F71" s="412">
        <v>627.0</v>
      </c>
      <c r="G71" s="412">
        <v>600.0</v>
      </c>
      <c r="H71" s="413">
        <v>140.0</v>
      </c>
      <c r="I71" s="413">
        <v>162.72</v>
      </c>
      <c r="J71" s="413">
        <v>-22.72</v>
      </c>
      <c r="K71" s="434">
        <v>25.95</v>
      </c>
      <c r="L71" s="54"/>
      <c r="M71" s="54"/>
    </row>
    <row r="72">
      <c r="A72" s="54"/>
      <c r="B72" s="430">
        <v>45382.0</v>
      </c>
      <c r="C72" s="409"/>
      <c r="D72" s="433"/>
      <c r="E72" s="412">
        <v>1497210.0</v>
      </c>
      <c r="F72" s="412">
        <v>979.0</v>
      </c>
      <c r="G72" s="412">
        <v>600.0</v>
      </c>
      <c r="H72" s="413">
        <v>230.0</v>
      </c>
      <c r="I72" s="413">
        <v>249.68</v>
      </c>
      <c r="J72" s="413">
        <v>-19.68</v>
      </c>
      <c r="K72" s="434">
        <v>25.5</v>
      </c>
      <c r="L72" s="54"/>
      <c r="M72" s="54"/>
    </row>
    <row r="73">
      <c r="A73" s="66"/>
      <c r="B73" s="67" t="s">
        <v>74</v>
      </c>
      <c r="J73" s="66"/>
      <c r="K73" s="66"/>
      <c r="L73" s="66"/>
      <c r="M73" s="66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</row>
    <row r="74">
      <c r="A74" s="54"/>
      <c r="B74" s="430">
        <v>45383.0</v>
      </c>
      <c r="C74" s="409"/>
      <c r="D74" s="432"/>
      <c r="E74" s="412">
        <v>1497799.0</v>
      </c>
      <c r="F74" s="405">
        <v>589.0</v>
      </c>
      <c r="G74" s="405">
        <v>600.0</v>
      </c>
      <c r="H74" s="406">
        <v>135.0</v>
      </c>
      <c r="I74" s="406">
        <v>154.87</v>
      </c>
      <c r="J74" s="406">
        <v>-19.87</v>
      </c>
      <c r="K74" s="290">
        <v>26.29</v>
      </c>
      <c r="L74" s="54"/>
      <c r="M74" s="54"/>
    </row>
    <row r="75">
      <c r="A75" s="54"/>
      <c r="B75" s="430">
        <v>45384.0</v>
      </c>
      <c r="C75" s="409"/>
      <c r="D75" s="433"/>
      <c r="E75" s="412">
        <v>1498425.0</v>
      </c>
      <c r="F75" s="412">
        <v>626.0</v>
      </c>
      <c r="G75" s="412">
        <v>600.0</v>
      </c>
      <c r="H75" s="413">
        <v>155.0</v>
      </c>
      <c r="I75" s="413">
        <v>174.97</v>
      </c>
      <c r="J75" s="413">
        <v>-19.97</v>
      </c>
      <c r="K75" s="290">
        <v>27.95</v>
      </c>
      <c r="L75" s="54"/>
      <c r="M75" s="54"/>
    </row>
    <row r="76">
      <c r="A76" s="54"/>
      <c r="B76" s="430">
        <v>45385.0</v>
      </c>
      <c r="C76" s="409"/>
      <c r="D76" s="433"/>
      <c r="E76" s="412">
        <v>1499404.0</v>
      </c>
      <c r="F76" s="412">
        <v>979.0</v>
      </c>
      <c r="G76" s="412">
        <v>600.0</v>
      </c>
      <c r="H76" s="413">
        <v>230.0</v>
      </c>
      <c r="I76" s="413">
        <v>250.0</v>
      </c>
      <c r="J76" s="413">
        <v>-20.0</v>
      </c>
      <c r="K76" s="290">
        <v>25.54</v>
      </c>
      <c r="L76" s="54"/>
      <c r="M76" s="435" t="str">
        <f>"тотал"&amp;" "&amp;B73</f>
        <v>тотал АПРЕЛЬ</v>
      </c>
      <c r="N76" s="75"/>
      <c r="O76" s="76"/>
    </row>
    <row r="77">
      <c r="A77" s="54"/>
      <c r="B77" s="430">
        <v>45386.0</v>
      </c>
      <c r="C77" s="409"/>
      <c r="D77" s="433"/>
      <c r="E77" s="412">
        <v>1499885.0</v>
      </c>
      <c r="F77" s="412">
        <v>481.0</v>
      </c>
      <c r="G77" s="412">
        <v>600.0</v>
      </c>
      <c r="H77" s="413">
        <v>120.0</v>
      </c>
      <c r="I77" s="413">
        <v>120.0</v>
      </c>
      <c r="J77" s="413">
        <v>0.0</v>
      </c>
      <c r="K77" s="290">
        <v>24.95</v>
      </c>
      <c r="L77" s="54"/>
      <c r="M77" s="77" t="s">
        <v>70</v>
      </c>
      <c r="N77" s="78" t="s">
        <v>71</v>
      </c>
      <c r="O77" s="78" t="s">
        <v>27</v>
      </c>
    </row>
    <row r="78">
      <c r="A78" s="54"/>
      <c r="B78" s="430">
        <v>45387.0</v>
      </c>
      <c r="C78" s="409"/>
      <c r="D78" s="433"/>
      <c r="E78" s="412">
        <v>1500654.0</v>
      </c>
      <c r="F78" s="412">
        <v>769.0</v>
      </c>
      <c r="G78" s="412">
        <v>600.0</v>
      </c>
      <c r="H78" s="413">
        <v>200.0</v>
      </c>
      <c r="I78" s="413">
        <v>200.0</v>
      </c>
      <c r="J78" s="413">
        <v>0.0</v>
      </c>
      <c r="K78" s="290">
        <v>26.01</v>
      </c>
      <c r="L78" s="54"/>
      <c r="M78" s="79">
        <f>SUM(F74:F93)</f>
        <v>15862</v>
      </c>
      <c r="N78" s="80">
        <f>SUM(I74:I93)</f>
        <v>4159.81</v>
      </c>
      <c r="O78" s="81">
        <f>N78/M78*100</f>
        <v>26.22500315</v>
      </c>
    </row>
    <row r="79">
      <c r="A79" s="54"/>
      <c r="B79" s="430">
        <v>45388.0</v>
      </c>
      <c r="C79" s="409"/>
      <c r="D79" s="433"/>
      <c r="E79" s="412">
        <v>1501641.0</v>
      </c>
      <c r="F79" s="412">
        <v>987.0</v>
      </c>
      <c r="G79" s="412">
        <v>590.0</v>
      </c>
      <c r="H79" s="413">
        <v>260.0</v>
      </c>
      <c r="I79" s="413">
        <v>250.0</v>
      </c>
      <c r="J79" s="413">
        <v>10.0</v>
      </c>
      <c r="K79" s="290">
        <v>25.33</v>
      </c>
      <c r="L79" s="54"/>
      <c r="M79" s="54"/>
    </row>
    <row r="80">
      <c r="A80" s="54"/>
      <c r="B80" s="430">
        <v>45389.0</v>
      </c>
      <c r="C80" s="409"/>
      <c r="D80" s="433"/>
      <c r="E80" s="412">
        <v>1502265.0</v>
      </c>
      <c r="F80" s="412">
        <v>624.0</v>
      </c>
      <c r="G80" s="412">
        <v>600.0</v>
      </c>
      <c r="H80" s="413">
        <v>180.0</v>
      </c>
      <c r="I80" s="413">
        <v>194.51</v>
      </c>
      <c r="J80" s="413">
        <v>-14.51</v>
      </c>
      <c r="K80" s="290">
        <v>31.17</v>
      </c>
      <c r="L80" s="54"/>
      <c r="M80" s="54"/>
    </row>
    <row r="81">
      <c r="A81" s="54"/>
      <c r="B81" s="430">
        <v>45390.0</v>
      </c>
      <c r="C81" s="409"/>
      <c r="D81" s="433"/>
      <c r="E81" s="412">
        <v>1502920.0</v>
      </c>
      <c r="F81" s="412">
        <v>655.0</v>
      </c>
      <c r="G81" s="412">
        <v>600.0</v>
      </c>
      <c r="H81" s="413">
        <v>150.0</v>
      </c>
      <c r="I81" s="413">
        <v>171.76</v>
      </c>
      <c r="J81" s="413">
        <v>-21.76</v>
      </c>
      <c r="K81" s="290">
        <v>26.22</v>
      </c>
      <c r="L81" s="54"/>
      <c r="M81" s="54"/>
    </row>
    <row r="82">
      <c r="A82" s="54"/>
      <c r="B82" s="430">
        <v>45391.0</v>
      </c>
      <c r="C82" s="409"/>
      <c r="D82" s="433"/>
      <c r="E82" s="412">
        <v>1503895.0</v>
      </c>
      <c r="F82" s="412">
        <v>975.0</v>
      </c>
      <c r="G82" s="412">
        <v>600.0</v>
      </c>
      <c r="H82" s="413">
        <v>225.0</v>
      </c>
      <c r="I82" s="413">
        <v>244.06</v>
      </c>
      <c r="J82" s="413">
        <v>-19.06</v>
      </c>
      <c r="K82" s="290">
        <v>25.03</v>
      </c>
      <c r="L82" s="54"/>
      <c r="M82" s="54"/>
    </row>
    <row r="83">
      <c r="A83" s="54"/>
      <c r="B83" s="430">
        <v>45392.0</v>
      </c>
      <c r="C83" s="409"/>
      <c r="D83" s="433"/>
      <c r="E83" s="412">
        <v>1504493.0</v>
      </c>
      <c r="F83" s="412">
        <v>598.0</v>
      </c>
      <c r="G83" s="412">
        <v>600.0</v>
      </c>
      <c r="H83" s="413">
        <v>135.0</v>
      </c>
      <c r="I83" s="413">
        <v>152.89</v>
      </c>
      <c r="J83" s="413">
        <v>-17.89</v>
      </c>
      <c r="K83" s="290">
        <v>25.57</v>
      </c>
      <c r="L83" s="54"/>
      <c r="M83" s="377"/>
    </row>
    <row r="84">
      <c r="A84" s="54"/>
      <c r="B84" s="430">
        <v>45393.0</v>
      </c>
      <c r="C84" s="409"/>
      <c r="D84" s="433"/>
      <c r="E84" s="412">
        <v>1505151.0</v>
      </c>
      <c r="F84" s="412">
        <v>658.0</v>
      </c>
      <c r="G84" s="412">
        <v>600.0</v>
      </c>
      <c r="H84" s="413">
        <v>145.0</v>
      </c>
      <c r="I84" s="413">
        <v>169.76</v>
      </c>
      <c r="J84" s="413">
        <v>-24.76</v>
      </c>
      <c r="K84" s="290">
        <v>25.8</v>
      </c>
      <c r="L84" s="54"/>
      <c r="M84" s="54"/>
    </row>
    <row r="85">
      <c r="A85" s="54"/>
      <c r="B85" s="430">
        <v>45394.0</v>
      </c>
      <c r="C85" s="409"/>
      <c r="D85" s="433"/>
      <c r="E85" s="412">
        <v>1506126.0</v>
      </c>
      <c r="F85" s="412">
        <v>975.0</v>
      </c>
      <c r="G85" s="412">
        <v>600.0</v>
      </c>
      <c r="H85" s="413">
        <v>230.0</v>
      </c>
      <c r="I85" s="413">
        <v>250.0</v>
      </c>
      <c r="J85" s="413">
        <v>-20.0</v>
      </c>
      <c r="K85" s="290">
        <v>25.64</v>
      </c>
      <c r="L85" s="54"/>
      <c r="M85" s="60"/>
    </row>
    <row r="86">
      <c r="A86" s="54"/>
      <c r="B86" s="430">
        <v>45395.0</v>
      </c>
      <c r="C86" s="409"/>
      <c r="D86" s="433"/>
      <c r="E86" s="412">
        <v>1506774.0</v>
      </c>
      <c r="F86" s="412">
        <v>648.0</v>
      </c>
      <c r="G86" s="412">
        <v>600.0</v>
      </c>
      <c r="H86" s="413">
        <v>160.0</v>
      </c>
      <c r="I86" s="413">
        <v>181.55</v>
      </c>
      <c r="J86" s="413">
        <v>-21.55</v>
      </c>
      <c r="K86" s="290">
        <v>28.02</v>
      </c>
      <c r="L86" s="54"/>
      <c r="M86" s="54"/>
    </row>
    <row r="87">
      <c r="A87" s="54"/>
      <c r="B87" s="430">
        <v>45396.0</v>
      </c>
      <c r="C87" s="409"/>
      <c r="D87" s="433"/>
      <c r="E87" s="412">
        <v>1507430.0</v>
      </c>
      <c r="F87" s="412">
        <v>656.0</v>
      </c>
      <c r="G87" s="412">
        <v>600.0</v>
      </c>
      <c r="H87" s="413">
        <v>150.0</v>
      </c>
      <c r="I87" s="413">
        <v>169.25</v>
      </c>
      <c r="J87" s="413">
        <v>-19.25</v>
      </c>
      <c r="K87" s="290">
        <v>25.8</v>
      </c>
      <c r="L87" s="54"/>
      <c r="M87" s="54"/>
    </row>
    <row r="88">
      <c r="A88" s="54"/>
      <c r="B88" s="430">
        <v>45397.0</v>
      </c>
      <c r="C88" s="409"/>
      <c r="D88" s="433"/>
      <c r="E88" s="412">
        <v>1508424.0</v>
      </c>
      <c r="F88" s="412">
        <v>994.0</v>
      </c>
      <c r="G88" s="412">
        <v>600.0</v>
      </c>
      <c r="H88" s="413">
        <v>245.0</v>
      </c>
      <c r="I88" s="413">
        <v>250.0</v>
      </c>
      <c r="J88" s="413">
        <v>-5.0</v>
      </c>
      <c r="K88" s="290">
        <v>25.15</v>
      </c>
      <c r="L88" s="54"/>
      <c r="M88" s="54"/>
    </row>
    <row r="89">
      <c r="A89" s="54"/>
      <c r="B89" s="430">
        <v>45401.0</v>
      </c>
      <c r="C89" s="409"/>
      <c r="D89" s="433"/>
      <c r="E89" s="412">
        <v>1509199.0</v>
      </c>
      <c r="F89" s="412">
        <v>775.0</v>
      </c>
      <c r="G89" s="412">
        <v>600.0</v>
      </c>
      <c r="H89" s="413">
        <v>200.0</v>
      </c>
      <c r="I89" s="413">
        <v>220.44</v>
      </c>
      <c r="J89" s="413">
        <v>-20.44</v>
      </c>
      <c r="K89" s="290">
        <v>28.44</v>
      </c>
      <c r="L89" s="54"/>
      <c r="M89" s="54"/>
    </row>
    <row r="90">
      <c r="A90" s="54"/>
      <c r="B90" s="430">
        <v>45402.0</v>
      </c>
      <c r="C90" s="409"/>
      <c r="D90" s="433"/>
      <c r="E90" s="412">
        <v>1509854.0</v>
      </c>
      <c r="F90" s="412">
        <v>655.0</v>
      </c>
      <c r="G90" s="412">
        <v>600.0</v>
      </c>
      <c r="H90" s="413">
        <v>140.0</v>
      </c>
      <c r="I90" s="413">
        <v>150.0</v>
      </c>
      <c r="J90" s="413">
        <v>-10.0</v>
      </c>
      <c r="K90" s="290">
        <v>22.9</v>
      </c>
      <c r="L90" s="54"/>
      <c r="M90" s="54"/>
    </row>
    <row r="91">
      <c r="A91" s="54"/>
      <c r="B91" s="430">
        <v>45403.0</v>
      </c>
      <c r="C91" s="409"/>
      <c r="D91" s="433"/>
      <c r="E91" s="412">
        <v>1510833.0</v>
      </c>
      <c r="F91" s="412">
        <v>979.0</v>
      </c>
      <c r="G91" s="412">
        <v>600.0</v>
      </c>
      <c r="H91" s="413">
        <v>250.0</v>
      </c>
      <c r="I91" s="413">
        <v>270.0</v>
      </c>
      <c r="J91" s="413">
        <v>-20.0</v>
      </c>
      <c r="K91" s="290">
        <v>27.58</v>
      </c>
      <c r="L91" s="54"/>
      <c r="M91" s="54"/>
    </row>
    <row r="92">
      <c r="A92" s="54"/>
      <c r="B92" s="430">
        <v>45404.0</v>
      </c>
      <c r="C92" s="409"/>
      <c r="D92" s="433"/>
      <c r="E92" s="412">
        <v>1511733.0</v>
      </c>
      <c r="F92" s="412">
        <v>900.0</v>
      </c>
      <c r="G92" s="412">
        <v>600.0</v>
      </c>
      <c r="H92" s="413">
        <v>220.0</v>
      </c>
      <c r="I92" s="413">
        <v>243.28</v>
      </c>
      <c r="J92" s="413">
        <v>-23.28</v>
      </c>
      <c r="K92" s="290">
        <v>27.03</v>
      </c>
      <c r="L92" s="54"/>
      <c r="M92" s="54"/>
    </row>
    <row r="93">
      <c r="A93" s="54"/>
      <c r="B93" s="430">
        <v>45406.0</v>
      </c>
      <c r="C93" s="409"/>
      <c r="D93" s="433"/>
      <c r="E93" s="412">
        <v>1513072.0</v>
      </c>
      <c r="F93" s="412">
        <v>1339.0</v>
      </c>
      <c r="G93" s="412">
        <v>600.0</v>
      </c>
      <c r="H93" s="413">
        <v>320.0</v>
      </c>
      <c r="I93" s="413">
        <v>342.47</v>
      </c>
      <c r="J93" s="413">
        <v>-22.47</v>
      </c>
      <c r="K93" s="290">
        <v>25.58</v>
      </c>
      <c r="L93" s="54"/>
      <c r="M93" s="54"/>
    </row>
    <row r="94">
      <c r="A94" s="66"/>
      <c r="B94" s="67" t="s">
        <v>75</v>
      </c>
      <c r="J94" s="66"/>
      <c r="K94" s="66"/>
      <c r="L94" s="66"/>
      <c r="M94" s="66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</row>
    <row r="95">
      <c r="A95" s="54"/>
      <c r="B95" s="436" t="s">
        <v>403</v>
      </c>
      <c r="C95" s="410"/>
      <c r="D95" s="432"/>
      <c r="E95" s="412">
        <v>1513867.0</v>
      </c>
      <c r="F95" s="412">
        <v>795.0</v>
      </c>
      <c r="G95" s="405">
        <v>600.0</v>
      </c>
      <c r="H95" s="406">
        <v>180.0</v>
      </c>
      <c r="I95" s="406">
        <v>200.0</v>
      </c>
      <c r="J95" s="406">
        <v>-20.0</v>
      </c>
      <c r="K95" s="290">
        <v>25.16</v>
      </c>
      <c r="L95" s="54"/>
      <c r="M95" s="54"/>
    </row>
    <row r="96">
      <c r="A96" s="54"/>
      <c r="B96" s="436" t="s">
        <v>404</v>
      </c>
      <c r="C96" s="410"/>
      <c r="D96" s="433"/>
      <c r="E96" s="412">
        <v>1514522.0</v>
      </c>
      <c r="F96" s="412">
        <v>655.0</v>
      </c>
      <c r="G96" s="412">
        <v>600.0</v>
      </c>
      <c r="H96" s="413">
        <v>150.0</v>
      </c>
      <c r="I96" s="413">
        <v>170.0</v>
      </c>
      <c r="J96" s="413">
        <v>-20.0</v>
      </c>
      <c r="K96" s="290">
        <v>25.95</v>
      </c>
      <c r="L96" s="54"/>
      <c r="M96" s="54"/>
    </row>
    <row r="97">
      <c r="A97" s="54"/>
      <c r="B97" s="436" t="s">
        <v>132</v>
      </c>
      <c r="C97" s="410"/>
      <c r="D97" s="433"/>
      <c r="E97" s="412">
        <v>1515507.0</v>
      </c>
      <c r="F97" s="412">
        <v>985.0</v>
      </c>
      <c r="G97" s="412">
        <v>600.0</v>
      </c>
      <c r="H97" s="413">
        <v>245.0</v>
      </c>
      <c r="I97" s="413">
        <v>261.45</v>
      </c>
      <c r="J97" s="413">
        <v>-16.45</v>
      </c>
      <c r="K97" s="290">
        <v>26.54</v>
      </c>
      <c r="L97" s="54"/>
      <c r="M97" s="435" t="str">
        <f>"тотал"&amp;" "&amp;B94</f>
        <v>тотал МАЙ</v>
      </c>
      <c r="N97" s="75"/>
      <c r="O97" s="76"/>
    </row>
    <row r="98">
      <c r="A98" s="54"/>
      <c r="B98" s="436" t="s">
        <v>133</v>
      </c>
      <c r="C98" s="410"/>
      <c r="D98" s="433"/>
      <c r="E98" s="412">
        <v>1516120.0</v>
      </c>
      <c r="F98" s="412">
        <v>613.0</v>
      </c>
      <c r="G98" s="412">
        <v>600.0</v>
      </c>
      <c r="H98" s="413">
        <v>150.0</v>
      </c>
      <c r="I98" s="413">
        <v>170.0</v>
      </c>
      <c r="J98" s="413">
        <v>-20.0</v>
      </c>
      <c r="K98" s="290">
        <v>27.73</v>
      </c>
      <c r="L98" s="54"/>
      <c r="M98" s="77" t="s">
        <v>70</v>
      </c>
      <c r="N98" s="78" t="s">
        <v>71</v>
      </c>
      <c r="O98" s="78" t="s">
        <v>27</v>
      </c>
    </row>
    <row r="99">
      <c r="A99" s="54"/>
      <c r="B99" s="436" t="s">
        <v>88</v>
      </c>
      <c r="C99" s="410"/>
      <c r="D99" s="433"/>
      <c r="E99" s="412">
        <v>1516777.0</v>
      </c>
      <c r="F99" s="412">
        <v>657.0</v>
      </c>
      <c r="G99" s="412">
        <v>600.0</v>
      </c>
      <c r="H99" s="413">
        <v>155.0</v>
      </c>
      <c r="I99" s="413">
        <v>160.0</v>
      </c>
      <c r="J99" s="413">
        <v>-5.0</v>
      </c>
      <c r="K99" s="290">
        <v>24.35</v>
      </c>
      <c r="L99" s="54"/>
      <c r="M99" s="79">
        <f>SUM(F95:F121)</f>
        <v>20991</v>
      </c>
      <c r="N99" s="80">
        <f>SUM(I95:I121)</f>
        <v>5474.74</v>
      </c>
      <c r="O99" s="81">
        <f>N99/M99*100</f>
        <v>26.08136821</v>
      </c>
    </row>
    <row r="100">
      <c r="A100" s="54"/>
      <c r="B100" s="436" t="s">
        <v>405</v>
      </c>
      <c r="C100" s="410"/>
      <c r="D100" s="433"/>
      <c r="E100" s="412">
        <v>1517762.0</v>
      </c>
      <c r="F100" s="412">
        <v>985.0</v>
      </c>
      <c r="G100" s="412">
        <v>600.0</v>
      </c>
      <c r="H100" s="413">
        <v>250.0</v>
      </c>
      <c r="I100" s="413">
        <v>264.16</v>
      </c>
      <c r="J100" s="413">
        <v>-14.16</v>
      </c>
      <c r="K100" s="290">
        <v>26.82</v>
      </c>
      <c r="L100" s="54"/>
      <c r="M100" s="54"/>
    </row>
    <row r="101">
      <c r="A101" s="54"/>
      <c r="B101" s="436" t="s">
        <v>135</v>
      </c>
      <c r="C101" s="410"/>
      <c r="D101" s="433"/>
      <c r="E101" s="412">
        <v>1518637.0</v>
      </c>
      <c r="F101" s="412">
        <v>875.0</v>
      </c>
      <c r="G101" s="412">
        <v>600.0</v>
      </c>
      <c r="H101" s="413">
        <v>220.0</v>
      </c>
      <c r="I101" s="413">
        <v>243.1</v>
      </c>
      <c r="J101" s="413">
        <v>-23.1</v>
      </c>
      <c r="K101" s="290">
        <v>27.78</v>
      </c>
      <c r="L101" s="54"/>
      <c r="M101" s="54"/>
    </row>
    <row r="102">
      <c r="A102" s="54"/>
      <c r="B102" s="436" t="s">
        <v>406</v>
      </c>
      <c r="C102" s="410"/>
      <c r="D102" s="433"/>
      <c r="E102" s="412">
        <v>1519297.0</v>
      </c>
      <c r="F102" s="412">
        <v>660.0</v>
      </c>
      <c r="G102" s="412">
        <v>600.0</v>
      </c>
      <c r="H102" s="413">
        <v>150.0</v>
      </c>
      <c r="I102" s="413">
        <v>170.0</v>
      </c>
      <c r="J102" s="413">
        <v>-20.0</v>
      </c>
      <c r="K102" s="290">
        <v>25.76</v>
      </c>
      <c r="L102" s="54"/>
      <c r="M102" s="54"/>
    </row>
    <row r="103">
      <c r="A103" s="54"/>
      <c r="B103" s="436" t="s">
        <v>283</v>
      </c>
      <c r="C103" s="410"/>
      <c r="D103" s="433"/>
      <c r="E103" s="412">
        <v>1520283.0</v>
      </c>
      <c r="F103" s="412">
        <v>986.0</v>
      </c>
      <c r="G103" s="412">
        <v>600.0</v>
      </c>
      <c r="H103" s="413">
        <v>235.0</v>
      </c>
      <c r="I103" s="413">
        <v>250.0</v>
      </c>
      <c r="J103" s="413">
        <v>-15.0</v>
      </c>
      <c r="K103" s="290">
        <v>25.35</v>
      </c>
      <c r="L103" s="54"/>
      <c r="M103" s="54"/>
    </row>
    <row r="104">
      <c r="A104" s="54"/>
      <c r="B104" s="436" t="s">
        <v>407</v>
      </c>
      <c r="C104" s="410"/>
      <c r="D104" s="433"/>
      <c r="E104" s="412">
        <v>1520893.0</v>
      </c>
      <c r="F104" s="412">
        <v>610.0</v>
      </c>
      <c r="G104" s="412">
        <v>600.0</v>
      </c>
      <c r="H104" s="413">
        <v>155.0</v>
      </c>
      <c r="I104" s="413">
        <v>173.93</v>
      </c>
      <c r="J104" s="413">
        <v>-18.93</v>
      </c>
      <c r="K104" s="290">
        <v>28.51</v>
      </c>
      <c r="L104" s="54"/>
      <c r="M104" s="54"/>
    </row>
    <row r="105">
      <c r="A105" s="54"/>
      <c r="B105" s="436" t="s">
        <v>408</v>
      </c>
      <c r="C105" s="410"/>
      <c r="D105" s="433"/>
      <c r="E105" s="412">
        <v>1521549.0</v>
      </c>
      <c r="F105" s="412">
        <v>656.0</v>
      </c>
      <c r="G105" s="412">
        <v>600.0</v>
      </c>
      <c r="H105" s="413">
        <v>145.0</v>
      </c>
      <c r="I105" s="413">
        <v>150.0</v>
      </c>
      <c r="J105" s="413">
        <v>-5.0</v>
      </c>
      <c r="K105" s="290">
        <v>22.87</v>
      </c>
      <c r="L105" s="54"/>
      <c r="M105" s="54"/>
    </row>
    <row r="106">
      <c r="A106" s="54"/>
      <c r="B106" s="436" t="s">
        <v>409</v>
      </c>
      <c r="C106" s="410"/>
      <c r="D106" s="433"/>
      <c r="E106" s="412">
        <v>1522533.0</v>
      </c>
      <c r="F106" s="412">
        <v>984.0</v>
      </c>
      <c r="G106" s="412">
        <v>600.0</v>
      </c>
      <c r="H106" s="413">
        <v>250.0</v>
      </c>
      <c r="I106" s="413">
        <v>250.0</v>
      </c>
      <c r="J106" s="413">
        <v>0.0</v>
      </c>
      <c r="K106" s="290">
        <v>25.41</v>
      </c>
      <c r="L106" s="54"/>
      <c r="M106" s="54"/>
    </row>
    <row r="107">
      <c r="A107" s="54"/>
      <c r="B107" s="436" t="s">
        <v>136</v>
      </c>
      <c r="C107" s="410"/>
      <c r="D107" s="433"/>
      <c r="E107" s="412">
        <v>1523143.0</v>
      </c>
      <c r="F107" s="412">
        <v>610.0</v>
      </c>
      <c r="G107" s="412">
        <v>600.0</v>
      </c>
      <c r="H107" s="413">
        <v>160.0</v>
      </c>
      <c r="I107" s="413">
        <v>170.0</v>
      </c>
      <c r="J107" s="413">
        <v>-10.0</v>
      </c>
      <c r="K107" s="290">
        <v>27.87</v>
      </c>
      <c r="L107" s="54"/>
      <c r="M107" s="54"/>
    </row>
    <row r="108">
      <c r="A108" s="54"/>
      <c r="B108" s="436" t="s">
        <v>137</v>
      </c>
      <c r="C108" s="410"/>
      <c r="D108" s="433"/>
      <c r="E108" s="412">
        <v>1523801.0</v>
      </c>
      <c r="F108" s="412">
        <v>658.0</v>
      </c>
      <c r="G108" s="412">
        <v>600.0</v>
      </c>
      <c r="H108" s="413">
        <v>160.0</v>
      </c>
      <c r="I108" s="413">
        <v>174.87</v>
      </c>
      <c r="J108" s="413">
        <v>-14.87</v>
      </c>
      <c r="K108" s="290">
        <v>26.58</v>
      </c>
      <c r="L108" s="54"/>
      <c r="M108" s="54"/>
    </row>
    <row r="109">
      <c r="A109" s="54"/>
      <c r="B109" s="436" t="s">
        <v>76</v>
      </c>
      <c r="C109" s="410"/>
      <c r="D109" s="433"/>
      <c r="E109" s="412">
        <v>1524785.0</v>
      </c>
      <c r="F109" s="412">
        <v>984.0</v>
      </c>
      <c r="G109" s="412">
        <v>600.0</v>
      </c>
      <c r="H109" s="413">
        <v>230.0</v>
      </c>
      <c r="I109" s="413">
        <v>250.0</v>
      </c>
      <c r="J109" s="413">
        <v>-20.0</v>
      </c>
      <c r="K109" s="290">
        <v>25.41</v>
      </c>
      <c r="L109" s="54"/>
      <c r="M109" s="54"/>
    </row>
    <row r="110">
      <c r="A110" s="54"/>
      <c r="B110" s="436" t="s">
        <v>138</v>
      </c>
      <c r="C110" s="410"/>
      <c r="D110" s="433"/>
      <c r="E110" s="412">
        <v>1525591.0</v>
      </c>
      <c r="F110" s="412">
        <v>806.0</v>
      </c>
      <c r="G110" s="412">
        <v>600.0</v>
      </c>
      <c r="H110" s="413">
        <v>185.0</v>
      </c>
      <c r="I110" s="413">
        <v>200.0</v>
      </c>
      <c r="J110" s="413">
        <v>-15.0</v>
      </c>
      <c r="K110" s="290">
        <v>24.81</v>
      </c>
      <c r="L110" s="54"/>
      <c r="M110" s="54"/>
    </row>
    <row r="111">
      <c r="A111" s="54"/>
      <c r="B111" s="436" t="s">
        <v>89</v>
      </c>
      <c r="C111" s="410"/>
      <c r="D111" s="433"/>
      <c r="E111" s="412">
        <v>1526248.0</v>
      </c>
      <c r="F111" s="412">
        <v>657.0</v>
      </c>
      <c r="G111" s="412">
        <v>600.0</v>
      </c>
      <c r="H111" s="413">
        <v>80.0</v>
      </c>
      <c r="I111" s="413">
        <v>170.0</v>
      </c>
      <c r="J111" s="413">
        <v>-90.0</v>
      </c>
      <c r="K111" s="290">
        <v>25.88</v>
      </c>
      <c r="L111" s="54"/>
      <c r="M111" s="54"/>
    </row>
    <row r="112">
      <c r="A112" s="54"/>
      <c r="B112" s="436" t="s">
        <v>410</v>
      </c>
      <c r="C112" s="410"/>
      <c r="D112" s="433"/>
      <c r="E112" s="412">
        <v>1527236.0</v>
      </c>
      <c r="F112" s="412">
        <v>988.0</v>
      </c>
      <c r="G112" s="412">
        <v>600.0</v>
      </c>
      <c r="H112" s="413">
        <v>240.0</v>
      </c>
      <c r="I112" s="413">
        <v>260.27</v>
      </c>
      <c r="J112" s="413">
        <v>-20.27</v>
      </c>
      <c r="K112" s="290">
        <v>26.34</v>
      </c>
      <c r="L112" s="54"/>
      <c r="M112" s="54"/>
    </row>
    <row r="113">
      <c r="A113" s="54"/>
      <c r="B113" s="436" t="s">
        <v>411</v>
      </c>
      <c r="C113" s="410"/>
      <c r="D113" s="433"/>
      <c r="E113" s="412">
        <v>1528151.0</v>
      </c>
      <c r="F113" s="412">
        <v>915.0</v>
      </c>
      <c r="G113" s="412">
        <v>600.0</v>
      </c>
      <c r="H113" s="413">
        <v>205.0</v>
      </c>
      <c r="I113" s="413">
        <v>200.0</v>
      </c>
      <c r="J113" s="413">
        <v>5.0</v>
      </c>
      <c r="K113" s="290">
        <v>21.86</v>
      </c>
      <c r="L113" s="54"/>
      <c r="M113" s="54"/>
    </row>
    <row r="114">
      <c r="A114" s="54"/>
      <c r="B114" s="436" t="s">
        <v>412</v>
      </c>
      <c r="C114" s="410"/>
      <c r="D114" s="433"/>
      <c r="E114" s="412">
        <v>1528506.0</v>
      </c>
      <c r="F114" s="412">
        <v>355.0</v>
      </c>
      <c r="G114" s="412">
        <v>600.0</v>
      </c>
      <c r="H114" s="413">
        <v>90.0</v>
      </c>
      <c r="I114" s="413">
        <v>100.0</v>
      </c>
      <c r="J114" s="413">
        <v>-10.0</v>
      </c>
      <c r="K114" s="290">
        <v>28.17</v>
      </c>
      <c r="L114" s="54"/>
      <c r="M114" s="54"/>
    </row>
    <row r="115">
      <c r="A115" s="54"/>
      <c r="B115" s="436" t="s">
        <v>139</v>
      </c>
      <c r="C115" s="410"/>
      <c r="D115" s="433"/>
      <c r="E115" s="412">
        <v>1529502.0</v>
      </c>
      <c r="F115" s="412">
        <v>996.0</v>
      </c>
      <c r="G115" s="412">
        <v>600.0</v>
      </c>
      <c r="H115" s="413">
        <v>255.0</v>
      </c>
      <c r="I115" s="413">
        <v>270.0</v>
      </c>
      <c r="J115" s="413">
        <v>-15.0</v>
      </c>
      <c r="K115" s="290">
        <v>27.11</v>
      </c>
      <c r="L115" s="54"/>
      <c r="M115" s="54"/>
    </row>
    <row r="116">
      <c r="A116" s="54"/>
      <c r="B116" s="430">
        <v>45435.0</v>
      </c>
      <c r="C116" s="409"/>
      <c r="D116" s="433"/>
      <c r="E116" s="412">
        <v>1530136.0</v>
      </c>
      <c r="F116" s="412">
        <v>634.0</v>
      </c>
      <c r="G116" s="412">
        <v>600.0</v>
      </c>
      <c r="H116" s="413">
        <v>155.0</v>
      </c>
      <c r="I116" s="413">
        <v>170.0</v>
      </c>
      <c r="J116" s="413">
        <v>-15.0</v>
      </c>
      <c r="K116" s="290">
        <v>26.81</v>
      </c>
      <c r="L116" s="54"/>
      <c r="M116" s="54"/>
    </row>
    <row r="117">
      <c r="A117" s="54"/>
      <c r="B117" s="430">
        <v>45436.0</v>
      </c>
      <c r="C117" s="409"/>
      <c r="D117" s="433"/>
      <c r="E117" s="412">
        <v>1530795.0</v>
      </c>
      <c r="F117" s="412">
        <v>659.0</v>
      </c>
      <c r="G117" s="412">
        <v>600.0</v>
      </c>
      <c r="H117" s="413">
        <v>160.0</v>
      </c>
      <c r="I117" s="413">
        <v>170.0</v>
      </c>
      <c r="J117" s="413">
        <v>-10.0</v>
      </c>
      <c r="K117" s="290">
        <v>25.8</v>
      </c>
      <c r="L117" s="54"/>
      <c r="M117" s="54"/>
    </row>
    <row r="118">
      <c r="A118" s="54"/>
      <c r="B118" s="430">
        <v>45437.0</v>
      </c>
      <c r="C118" s="409"/>
      <c r="D118" s="433"/>
      <c r="E118" s="412">
        <v>1531782.0</v>
      </c>
      <c r="F118" s="412">
        <v>987.0</v>
      </c>
      <c r="G118" s="412">
        <v>600.0</v>
      </c>
      <c r="H118" s="413">
        <v>265.0</v>
      </c>
      <c r="I118" s="413">
        <v>281.73</v>
      </c>
      <c r="J118" s="413">
        <v>-16.73</v>
      </c>
      <c r="K118" s="290">
        <v>28.54</v>
      </c>
      <c r="L118" s="54"/>
      <c r="M118" s="54"/>
    </row>
    <row r="119">
      <c r="A119" s="54"/>
      <c r="B119" s="430">
        <v>45438.0</v>
      </c>
      <c r="C119" s="409"/>
      <c r="D119" s="433"/>
      <c r="E119" s="412">
        <v>1532416.0</v>
      </c>
      <c r="F119" s="412">
        <v>634.0</v>
      </c>
      <c r="G119" s="412">
        <v>600.0</v>
      </c>
      <c r="H119" s="413">
        <v>140.0</v>
      </c>
      <c r="I119" s="413">
        <v>166.45</v>
      </c>
      <c r="J119" s="413">
        <v>-26.45</v>
      </c>
      <c r="K119" s="290">
        <v>26.25</v>
      </c>
      <c r="L119" s="54"/>
      <c r="M119" s="54"/>
    </row>
    <row r="120">
      <c r="A120" s="54"/>
      <c r="B120" s="430">
        <v>45439.0</v>
      </c>
      <c r="C120" s="409"/>
      <c r="D120" s="433"/>
      <c r="E120" s="412">
        <v>1532806.0</v>
      </c>
      <c r="F120" s="412">
        <v>390.0</v>
      </c>
      <c r="G120" s="412">
        <v>600.0</v>
      </c>
      <c r="H120" s="413">
        <v>75.0</v>
      </c>
      <c r="I120" s="413">
        <v>173.52</v>
      </c>
      <c r="J120" s="413">
        <v>-98.52</v>
      </c>
      <c r="K120" s="290">
        <v>44.49</v>
      </c>
      <c r="L120" s="54"/>
      <c r="M120" s="54"/>
    </row>
    <row r="121">
      <c r="A121" s="54"/>
      <c r="B121" s="430">
        <v>45440.0</v>
      </c>
      <c r="C121" s="409"/>
      <c r="D121" s="433"/>
      <c r="E121" s="412">
        <v>1534063.0</v>
      </c>
      <c r="F121" s="412">
        <v>1257.0</v>
      </c>
      <c r="G121" s="412">
        <v>600.0</v>
      </c>
      <c r="H121" s="413">
        <v>210.0</v>
      </c>
      <c r="I121" s="413">
        <v>255.26</v>
      </c>
      <c r="J121" s="413">
        <v>-45.26</v>
      </c>
      <c r="K121" s="290">
        <v>20.31</v>
      </c>
      <c r="L121" s="54"/>
      <c r="M121" s="54"/>
    </row>
    <row r="122">
      <c r="A122" s="66"/>
      <c r="B122" s="67" t="s">
        <v>90</v>
      </c>
      <c r="J122" s="66"/>
      <c r="K122" s="66"/>
      <c r="L122" s="66"/>
      <c r="M122" s="66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</row>
    <row r="123">
      <c r="A123" s="54"/>
      <c r="B123" s="70">
        <v>45444.0</v>
      </c>
      <c r="C123" s="70"/>
      <c r="D123" s="73"/>
      <c r="E123" s="71">
        <v>1535029.0</v>
      </c>
      <c r="F123" s="71">
        <v>966.0</v>
      </c>
      <c r="G123" s="71">
        <v>580.0</v>
      </c>
      <c r="H123" s="72">
        <v>200.0</v>
      </c>
      <c r="I123" s="72">
        <v>200.0</v>
      </c>
      <c r="J123" s="72">
        <v>0.0</v>
      </c>
      <c r="K123" s="72">
        <v>20.7</v>
      </c>
      <c r="L123" s="54"/>
      <c r="M123" s="82" t="str">
        <f>"тотал"&amp;" "&amp;B122</f>
        <v>тотал ИЮНЬ</v>
      </c>
      <c r="N123" s="75"/>
      <c r="O123" s="76"/>
    </row>
    <row r="124">
      <c r="A124" s="54"/>
      <c r="B124" s="70">
        <v>45445.0</v>
      </c>
      <c r="C124" s="70"/>
      <c r="D124" s="73"/>
      <c r="E124" s="71">
        <v>1535686.0</v>
      </c>
      <c r="F124" s="71">
        <v>657.0</v>
      </c>
      <c r="G124" s="71">
        <v>600.0</v>
      </c>
      <c r="H124" s="72">
        <v>190.0</v>
      </c>
      <c r="I124" s="72">
        <v>200.0</v>
      </c>
      <c r="J124" s="72">
        <v>-10.0</v>
      </c>
      <c r="K124" s="72">
        <v>30.44</v>
      </c>
      <c r="L124" s="54"/>
      <c r="M124" s="83" t="s">
        <v>70</v>
      </c>
      <c r="N124" s="83" t="s">
        <v>71</v>
      </c>
      <c r="O124" s="83" t="s">
        <v>27</v>
      </c>
    </row>
    <row r="125">
      <c r="A125" s="54"/>
      <c r="B125" s="70">
        <v>45446.0</v>
      </c>
      <c r="C125" s="70"/>
      <c r="D125" s="73"/>
      <c r="E125" s="71">
        <v>1536673.0</v>
      </c>
      <c r="F125" s="71">
        <v>987.0</v>
      </c>
      <c r="G125" s="71">
        <v>600.0</v>
      </c>
      <c r="H125" s="72">
        <v>270.0</v>
      </c>
      <c r="I125" s="72">
        <v>260.0</v>
      </c>
      <c r="J125" s="72">
        <v>10.0</v>
      </c>
      <c r="K125" s="72">
        <v>26.34</v>
      </c>
      <c r="L125" s="54"/>
      <c r="M125" s="84">
        <f>SUM(F123:F145)</f>
        <v>17955</v>
      </c>
      <c r="N125" s="84">
        <f>SUM(I123:I145)</f>
        <v>4736.68</v>
      </c>
      <c r="O125" s="85">
        <f>N125/M125*100</f>
        <v>26.38084099</v>
      </c>
    </row>
    <row r="126">
      <c r="A126" s="54"/>
      <c r="B126" s="70">
        <v>45447.0</v>
      </c>
      <c r="C126" s="70"/>
      <c r="D126" s="73"/>
      <c r="E126" s="71">
        <v>1537405.0</v>
      </c>
      <c r="F126" s="71">
        <v>732.0</v>
      </c>
      <c r="G126" s="71">
        <v>600.0</v>
      </c>
      <c r="H126" s="72">
        <v>185.0</v>
      </c>
      <c r="I126" s="72">
        <v>200.0</v>
      </c>
      <c r="J126" s="72">
        <v>-15.0</v>
      </c>
      <c r="K126" s="72">
        <v>27.32</v>
      </c>
      <c r="L126" s="54"/>
      <c r="M126" s="54"/>
    </row>
    <row r="127">
      <c r="A127" s="54"/>
      <c r="B127" s="70">
        <v>45448.0</v>
      </c>
      <c r="C127" s="70"/>
      <c r="D127" s="73"/>
      <c r="E127" s="71">
        <v>1537944.0</v>
      </c>
      <c r="F127" s="71">
        <v>539.0</v>
      </c>
      <c r="G127" s="71">
        <v>600.0</v>
      </c>
      <c r="H127" s="72">
        <v>105.0</v>
      </c>
      <c r="I127" s="72">
        <v>145.82</v>
      </c>
      <c r="J127" s="72">
        <v>-40.82</v>
      </c>
      <c r="K127" s="72">
        <v>27.05</v>
      </c>
      <c r="L127" s="54"/>
      <c r="M127" s="54"/>
    </row>
    <row r="128">
      <c r="A128" s="54"/>
      <c r="B128" s="70">
        <v>45449.0</v>
      </c>
      <c r="C128" s="70"/>
      <c r="D128" s="73"/>
      <c r="E128" s="71">
        <v>1538943.0</v>
      </c>
      <c r="F128" s="71">
        <v>999.0</v>
      </c>
      <c r="G128" s="71">
        <v>600.0</v>
      </c>
      <c r="H128" s="72">
        <v>240.0</v>
      </c>
      <c r="I128" s="72">
        <v>260.0</v>
      </c>
      <c r="J128" s="72">
        <v>-20.0</v>
      </c>
      <c r="K128" s="72">
        <v>26.03</v>
      </c>
      <c r="L128" s="54"/>
      <c r="M128" s="54"/>
    </row>
    <row r="129">
      <c r="A129" s="54"/>
      <c r="B129" s="70">
        <v>45450.0</v>
      </c>
      <c r="C129" s="70"/>
      <c r="D129" s="73"/>
      <c r="E129" s="71">
        <v>1539857.0</v>
      </c>
      <c r="F129" s="71">
        <v>914.0</v>
      </c>
      <c r="G129" s="71">
        <v>590.0</v>
      </c>
      <c r="H129" s="72">
        <v>210.0</v>
      </c>
      <c r="I129" s="72">
        <v>200.0</v>
      </c>
      <c r="J129" s="72">
        <v>10.0</v>
      </c>
      <c r="K129" s="72">
        <v>21.88</v>
      </c>
      <c r="L129" s="54"/>
      <c r="M129" s="54"/>
    </row>
    <row r="130">
      <c r="A130" s="54"/>
      <c r="B130" s="70">
        <v>45451.0</v>
      </c>
      <c r="C130" s="70"/>
      <c r="D130" s="73"/>
      <c r="E130" s="71">
        <v>1539857.0</v>
      </c>
      <c r="F130" s="71"/>
      <c r="G130" s="73"/>
      <c r="H130" s="256"/>
      <c r="I130" s="72"/>
      <c r="J130" s="72">
        <v>-100.0</v>
      </c>
      <c r="K130" s="72" t="s">
        <v>140</v>
      </c>
      <c r="L130" s="60"/>
      <c r="M130" s="54"/>
    </row>
    <row r="131">
      <c r="A131" s="54"/>
      <c r="B131" s="70">
        <v>45452.0</v>
      </c>
      <c r="C131" s="70"/>
      <c r="D131" s="73"/>
      <c r="E131" s="71">
        <v>1541200.0</v>
      </c>
      <c r="F131" s="71">
        <v>1343.0</v>
      </c>
      <c r="G131" s="71">
        <v>600.0</v>
      </c>
      <c r="H131" s="72">
        <v>270.0</v>
      </c>
      <c r="I131" s="72">
        <v>380.0</v>
      </c>
      <c r="J131" s="72">
        <v>-10.0</v>
      </c>
      <c r="K131" s="426">
        <f>I131/F131*100</f>
        <v>28.29486225</v>
      </c>
      <c r="L131" s="54"/>
      <c r="M131" s="54"/>
    </row>
    <row r="132">
      <c r="A132" s="54"/>
      <c r="B132" s="70">
        <v>45453.0</v>
      </c>
      <c r="C132" s="70"/>
      <c r="D132" s="73"/>
      <c r="E132" s="71">
        <v>1542076.0</v>
      </c>
      <c r="F132" s="71">
        <v>876.0</v>
      </c>
      <c r="G132" s="71">
        <v>600.0</v>
      </c>
      <c r="H132" s="72">
        <v>220.0</v>
      </c>
      <c r="I132" s="72">
        <v>220.0</v>
      </c>
      <c r="J132" s="72">
        <v>0.0</v>
      </c>
      <c r="K132" s="72">
        <v>25.11</v>
      </c>
      <c r="L132" s="54"/>
      <c r="M132" s="54"/>
    </row>
    <row r="133">
      <c r="A133" s="54"/>
      <c r="B133" s="70">
        <v>45454.0</v>
      </c>
      <c r="C133" s="70"/>
      <c r="D133" s="73"/>
      <c r="E133" s="71">
        <v>1542076.0</v>
      </c>
      <c r="F133" s="71"/>
      <c r="G133" s="73"/>
      <c r="H133" s="256"/>
      <c r="I133" s="72"/>
      <c r="J133" s="72">
        <v>-100.0</v>
      </c>
      <c r="K133" s="72" t="s">
        <v>140</v>
      </c>
      <c r="L133" s="60"/>
      <c r="M133" s="54"/>
    </row>
    <row r="134">
      <c r="A134" s="54"/>
      <c r="B134" s="70">
        <v>45455.0</v>
      </c>
      <c r="C134" s="70"/>
      <c r="D134" s="73"/>
      <c r="E134" s="71">
        <v>1543420.0</v>
      </c>
      <c r="F134" s="71">
        <f>E134-E132</f>
        <v>1344</v>
      </c>
      <c r="G134" s="71">
        <v>600.0</v>
      </c>
      <c r="H134" s="72">
        <v>220.0</v>
      </c>
      <c r="I134" s="72">
        <v>368.4</v>
      </c>
      <c r="J134" s="72">
        <v>-48.4</v>
      </c>
      <c r="K134" s="426">
        <f>I134/F134*100</f>
        <v>27.41071429</v>
      </c>
      <c r="L134" s="54"/>
      <c r="M134" s="54"/>
    </row>
    <row r="135">
      <c r="A135" s="54"/>
      <c r="B135" s="70">
        <v>45456.0</v>
      </c>
      <c r="C135" s="70"/>
      <c r="D135" s="73"/>
      <c r="E135" s="71">
        <v>1544324.0</v>
      </c>
      <c r="F135" s="71">
        <v>904.0</v>
      </c>
      <c r="G135" s="73"/>
      <c r="H135" s="256"/>
      <c r="I135" s="72">
        <v>242.45</v>
      </c>
      <c r="J135" s="72">
        <v>-242.45</v>
      </c>
      <c r="K135" s="72">
        <v>26.82</v>
      </c>
      <c r="L135" s="60"/>
      <c r="M135" s="54"/>
    </row>
    <row r="136">
      <c r="A136" s="54"/>
      <c r="B136" s="70">
        <v>45457.0</v>
      </c>
      <c r="C136" s="70"/>
      <c r="D136" s="73"/>
      <c r="E136" s="71">
        <v>1544681.0</v>
      </c>
      <c r="F136" s="71">
        <v>357.0</v>
      </c>
      <c r="G136" s="71">
        <v>600.0</v>
      </c>
      <c r="H136" s="72">
        <v>70.0</v>
      </c>
      <c r="I136" s="72">
        <v>94.06</v>
      </c>
      <c r="J136" s="72">
        <v>-24.06</v>
      </c>
      <c r="K136" s="72">
        <v>26.35</v>
      </c>
      <c r="L136" s="54"/>
      <c r="M136" s="54"/>
    </row>
    <row r="137">
      <c r="A137" s="54"/>
      <c r="B137" s="70">
        <v>45458.0</v>
      </c>
      <c r="C137" s="70"/>
      <c r="D137" s="73"/>
      <c r="E137" s="71">
        <v>1545671.0</v>
      </c>
      <c r="F137" s="71">
        <v>990.0</v>
      </c>
      <c r="G137" s="71">
        <v>600.0</v>
      </c>
      <c r="H137" s="72">
        <v>250.0</v>
      </c>
      <c r="I137" s="72">
        <v>263.94</v>
      </c>
      <c r="J137" s="72">
        <v>-13.94</v>
      </c>
      <c r="K137" s="72">
        <v>26.66</v>
      </c>
      <c r="L137" s="54"/>
      <c r="M137" s="54"/>
    </row>
    <row r="138">
      <c r="A138" s="54"/>
      <c r="B138" s="70">
        <v>45459.0</v>
      </c>
      <c r="C138" s="70"/>
      <c r="D138" s="73"/>
      <c r="E138" s="71">
        <v>1546465.0</v>
      </c>
      <c r="F138" s="71">
        <v>794.0</v>
      </c>
      <c r="G138" s="71">
        <v>595.0</v>
      </c>
      <c r="H138" s="72">
        <v>205.0</v>
      </c>
      <c r="I138" s="72">
        <v>200.0</v>
      </c>
      <c r="J138" s="72">
        <v>5.0</v>
      </c>
      <c r="K138" s="72">
        <v>25.19</v>
      </c>
      <c r="L138" s="54"/>
      <c r="M138" s="54"/>
    </row>
    <row r="139">
      <c r="A139" s="54"/>
      <c r="B139" s="70">
        <v>45460.0</v>
      </c>
      <c r="C139" s="70"/>
      <c r="D139" s="73"/>
      <c r="E139" s="71">
        <v>1547004.0</v>
      </c>
      <c r="F139" s="71">
        <v>539.0</v>
      </c>
      <c r="G139" s="71">
        <v>600.0</v>
      </c>
      <c r="H139" s="72">
        <v>160.0</v>
      </c>
      <c r="I139" s="72">
        <v>170.0</v>
      </c>
      <c r="J139" s="72">
        <v>-10.0</v>
      </c>
      <c r="K139" s="72">
        <v>31.54</v>
      </c>
      <c r="L139" s="54"/>
      <c r="M139" s="54"/>
    </row>
    <row r="140">
      <c r="A140" s="54"/>
      <c r="B140" s="70">
        <v>45461.0</v>
      </c>
      <c r="C140" s="70"/>
      <c r="D140" s="73"/>
      <c r="E140" s="71">
        <v>1547989.0</v>
      </c>
      <c r="F140" s="71">
        <v>985.0</v>
      </c>
      <c r="G140" s="71">
        <v>600.0</v>
      </c>
      <c r="H140" s="72">
        <v>250.0</v>
      </c>
      <c r="I140" s="72">
        <v>266.07</v>
      </c>
      <c r="J140" s="420">
        <v>-16.07</v>
      </c>
      <c r="K140" s="72">
        <v>27.01</v>
      </c>
      <c r="L140" s="54"/>
      <c r="M140" s="54"/>
    </row>
    <row r="141">
      <c r="A141" s="54"/>
      <c r="B141" s="70">
        <v>45462.0</v>
      </c>
      <c r="C141" s="70"/>
      <c r="D141" s="73"/>
      <c r="E141" s="71">
        <v>1548921.0</v>
      </c>
      <c r="F141" s="71">
        <v>932.0</v>
      </c>
      <c r="G141" s="71">
        <v>600.0</v>
      </c>
      <c r="H141" s="72">
        <v>225.0</v>
      </c>
      <c r="I141" s="72">
        <v>248.75</v>
      </c>
      <c r="J141" s="72">
        <v>-23.75</v>
      </c>
      <c r="K141" s="72">
        <v>26.69</v>
      </c>
      <c r="L141" s="54"/>
      <c r="M141" s="54"/>
    </row>
    <row r="142">
      <c r="A142" s="54"/>
      <c r="B142" s="70">
        <v>45463.0</v>
      </c>
      <c r="C142" s="70"/>
      <c r="D142" s="73"/>
      <c r="E142" s="71">
        <v>1549278.0</v>
      </c>
      <c r="F142" s="71">
        <v>357.0</v>
      </c>
      <c r="G142" s="71">
        <v>570.0</v>
      </c>
      <c r="H142" s="72">
        <v>40.0</v>
      </c>
      <c r="I142" s="72">
        <v>40.16</v>
      </c>
      <c r="J142" s="72">
        <v>-0.16</v>
      </c>
      <c r="K142" s="72">
        <v>11.25</v>
      </c>
      <c r="L142" s="54"/>
      <c r="M142" s="54"/>
    </row>
    <row r="143">
      <c r="A143" s="54"/>
      <c r="B143" s="70">
        <v>45464.0</v>
      </c>
      <c r="C143" s="70"/>
      <c r="D143" s="73"/>
      <c r="E143" s="71">
        <v>1550267.0</v>
      </c>
      <c r="F143" s="71">
        <v>989.0</v>
      </c>
      <c r="G143" s="71">
        <v>600.0</v>
      </c>
      <c r="H143" s="72">
        <v>310.0</v>
      </c>
      <c r="I143" s="72">
        <v>327.03</v>
      </c>
      <c r="J143" s="72">
        <v>-17.03</v>
      </c>
      <c r="K143" s="72">
        <v>33.07</v>
      </c>
      <c r="L143" s="54"/>
      <c r="M143" s="54"/>
    </row>
    <row r="144">
      <c r="A144" s="54"/>
      <c r="B144" s="70">
        <v>45468.0</v>
      </c>
      <c r="C144" s="70"/>
      <c r="D144" s="73"/>
      <c r="E144" s="71">
        <v>1551068.0</v>
      </c>
      <c r="F144" s="71">
        <v>801.0</v>
      </c>
      <c r="G144" s="71">
        <v>600.0</v>
      </c>
      <c r="H144" s="72">
        <v>200.0</v>
      </c>
      <c r="I144" s="72">
        <v>200.0</v>
      </c>
      <c r="J144" s="72">
        <v>0.0</v>
      </c>
      <c r="K144" s="72">
        <v>24.97</v>
      </c>
      <c r="L144" s="54"/>
      <c r="M144" s="54"/>
    </row>
    <row r="145">
      <c r="A145" s="54"/>
      <c r="B145" s="70">
        <v>45471.0</v>
      </c>
      <c r="C145" s="70"/>
      <c r="D145" s="73"/>
      <c r="E145" s="71">
        <v>1552018.0</v>
      </c>
      <c r="F145" s="71">
        <v>950.0</v>
      </c>
      <c r="G145" s="71">
        <v>600.0</v>
      </c>
      <c r="H145" s="72">
        <v>240.0</v>
      </c>
      <c r="I145" s="72">
        <v>250.0</v>
      </c>
      <c r="J145" s="72">
        <v>-10.0</v>
      </c>
      <c r="K145" s="72">
        <v>26.32</v>
      </c>
      <c r="L145" s="54"/>
      <c r="M145" s="54"/>
    </row>
    <row r="146">
      <c r="A146" s="66"/>
      <c r="B146" s="67" t="s">
        <v>92</v>
      </c>
      <c r="J146" s="66"/>
      <c r="K146" s="66"/>
      <c r="L146" s="66"/>
      <c r="M146" s="66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</row>
    <row r="147">
      <c r="A147" s="54"/>
      <c r="B147" s="201">
        <v>45474.0</v>
      </c>
      <c r="C147" s="201"/>
      <c r="D147" s="95"/>
      <c r="E147" s="128">
        <v>1552744.0</v>
      </c>
      <c r="F147" s="96">
        <v>726.0</v>
      </c>
      <c r="G147" s="96">
        <v>600.0</v>
      </c>
      <c r="H147" s="97">
        <v>180.0</v>
      </c>
      <c r="I147" s="97">
        <v>200.0</v>
      </c>
      <c r="J147" s="97">
        <v>-20.0</v>
      </c>
      <c r="K147" s="97">
        <v>27.55</v>
      </c>
      <c r="L147" s="54"/>
      <c r="M147" s="82" t="str">
        <f>"тотал"&amp;" "&amp;B146</f>
        <v>тотал ИЮЛЬ</v>
      </c>
      <c r="N147" s="75"/>
      <c r="O147" s="76"/>
    </row>
    <row r="148">
      <c r="A148" s="54"/>
      <c r="B148" s="96" t="s">
        <v>413</v>
      </c>
      <c r="C148" s="96"/>
      <c r="D148" s="95"/>
      <c r="E148" s="128">
        <v>1553412.0</v>
      </c>
      <c r="F148" s="96">
        <v>668.0</v>
      </c>
      <c r="G148" s="96">
        <v>600.0</v>
      </c>
      <c r="H148" s="97">
        <v>155.0</v>
      </c>
      <c r="I148" s="97">
        <v>172.11</v>
      </c>
      <c r="J148" s="97">
        <v>-17.11</v>
      </c>
      <c r="K148" s="97">
        <v>25.76</v>
      </c>
      <c r="L148" s="54"/>
      <c r="M148" s="83" t="s">
        <v>70</v>
      </c>
      <c r="N148" s="83" t="s">
        <v>71</v>
      </c>
      <c r="O148" s="83" t="s">
        <v>27</v>
      </c>
    </row>
    <row r="149">
      <c r="A149" s="54"/>
      <c r="B149" s="96" t="s">
        <v>93</v>
      </c>
      <c r="C149" s="96"/>
      <c r="D149" s="95"/>
      <c r="E149" s="128">
        <v>1554185.0</v>
      </c>
      <c r="F149" s="96">
        <v>773.0</v>
      </c>
      <c r="G149" s="96">
        <v>600.0</v>
      </c>
      <c r="H149" s="97">
        <v>190.0</v>
      </c>
      <c r="I149" s="97">
        <v>200.0</v>
      </c>
      <c r="J149" s="97">
        <v>-10.0</v>
      </c>
      <c r="K149" s="97">
        <v>25.87</v>
      </c>
      <c r="L149" s="54"/>
      <c r="M149" s="84">
        <f>SUM(F147:F150)</f>
        <v>3099</v>
      </c>
      <c r="N149" s="84">
        <f>SUM(I147:I150)</f>
        <v>831.99</v>
      </c>
      <c r="O149" s="85">
        <f>N149/M149*100</f>
        <v>26.84704743</v>
      </c>
    </row>
    <row r="150">
      <c r="A150" s="54"/>
      <c r="B150" s="98">
        <v>45483.0</v>
      </c>
      <c r="C150" s="98"/>
      <c r="D150" s="99"/>
      <c r="E150" s="104">
        <v>1555117.0</v>
      </c>
      <c r="F150" s="99">
        <f>E150-E149</f>
        <v>932</v>
      </c>
      <c r="G150" s="100">
        <v>600.0</v>
      </c>
      <c r="H150" s="101">
        <v>250.0</v>
      </c>
      <c r="I150" s="101">
        <v>259.88</v>
      </c>
      <c r="J150" s="102">
        <f>H150-I150</f>
        <v>-9.88</v>
      </c>
      <c r="K150" s="103">
        <f>I150/F150*100</f>
        <v>27.88412017</v>
      </c>
      <c r="L150" s="54"/>
      <c r="M150" s="54"/>
    </row>
    <row r="151">
      <c r="A151" s="66"/>
      <c r="B151" s="67" t="s">
        <v>95</v>
      </c>
      <c r="J151" s="66"/>
      <c r="K151" s="66"/>
      <c r="L151" s="66"/>
      <c r="M151" s="66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</row>
    <row r="152">
      <c r="A152" s="54"/>
      <c r="B152" s="98">
        <v>45507.0</v>
      </c>
      <c r="C152" s="98"/>
      <c r="D152" s="99"/>
      <c r="E152" s="99"/>
      <c r="F152" s="100">
        <v>879.26</v>
      </c>
      <c r="G152" s="99"/>
      <c r="H152" s="102"/>
      <c r="I152" s="101">
        <v>213.43</v>
      </c>
      <c r="J152" s="102">
        <f t="shared" ref="J152:J177" si="3">H152-I152</f>
        <v>-213.43</v>
      </c>
      <c r="K152" s="103">
        <f t="shared" ref="K152:K177" si="4">I152/F152*100</f>
        <v>24.27382117</v>
      </c>
      <c r="L152" s="54"/>
      <c r="M152" s="82" t="str">
        <f>"тотал"&amp;" "&amp;B151</f>
        <v>тотал АВГУСТ</v>
      </c>
      <c r="N152" s="75"/>
      <c r="O152" s="76"/>
    </row>
    <row r="153">
      <c r="A153" s="54"/>
      <c r="B153" s="98">
        <v>45507.0</v>
      </c>
      <c r="C153" s="98"/>
      <c r="D153" s="99"/>
      <c r="E153" s="99"/>
      <c r="F153" s="100">
        <v>879.26</v>
      </c>
      <c r="G153" s="99"/>
      <c r="H153" s="102"/>
      <c r="I153" s="101">
        <v>164.77</v>
      </c>
      <c r="J153" s="102">
        <f t="shared" si="3"/>
        <v>-164.77</v>
      </c>
      <c r="K153" s="103">
        <f t="shared" si="4"/>
        <v>18.73962195</v>
      </c>
      <c r="L153" s="54"/>
      <c r="M153" s="83" t="s">
        <v>70</v>
      </c>
      <c r="N153" s="83" t="s">
        <v>71</v>
      </c>
      <c r="O153" s="83" t="s">
        <v>27</v>
      </c>
    </row>
    <row r="154">
      <c r="A154" s="54"/>
      <c r="B154" s="98">
        <v>45508.0</v>
      </c>
      <c r="C154" s="98"/>
      <c r="D154" s="99"/>
      <c r="E154" s="99"/>
      <c r="F154" s="100">
        <v>879.26</v>
      </c>
      <c r="G154" s="99"/>
      <c r="H154" s="102"/>
      <c r="I154" s="101">
        <v>180.0</v>
      </c>
      <c r="J154" s="102">
        <f t="shared" si="3"/>
        <v>-180</v>
      </c>
      <c r="K154" s="103">
        <f t="shared" si="4"/>
        <v>20.47176034</v>
      </c>
      <c r="L154" s="54"/>
      <c r="M154" s="84">
        <f>SUM(F152:F177)</f>
        <v>22974.98</v>
      </c>
      <c r="N154" s="84">
        <f>SUM(I152:I177)</f>
        <v>5595.65</v>
      </c>
      <c r="O154" s="85">
        <f>N154/M154*100</f>
        <v>24.35540749</v>
      </c>
    </row>
    <row r="155">
      <c r="A155" s="54"/>
      <c r="B155" s="98">
        <v>45509.0</v>
      </c>
      <c r="C155" s="98"/>
      <c r="D155" s="99"/>
      <c r="E155" s="99"/>
      <c r="F155" s="100">
        <v>879.26</v>
      </c>
      <c r="G155" s="99"/>
      <c r="H155" s="102"/>
      <c r="I155" s="101">
        <v>125.78</v>
      </c>
      <c r="J155" s="102">
        <f t="shared" si="3"/>
        <v>-125.78</v>
      </c>
      <c r="K155" s="103">
        <f t="shared" si="4"/>
        <v>14.3052112</v>
      </c>
      <c r="L155" s="54"/>
      <c r="M155" s="54"/>
    </row>
    <row r="156">
      <c r="A156" s="54"/>
      <c r="B156" s="98">
        <v>45511.0</v>
      </c>
      <c r="C156" s="98"/>
      <c r="D156" s="99"/>
      <c r="E156" s="99"/>
      <c r="F156" s="100">
        <v>879.26</v>
      </c>
      <c r="G156" s="99"/>
      <c r="H156" s="102"/>
      <c r="I156" s="101">
        <v>210.0</v>
      </c>
      <c r="J156" s="102">
        <f t="shared" si="3"/>
        <v>-210</v>
      </c>
      <c r="K156" s="103">
        <f t="shared" si="4"/>
        <v>23.8837204</v>
      </c>
      <c r="L156" s="54"/>
      <c r="M156" s="54"/>
    </row>
    <row r="157">
      <c r="A157" s="54"/>
      <c r="B157" s="98">
        <v>45512.0</v>
      </c>
      <c r="C157" s="98"/>
      <c r="D157" s="99"/>
      <c r="E157" s="99"/>
      <c r="F157" s="100">
        <v>879.26</v>
      </c>
      <c r="G157" s="99"/>
      <c r="H157" s="102"/>
      <c r="I157" s="101">
        <v>256.03</v>
      </c>
      <c r="J157" s="102">
        <f t="shared" si="3"/>
        <v>-256.03</v>
      </c>
      <c r="K157" s="103">
        <f t="shared" si="4"/>
        <v>29.11880445</v>
      </c>
      <c r="L157" s="54"/>
      <c r="M157" s="54"/>
    </row>
    <row r="158">
      <c r="A158" s="54"/>
      <c r="B158" s="98">
        <v>45513.0</v>
      </c>
      <c r="C158" s="98"/>
      <c r="D158" s="99"/>
      <c r="E158" s="99"/>
      <c r="F158" s="100">
        <v>879.26</v>
      </c>
      <c r="G158" s="99"/>
      <c r="H158" s="102"/>
      <c r="I158" s="101">
        <v>177.99</v>
      </c>
      <c r="J158" s="102">
        <f t="shared" si="3"/>
        <v>-177.99</v>
      </c>
      <c r="K158" s="103">
        <f t="shared" si="4"/>
        <v>20.24315902</v>
      </c>
      <c r="L158" s="54"/>
      <c r="M158" s="54"/>
    </row>
    <row r="159">
      <c r="A159" s="54"/>
      <c r="B159" s="98">
        <v>45514.0</v>
      </c>
      <c r="C159" s="98"/>
      <c r="D159" s="99"/>
      <c r="E159" s="99"/>
      <c r="F159" s="100">
        <v>879.26</v>
      </c>
      <c r="G159" s="99"/>
      <c r="H159" s="102"/>
      <c r="I159" s="101">
        <v>250.0</v>
      </c>
      <c r="J159" s="102">
        <f t="shared" si="3"/>
        <v>-250</v>
      </c>
      <c r="K159" s="103">
        <f t="shared" si="4"/>
        <v>28.43300048</v>
      </c>
      <c r="L159" s="54"/>
      <c r="M159" s="54"/>
    </row>
    <row r="160">
      <c r="A160" s="54"/>
      <c r="B160" s="98">
        <v>45517.0</v>
      </c>
      <c r="C160" s="98"/>
      <c r="D160" s="99"/>
      <c r="E160" s="99"/>
      <c r="F160" s="100">
        <v>879.26</v>
      </c>
      <c r="G160" s="99"/>
      <c r="H160" s="102"/>
      <c r="I160" s="101">
        <v>204.91</v>
      </c>
      <c r="J160" s="102">
        <f t="shared" si="3"/>
        <v>-204.91</v>
      </c>
      <c r="K160" s="103">
        <f t="shared" si="4"/>
        <v>23.30482451</v>
      </c>
      <c r="L160" s="54"/>
      <c r="M160" s="54"/>
    </row>
    <row r="161">
      <c r="A161" s="54"/>
      <c r="B161" s="98">
        <v>45518.0</v>
      </c>
      <c r="C161" s="98"/>
      <c r="D161" s="99"/>
      <c r="E161" s="99"/>
      <c r="F161" s="100">
        <v>879.26</v>
      </c>
      <c r="G161" s="99"/>
      <c r="H161" s="102"/>
      <c r="I161" s="101">
        <v>263.29</v>
      </c>
      <c r="J161" s="102">
        <f t="shared" si="3"/>
        <v>-263.29</v>
      </c>
      <c r="K161" s="103">
        <f t="shared" si="4"/>
        <v>29.94449878</v>
      </c>
      <c r="L161" s="54"/>
      <c r="M161" s="54"/>
    </row>
    <row r="162">
      <c r="A162" s="54"/>
      <c r="B162" s="98">
        <v>45519.0</v>
      </c>
      <c r="C162" s="98"/>
      <c r="D162" s="99"/>
      <c r="E162" s="99"/>
      <c r="F162" s="100">
        <v>879.26</v>
      </c>
      <c r="G162" s="99"/>
      <c r="H162" s="102"/>
      <c r="I162" s="101">
        <v>177.05</v>
      </c>
      <c r="J162" s="102">
        <f t="shared" si="3"/>
        <v>-177.05</v>
      </c>
      <c r="K162" s="103">
        <f t="shared" si="4"/>
        <v>20.13625094</v>
      </c>
      <c r="L162" s="54"/>
      <c r="M162" s="54"/>
    </row>
    <row r="163">
      <c r="A163" s="54"/>
      <c r="B163" s="98">
        <v>45520.0</v>
      </c>
      <c r="C163" s="98"/>
      <c r="D163" s="99"/>
      <c r="E163" s="99"/>
      <c r="F163" s="100">
        <v>879.26</v>
      </c>
      <c r="G163" s="99"/>
      <c r="H163" s="102"/>
      <c r="I163" s="101">
        <v>259.76</v>
      </c>
      <c r="J163" s="102">
        <f t="shared" si="3"/>
        <v>-259.76</v>
      </c>
      <c r="K163" s="103">
        <f t="shared" si="4"/>
        <v>29.54302482</v>
      </c>
      <c r="L163" s="54"/>
      <c r="M163" s="54"/>
    </row>
    <row r="164">
      <c r="A164" s="54"/>
      <c r="B164" s="98">
        <v>45521.0</v>
      </c>
      <c r="C164" s="98"/>
      <c r="D164" s="99"/>
      <c r="E164" s="99"/>
      <c r="F164" s="100">
        <v>879.26</v>
      </c>
      <c r="G164" s="99"/>
      <c r="H164" s="102"/>
      <c r="I164" s="101">
        <v>173.8</v>
      </c>
      <c r="J164" s="102">
        <f t="shared" si="3"/>
        <v>-173.8</v>
      </c>
      <c r="K164" s="103">
        <f t="shared" si="4"/>
        <v>19.76662193</v>
      </c>
      <c r="L164" s="54"/>
      <c r="M164" s="54"/>
    </row>
    <row r="165">
      <c r="A165" s="54"/>
      <c r="B165" s="98">
        <v>45521.0</v>
      </c>
      <c r="C165" s="98"/>
      <c r="D165" s="99"/>
      <c r="E165" s="99"/>
      <c r="F165" s="100">
        <v>879.26</v>
      </c>
      <c r="G165" s="99"/>
      <c r="H165" s="102"/>
      <c r="I165" s="101">
        <v>258.45</v>
      </c>
      <c r="J165" s="102">
        <f t="shared" si="3"/>
        <v>-258.45</v>
      </c>
      <c r="K165" s="103">
        <f t="shared" si="4"/>
        <v>29.39403589</v>
      </c>
      <c r="L165" s="54"/>
      <c r="M165" s="54"/>
    </row>
    <row r="166">
      <c r="A166" s="54"/>
      <c r="B166" s="98">
        <v>45523.0</v>
      </c>
      <c r="C166" s="98"/>
      <c r="D166" s="99"/>
      <c r="E166" s="99"/>
      <c r="F166" s="100">
        <v>879.26</v>
      </c>
      <c r="G166" s="99"/>
      <c r="H166" s="102"/>
      <c r="I166" s="101">
        <v>172.86</v>
      </c>
      <c r="J166" s="102">
        <f t="shared" si="3"/>
        <v>-172.86</v>
      </c>
      <c r="K166" s="103">
        <f t="shared" si="4"/>
        <v>19.65971385</v>
      </c>
      <c r="L166" s="60"/>
      <c r="M166" s="54"/>
    </row>
    <row r="167">
      <c r="A167" s="54"/>
      <c r="B167" s="98">
        <v>45524.0</v>
      </c>
      <c r="C167" s="98"/>
      <c r="D167" s="99"/>
      <c r="E167" s="99"/>
      <c r="F167" s="100">
        <v>879.26</v>
      </c>
      <c r="G167" s="99"/>
      <c r="H167" s="102"/>
      <c r="I167" s="101">
        <v>250.0</v>
      </c>
      <c r="J167" s="102">
        <f t="shared" si="3"/>
        <v>-250</v>
      </c>
      <c r="K167" s="103">
        <f t="shared" si="4"/>
        <v>28.43300048</v>
      </c>
      <c r="L167" s="54"/>
      <c r="M167" s="54"/>
    </row>
    <row r="168">
      <c r="A168" s="54"/>
      <c r="B168" s="98">
        <v>45525.0</v>
      </c>
      <c r="C168" s="98"/>
      <c r="D168" s="99"/>
      <c r="E168" s="99"/>
      <c r="F168" s="100">
        <v>879.26</v>
      </c>
      <c r="G168" s="99"/>
      <c r="H168" s="102"/>
      <c r="I168" s="101">
        <v>170.0</v>
      </c>
      <c r="J168" s="102">
        <f t="shared" si="3"/>
        <v>-170</v>
      </c>
      <c r="K168" s="103">
        <f t="shared" si="4"/>
        <v>19.33444032</v>
      </c>
      <c r="L168" s="63"/>
      <c r="M168" s="54"/>
    </row>
    <row r="169">
      <c r="A169" s="54"/>
      <c r="B169" s="98">
        <v>45526.0</v>
      </c>
      <c r="C169" s="98"/>
      <c r="D169" s="99"/>
      <c r="E169" s="99"/>
      <c r="F169" s="100">
        <v>879.26</v>
      </c>
      <c r="G169" s="99"/>
      <c r="H169" s="102"/>
      <c r="I169" s="101">
        <v>250.0</v>
      </c>
      <c r="J169" s="102">
        <f t="shared" si="3"/>
        <v>-250</v>
      </c>
      <c r="K169" s="103">
        <f t="shared" si="4"/>
        <v>28.43300048</v>
      </c>
      <c r="L169" s="54"/>
      <c r="M169" s="54"/>
    </row>
    <row r="170">
      <c r="A170" s="54"/>
      <c r="B170" s="98">
        <v>45527.0</v>
      </c>
      <c r="C170" s="98"/>
      <c r="D170" s="99"/>
      <c r="E170" s="99"/>
      <c r="F170" s="100">
        <v>879.26</v>
      </c>
      <c r="G170" s="99"/>
      <c r="H170" s="102"/>
      <c r="I170" s="101">
        <v>208.46</v>
      </c>
      <c r="J170" s="102">
        <f t="shared" si="3"/>
        <v>-208.46</v>
      </c>
      <c r="K170" s="103">
        <f t="shared" si="4"/>
        <v>23.70857312</v>
      </c>
      <c r="L170" s="54"/>
      <c r="M170" s="54"/>
    </row>
    <row r="171">
      <c r="A171" s="54"/>
      <c r="B171" s="98">
        <v>45528.0</v>
      </c>
      <c r="C171" s="98"/>
      <c r="D171" s="99"/>
      <c r="E171" s="99"/>
      <c r="F171" s="100">
        <v>879.26</v>
      </c>
      <c r="G171" s="99"/>
      <c r="H171" s="102"/>
      <c r="I171" s="101">
        <v>240.0</v>
      </c>
      <c r="J171" s="102">
        <f t="shared" si="3"/>
        <v>-240</v>
      </c>
      <c r="K171" s="103">
        <f t="shared" si="4"/>
        <v>27.29568046</v>
      </c>
      <c r="L171" s="54"/>
      <c r="M171" s="54"/>
    </row>
    <row r="172">
      <c r="A172" s="54"/>
      <c r="B172" s="98">
        <v>45531.0</v>
      </c>
      <c r="C172" s="98"/>
      <c r="D172" s="99"/>
      <c r="E172" s="99"/>
      <c r="F172" s="100">
        <v>879.26</v>
      </c>
      <c r="G172" s="99"/>
      <c r="H172" s="102"/>
      <c r="I172" s="101">
        <v>200.0</v>
      </c>
      <c r="J172" s="102">
        <f t="shared" si="3"/>
        <v>-200</v>
      </c>
      <c r="K172" s="103">
        <f t="shared" si="4"/>
        <v>22.74640038</v>
      </c>
      <c r="L172" s="54"/>
      <c r="M172" s="54"/>
    </row>
    <row r="173">
      <c r="A173" s="54"/>
      <c r="B173" s="98">
        <v>45532.0</v>
      </c>
      <c r="C173" s="98"/>
      <c r="D173" s="99"/>
      <c r="E173" s="99"/>
      <c r="F173" s="100">
        <v>879.26</v>
      </c>
      <c r="G173" s="99"/>
      <c r="H173" s="102"/>
      <c r="I173" s="101">
        <v>306.05</v>
      </c>
      <c r="J173" s="102">
        <f t="shared" si="3"/>
        <v>-306.05</v>
      </c>
      <c r="K173" s="103">
        <f t="shared" si="4"/>
        <v>34.80767918</v>
      </c>
      <c r="L173" s="54"/>
      <c r="M173" s="54"/>
    </row>
    <row r="174">
      <c r="A174" s="54"/>
      <c r="B174" s="98">
        <v>45533.0</v>
      </c>
      <c r="C174" s="98"/>
      <c r="D174" s="99"/>
      <c r="E174" s="104">
        <v>1575340.0</v>
      </c>
      <c r="F174" s="100">
        <v>879.26</v>
      </c>
      <c r="G174" s="100">
        <v>600.0</v>
      </c>
      <c r="H174" s="101">
        <v>150.0</v>
      </c>
      <c r="I174" s="101">
        <v>150.0</v>
      </c>
      <c r="J174" s="102">
        <f t="shared" si="3"/>
        <v>0</v>
      </c>
      <c r="K174" s="103">
        <f t="shared" si="4"/>
        <v>17.05980029</v>
      </c>
      <c r="L174" s="54"/>
      <c r="M174" s="54"/>
    </row>
    <row r="175">
      <c r="A175" s="54"/>
      <c r="B175" s="98">
        <v>45534.0</v>
      </c>
      <c r="C175" s="98"/>
      <c r="D175" s="99"/>
      <c r="E175" s="104">
        <v>1576364.0</v>
      </c>
      <c r="F175" s="99">
        <f t="shared" ref="F175:F177" si="5">E175-E174</f>
        <v>1024</v>
      </c>
      <c r="G175" s="100">
        <v>540.0</v>
      </c>
      <c r="H175" s="101">
        <v>180.0</v>
      </c>
      <c r="I175" s="101">
        <v>288.64</v>
      </c>
      <c r="J175" s="102">
        <f t="shared" si="3"/>
        <v>-108.64</v>
      </c>
      <c r="K175" s="103">
        <f t="shared" si="4"/>
        <v>28.1875</v>
      </c>
      <c r="L175" s="54"/>
      <c r="M175" s="54"/>
    </row>
    <row r="176">
      <c r="A176" s="54"/>
      <c r="B176" s="98">
        <v>45535.0</v>
      </c>
      <c r="C176" s="98"/>
      <c r="D176" s="99"/>
      <c r="E176" s="131">
        <v>1577068.0</v>
      </c>
      <c r="F176" s="99">
        <f t="shared" si="5"/>
        <v>704</v>
      </c>
      <c r="G176" s="100">
        <v>540.0</v>
      </c>
      <c r="H176" s="12">
        <v>30.0</v>
      </c>
      <c r="I176" s="101">
        <v>176.63</v>
      </c>
      <c r="J176" s="102">
        <f t="shared" si="3"/>
        <v>-146.63</v>
      </c>
      <c r="K176" s="103">
        <f t="shared" si="4"/>
        <v>25.08948864</v>
      </c>
      <c r="L176" s="54"/>
      <c r="M176" s="54"/>
    </row>
    <row r="177">
      <c r="A177" s="54"/>
      <c r="B177" s="98">
        <v>45535.0</v>
      </c>
      <c r="C177" s="98"/>
      <c r="D177" s="99"/>
      <c r="E177" s="100">
        <v>1578092.0</v>
      </c>
      <c r="F177" s="99">
        <f t="shared" si="5"/>
        <v>1024</v>
      </c>
      <c r="G177" s="100">
        <v>550.0</v>
      </c>
      <c r="H177" s="12">
        <v>170.0</v>
      </c>
      <c r="I177" s="101">
        <v>267.75</v>
      </c>
      <c r="J177" s="102">
        <f t="shared" si="3"/>
        <v>-97.75</v>
      </c>
      <c r="K177" s="103">
        <f t="shared" si="4"/>
        <v>26.14746094</v>
      </c>
      <c r="L177" s="54"/>
      <c r="M177" s="54"/>
    </row>
    <row r="178">
      <c r="A178" s="68"/>
      <c r="B178" s="203" t="str">
        <f>IF(L178=4,"АПРЕЛЬ",IF(L178=5,"МАЙ",IF(L178=1,"ЯНВАРЬ",IF(L178=2,"ФЕВРАЛЬ",IF(L178=3,"МАРТ",IF(L178=6,"ИЮНЬ",IF(L178=7,"ИЮЛЬ",IF(L178=8,"АВГУСТ",IF(L178=9,"СЕНТЯБРЬ",IF(L178=10,"ОКТЯБРЬ",IF(L178=11,"НОЯБРЬ",IF(L178=12,"ДЕКАБРЬ"))))))))))))</f>
        <v>СЕНТЯБРЬ</v>
      </c>
      <c r="J178" s="88"/>
      <c r="K178" s="397"/>
      <c r="L178" s="91">
        <f>MONTH(B179)</f>
        <v>9</v>
      </c>
      <c r="M178" s="66"/>
      <c r="N178" s="66"/>
      <c r="O178" s="66"/>
      <c r="P178" s="66"/>
      <c r="Q178" s="66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</row>
    <row r="179">
      <c r="A179" s="54"/>
      <c r="B179" s="98">
        <v>45537.0</v>
      </c>
      <c r="C179" s="98"/>
      <c r="D179" s="99"/>
      <c r="E179" s="104">
        <v>1578900.0</v>
      </c>
      <c r="F179" s="99">
        <f>E179-E177</f>
        <v>808</v>
      </c>
      <c r="G179" s="100">
        <v>600.0</v>
      </c>
      <c r="H179" s="12">
        <v>180.0</v>
      </c>
      <c r="I179" s="101">
        <v>200.0</v>
      </c>
      <c r="J179" s="102">
        <f t="shared" ref="J179:J201" si="6">H179-I179</f>
        <v>-20</v>
      </c>
      <c r="K179" s="103">
        <f t="shared" ref="K179:K202" si="7">I179/F179*100</f>
        <v>24.75247525</v>
      </c>
      <c r="L179" s="54"/>
      <c r="M179" s="82" t="str">
        <f>"тотал"&amp;" "&amp;B178</f>
        <v>тотал СЕНТЯБРЬ</v>
      </c>
      <c r="N179" s="75"/>
      <c r="O179" s="76"/>
    </row>
    <row r="180">
      <c r="A180" s="54"/>
      <c r="B180" s="98">
        <v>45538.0</v>
      </c>
      <c r="C180" s="98"/>
      <c r="D180" s="99"/>
      <c r="E180" s="100">
        <v>1579817.0</v>
      </c>
      <c r="F180" s="99">
        <f t="shared" ref="F180:F192" si="8">E180-E179</f>
        <v>917</v>
      </c>
      <c r="G180" s="100">
        <v>600.0</v>
      </c>
      <c r="H180" s="101">
        <v>225.0</v>
      </c>
      <c r="I180" s="101">
        <v>220.0</v>
      </c>
      <c r="J180" s="102">
        <f t="shared" si="6"/>
        <v>5</v>
      </c>
      <c r="K180" s="103">
        <f t="shared" si="7"/>
        <v>23.9912759</v>
      </c>
      <c r="L180" s="54"/>
      <c r="M180" s="83" t="s">
        <v>70</v>
      </c>
      <c r="N180" s="83" t="s">
        <v>71</v>
      </c>
      <c r="O180" s="83" t="s">
        <v>27</v>
      </c>
    </row>
    <row r="181">
      <c r="A181" s="54"/>
      <c r="B181" s="98">
        <v>45539.0</v>
      </c>
      <c r="C181" s="98"/>
      <c r="D181" s="99"/>
      <c r="E181" s="104">
        <v>1580522.0</v>
      </c>
      <c r="F181" s="99">
        <f t="shared" si="8"/>
        <v>705</v>
      </c>
      <c r="G181" s="100">
        <v>510.0</v>
      </c>
      <c r="H181" s="101">
        <v>50.0</v>
      </c>
      <c r="I181" s="101">
        <v>180.0</v>
      </c>
      <c r="J181" s="102">
        <f t="shared" si="6"/>
        <v>-130</v>
      </c>
      <c r="K181" s="103">
        <f t="shared" si="7"/>
        <v>25.53191489</v>
      </c>
      <c r="L181" s="54"/>
      <c r="M181" s="84">
        <f>SUM(F179:F202)</f>
        <v>20775.92</v>
      </c>
      <c r="N181" s="84">
        <f>SUM(I179:I202)</f>
        <v>5529.45</v>
      </c>
      <c r="O181" s="85">
        <f>N181/M181*100</f>
        <v>26.61470587</v>
      </c>
    </row>
    <row r="182">
      <c r="A182" s="54"/>
      <c r="B182" s="98">
        <v>45540.0</v>
      </c>
      <c r="C182" s="98"/>
      <c r="D182" s="99"/>
      <c r="E182" s="100">
        <v>1581547.0</v>
      </c>
      <c r="F182" s="99">
        <f t="shared" si="8"/>
        <v>1025</v>
      </c>
      <c r="G182" s="100">
        <v>535.0</v>
      </c>
      <c r="H182" s="101">
        <v>205.0</v>
      </c>
      <c r="I182" s="101">
        <v>306.56</v>
      </c>
      <c r="J182" s="102">
        <f t="shared" si="6"/>
        <v>-101.56</v>
      </c>
      <c r="K182" s="103">
        <f t="shared" si="7"/>
        <v>29.90829268</v>
      </c>
      <c r="L182" s="54"/>
      <c r="M182" s="54"/>
    </row>
    <row r="183">
      <c r="A183" s="54"/>
      <c r="B183" s="98">
        <v>45541.0</v>
      </c>
      <c r="C183" s="98"/>
      <c r="D183" s="99"/>
      <c r="E183" s="100">
        <v>1582250.0</v>
      </c>
      <c r="F183" s="99">
        <f t="shared" si="8"/>
        <v>703</v>
      </c>
      <c r="G183" s="100">
        <v>600.0</v>
      </c>
      <c r="H183" s="101">
        <v>145.0</v>
      </c>
      <c r="I183" s="101">
        <v>177.35</v>
      </c>
      <c r="J183" s="102">
        <f t="shared" si="6"/>
        <v>-32.35</v>
      </c>
      <c r="K183" s="103">
        <f t="shared" si="7"/>
        <v>25.22759602</v>
      </c>
      <c r="L183" s="54"/>
      <c r="M183" s="54"/>
    </row>
    <row r="184">
      <c r="A184" s="54"/>
      <c r="B184" s="98">
        <v>45541.0</v>
      </c>
      <c r="C184" s="98"/>
      <c r="D184" s="99"/>
      <c r="E184" s="104">
        <v>1583255.0</v>
      </c>
      <c r="F184" s="99">
        <f t="shared" si="8"/>
        <v>1005</v>
      </c>
      <c r="G184" s="100">
        <v>580.0</v>
      </c>
      <c r="H184" s="101">
        <v>150.0</v>
      </c>
      <c r="I184" s="101">
        <v>250.0</v>
      </c>
      <c r="J184" s="102">
        <f t="shared" si="6"/>
        <v>-100</v>
      </c>
      <c r="K184" s="103">
        <f t="shared" si="7"/>
        <v>24.87562189</v>
      </c>
      <c r="L184" s="54"/>
      <c r="M184" s="54"/>
    </row>
    <row r="185">
      <c r="A185" s="54"/>
      <c r="B185" s="98">
        <v>45544.0</v>
      </c>
      <c r="C185" s="98"/>
      <c r="D185" s="99"/>
      <c r="E185" s="104">
        <v>1584038.0</v>
      </c>
      <c r="F185" s="99">
        <f t="shared" si="8"/>
        <v>783</v>
      </c>
      <c r="G185" s="100">
        <v>525.0</v>
      </c>
      <c r="H185" s="101">
        <v>45.0</v>
      </c>
      <c r="I185" s="101">
        <v>180.0</v>
      </c>
      <c r="J185" s="102">
        <f t="shared" si="6"/>
        <v>-135</v>
      </c>
      <c r="K185" s="103">
        <f t="shared" si="7"/>
        <v>22.98850575</v>
      </c>
      <c r="L185" s="54"/>
      <c r="M185" s="54"/>
    </row>
    <row r="186">
      <c r="A186" s="54"/>
      <c r="B186" s="98">
        <v>45544.0</v>
      </c>
      <c r="C186" s="98"/>
      <c r="D186" s="99"/>
      <c r="E186" s="100">
        <v>1585035.0</v>
      </c>
      <c r="F186" s="99">
        <f t="shared" si="8"/>
        <v>997</v>
      </c>
      <c r="G186" s="100">
        <v>540.0</v>
      </c>
      <c r="H186" s="101">
        <v>140.0</v>
      </c>
      <c r="I186" s="101">
        <v>295.17</v>
      </c>
      <c r="J186" s="102">
        <f t="shared" si="6"/>
        <v>-155.17</v>
      </c>
      <c r="K186" s="103">
        <f t="shared" si="7"/>
        <v>29.60581745</v>
      </c>
      <c r="L186" s="54"/>
      <c r="M186" s="54"/>
    </row>
    <row r="187">
      <c r="A187" s="54"/>
      <c r="B187" s="98">
        <v>45546.0</v>
      </c>
      <c r="C187" s="98"/>
      <c r="D187" s="99"/>
      <c r="E187" s="104">
        <v>1585736.0</v>
      </c>
      <c r="F187" s="99">
        <f t="shared" si="8"/>
        <v>701</v>
      </c>
      <c r="G187" s="100">
        <v>540.0</v>
      </c>
      <c r="H187" s="101">
        <v>30.0</v>
      </c>
      <c r="I187" s="101">
        <v>175.57</v>
      </c>
      <c r="J187" s="102">
        <f t="shared" si="6"/>
        <v>-145.57</v>
      </c>
      <c r="K187" s="103">
        <f t="shared" si="7"/>
        <v>25.04564907</v>
      </c>
      <c r="L187" s="54"/>
      <c r="M187" s="54"/>
    </row>
    <row r="188">
      <c r="A188" s="54"/>
      <c r="B188" s="98">
        <v>45547.0</v>
      </c>
      <c r="C188" s="98"/>
      <c r="D188" s="99"/>
      <c r="E188" s="104">
        <v>1586758.0</v>
      </c>
      <c r="F188" s="99">
        <f t="shared" si="8"/>
        <v>1022</v>
      </c>
      <c r="G188" s="100">
        <v>600.0</v>
      </c>
      <c r="H188" s="101">
        <v>250.0</v>
      </c>
      <c r="I188" s="101">
        <v>260.0</v>
      </c>
      <c r="J188" s="102">
        <f t="shared" si="6"/>
        <v>-10</v>
      </c>
      <c r="K188" s="103">
        <f t="shared" si="7"/>
        <v>25.44031311</v>
      </c>
      <c r="L188" s="54"/>
      <c r="M188" s="54"/>
    </row>
    <row r="189">
      <c r="A189" s="54"/>
      <c r="B189" s="98">
        <v>45548.0</v>
      </c>
      <c r="C189" s="98"/>
      <c r="D189" s="99"/>
      <c r="E189" s="100">
        <v>1587475.0</v>
      </c>
      <c r="F189" s="99">
        <f t="shared" si="8"/>
        <v>717</v>
      </c>
      <c r="G189" s="100">
        <v>600.0</v>
      </c>
      <c r="H189" s="101">
        <v>110.0</v>
      </c>
      <c r="I189" s="101">
        <v>195.33</v>
      </c>
      <c r="J189" s="102">
        <f t="shared" si="6"/>
        <v>-85.33</v>
      </c>
      <c r="K189" s="103">
        <f t="shared" si="7"/>
        <v>27.24267782</v>
      </c>
      <c r="L189" s="54"/>
      <c r="M189" s="54"/>
    </row>
    <row r="190">
      <c r="A190" s="54"/>
      <c r="B190" s="98">
        <v>45549.0</v>
      </c>
      <c r="C190" s="98"/>
      <c r="D190" s="99"/>
      <c r="E190" s="100">
        <v>1588497.0</v>
      </c>
      <c r="F190" s="99">
        <f t="shared" si="8"/>
        <v>1022</v>
      </c>
      <c r="G190" s="100">
        <v>530.0</v>
      </c>
      <c r="H190" s="101">
        <v>190.0</v>
      </c>
      <c r="I190" s="101">
        <v>282.42</v>
      </c>
      <c r="J190" s="102">
        <f t="shared" si="6"/>
        <v>-92.42</v>
      </c>
      <c r="K190" s="103">
        <f t="shared" si="7"/>
        <v>27.63405088</v>
      </c>
      <c r="L190" s="54"/>
      <c r="M190" s="54"/>
    </row>
    <row r="191">
      <c r="A191" s="54"/>
      <c r="B191" s="98">
        <v>45551.0</v>
      </c>
      <c r="C191" s="98"/>
      <c r="D191" s="99"/>
      <c r="E191" s="100">
        <v>1589251.0</v>
      </c>
      <c r="F191" s="99">
        <f t="shared" si="8"/>
        <v>754</v>
      </c>
      <c r="G191" s="100">
        <v>530.0</v>
      </c>
      <c r="H191" s="101">
        <v>30.0</v>
      </c>
      <c r="I191" s="101">
        <v>180.0</v>
      </c>
      <c r="J191" s="102">
        <f t="shared" si="6"/>
        <v>-150</v>
      </c>
      <c r="K191" s="103">
        <f t="shared" si="7"/>
        <v>23.87267905</v>
      </c>
      <c r="L191" s="54"/>
      <c r="M191" s="54"/>
    </row>
    <row r="192">
      <c r="A192" s="54"/>
      <c r="B192" s="98">
        <v>45552.0</v>
      </c>
      <c r="C192" s="98"/>
      <c r="D192" s="99"/>
      <c r="E192" s="100">
        <v>1590273.0</v>
      </c>
      <c r="F192" s="99">
        <f t="shared" si="8"/>
        <v>1022</v>
      </c>
      <c r="G192" s="100">
        <v>600.0</v>
      </c>
      <c r="H192" s="101">
        <v>270.0</v>
      </c>
      <c r="I192" s="101">
        <v>296.2</v>
      </c>
      <c r="J192" s="102">
        <f t="shared" si="6"/>
        <v>-26.2</v>
      </c>
      <c r="K192" s="103">
        <f t="shared" si="7"/>
        <v>28.98238748</v>
      </c>
      <c r="L192" s="54"/>
      <c r="M192" s="54"/>
    </row>
    <row r="193">
      <c r="A193" s="54"/>
      <c r="B193" s="98">
        <v>45553.0</v>
      </c>
      <c r="C193" s="98"/>
      <c r="D193" s="99"/>
      <c r="E193" s="99"/>
      <c r="F193" s="100">
        <v>861.5</v>
      </c>
      <c r="G193" s="99"/>
      <c r="H193" s="102"/>
      <c r="I193" s="101">
        <v>180.0</v>
      </c>
      <c r="J193" s="102">
        <f t="shared" si="6"/>
        <v>-180</v>
      </c>
      <c r="K193" s="103">
        <f t="shared" si="7"/>
        <v>20.8937899</v>
      </c>
      <c r="L193" s="54"/>
      <c r="M193" s="54"/>
    </row>
    <row r="194">
      <c r="A194" s="54"/>
      <c r="B194" s="98">
        <v>45554.0</v>
      </c>
      <c r="C194" s="98"/>
      <c r="D194" s="99"/>
      <c r="E194" s="99"/>
      <c r="F194" s="100">
        <v>861.5</v>
      </c>
      <c r="G194" s="99"/>
      <c r="H194" s="102"/>
      <c r="I194" s="101">
        <v>296.6</v>
      </c>
      <c r="J194" s="102">
        <f t="shared" si="6"/>
        <v>-296.6</v>
      </c>
      <c r="K194" s="103">
        <f t="shared" si="7"/>
        <v>34.42832269</v>
      </c>
      <c r="L194" s="54"/>
      <c r="M194" s="54"/>
    </row>
    <row r="195">
      <c r="A195" s="54"/>
      <c r="B195" s="98">
        <v>45555.0</v>
      </c>
      <c r="C195" s="98"/>
      <c r="D195" s="99"/>
      <c r="E195" s="99"/>
      <c r="F195" s="100">
        <v>861.5</v>
      </c>
      <c r="G195" s="99"/>
      <c r="H195" s="102"/>
      <c r="I195" s="101">
        <v>180.0</v>
      </c>
      <c r="J195" s="102">
        <f t="shared" si="6"/>
        <v>-180</v>
      </c>
      <c r="K195" s="103">
        <f t="shared" si="7"/>
        <v>20.8937899</v>
      </c>
      <c r="L195" s="54"/>
      <c r="M195" s="54"/>
    </row>
    <row r="196">
      <c r="A196" s="54"/>
      <c r="B196" s="98">
        <v>45556.0</v>
      </c>
      <c r="C196" s="98"/>
      <c r="D196" s="99"/>
      <c r="E196" s="131">
        <v>1593719.0</v>
      </c>
      <c r="F196" s="100">
        <v>861.5</v>
      </c>
      <c r="G196" s="100">
        <v>595.0</v>
      </c>
      <c r="H196" s="101">
        <v>265.0</v>
      </c>
      <c r="I196" s="101">
        <v>270.0</v>
      </c>
      <c r="J196" s="102">
        <f t="shared" si="6"/>
        <v>-5</v>
      </c>
      <c r="K196" s="103">
        <f t="shared" si="7"/>
        <v>31.34068485</v>
      </c>
      <c r="L196" s="54"/>
      <c r="M196" s="54"/>
    </row>
    <row r="197">
      <c r="A197" s="54"/>
      <c r="B197" s="98">
        <v>45558.0</v>
      </c>
      <c r="C197" s="98"/>
      <c r="D197" s="99"/>
      <c r="E197" s="99"/>
      <c r="F197" s="100">
        <v>878.0</v>
      </c>
      <c r="G197" s="100"/>
      <c r="H197" s="102"/>
      <c r="I197" s="101">
        <v>190.0</v>
      </c>
      <c r="J197" s="102">
        <f t="shared" si="6"/>
        <v>-190</v>
      </c>
      <c r="K197" s="103">
        <f t="shared" si="7"/>
        <v>21.64009112</v>
      </c>
      <c r="L197" s="54"/>
      <c r="M197" s="54"/>
    </row>
    <row r="198">
      <c r="A198" s="54"/>
      <c r="B198" s="98">
        <v>45559.0</v>
      </c>
      <c r="C198" s="98"/>
      <c r="D198" s="99"/>
      <c r="E198" s="100">
        <v>1595475.0</v>
      </c>
      <c r="F198" s="100">
        <v>878.0</v>
      </c>
      <c r="G198" s="100">
        <v>535.0</v>
      </c>
      <c r="H198" s="101">
        <v>190.0</v>
      </c>
      <c r="I198" s="101">
        <v>319.99</v>
      </c>
      <c r="J198" s="102">
        <f t="shared" si="6"/>
        <v>-129.99</v>
      </c>
      <c r="K198" s="103">
        <f t="shared" si="7"/>
        <v>36.4453303</v>
      </c>
      <c r="L198" s="54"/>
      <c r="M198" s="54"/>
    </row>
    <row r="199">
      <c r="A199" s="54"/>
      <c r="B199" s="98">
        <v>45560.0</v>
      </c>
      <c r="C199" s="98"/>
      <c r="D199" s="99"/>
      <c r="E199" s="100">
        <v>1596176.0</v>
      </c>
      <c r="F199" s="99">
        <f t="shared" ref="F199:F201" si="9">E199-E198</f>
        <v>701</v>
      </c>
      <c r="G199" s="100">
        <v>540.0</v>
      </c>
      <c r="H199" s="102"/>
      <c r="I199" s="101">
        <v>184.26</v>
      </c>
      <c r="J199" s="102">
        <f t="shared" si="6"/>
        <v>-184.26</v>
      </c>
      <c r="K199" s="103">
        <f t="shared" si="7"/>
        <v>26.2853067</v>
      </c>
      <c r="L199" s="54"/>
      <c r="M199" s="54"/>
    </row>
    <row r="200">
      <c r="A200" s="54"/>
      <c r="B200" s="98">
        <v>45561.0</v>
      </c>
      <c r="C200" s="98"/>
      <c r="D200" s="99"/>
      <c r="E200" s="100">
        <v>1597200.0</v>
      </c>
      <c r="F200" s="99">
        <f t="shared" si="9"/>
        <v>1024</v>
      </c>
      <c r="G200" s="100">
        <v>595.0</v>
      </c>
      <c r="H200" s="101">
        <v>245.0</v>
      </c>
      <c r="I200" s="101">
        <v>250.0</v>
      </c>
      <c r="J200" s="102">
        <f t="shared" si="6"/>
        <v>-5</v>
      </c>
      <c r="K200" s="103">
        <f t="shared" si="7"/>
        <v>24.4140625</v>
      </c>
      <c r="L200" s="54"/>
      <c r="M200" s="54"/>
    </row>
    <row r="201">
      <c r="A201" s="54"/>
      <c r="B201" s="98">
        <v>45562.0</v>
      </c>
      <c r="C201" s="98"/>
      <c r="D201" s="99"/>
      <c r="E201" s="104">
        <v>1597902.0</v>
      </c>
      <c r="F201" s="99">
        <f t="shared" si="9"/>
        <v>702</v>
      </c>
      <c r="G201" s="100"/>
      <c r="H201" s="101">
        <v>35.0</v>
      </c>
      <c r="I201" s="101">
        <v>190.0</v>
      </c>
      <c r="J201" s="102">
        <f t="shared" si="6"/>
        <v>-155</v>
      </c>
      <c r="K201" s="103">
        <f t="shared" si="7"/>
        <v>27.06552707</v>
      </c>
      <c r="L201" s="54"/>
      <c r="M201" s="54"/>
    </row>
    <row r="202">
      <c r="A202" s="54"/>
      <c r="B202" s="98">
        <v>45563.0</v>
      </c>
      <c r="C202" s="98"/>
      <c r="D202" s="99"/>
      <c r="E202" s="99"/>
      <c r="F202" s="100">
        <v>965.92</v>
      </c>
      <c r="G202" s="99"/>
      <c r="H202" s="102"/>
      <c r="I202" s="101">
        <v>270.0</v>
      </c>
      <c r="J202" s="102"/>
      <c r="K202" s="103">
        <f t="shared" si="7"/>
        <v>27.95262548</v>
      </c>
      <c r="L202" s="54"/>
      <c r="M202" s="54"/>
    </row>
    <row r="203">
      <c r="A203" s="68"/>
      <c r="B203" s="112" t="s">
        <v>96</v>
      </c>
      <c r="J203" s="88"/>
      <c r="K203" s="397"/>
      <c r="L203" s="91">
        <f>MONTH(B204)</f>
        <v>10</v>
      </c>
      <c r="M203" s="66"/>
      <c r="N203" s="66"/>
      <c r="O203" s="66"/>
      <c r="P203" s="66"/>
      <c r="Q203" s="66"/>
    </row>
    <row r="204">
      <c r="A204" s="54"/>
      <c r="B204" s="98">
        <v>45566.0</v>
      </c>
      <c r="C204" s="98"/>
      <c r="D204" s="99"/>
      <c r="E204" s="99"/>
      <c r="F204" s="100">
        <v>965.92</v>
      </c>
      <c r="G204" s="99"/>
      <c r="H204" s="102"/>
      <c r="I204" s="101">
        <v>245.86</v>
      </c>
      <c r="J204" s="102">
        <f t="shared" ref="J204:J220" si="10">H204-I204</f>
        <v>-245.86</v>
      </c>
      <c r="K204" s="103">
        <f t="shared" ref="K204:K220" si="11">I204/F204*100</f>
        <v>25.4534537</v>
      </c>
      <c r="L204" s="54"/>
      <c r="M204" s="82" t="str">
        <f>"тотал"&amp;" "&amp;B203&amp;" "&amp;RIGHT(YEAR(B204),2)</f>
        <v>тотал ОКТЯБРЬ 24</v>
      </c>
      <c r="N204" s="75"/>
      <c r="O204" s="75"/>
      <c r="P204" s="75"/>
      <c r="Q204" s="76"/>
    </row>
    <row r="205">
      <c r="A205" s="54"/>
      <c r="B205" s="98">
        <v>45567.0</v>
      </c>
      <c r="C205" s="98"/>
      <c r="D205" s="99"/>
      <c r="E205" s="99"/>
      <c r="F205" s="100">
        <v>965.92</v>
      </c>
      <c r="G205" s="99"/>
      <c r="H205" s="102"/>
      <c r="I205" s="101">
        <v>260.0</v>
      </c>
      <c r="J205" s="102">
        <f t="shared" si="10"/>
        <v>-260</v>
      </c>
      <c r="K205" s="103">
        <f t="shared" si="11"/>
        <v>26.91734305</v>
      </c>
      <c r="L205" s="54"/>
      <c r="M205" s="83" t="s">
        <v>70</v>
      </c>
      <c r="N205" s="83" t="s">
        <v>71</v>
      </c>
      <c r="O205" s="83" t="s">
        <v>27</v>
      </c>
      <c r="P205" s="77" t="s">
        <v>28</v>
      </c>
      <c r="Q205" s="12" t="s">
        <v>78</v>
      </c>
    </row>
    <row r="206">
      <c r="A206" s="54"/>
      <c r="B206" s="98">
        <v>45568.0</v>
      </c>
      <c r="C206" s="98"/>
      <c r="D206" s="99"/>
      <c r="E206" s="99"/>
      <c r="F206" s="100">
        <v>965.92</v>
      </c>
      <c r="G206" s="99"/>
      <c r="H206" s="102"/>
      <c r="I206" s="101">
        <v>179.28</v>
      </c>
      <c r="J206" s="102">
        <f t="shared" si="10"/>
        <v>-179.28</v>
      </c>
      <c r="K206" s="103">
        <f t="shared" si="11"/>
        <v>18.56054332</v>
      </c>
      <c r="L206" s="54"/>
      <c r="M206" s="84">
        <f>SUM(F204:F224)</f>
        <v>19282.12</v>
      </c>
      <c r="N206" s="84">
        <f>SUM(I204:I224)</f>
        <v>5059.98</v>
      </c>
      <c r="O206" s="85">
        <f>N206/M206*100</f>
        <v>26.24182403</v>
      </c>
      <c r="P206" s="79">
        <f>(M206/100)*(O206-Q206)</f>
        <v>432.2712</v>
      </c>
      <c r="Q206" s="78">
        <v>24.0</v>
      </c>
    </row>
    <row r="207">
      <c r="A207" s="54"/>
      <c r="B207" s="98">
        <v>45569.0</v>
      </c>
      <c r="C207" s="98"/>
      <c r="D207" s="99"/>
      <c r="E207" s="99"/>
      <c r="F207" s="100">
        <v>965.92</v>
      </c>
      <c r="G207" s="99"/>
      <c r="H207" s="102"/>
      <c r="I207" s="101">
        <v>300.0</v>
      </c>
      <c r="J207" s="102">
        <f t="shared" si="10"/>
        <v>-300</v>
      </c>
      <c r="K207" s="103">
        <f t="shared" si="11"/>
        <v>31.05847275</v>
      </c>
      <c r="L207" s="54"/>
      <c r="M207" s="54"/>
    </row>
    <row r="208">
      <c r="A208" s="54"/>
      <c r="B208" s="98">
        <v>45570.0</v>
      </c>
      <c r="C208" s="98"/>
      <c r="D208" s="99"/>
      <c r="E208" s="99"/>
      <c r="F208" s="100">
        <v>965.92</v>
      </c>
      <c r="G208" s="99"/>
      <c r="H208" s="102"/>
      <c r="I208" s="101">
        <v>454.79</v>
      </c>
      <c r="J208" s="102">
        <f t="shared" si="10"/>
        <v>-454.79</v>
      </c>
      <c r="K208" s="103">
        <f t="shared" si="11"/>
        <v>47.08360941</v>
      </c>
      <c r="L208" s="54"/>
      <c r="M208" s="54"/>
    </row>
    <row r="209">
      <c r="A209" s="54"/>
      <c r="B209" s="98">
        <v>45572.0</v>
      </c>
      <c r="C209" s="98"/>
      <c r="D209" s="99"/>
      <c r="E209" s="99"/>
      <c r="F209" s="100">
        <v>965.92</v>
      </c>
      <c r="G209" s="99"/>
      <c r="H209" s="102"/>
      <c r="I209" s="101">
        <v>190.0</v>
      </c>
      <c r="J209" s="102">
        <f t="shared" si="10"/>
        <v>-190</v>
      </c>
      <c r="K209" s="103">
        <f t="shared" si="11"/>
        <v>19.67036608</v>
      </c>
      <c r="L209" s="54"/>
      <c r="M209" s="54"/>
    </row>
    <row r="210">
      <c r="A210" s="54"/>
      <c r="B210" s="98">
        <v>45572.0</v>
      </c>
      <c r="C210" s="98"/>
      <c r="D210" s="99"/>
      <c r="E210" s="99"/>
      <c r="F210" s="100">
        <v>965.92</v>
      </c>
      <c r="G210" s="99"/>
      <c r="H210" s="102"/>
      <c r="I210" s="101">
        <v>265.96</v>
      </c>
      <c r="J210" s="102">
        <f t="shared" si="10"/>
        <v>-265.96</v>
      </c>
      <c r="K210" s="103">
        <f t="shared" si="11"/>
        <v>27.53437138</v>
      </c>
      <c r="L210" s="54"/>
      <c r="M210" s="54"/>
    </row>
    <row r="211">
      <c r="A211" s="54"/>
      <c r="B211" s="98">
        <v>45579.0</v>
      </c>
      <c r="C211" s="98"/>
      <c r="D211" s="99"/>
      <c r="E211" s="99"/>
      <c r="F211" s="100">
        <v>965.92</v>
      </c>
      <c r="G211" s="99"/>
      <c r="H211" s="102"/>
      <c r="I211" s="101">
        <v>200.0</v>
      </c>
      <c r="J211" s="102">
        <f t="shared" si="10"/>
        <v>-200</v>
      </c>
      <c r="K211" s="103">
        <f t="shared" si="11"/>
        <v>20.7056485</v>
      </c>
      <c r="L211" s="54"/>
      <c r="M211" s="54"/>
    </row>
    <row r="212">
      <c r="A212" s="54"/>
      <c r="B212" s="98">
        <v>45580.0</v>
      </c>
      <c r="C212" s="98"/>
      <c r="D212" s="99"/>
      <c r="E212" s="99"/>
      <c r="F212" s="100">
        <v>965.92</v>
      </c>
      <c r="G212" s="99"/>
      <c r="H212" s="102"/>
      <c r="I212" s="101">
        <v>338.32</v>
      </c>
      <c r="J212" s="102">
        <f t="shared" si="10"/>
        <v>-338.32</v>
      </c>
      <c r="K212" s="103">
        <f t="shared" si="11"/>
        <v>35.025675</v>
      </c>
      <c r="L212" s="54"/>
      <c r="M212" s="54"/>
    </row>
    <row r="213">
      <c r="A213" s="54"/>
      <c r="B213" s="98">
        <v>45581.0</v>
      </c>
      <c r="C213" s="98"/>
      <c r="D213" s="99"/>
      <c r="E213" s="99"/>
      <c r="F213" s="100">
        <v>965.92</v>
      </c>
      <c r="G213" s="99"/>
      <c r="H213" s="102"/>
      <c r="I213" s="101">
        <v>187.68</v>
      </c>
      <c r="J213" s="102">
        <f t="shared" si="10"/>
        <v>-187.68</v>
      </c>
      <c r="K213" s="103">
        <f t="shared" si="11"/>
        <v>19.43018055</v>
      </c>
      <c r="L213" s="54"/>
      <c r="M213" s="54"/>
    </row>
    <row r="214">
      <c r="A214" s="54"/>
      <c r="B214" s="98">
        <v>45582.0</v>
      </c>
      <c r="C214" s="98"/>
      <c r="D214" s="99"/>
      <c r="E214" s="206">
        <v>1609493.0</v>
      </c>
      <c r="F214" s="100">
        <v>965.92</v>
      </c>
      <c r="G214" s="100">
        <v>600.0</v>
      </c>
      <c r="H214" s="101">
        <v>250.0</v>
      </c>
      <c r="I214" s="101">
        <v>300.0</v>
      </c>
      <c r="J214" s="102">
        <f t="shared" si="10"/>
        <v>-50</v>
      </c>
      <c r="K214" s="103">
        <f t="shared" si="11"/>
        <v>31.05847275</v>
      </c>
      <c r="L214" s="54"/>
      <c r="M214" s="54"/>
    </row>
    <row r="215">
      <c r="A215" s="54"/>
      <c r="B215" s="98">
        <v>45583.0</v>
      </c>
      <c r="C215" s="98"/>
      <c r="D215" s="99"/>
      <c r="E215" s="100">
        <v>1610201.0</v>
      </c>
      <c r="F215" s="99">
        <f t="shared" ref="F215:F220" si="12">E215-E214</f>
        <v>708</v>
      </c>
      <c r="G215" s="100">
        <v>595.0</v>
      </c>
      <c r="H215" s="101">
        <v>175.0</v>
      </c>
      <c r="I215" s="101">
        <v>200.0</v>
      </c>
      <c r="J215" s="102">
        <f t="shared" si="10"/>
        <v>-25</v>
      </c>
      <c r="K215" s="103">
        <f t="shared" si="11"/>
        <v>28.24858757</v>
      </c>
      <c r="L215" s="54"/>
      <c r="M215" s="54"/>
    </row>
    <row r="216">
      <c r="A216" s="54"/>
      <c r="B216" s="98">
        <v>45584.0</v>
      </c>
      <c r="C216" s="98"/>
      <c r="D216" s="99"/>
      <c r="E216" s="100">
        <v>1611229.0</v>
      </c>
      <c r="F216" s="99">
        <f t="shared" si="12"/>
        <v>1028</v>
      </c>
      <c r="G216" s="100">
        <v>600.0</v>
      </c>
      <c r="H216" s="101">
        <v>290.0</v>
      </c>
      <c r="I216" s="101">
        <v>300.0</v>
      </c>
      <c r="J216" s="102">
        <f t="shared" si="10"/>
        <v>-10</v>
      </c>
      <c r="K216" s="103">
        <f t="shared" si="11"/>
        <v>29.18287938</v>
      </c>
      <c r="L216" s="54"/>
      <c r="M216" s="54"/>
    </row>
    <row r="217">
      <c r="A217" s="54"/>
      <c r="B217" s="98">
        <v>45586.0</v>
      </c>
      <c r="C217" s="98"/>
      <c r="D217" s="99"/>
      <c r="E217" s="206">
        <v>1611935.0</v>
      </c>
      <c r="F217" s="99">
        <f t="shared" si="12"/>
        <v>706</v>
      </c>
      <c r="G217" s="100">
        <v>600.0</v>
      </c>
      <c r="H217" s="101">
        <v>170.0</v>
      </c>
      <c r="I217" s="101">
        <v>191.17</v>
      </c>
      <c r="J217" s="102">
        <f t="shared" si="10"/>
        <v>-21.17</v>
      </c>
      <c r="K217" s="103">
        <f t="shared" si="11"/>
        <v>27.07790368</v>
      </c>
      <c r="L217" s="54"/>
      <c r="M217" s="54"/>
    </row>
    <row r="218">
      <c r="A218" s="54"/>
      <c r="B218" s="98">
        <v>45586.0</v>
      </c>
      <c r="C218" s="98"/>
      <c r="D218" s="99"/>
      <c r="E218" s="206">
        <v>1612454.0</v>
      </c>
      <c r="F218" s="99">
        <f t="shared" si="12"/>
        <v>519</v>
      </c>
      <c r="G218" s="100">
        <v>530.0</v>
      </c>
      <c r="H218" s="101">
        <v>65.0</v>
      </c>
      <c r="I218" s="101">
        <v>286.26</v>
      </c>
      <c r="J218" s="102">
        <f t="shared" si="10"/>
        <v>-221.26</v>
      </c>
      <c r="K218" s="103">
        <f t="shared" si="11"/>
        <v>55.15606936</v>
      </c>
      <c r="L218" s="54"/>
      <c r="M218" s="54"/>
    </row>
    <row r="219">
      <c r="A219" s="54"/>
      <c r="B219" s="98">
        <v>45588.0</v>
      </c>
      <c r="C219" s="98"/>
      <c r="D219" s="99"/>
      <c r="E219" s="100">
        <v>1613648.0</v>
      </c>
      <c r="F219" s="99">
        <f t="shared" si="12"/>
        <v>1194</v>
      </c>
      <c r="G219" s="100">
        <v>600.0</v>
      </c>
      <c r="H219" s="101">
        <v>170.0</v>
      </c>
      <c r="I219" s="101">
        <v>190.55</v>
      </c>
      <c r="J219" s="102">
        <f t="shared" si="10"/>
        <v>-20.55</v>
      </c>
      <c r="K219" s="103">
        <f t="shared" si="11"/>
        <v>15.95896147</v>
      </c>
      <c r="L219" s="54"/>
      <c r="M219" s="54"/>
    </row>
    <row r="220">
      <c r="A220" s="54"/>
      <c r="B220" s="98">
        <v>45589.0</v>
      </c>
      <c r="C220" s="98"/>
      <c r="D220" s="99"/>
      <c r="E220" s="206">
        <v>1614673.0</v>
      </c>
      <c r="F220" s="99">
        <f t="shared" si="12"/>
        <v>1025</v>
      </c>
      <c r="G220" s="100">
        <v>600.0</v>
      </c>
      <c r="H220" s="101">
        <v>260.0</v>
      </c>
      <c r="I220" s="101">
        <v>279.95</v>
      </c>
      <c r="J220" s="102">
        <f t="shared" si="10"/>
        <v>-19.95</v>
      </c>
      <c r="K220" s="103">
        <f t="shared" si="11"/>
        <v>27.31219512</v>
      </c>
      <c r="L220" s="54"/>
      <c r="M220" s="54"/>
    </row>
    <row r="221">
      <c r="A221" s="54"/>
      <c r="B221" s="98">
        <v>45590.0</v>
      </c>
      <c r="C221" s="98"/>
      <c r="D221" s="102"/>
      <c r="E221" s="102"/>
      <c r="F221" s="102"/>
      <c r="G221" s="102"/>
      <c r="H221" s="102"/>
      <c r="I221" s="101"/>
      <c r="J221" s="102"/>
      <c r="K221" s="103"/>
      <c r="L221" s="54"/>
      <c r="M221" s="54"/>
    </row>
    <row r="222">
      <c r="A222" s="54"/>
      <c r="B222" s="98">
        <v>45591.0</v>
      </c>
      <c r="C222" s="98"/>
      <c r="D222" s="99"/>
      <c r="E222" s="100">
        <v>1616435.0</v>
      </c>
      <c r="F222" s="99">
        <f>E222-E220</f>
        <v>1762</v>
      </c>
      <c r="G222" s="100">
        <v>600.0</v>
      </c>
      <c r="H222" s="101">
        <v>270.0</v>
      </c>
      <c r="I222" s="101">
        <v>500.57</v>
      </c>
      <c r="J222" s="102">
        <f t="shared" ref="J222:J224" si="13">H222-I222</f>
        <v>-230.57</v>
      </c>
      <c r="K222" s="103">
        <f t="shared" ref="K222:K224" si="14">I222/F222*100</f>
        <v>28.4091941</v>
      </c>
      <c r="L222" s="54"/>
      <c r="M222" s="54"/>
    </row>
    <row r="223">
      <c r="A223" s="54"/>
      <c r="B223" s="98">
        <v>45595.0</v>
      </c>
      <c r="C223" s="98"/>
      <c r="D223" s="99"/>
      <c r="E223" s="100">
        <v>1617131.0</v>
      </c>
      <c r="F223" s="99">
        <f t="shared" ref="F223:F224" si="15">E223-E222</f>
        <v>696</v>
      </c>
      <c r="G223" s="100">
        <v>600.0</v>
      </c>
      <c r="H223" s="101">
        <v>160.0</v>
      </c>
      <c r="I223" s="101">
        <v>189.59</v>
      </c>
      <c r="J223" s="102">
        <f t="shared" si="13"/>
        <v>-29.59</v>
      </c>
      <c r="K223" s="103">
        <f t="shared" si="14"/>
        <v>27.23994253</v>
      </c>
      <c r="L223" s="54"/>
      <c r="M223" s="54"/>
    </row>
    <row r="224">
      <c r="A224" s="54"/>
      <c r="B224" s="98">
        <v>45596.0</v>
      </c>
      <c r="C224" s="98"/>
      <c r="D224" s="99"/>
      <c r="E224" s="100">
        <v>1618150.0</v>
      </c>
      <c r="F224" s="99">
        <f t="shared" si="15"/>
        <v>1019</v>
      </c>
      <c r="G224" s="100">
        <v>600.0</v>
      </c>
      <c r="H224" s="101">
        <v>255.0</v>
      </c>
      <c r="I224" s="102"/>
      <c r="J224" s="102">
        <f t="shared" si="13"/>
        <v>255</v>
      </c>
      <c r="K224" s="103">
        <f t="shared" si="14"/>
        <v>0</v>
      </c>
      <c r="L224" s="54"/>
      <c r="M224" s="54"/>
    </row>
    <row r="225">
      <c r="A225" s="68"/>
      <c r="B225" s="112" t="s">
        <v>97</v>
      </c>
      <c r="J225" s="88"/>
      <c r="K225" s="397"/>
      <c r="L225" s="91">
        <f>MONTH(B226)</f>
        <v>11</v>
      </c>
      <c r="M225" s="66"/>
      <c r="N225" s="66"/>
      <c r="O225" s="66"/>
      <c r="P225" s="66"/>
      <c r="Q225" s="66"/>
    </row>
    <row r="226">
      <c r="A226" s="54"/>
      <c r="B226" s="110">
        <v>45597.0</v>
      </c>
      <c r="C226" s="110"/>
      <c r="D226" s="99"/>
      <c r="E226" s="100">
        <v>1618849.0</v>
      </c>
      <c r="F226" s="99">
        <f>E226-E224</f>
        <v>699</v>
      </c>
      <c r="G226" s="100">
        <v>600.0</v>
      </c>
      <c r="H226" s="101">
        <v>180.0</v>
      </c>
      <c r="I226" s="101">
        <v>199.61</v>
      </c>
      <c r="J226" s="102">
        <f t="shared" ref="J226:J251" si="16">H226-I226</f>
        <v>-19.61</v>
      </c>
      <c r="K226" s="103">
        <f t="shared" ref="K226:K251" si="17">I226/F226*100</f>
        <v>28.5565093</v>
      </c>
      <c r="L226" s="54"/>
      <c r="M226" s="82" t="str">
        <f>"тотал"&amp;" "&amp;B225&amp;" "&amp;RIGHT(YEAR(B226),2)</f>
        <v>тотал НОЯБРЬ 24</v>
      </c>
      <c r="N226" s="75"/>
      <c r="O226" s="75"/>
      <c r="P226" s="75"/>
      <c r="Q226" s="76"/>
    </row>
    <row r="227">
      <c r="A227" s="54"/>
      <c r="B227" s="110">
        <v>45598.0</v>
      </c>
      <c r="C227" s="110"/>
      <c r="D227" s="99"/>
      <c r="E227" s="100">
        <v>1619858.0</v>
      </c>
      <c r="F227" s="99">
        <f t="shared" ref="F227:F229" si="18">E227-E226</f>
        <v>1009</v>
      </c>
      <c r="G227" s="100">
        <v>600.0</v>
      </c>
      <c r="H227" s="101">
        <v>305.0</v>
      </c>
      <c r="I227" s="101">
        <v>329.42</v>
      </c>
      <c r="J227" s="102">
        <f t="shared" si="16"/>
        <v>-24.42</v>
      </c>
      <c r="K227" s="103">
        <f t="shared" si="17"/>
        <v>32.6481665</v>
      </c>
      <c r="L227" s="54"/>
      <c r="M227" s="83" t="s">
        <v>70</v>
      </c>
      <c r="N227" s="83" t="s">
        <v>71</v>
      </c>
      <c r="O227" s="83" t="s">
        <v>27</v>
      </c>
      <c r="P227" s="77" t="s">
        <v>28</v>
      </c>
      <c r="Q227" s="12" t="s">
        <v>78</v>
      </c>
    </row>
    <row r="228">
      <c r="A228" s="54"/>
      <c r="B228" s="110">
        <v>45599.0</v>
      </c>
      <c r="C228" s="110"/>
      <c r="D228" s="99"/>
      <c r="E228" s="100">
        <v>1620554.0</v>
      </c>
      <c r="F228" s="99">
        <f t="shared" si="18"/>
        <v>696</v>
      </c>
      <c r="G228" s="100">
        <v>600.0</v>
      </c>
      <c r="H228" s="101">
        <v>210.0</v>
      </c>
      <c r="I228" s="101">
        <v>231.54</v>
      </c>
      <c r="J228" s="102">
        <f t="shared" si="16"/>
        <v>-21.54</v>
      </c>
      <c r="K228" s="103">
        <f t="shared" si="17"/>
        <v>33.26724138</v>
      </c>
      <c r="L228" s="54"/>
      <c r="M228" s="84">
        <f>SUM(F226:F251)</f>
        <v>22339.01</v>
      </c>
      <c r="N228" s="84">
        <f>SUM(I226:I251)</f>
        <v>6669.33</v>
      </c>
      <c r="O228" s="85">
        <f>N228/M228*100</f>
        <v>29.8550831</v>
      </c>
      <c r="P228" s="79">
        <f>(M228/100)*(O228-Q228)</f>
        <v>1307.9676</v>
      </c>
      <c r="Q228" s="78">
        <v>24.0</v>
      </c>
    </row>
    <row r="229">
      <c r="A229" s="54"/>
      <c r="B229" s="110">
        <v>45599.0</v>
      </c>
      <c r="C229" s="110"/>
      <c r="D229" s="99"/>
      <c r="E229" s="100">
        <v>1621540.0</v>
      </c>
      <c r="F229" s="99">
        <f t="shared" si="18"/>
        <v>986</v>
      </c>
      <c r="G229" s="100">
        <v>600.0</v>
      </c>
      <c r="H229" s="101">
        <v>260.0</v>
      </c>
      <c r="I229" s="101">
        <v>270.0</v>
      </c>
      <c r="J229" s="102">
        <f t="shared" si="16"/>
        <v>-10</v>
      </c>
      <c r="K229" s="103">
        <f t="shared" si="17"/>
        <v>27.38336714</v>
      </c>
      <c r="L229" s="54"/>
      <c r="M229" s="54"/>
    </row>
    <row r="230">
      <c r="A230" s="54"/>
      <c r="B230" s="110">
        <v>45602.0</v>
      </c>
      <c r="C230" s="110"/>
      <c r="D230" s="99"/>
      <c r="E230" s="99"/>
      <c r="F230" s="100">
        <v>838.43</v>
      </c>
      <c r="G230" s="102"/>
      <c r="H230" s="102"/>
      <c r="I230" s="101">
        <v>200.0</v>
      </c>
      <c r="J230" s="102">
        <f t="shared" si="16"/>
        <v>-200</v>
      </c>
      <c r="K230" s="103">
        <f t="shared" si="17"/>
        <v>23.85410827</v>
      </c>
      <c r="L230" s="54"/>
      <c r="M230" s="54"/>
    </row>
    <row r="231">
      <c r="A231" s="54"/>
      <c r="B231" s="110">
        <v>45603.0</v>
      </c>
      <c r="C231" s="110"/>
      <c r="D231" s="99"/>
      <c r="E231" s="99"/>
      <c r="F231" s="100">
        <v>838.43</v>
      </c>
      <c r="G231" s="102"/>
      <c r="H231" s="102"/>
      <c r="I231" s="101">
        <v>334.27</v>
      </c>
      <c r="J231" s="102">
        <f t="shared" si="16"/>
        <v>-334.27</v>
      </c>
      <c r="K231" s="103">
        <f t="shared" si="17"/>
        <v>39.86856386</v>
      </c>
      <c r="L231" s="54"/>
      <c r="M231" s="54"/>
    </row>
    <row r="232">
      <c r="A232" s="54"/>
      <c r="B232" s="110">
        <v>45604.0</v>
      </c>
      <c r="C232" s="110"/>
      <c r="D232" s="99"/>
      <c r="E232" s="99"/>
      <c r="F232" s="100">
        <v>838.43</v>
      </c>
      <c r="G232" s="102"/>
      <c r="H232" s="102"/>
      <c r="I232" s="101">
        <v>200.0</v>
      </c>
      <c r="J232" s="102">
        <f t="shared" si="16"/>
        <v>-200</v>
      </c>
      <c r="K232" s="103">
        <f t="shared" si="17"/>
        <v>23.85410827</v>
      </c>
      <c r="L232" s="54"/>
      <c r="M232" s="54"/>
    </row>
    <row r="233">
      <c r="A233" s="54"/>
      <c r="B233" s="110">
        <v>45605.0</v>
      </c>
      <c r="C233" s="110"/>
      <c r="D233" s="99"/>
      <c r="E233" s="99"/>
      <c r="F233" s="100">
        <v>838.43</v>
      </c>
      <c r="G233" s="102"/>
      <c r="H233" s="102"/>
      <c r="I233" s="101">
        <v>299.35</v>
      </c>
      <c r="J233" s="102">
        <f t="shared" si="16"/>
        <v>-299.35</v>
      </c>
      <c r="K233" s="103">
        <f t="shared" si="17"/>
        <v>35.70363656</v>
      </c>
      <c r="L233" s="54"/>
      <c r="M233" s="54"/>
    </row>
    <row r="234">
      <c r="A234" s="54"/>
      <c r="B234" s="110">
        <v>45607.0</v>
      </c>
      <c r="C234" s="110"/>
      <c r="D234" s="99"/>
      <c r="E234" s="99"/>
      <c r="F234" s="100">
        <v>838.43</v>
      </c>
      <c r="G234" s="102"/>
      <c r="H234" s="102"/>
      <c r="I234" s="101">
        <v>220.0</v>
      </c>
      <c r="J234" s="102">
        <f t="shared" si="16"/>
        <v>-220</v>
      </c>
      <c r="K234" s="103">
        <f t="shared" si="17"/>
        <v>26.2395191</v>
      </c>
      <c r="L234" s="54"/>
      <c r="M234" s="54"/>
    </row>
    <row r="235">
      <c r="A235" s="54"/>
      <c r="B235" s="110">
        <v>45608.0</v>
      </c>
      <c r="C235" s="110"/>
      <c r="D235" s="99"/>
      <c r="E235" s="99"/>
      <c r="F235" s="100">
        <v>838.43</v>
      </c>
      <c r="G235" s="102"/>
      <c r="H235" s="102"/>
      <c r="I235" s="101">
        <v>300.0</v>
      </c>
      <c r="J235" s="102">
        <f t="shared" si="16"/>
        <v>-300</v>
      </c>
      <c r="K235" s="103">
        <f t="shared" si="17"/>
        <v>35.78116241</v>
      </c>
      <c r="L235" s="54"/>
      <c r="M235" s="54"/>
    </row>
    <row r="236">
      <c r="A236" s="54"/>
      <c r="B236" s="110">
        <v>45609.0</v>
      </c>
      <c r="C236" s="110"/>
      <c r="D236" s="99"/>
      <c r="E236" s="100">
        <v>1627409.0</v>
      </c>
      <c r="F236" s="100">
        <v>838.43</v>
      </c>
      <c r="G236" s="99"/>
      <c r="H236" s="101">
        <v>170.0</v>
      </c>
      <c r="I236" s="101">
        <v>195.42</v>
      </c>
      <c r="J236" s="102">
        <f t="shared" si="16"/>
        <v>-25.42</v>
      </c>
      <c r="K236" s="103">
        <f t="shared" si="17"/>
        <v>23.30784919</v>
      </c>
      <c r="L236" s="54"/>
      <c r="M236" s="54"/>
    </row>
    <row r="237">
      <c r="A237" s="54"/>
      <c r="B237" s="110">
        <v>45610.0</v>
      </c>
      <c r="C237" s="110"/>
      <c r="D237" s="99"/>
      <c r="E237" s="100">
        <v>1628419.0</v>
      </c>
      <c r="F237" s="99">
        <f t="shared" ref="F237:F251" si="19">E237-E236</f>
        <v>1010</v>
      </c>
      <c r="G237" s="100">
        <v>600.0</v>
      </c>
      <c r="H237" s="101">
        <v>285.0</v>
      </c>
      <c r="I237" s="101">
        <v>300.0</v>
      </c>
      <c r="J237" s="102">
        <f t="shared" si="16"/>
        <v>-15</v>
      </c>
      <c r="K237" s="103">
        <f t="shared" si="17"/>
        <v>29.7029703</v>
      </c>
      <c r="L237" s="54"/>
      <c r="M237" s="54"/>
    </row>
    <row r="238">
      <c r="A238" s="54"/>
      <c r="B238" s="110">
        <v>45611.0</v>
      </c>
      <c r="C238" s="110"/>
      <c r="D238" s="99"/>
      <c r="E238" s="100">
        <v>1629119.0</v>
      </c>
      <c r="F238" s="99">
        <f t="shared" si="19"/>
        <v>700</v>
      </c>
      <c r="G238" s="100">
        <v>600.0</v>
      </c>
      <c r="H238" s="101">
        <v>195.0</v>
      </c>
      <c r="I238" s="101">
        <v>214.95</v>
      </c>
      <c r="J238" s="102">
        <f t="shared" si="16"/>
        <v>-19.95</v>
      </c>
      <c r="K238" s="103">
        <f t="shared" si="17"/>
        <v>30.70714286</v>
      </c>
      <c r="L238" s="54"/>
      <c r="M238" s="54"/>
    </row>
    <row r="239">
      <c r="A239" s="54"/>
      <c r="B239" s="110">
        <v>45612.0</v>
      </c>
      <c r="C239" s="110"/>
      <c r="D239" s="99"/>
      <c r="E239" s="100">
        <v>1630129.0</v>
      </c>
      <c r="F239" s="99">
        <f t="shared" si="19"/>
        <v>1010</v>
      </c>
      <c r="G239" s="100">
        <v>600.0</v>
      </c>
      <c r="H239" s="101">
        <v>290.0</v>
      </c>
      <c r="I239" s="101">
        <v>300.0</v>
      </c>
      <c r="J239" s="102">
        <f t="shared" si="16"/>
        <v>-10</v>
      </c>
      <c r="K239" s="103">
        <f t="shared" si="17"/>
        <v>29.7029703</v>
      </c>
      <c r="L239" s="54"/>
      <c r="M239" s="54"/>
    </row>
    <row r="240">
      <c r="A240" s="54"/>
      <c r="B240" s="110">
        <v>45614.0</v>
      </c>
      <c r="C240" s="110"/>
      <c r="D240" s="99"/>
      <c r="E240" s="100">
        <v>1630828.0</v>
      </c>
      <c r="F240" s="99">
        <f t="shared" si="19"/>
        <v>699</v>
      </c>
      <c r="G240" s="100">
        <v>600.0</v>
      </c>
      <c r="H240" s="101">
        <v>200.0</v>
      </c>
      <c r="I240" s="101">
        <v>219.05</v>
      </c>
      <c r="J240" s="102">
        <f t="shared" si="16"/>
        <v>-19.05</v>
      </c>
      <c r="K240" s="103">
        <f t="shared" si="17"/>
        <v>31.33762518</v>
      </c>
      <c r="L240" s="54"/>
      <c r="M240" s="54"/>
    </row>
    <row r="241">
      <c r="A241" s="54"/>
      <c r="B241" s="110">
        <v>45614.0</v>
      </c>
      <c r="C241" s="110"/>
      <c r="D241" s="99"/>
      <c r="E241" s="100">
        <v>1631818.0</v>
      </c>
      <c r="F241" s="99">
        <f t="shared" si="19"/>
        <v>990</v>
      </c>
      <c r="G241" s="100">
        <v>600.0</v>
      </c>
      <c r="H241" s="101">
        <v>270.0</v>
      </c>
      <c r="I241" s="101">
        <v>300.0</v>
      </c>
      <c r="J241" s="102">
        <f t="shared" si="16"/>
        <v>-30</v>
      </c>
      <c r="K241" s="103">
        <f t="shared" si="17"/>
        <v>30.3030303</v>
      </c>
      <c r="L241" s="54"/>
      <c r="M241" s="54"/>
    </row>
    <row r="242">
      <c r="A242" s="54"/>
      <c r="B242" s="110">
        <v>45616.0</v>
      </c>
      <c r="C242" s="110"/>
      <c r="D242" s="99"/>
      <c r="E242" s="100">
        <v>1632693.0</v>
      </c>
      <c r="F242" s="99">
        <f t="shared" si="19"/>
        <v>875</v>
      </c>
      <c r="G242" s="100">
        <v>600.0</v>
      </c>
      <c r="H242" s="101">
        <v>220.0</v>
      </c>
      <c r="I242" s="101">
        <v>249.66</v>
      </c>
      <c r="J242" s="102">
        <f t="shared" si="16"/>
        <v>-29.66</v>
      </c>
      <c r="K242" s="103">
        <f t="shared" si="17"/>
        <v>28.53257143</v>
      </c>
      <c r="L242" s="54"/>
      <c r="M242" s="54"/>
    </row>
    <row r="243">
      <c r="A243" s="54"/>
      <c r="B243" s="110">
        <v>45617.0</v>
      </c>
      <c r="C243" s="110"/>
      <c r="D243" s="99"/>
      <c r="E243" s="100">
        <v>1633693.0</v>
      </c>
      <c r="F243" s="99">
        <f t="shared" si="19"/>
        <v>1000</v>
      </c>
      <c r="G243" s="100">
        <v>600.0</v>
      </c>
      <c r="H243" s="101">
        <v>270.0</v>
      </c>
      <c r="I243" s="101">
        <v>279.78</v>
      </c>
      <c r="J243" s="102">
        <f t="shared" si="16"/>
        <v>-9.78</v>
      </c>
      <c r="K243" s="103">
        <f t="shared" si="17"/>
        <v>27.978</v>
      </c>
      <c r="L243" s="54"/>
      <c r="M243" s="54"/>
    </row>
    <row r="244">
      <c r="A244" s="54"/>
      <c r="B244" s="110">
        <v>45618.0</v>
      </c>
      <c r="C244" s="110"/>
      <c r="D244" s="99"/>
      <c r="E244" s="100">
        <v>1634392.0</v>
      </c>
      <c r="F244" s="99">
        <f t="shared" si="19"/>
        <v>699</v>
      </c>
      <c r="G244" s="100">
        <v>600.0</v>
      </c>
      <c r="H244" s="101">
        <v>200.0</v>
      </c>
      <c r="I244" s="101">
        <v>219.81</v>
      </c>
      <c r="J244" s="102">
        <f t="shared" si="16"/>
        <v>-19.81</v>
      </c>
      <c r="K244" s="103">
        <f t="shared" si="17"/>
        <v>31.44635193</v>
      </c>
      <c r="L244" s="54"/>
      <c r="M244" s="54"/>
    </row>
    <row r="245">
      <c r="A245" s="54"/>
      <c r="B245" s="110">
        <v>45619.0</v>
      </c>
      <c r="C245" s="110"/>
      <c r="D245" s="99"/>
      <c r="E245" s="100">
        <v>1635402.0</v>
      </c>
      <c r="F245" s="99">
        <f t="shared" si="19"/>
        <v>1010</v>
      </c>
      <c r="G245" s="100">
        <v>600.0</v>
      </c>
      <c r="H245" s="101">
        <v>290.0</v>
      </c>
      <c r="I245" s="101">
        <v>300.0</v>
      </c>
      <c r="J245" s="102">
        <f t="shared" si="16"/>
        <v>-10</v>
      </c>
      <c r="K245" s="103">
        <f t="shared" si="17"/>
        <v>29.7029703</v>
      </c>
      <c r="L245" s="54"/>
      <c r="M245" s="54"/>
    </row>
    <row r="246">
      <c r="A246" s="60">
        <v>3980.0</v>
      </c>
      <c r="B246" s="110">
        <v>45621.0</v>
      </c>
      <c r="C246" s="110"/>
      <c r="D246" s="99"/>
      <c r="E246" s="100">
        <v>1636116.0</v>
      </c>
      <c r="F246" s="99">
        <f t="shared" si="19"/>
        <v>714</v>
      </c>
      <c r="G246" s="100">
        <v>600.0</v>
      </c>
      <c r="H246" s="101">
        <v>185.0</v>
      </c>
      <c r="I246" s="101">
        <v>208.65</v>
      </c>
      <c r="J246" s="102">
        <f t="shared" si="16"/>
        <v>-23.65</v>
      </c>
      <c r="K246" s="103">
        <f t="shared" si="17"/>
        <v>29.22268908</v>
      </c>
      <c r="L246" s="54"/>
      <c r="M246" s="54"/>
    </row>
    <row r="247">
      <c r="A247" s="54"/>
      <c r="B247" s="110">
        <v>45622.0</v>
      </c>
      <c r="C247" s="110"/>
      <c r="D247" s="99"/>
      <c r="E247" s="100">
        <v>1637067.0</v>
      </c>
      <c r="F247" s="99">
        <f t="shared" si="19"/>
        <v>951</v>
      </c>
      <c r="G247" s="100">
        <v>600.0</v>
      </c>
      <c r="H247" s="101">
        <v>270.0</v>
      </c>
      <c r="I247" s="101">
        <v>279.37</v>
      </c>
      <c r="J247" s="102">
        <f t="shared" si="16"/>
        <v>-9.37</v>
      </c>
      <c r="K247" s="103">
        <f t="shared" si="17"/>
        <v>29.37644585</v>
      </c>
      <c r="L247" s="54"/>
      <c r="M247" s="54"/>
    </row>
    <row r="248">
      <c r="A248" s="54"/>
      <c r="B248" s="110">
        <v>45623.0</v>
      </c>
      <c r="C248" s="110"/>
      <c r="D248" s="99"/>
      <c r="E248" s="100">
        <v>1637777.0</v>
      </c>
      <c r="F248" s="99">
        <f t="shared" si="19"/>
        <v>710</v>
      </c>
      <c r="G248" s="100">
        <v>600.0</v>
      </c>
      <c r="H248" s="101">
        <v>190.0</v>
      </c>
      <c r="I248" s="101">
        <v>200.0</v>
      </c>
      <c r="J248" s="102">
        <f t="shared" si="16"/>
        <v>-10</v>
      </c>
      <c r="K248" s="103">
        <f t="shared" si="17"/>
        <v>28.16901408</v>
      </c>
      <c r="L248" s="54"/>
      <c r="M248" s="54"/>
    </row>
    <row r="249">
      <c r="A249" s="54"/>
      <c r="B249" s="110">
        <v>45624.0</v>
      </c>
      <c r="C249" s="110"/>
      <c r="D249" s="99"/>
      <c r="E249" s="100">
        <v>1638778.0</v>
      </c>
      <c r="F249" s="99">
        <f t="shared" si="19"/>
        <v>1001</v>
      </c>
      <c r="G249" s="100">
        <v>600.0</v>
      </c>
      <c r="H249" s="101">
        <v>290.0</v>
      </c>
      <c r="I249" s="101">
        <v>317.43</v>
      </c>
      <c r="J249" s="102">
        <f t="shared" si="16"/>
        <v>-27.43</v>
      </c>
      <c r="K249" s="103">
        <f t="shared" si="17"/>
        <v>31.71128871</v>
      </c>
      <c r="L249" s="54"/>
      <c r="M249" s="54"/>
    </row>
    <row r="250">
      <c r="A250" s="54"/>
      <c r="B250" s="110">
        <v>45625.0</v>
      </c>
      <c r="C250" s="110"/>
      <c r="D250" s="99"/>
      <c r="E250" s="100">
        <v>1639477.0</v>
      </c>
      <c r="F250" s="99">
        <f t="shared" si="19"/>
        <v>699</v>
      </c>
      <c r="G250" s="100">
        <v>600.0</v>
      </c>
      <c r="H250" s="101">
        <v>180.0</v>
      </c>
      <c r="I250" s="101">
        <v>201.02</v>
      </c>
      <c r="J250" s="102">
        <f t="shared" si="16"/>
        <v>-21.02</v>
      </c>
      <c r="K250" s="103">
        <f t="shared" si="17"/>
        <v>28.75822604</v>
      </c>
      <c r="L250" s="54"/>
      <c r="M250" s="54"/>
    </row>
    <row r="251">
      <c r="A251" s="54"/>
      <c r="B251" s="110">
        <v>45626.0</v>
      </c>
      <c r="C251" s="110"/>
      <c r="D251" s="99"/>
      <c r="E251" s="100">
        <v>1640489.0</v>
      </c>
      <c r="F251" s="99">
        <f t="shared" si="19"/>
        <v>1012</v>
      </c>
      <c r="G251" s="100">
        <v>600.0</v>
      </c>
      <c r="H251" s="101">
        <v>275.0</v>
      </c>
      <c r="I251" s="101">
        <v>300.0</v>
      </c>
      <c r="J251" s="102">
        <f t="shared" si="16"/>
        <v>-25</v>
      </c>
      <c r="K251" s="103">
        <f t="shared" si="17"/>
        <v>29.64426877</v>
      </c>
      <c r="L251" s="54"/>
      <c r="M251" s="54"/>
    </row>
    <row r="252">
      <c r="A252" s="68"/>
      <c r="B252" s="112" t="s">
        <v>98</v>
      </c>
      <c r="J252" s="88"/>
      <c r="K252" s="397"/>
      <c r="L252" s="91">
        <f>MONTH(B253)</f>
        <v>12</v>
      </c>
      <c r="M252" s="66"/>
      <c r="N252" s="66"/>
      <c r="O252" s="66"/>
      <c r="P252" s="66"/>
      <c r="Q252" s="66"/>
    </row>
    <row r="253">
      <c r="A253" s="54"/>
      <c r="B253" s="110">
        <v>45628.0</v>
      </c>
      <c r="C253" s="110"/>
      <c r="D253" s="99"/>
      <c r="E253" s="100">
        <v>1641190.0</v>
      </c>
      <c r="F253" s="99">
        <f>E253-E251</f>
        <v>701</v>
      </c>
      <c r="G253" s="100">
        <v>600.0</v>
      </c>
      <c r="H253" s="101">
        <v>180.0</v>
      </c>
      <c r="I253" s="101">
        <v>209.46</v>
      </c>
      <c r="J253" s="102">
        <f t="shared" ref="J253:J274" si="20">H253-I253</f>
        <v>-29.46</v>
      </c>
      <c r="K253" s="103">
        <f t="shared" ref="K253:K274" si="21">I253/F253*100</f>
        <v>29.88017118</v>
      </c>
      <c r="L253" s="54"/>
      <c r="M253" s="82" t="str">
        <f>"тотал"&amp;" "&amp;B252&amp;" "&amp;RIGHT(YEAR(B253),2)</f>
        <v>тотал ДЕКАБРЬ 24</v>
      </c>
      <c r="N253" s="75"/>
      <c r="O253" s="75"/>
      <c r="P253" s="75"/>
      <c r="Q253" s="76"/>
    </row>
    <row r="254">
      <c r="A254" s="54"/>
      <c r="B254" s="110">
        <v>45628.0</v>
      </c>
      <c r="C254" s="110"/>
      <c r="D254" s="99"/>
      <c r="E254" s="100">
        <v>1642147.0</v>
      </c>
      <c r="F254" s="99">
        <f t="shared" ref="F254:F274" si="22">E254-E253</f>
        <v>957</v>
      </c>
      <c r="G254" s="100">
        <v>600.0</v>
      </c>
      <c r="H254" s="101">
        <v>270.0</v>
      </c>
      <c r="I254" s="101">
        <v>292.9</v>
      </c>
      <c r="J254" s="102">
        <f t="shared" si="20"/>
        <v>-22.9</v>
      </c>
      <c r="K254" s="103">
        <f t="shared" si="21"/>
        <v>30.60606061</v>
      </c>
      <c r="L254" s="54"/>
      <c r="M254" s="83" t="s">
        <v>70</v>
      </c>
      <c r="N254" s="83" t="s">
        <v>71</v>
      </c>
      <c r="O254" s="83" t="s">
        <v>27</v>
      </c>
      <c r="P254" s="77" t="s">
        <v>28</v>
      </c>
      <c r="Q254" s="12" t="s">
        <v>78</v>
      </c>
    </row>
    <row r="255">
      <c r="A255" s="54"/>
      <c r="B255" s="110">
        <v>45630.0</v>
      </c>
      <c r="C255" s="110"/>
      <c r="D255" s="99"/>
      <c r="E255" s="100">
        <v>1642847.0</v>
      </c>
      <c r="F255" s="99">
        <f t="shared" si="22"/>
        <v>700</v>
      </c>
      <c r="G255" s="100">
        <v>600.0</v>
      </c>
      <c r="H255" s="101">
        <v>190.0</v>
      </c>
      <c r="I255" s="101">
        <v>210.0</v>
      </c>
      <c r="J255" s="102">
        <f t="shared" si="20"/>
        <v>-20</v>
      </c>
      <c r="K255" s="103">
        <f t="shared" si="21"/>
        <v>30</v>
      </c>
      <c r="L255" s="54"/>
      <c r="M255" s="84">
        <f>SUM(F253:F274)</f>
        <v>18943</v>
      </c>
      <c r="N255" s="84">
        <f>SUM(I253:I274)</f>
        <v>5412.45</v>
      </c>
      <c r="O255" s="85">
        <f>N255/M255*100</f>
        <v>28.57229583</v>
      </c>
      <c r="P255" s="79">
        <f>(M255/100)*(O255-Q255)</f>
        <v>866.13</v>
      </c>
      <c r="Q255" s="78">
        <v>24.0</v>
      </c>
    </row>
    <row r="256">
      <c r="A256" s="54"/>
      <c r="B256" s="110">
        <v>45631.0</v>
      </c>
      <c r="C256" s="110"/>
      <c r="D256" s="99"/>
      <c r="E256" s="100">
        <v>1643858.0</v>
      </c>
      <c r="F256" s="99">
        <f t="shared" si="22"/>
        <v>1011</v>
      </c>
      <c r="G256" s="100">
        <v>600.0</v>
      </c>
      <c r="H256" s="101">
        <v>290.0</v>
      </c>
      <c r="I256" s="101">
        <v>309.22</v>
      </c>
      <c r="J256" s="102">
        <f t="shared" si="20"/>
        <v>-19.22</v>
      </c>
      <c r="K256" s="103">
        <f t="shared" si="21"/>
        <v>30.58555885</v>
      </c>
      <c r="L256" s="54"/>
      <c r="M256" s="54"/>
    </row>
    <row r="257">
      <c r="A257" s="54"/>
      <c r="B257" s="110">
        <v>45632.0</v>
      </c>
      <c r="C257" s="110"/>
      <c r="D257" s="99"/>
      <c r="E257" s="100">
        <v>1644558.0</v>
      </c>
      <c r="F257" s="99">
        <f t="shared" si="22"/>
        <v>700</v>
      </c>
      <c r="G257" s="100">
        <v>600.0</v>
      </c>
      <c r="H257" s="101">
        <v>200.0</v>
      </c>
      <c r="I257" s="101">
        <v>219.19</v>
      </c>
      <c r="J257" s="102">
        <f t="shared" si="20"/>
        <v>-19.19</v>
      </c>
      <c r="K257" s="103">
        <f t="shared" si="21"/>
        <v>31.31285714</v>
      </c>
      <c r="L257" s="54"/>
      <c r="M257" s="54"/>
    </row>
    <row r="258">
      <c r="A258" s="54"/>
      <c r="B258" s="110">
        <v>45633.0</v>
      </c>
      <c r="C258" s="110"/>
      <c r="D258" s="99"/>
      <c r="E258" s="100">
        <v>1645574.0</v>
      </c>
      <c r="F258" s="99">
        <f t="shared" si="22"/>
        <v>1016</v>
      </c>
      <c r="G258" s="100">
        <v>600.0</v>
      </c>
      <c r="H258" s="101">
        <v>265.0</v>
      </c>
      <c r="I258" s="101">
        <v>289.78</v>
      </c>
      <c r="J258" s="102">
        <f t="shared" si="20"/>
        <v>-24.78</v>
      </c>
      <c r="K258" s="103">
        <f t="shared" si="21"/>
        <v>28.52165354</v>
      </c>
      <c r="L258" s="54"/>
      <c r="M258" s="54"/>
    </row>
    <row r="259">
      <c r="A259" s="54"/>
      <c r="B259" s="110">
        <v>45635.0</v>
      </c>
      <c r="C259" s="110"/>
      <c r="D259" s="99"/>
      <c r="E259" s="100">
        <v>1646279.0</v>
      </c>
      <c r="F259" s="99">
        <f t="shared" si="22"/>
        <v>705</v>
      </c>
      <c r="G259" s="100">
        <v>600.0</v>
      </c>
      <c r="H259" s="101">
        <v>180.0</v>
      </c>
      <c r="I259" s="101">
        <v>200.0</v>
      </c>
      <c r="J259" s="102">
        <f t="shared" si="20"/>
        <v>-20</v>
      </c>
      <c r="K259" s="103">
        <f t="shared" si="21"/>
        <v>28.36879433</v>
      </c>
      <c r="L259" s="54"/>
      <c r="M259" s="54"/>
    </row>
    <row r="260">
      <c r="A260" s="54"/>
      <c r="B260" s="110">
        <v>45635.0</v>
      </c>
      <c r="C260" s="110"/>
      <c r="D260" s="99"/>
      <c r="E260" s="100">
        <v>1647240.0</v>
      </c>
      <c r="F260" s="99">
        <f t="shared" si="22"/>
        <v>961</v>
      </c>
      <c r="G260" s="100">
        <v>600.0</v>
      </c>
      <c r="H260" s="101">
        <v>255.0</v>
      </c>
      <c r="I260" s="101">
        <v>276.2</v>
      </c>
      <c r="J260" s="102">
        <f t="shared" si="20"/>
        <v>-21.2</v>
      </c>
      <c r="K260" s="103">
        <f t="shared" si="21"/>
        <v>28.7408949</v>
      </c>
      <c r="L260" s="54"/>
      <c r="M260" s="54"/>
    </row>
    <row r="261">
      <c r="A261" s="54"/>
      <c r="B261" s="110">
        <v>45637.0</v>
      </c>
      <c r="C261" s="110"/>
      <c r="D261" s="99"/>
      <c r="E261" s="100">
        <v>1647940.0</v>
      </c>
      <c r="F261" s="99">
        <f t="shared" si="22"/>
        <v>700</v>
      </c>
      <c r="G261" s="100">
        <v>600.0</v>
      </c>
      <c r="H261" s="101">
        <v>180.0</v>
      </c>
      <c r="I261" s="101">
        <v>196.11</v>
      </c>
      <c r="J261" s="102">
        <f t="shared" si="20"/>
        <v>-16.11</v>
      </c>
      <c r="K261" s="103">
        <f t="shared" si="21"/>
        <v>28.01571429</v>
      </c>
      <c r="L261" s="54"/>
      <c r="M261" s="54"/>
    </row>
    <row r="262">
      <c r="A262" s="54"/>
      <c r="B262" s="110">
        <v>45638.0</v>
      </c>
      <c r="C262" s="110"/>
      <c r="D262" s="99"/>
      <c r="E262" s="100">
        <v>1649079.0</v>
      </c>
      <c r="F262" s="99">
        <f t="shared" si="22"/>
        <v>1139</v>
      </c>
      <c r="G262" s="100">
        <v>600.0</v>
      </c>
      <c r="H262" s="101">
        <v>295.0</v>
      </c>
      <c r="I262" s="101">
        <v>318.23</v>
      </c>
      <c r="J262" s="102">
        <f t="shared" si="20"/>
        <v>-23.23</v>
      </c>
      <c r="K262" s="103">
        <f t="shared" si="21"/>
        <v>27.93942054</v>
      </c>
      <c r="L262" s="54"/>
      <c r="M262" s="54"/>
    </row>
    <row r="263">
      <c r="A263" s="54"/>
      <c r="B263" s="110">
        <v>45639.0</v>
      </c>
      <c r="C263" s="110"/>
      <c r="D263" s="99"/>
      <c r="E263" s="100">
        <v>1649669.0</v>
      </c>
      <c r="F263" s="99">
        <f t="shared" si="22"/>
        <v>590</v>
      </c>
      <c r="G263" s="100">
        <v>600.0</v>
      </c>
      <c r="H263" s="101">
        <v>140.0</v>
      </c>
      <c r="I263" s="101">
        <v>168.13</v>
      </c>
      <c r="J263" s="102">
        <f t="shared" si="20"/>
        <v>-28.13</v>
      </c>
      <c r="K263" s="103">
        <f t="shared" si="21"/>
        <v>28.49661017</v>
      </c>
      <c r="L263" s="54"/>
      <c r="M263" s="54"/>
    </row>
    <row r="264">
      <c r="A264" s="54"/>
      <c r="B264" s="110">
        <v>45640.0</v>
      </c>
      <c r="C264" s="110"/>
      <c r="D264" s="99"/>
      <c r="E264" s="100">
        <v>1650683.0</v>
      </c>
      <c r="F264" s="99">
        <f t="shared" si="22"/>
        <v>1014</v>
      </c>
      <c r="G264" s="100">
        <v>600.0</v>
      </c>
      <c r="H264" s="101">
        <v>280.0</v>
      </c>
      <c r="I264" s="101">
        <v>299.23</v>
      </c>
      <c r="J264" s="102">
        <f t="shared" si="20"/>
        <v>-19.23</v>
      </c>
      <c r="K264" s="103">
        <f t="shared" si="21"/>
        <v>29.50986193</v>
      </c>
      <c r="L264" s="54"/>
      <c r="M264" s="54"/>
    </row>
    <row r="265">
      <c r="A265" s="54"/>
      <c r="B265" s="110">
        <v>45645.0</v>
      </c>
      <c r="C265" s="110"/>
      <c r="D265" s="102"/>
      <c r="E265" s="100">
        <v>1651641.0</v>
      </c>
      <c r="F265" s="99">
        <f t="shared" si="22"/>
        <v>958</v>
      </c>
      <c r="G265" s="100">
        <v>600.0</v>
      </c>
      <c r="H265" s="101">
        <v>265.0</v>
      </c>
      <c r="I265" s="101">
        <v>300.0</v>
      </c>
      <c r="J265" s="102">
        <f t="shared" si="20"/>
        <v>-35</v>
      </c>
      <c r="K265" s="103">
        <f t="shared" si="21"/>
        <v>31.31524008</v>
      </c>
      <c r="L265" s="54"/>
      <c r="M265" s="54"/>
    </row>
    <row r="266">
      <c r="A266" s="54"/>
      <c r="B266" s="110">
        <v>45646.0</v>
      </c>
      <c r="C266" s="110"/>
      <c r="D266" s="99"/>
      <c r="E266" s="100">
        <v>1652652.0</v>
      </c>
      <c r="F266" s="99">
        <f t="shared" si="22"/>
        <v>1011</v>
      </c>
      <c r="G266" s="100">
        <v>600.0</v>
      </c>
      <c r="H266" s="101">
        <v>250.0</v>
      </c>
      <c r="I266" s="101">
        <v>281.99</v>
      </c>
      <c r="J266" s="102">
        <f t="shared" si="20"/>
        <v>-31.99</v>
      </c>
      <c r="K266" s="103">
        <f t="shared" si="21"/>
        <v>27.89218595</v>
      </c>
      <c r="L266" s="54"/>
      <c r="M266" s="54"/>
    </row>
    <row r="267">
      <c r="A267" s="54"/>
      <c r="B267" s="110">
        <v>45647.0</v>
      </c>
      <c r="C267" s="110"/>
      <c r="D267" s="99"/>
      <c r="E267" s="100">
        <v>1653350.0</v>
      </c>
      <c r="F267" s="99">
        <f t="shared" si="22"/>
        <v>698</v>
      </c>
      <c r="G267" s="100">
        <v>600.0</v>
      </c>
      <c r="H267" s="101">
        <v>170.0</v>
      </c>
      <c r="I267" s="101">
        <v>184.96</v>
      </c>
      <c r="J267" s="102">
        <f t="shared" si="20"/>
        <v>-14.96</v>
      </c>
      <c r="K267" s="103">
        <f t="shared" si="21"/>
        <v>26.49856734</v>
      </c>
      <c r="L267" s="54"/>
      <c r="M267" s="54"/>
    </row>
    <row r="268">
      <c r="A268" s="54"/>
      <c r="B268" s="110">
        <v>45647.0</v>
      </c>
      <c r="C268" s="110"/>
      <c r="D268" s="99"/>
      <c r="E268" s="100">
        <v>1654337.0</v>
      </c>
      <c r="F268" s="99">
        <f t="shared" si="22"/>
        <v>987</v>
      </c>
      <c r="G268" s="100">
        <v>600.0</v>
      </c>
      <c r="H268" s="101">
        <v>260.0</v>
      </c>
      <c r="I268" s="101">
        <v>270.0</v>
      </c>
      <c r="J268" s="102">
        <f t="shared" si="20"/>
        <v>-10</v>
      </c>
      <c r="K268" s="103">
        <f t="shared" si="21"/>
        <v>27.3556231</v>
      </c>
      <c r="L268" s="54"/>
      <c r="M268" s="54"/>
    </row>
    <row r="269">
      <c r="A269" s="54"/>
      <c r="B269" s="110">
        <v>45650.0</v>
      </c>
      <c r="C269" s="110"/>
      <c r="D269" s="99"/>
      <c r="E269" s="100">
        <v>1655045.0</v>
      </c>
      <c r="F269" s="99">
        <f t="shared" si="22"/>
        <v>708</v>
      </c>
      <c r="G269" s="100">
        <v>600.0</v>
      </c>
      <c r="H269" s="101">
        <v>195.0</v>
      </c>
      <c r="I269" s="101">
        <v>211.91</v>
      </c>
      <c r="J269" s="102">
        <f t="shared" si="20"/>
        <v>-16.91</v>
      </c>
      <c r="K269" s="103">
        <f t="shared" si="21"/>
        <v>29.93079096</v>
      </c>
      <c r="L269" s="54"/>
      <c r="M269" s="54"/>
    </row>
    <row r="270">
      <c r="A270" s="54"/>
      <c r="B270" s="110">
        <v>45651.0</v>
      </c>
      <c r="C270" s="110"/>
      <c r="D270" s="99"/>
      <c r="E270" s="100">
        <v>1656007.0</v>
      </c>
      <c r="F270" s="99">
        <f t="shared" si="22"/>
        <v>962</v>
      </c>
      <c r="G270" s="100">
        <v>590.0</v>
      </c>
      <c r="H270" s="101">
        <v>240.0</v>
      </c>
      <c r="I270" s="101">
        <v>250.0</v>
      </c>
      <c r="J270" s="102">
        <f t="shared" si="20"/>
        <v>-10</v>
      </c>
      <c r="K270" s="103">
        <f t="shared" si="21"/>
        <v>25.98752599</v>
      </c>
      <c r="L270" s="54"/>
      <c r="M270" s="54"/>
    </row>
    <row r="271">
      <c r="A271" s="54"/>
      <c r="B271" s="110">
        <v>45652.0</v>
      </c>
      <c r="C271" s="110"/>
      <c r="D271" s="99"/>
      <c r="E271" s="100">
        <v>1656709.0</v>
      </c>
      <c r="F271" s="99">
        <f t="shared" si="22"/>
        <v>702</v>
      </c>
      <c r="G271" s="100">
        <v>600.0</v>
      </c>
      <c r="H271" s="101">
        <v>195.0</v>
      </c>
      <c r="I271" s="101">
        <v>200.03</v>
      </c>
      <c r="J271" s="102">
        <f t="shared" si="20"/>
        <v>-5.03</v>
      </c>
      <c r="K271" s="103">
        <f t="shared" si="21"/>
        <v>28.49430199</v>
      </c>
      <c r="L271" s="54"/>
      <c r="M271" s="54"/>
    </row>
    <row r="272">
      <c r="A272" s="54"/>
      <c r="B272" s="110">
        <v>45653.0</v>
      </c>
      <c r="C272" s="110"/>
      <c r="D272" s="99"/>
      <c r="E272" s="100">
        <v>1657720.0</v>
      </c>
      <c r="F272" s="99">
        <f t="shared" si="22"/>
        <v>1011</v>
      </c>
      <c r="G272" s="100">
        <v>600.0</v>
      </c>
      <c r="H272" s="101">
        <v>270.0</v>
      </c>
      <c r="I272" s="101">
        <v>279.88</v>
      </c>
      <c r="J272" s="102">
        <f t="shared" si="20"/>
        <v>-9.88</v>
      </c>
      <c r="K272" s="103">
        <f t="shared" si="21"/>
        <v>27.6834817</v>
      </c>
      <c r="L272" s="54"/>
      <c r="M272" s="54"/>
    </row>
    <row r="273">
      <c r="A273" s="54"/>
      <c r="B273" s="110">
        <v>45654.0</v>
      </c>
      <c r="C273" s="110"/>
      <c r="D273" s="99"/>
      <c r="E273" s="100">
        <v>1658421.0</v>
      </c>
      <c r="F273" s="99">
        <f t="shared" si="22"/>
        <v>701</v>
      </c>
      <c r="G273" s="100">
        <v>600.0</v>
      </c>
      <c r="H273" s="101">
        <v>180.0</v>
      </c>
      <c r="I273" s="101">
        <v>195.23</v>
      </c>
      <c r="J273" s="102">
        <f t="shared" si="20"/>
        <v>-15.23</v>
      </c>
      <c r="K273" s="103">
        <f t="shared" si="21"/>
        <v>27.85021398</v>
      </c>
      <c r="L273" s="54"/>
      <c r="M273" s="54"/>
    </row>
    <row r="274">
      <c r="A274" s="54"/>
      <c r="B274" s="110">
        <v>45655.0</v>
      </c>
      <c r="C274" s="110"/>
      <c r="D274" s="99"/>
      <c r="E274" s="100">
        <v>1659432.0</v>
      </c>
      <c r="F274" s="99">
        <f t="shared" si="22"/>
        <v>1011</v>
      </c>
      <c r="G274" s="100">
        <v>590.0</v>
      </c>
      <c r="H274" s="101">
        <v>250.0</v>
      </c>
      <c r="I274" s="101">
        <v>250.0</v>
      </c>
      <c r="J274" s="102">
        <f t="shared" si="20"/>
        <v>0</v>
      </c>
      <c r="K274" s="103">
        <f t="shared" si="21"/>
        <v>24.72799209</v>
      </c>
      <c r="L274" s="54"/>
      <c r="M274" s="54"/>
    </row>
    <row r="275">
      <c r="A275" s="68"/>
      <c r="B275" s="134">
        <v>2025.0</v>
      </c>
      <c r="J275" s="88"/>
      <c r="K275" s="204"/>
      <c r="L275" s="91"/>
      <c r="M275" s="66"/>
      <c r="N275" s="66"/>
      <c r="O275" s="66"/>
      <c r="P275" s="66"/>
      <c r="Q275" s="66"/>
    </row>
    <row r="276">
      <c r="A276" s="89"/>
      <c r="B276" s="112" t="s">
        <v>66</v>
      </c>
      <c r="J276" s="89"/>
      <c r="K276" s="90"/>
      <c r="L276" s="91">
        <f>MONTH(B277)</f>
        <v>1</v>
      </c>
      <c r="M276" s="89"/>
      <c r="N276" s="89"/>
      <c r="O276" s="89"/>
      <c r="P276" s="89"/>
      <c r="Q276" s="89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</row>
    <row r="277">
      <c r="A277" s="54"/>
      <c r="B277" s="110">
        <v>45667.0</v>
      </c>
      <c r="C277" s="110"/>
      <c r="D277" s="99"/>
      <c r="E277" s="100">
        <v>1660297.0</v>
      </c>
      <c r="F277" s="99">
        <f>E277-E274</f>
        <v>865</v>
      </c>
      <c r="G277" s="100">
        <v>600.0</v>
      </c>
      <c r="H277" s="101">
        <v>250.0</v>
      </c>
      <c r="I277" s="101">
        <v>269.56</v>
      </c>
      <c r="J277" s="102">
        <f t="shared" ref="J277:J285" si="23">H277-I277</f>
        <v>-19.56</v>
      </c>
      <c r="K277" s="103">
        <f t="shared" ref="K277:K285" si="24">I277/F277*100</f>
        <v>31.16300578</v>
      </c>
      <c r="L277" s="54"/>
      <c r="M277" s="82" t="str">
        <f>"тотал"&amp;" "&amp;B276&amp;" "&amp;RIGHT(YEAR(B277),2)</f>
        <v>тотал ЯНВАРЬ 25</v>
      </c>
      <c r="N277" s="75"/>
      <c r="O277" s="75"/>
      <c r="P277" s="75"/>
      <c r="Q277" s="76"/>
    </row>
    <row r="278">
      <c r="A278" s="54"/>
      <c r="B278" s="110">
        <v>45668.0</v>
      </c>
      <c r="C278" s="110"/>
      <c r="D278" s="99"/>
      <c r="E278" s="100">
        <v>1661308.0</v>
      </c>
      <c r="F278" s="99">
        <f t="shared" ref="F278:F285" si="25">E278-E277</f>
        <v>1011</v>
      </c>
      <c r="G278" s="100">
        <v>600.0</v>
      </c>
      <c r="H278" s="101">
        <v>250.0</v>
      </c>
      <c r="I278" s="101">
        <v>269.61</v>
      </c>
      <c r="J278" s="102">
        <f t="shared" si="23"/>
        <v>-19.61</v>
      </c>
      <c r="K278" s="103">
        <f t="shared" si="24"/>
        <v>26.66765579</v>
      </c>
      <c r="L278" s="54"/>
      <c r="M278" s="83" t="s">
        <v>70</v>
      </c>
      <c r="N278" s="83" t="s">
        <v>71</v>
      </c>
      <c r="O278" s="83" t="s">
        <v>27</v>
      </c>
      <c r="P278" s="77" t="s">
        <v>28</v>
      </c>
      <c r="Q278" s="12" t="s">
        <v>78</v>
      </c>
    </row>
    <row r="279">
      <c r="A279" s="54"/>
      <c r="B279" s="110">
        <v>45670.0</v>
      </c>
      <c r="C279" s="110"/>
      <c r="D279" s="99"/>
      <c r="E279" s="100">
        <v>1662052.0</v>
      </c>
      <c r="F279" s="99">
        <f t="shared" si="25"/>
        <v>744</v>
      </c>
      <c r="G279" s="100">
        <v>600.0</v>
      </c>
      <c r="H279" s="178">
        <v>195.0</v>
      </c>
      <c r="I279" s="101">
        <v>210.36</v>
      </c>
      <c r="J279" s="102">
        <f t="shared" si="23"/>
        <v>-15.36</v>
      </c>
      <c r="K279" s="103">
        <f t="shared" si="24"/>
        <v>28.27419355</v>
      </c>
      <c r="L279" s="54"/>
      <c r="M279" s="84">
        <f>SUM(F277:F285)</f>
        <v>7255</v>
      </c>
      <c r="N279" s="84">
        <f>SUM(I277:I285)</f>
        <v>2102.09</v>
      </c>
      <c r="O279" s="85">
        <f>N279/M279*100</f>
        <v>28.97436251</v>
      </c>
      <c r="P279" s="79">
        <f>(M279/100)*(O279-Q279)</f>
        <v>360.89</v>
      </c>
      <c r="Q279" s="78">
        <v>24.0</v>
      </c>
    </row>
    <row r="280">
      <c r="A280" s="54"/>
      <c r="B280" s="110">
        <v>45672.0</v>
      </c>
      <c r="C280" s="110"/>
      <c r="D280" s="99"/>
      <c r="E280" s="100">
        <v>1662810.0</v>
      </c>
      <c r="F280" s="99">
        <f t="shared" si="25"/>
        <v>758</v>
      </c>
      <c r="G280" s="100">
        <v>600.0</v>
      </c>
      <c r="H280" s="178">
        <v>215.0</v>
      </c>
      <c r="I280" s="101">
        <v>226.79</v>
      </c>
      <c r="J280" s="102">
        <f t="shared" si="23"/>
        <v>-11.79</v>
      </c>
      <c r="K280" s="103">
        <f t="shared" si="24"/>
        <v>29.91952507</v>
      </c>
      <c r="L280" s="54"/>
      <c r="M280" s="54"/>
    </row>
    <row r="281">
      <c r="A281" s="54"/>
      <c r="B281" s="110">
        <v>45684.0</v>
      </c>
      <c r="C281" s="110"/>
      <c r="D281" s="99"/>
      <c r="E281" s="100">
        <v>1663280.0</v>
      </c>
      <c r="F281" s="99">
        <f t="shared" si="25"/>
        <v>470</v>
      </c>
      <c r="G281" s="100">
        <v>600.0</v>
      </c>
      <c r="H281" s="101">
        <v>140.0</v>
      </c>
      <c r="I281" s="101">
        <v>162.89</v>
      </c>
      <c r="J281" s="102">
        <f t="shared" si="23"/>
        <v>-22.89</v>
      </c>
      <c r="K281" s="103">
        <f t="shared" si="24"/>
        <v>34.65744681</v>
      </c>
      <c r="L281" s="54"/>
      <c r="M281" s="54"/>
    </row>
    <row r="282">
      <c r="A282" s="54"/>
      <c r="B282" s="110">
        <v>45684.0</v>
      </c>
      <c r="C282" s="110"/>
      <c r="D282" s="99"/>
      <c r="E282" s="100">
        <v>1664268.0</v>
      </c>
      <c r="F282" s="99">
        <f t="shared" si="25"/>
        <v>988</v>
      </c>
      <c r="G282" s="100">
        <v>600.0</v>
      </c>
      <c r="H282" s="101">
        <v>270.0</v>
      </c>
      <c r="I282" s="101">
        <v>288.42</v>
      </c>
      <c r="J282" s="102">
        <f t="shared" si="23"/>
        <v>-18.42</v>
      </c>
      <c r="K282" s="103">
        <f t="shared" si="24"/>
        <v>29.19230769</v>
      </c>
      <c r="L282" s="54"/>
      <c r="M282" s="54"/>
    </row>
    <row r="283">
      <c r="A283" s="54"/>
      <c r="B283" s="110">
        <v>45686.0</v>
      </c>
      <c r="C283" s="110"/>
      <c r="D283" s="99"/>
      <c r="E283" s="100">
        <v>1664969.0</v>
      </c>
      <c r="F283" s="99">
        <f t="shared" si="25"/>
        <v>701</v>
      </c>
      <c r="G283" s="100">
        <v>600.0</v>
      </c>
      <c r="H283" s="101">
        <v>175.0</v>
      </c>
      <c r="I283" s="101">
        <v>195.27</v>
      </c>
      <c r="J283" s="102">
        <f t="shared" si="23"/>
        <v>-20.27</v>
      </c>
      <c r="K283" s="103">
        <f t="shared" si="24"/>
        <v>27.85592011</v>
      </c>
      <c r="L283" s="54"/>
      <c r="M283" s="54"/>
    </row>
    <row r="284">
      <c r="A284" s="54"/>
      <c r="B284" s="110">
        <v>45687.0</v>
      </c>
      <c r="C284" s="110"/>
      <c r="D284" s="99"/>
      <c r="E284" s="100">
        <v>1665983.0</v>
      </c>
      <c r="F284" s="99">
        <f t="shared" si="25"/>
        <v>1014</v>
      </c>
      <c r="G284" s="100">
        <v>600.0</v>
      </c>
      <c r="H284" s="101">
        <v>270.0</v>
      </c>
      <c r="I284" s="101">
        <v>286.82</v>
      </c>
      <c r="J284" s="102">
        <f t="shared" si="23"/>
        <v>-16.82</v>
      </c>
      <c r="K284" s="103">
        <f t="shared" si="24"/>
        <v>28.28599606</v>
      </c>
      <c r="L284" s="54"/>
      <c r="M284" s="54"/>
    </row>
    <row r="285">
      <c r="A285" s="54"/>
      <c r="B285" s="110">
        <v>45688.0</v>
      </c>
      <c r="C285" s="110"/>
      <c r="D285" s="99"/>
      <c r="E285" s="100">
        <v>1666687.0</v>
      </c>
      <c r="F285" s="99">
        <f t="shared" si="25"/>
        <v>704</v>
      </c>
      <c r="G285" s="100">
        <v>600.0</v>
      </c>
      <c r="H285" s="101">
        <v>180.0</v>
      </c>
      <c r="I285" s="101">
        <v>192.37</v>
      </c>
      <c r="J285" s="308">
        <f t="shared" si="23"/>
        <v>-12.37</v>
      </c>
      <c r="K285" s="169">
        <f t="shared" si="24"/>
        <v>27.32528409</v>
      </c>
      <c r="L285" s="54"/>
      <c r="M285" s="54"/>
    </row>
    <row r="286">
      <c r="A286" s="89"/>
      <c r="B286" s="112" t="s">
        <v>68</v>
      </c>
      <c r="J286" s="437"/>
      <c r="K286" s="438"/>
      <c r="L286" s="91">
        <f>MONTH(B287)</f>
        <v>2</v>
      </c>
      <c r="M286" s="89"/>
      <c r="N286" s="89"/>
      <c r="O286" s="89"/>
      <c r="P286" s="89"/>
      <c r="Q286" s="89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</row>
    <row r="287">
      <c r="A287" s="54"/>
      <c r="B287" s="110">
        <v>45689.0</v>
      </c>
      <c r="C287" s="110"/>
      <c r="D287" s="99"/>
      <c r="E287" s="100">
        <v>1667701.0</v>
      </c>
      <c r="F287" s="99">
        <f>E287-E285</f>
        <v>1014</v>
      </c>
      <c r="G287" s="100">
        <v>600.0</v>
      </c>
      <c r="H287" s="101">
        <v>270.0</v>
      </c>
      <c r="I287" s="101">
        <v>293.81</v>
      </c>
      <c r="J287" s="168">
        <f t="shared" ref="J287:J306" si="26">H287-I287</f>
        <v>-23.81</v>
      </c>
      <c r="K287" s="170">
        <f t="shared" ref="K287:K306" si="27">I287/F287*100</f>
        <v>28.97534517</v>
      </c>
      <c r="L287" s="54"/>
      <c r="M287" s="82" t="str">
        <f>"тотал"&amp;" "&amp;B286&amp;" "&amp;RIGHT(YEAR(B287),2)</f>
        <v>тотал ФЕВРАЛЬ 25</v>
      </c>
      <c r="N287" s="75"/>
      <c r="O287" s="75"/>
      <c r="P287" s="75"/>
      <c r="Q287" s="76"/>
    </row>
    <row r="288">
      <c r="A288" s="54"/>
      <c r="B288" s="110">
        <v>45691.0</v>
      </c>
      <c r="C288" s="110"/>
      <c r="D288" s="99"/>
      <c r="E288" s="100">
        <v>1668450.0</v>
      </c>
      <c r="F288" s="99">
        <f t="shared" ref="F288:F306" si="28">E288-E287</f>
        <v>749</v>
      </c>
      <c r="G288" s="100">
        <v>600.0</v>
      </c>
      <c r="H288" s="101">
        <v>190.0</v>
      </c>
      <c r="I288" s="101">
        <v>207.57</v>
      </c>
      <c r="J288" s="102">
        <f t="shared" si="26"/>
        <v>-17.57</v>
      </c>
      <c r="K288" s="103">
        <f t="shared" si="27"/>
        <v>27.7129506</v>
      </c>
      <c r="L288" s="54"/>
      <c r="M288" s="83" t="s">
        <v>70</v>
      </c>
      <c r="N288" s="83" t="s">
        <v>71</v>
      </c>
      <c r="O288" s="83" t="s">
        <v>27</v>
      </c>
      <c r="P288" s="77" t="s">
        <v>28</v>
      </c>
      <c r="Q288" s="12" t="s">
        <v>78</v>
      </c>
    </row>
    <row r="289">
      <c r="A289" s="54"/>
      <c r="B289" s="110">
        <v>45692.0</v>
      </c>
      <c r="C289" s="110"/>
      <c r="D289" s="99"/>
      <c r="E289" s="100">
        <v>1669410.0</v>
      </c>
      <c r="F289" s="99">
        <f t="shared" si="28"/>
        <v>960</v>
      </c>
      <c r="G289" s="100">
        <v>600.0</v>
      </c>
      <c r="H289" s="101">
        <v>250.0</v>
      </c>
      <c r="I289" s="101">
        <v>250.0</v>
      </c>
      <c r="J289" s="102">
        <f t="shared" si="26"/>
        <v>0</v>
      </c>
      <c r="K289" s="103">
        <f t="shared" si="27"/>
        <v>26.04166667</v>
      </c>
      <c r="L289" s="54"/>
      <c r="M289" s="84">
        <f>SUM(F287:F306)</f>
        <v>16944</v>
      </c>
      <c r="N289" s="84">
        <f>SUM(I287:I306)</f>
        <v>5056.23</v>
      </c>
      <c r="O289" s="85">
        <f>N289/M289*100</f>
        <v>29.84082861</v>
      </c>
      <c r="P289" s="79">
        <f>(M289/100)*(O289-Q289)</f>
        <v>989.67</v>
      </c>
      <c r="Q289" s="78">
        <v>24.0</v>
      </c>
    </row>
    <row r="290">
      <c r="A290" s="54"/>
      <c r="B290" s="110">
        <v>45693.0</v>
      </c>
      <c r="C290" s="110"/>
      <c r="D290" s="99"/>
      <c r="E290" s="100">
        <v>1670110.0</v>
      </c>
      <c r="F290" s="99">
        <f t="shared" si="28"/>
        <v>700</v>
      </c>
      <c r="G290" s="100">
        <v>600.0</v>
      </c>
      <c r="H290" s="101">
        <v>200.0</v>
      </c>
      <c r="I290" s="101">
        <v>199.65</v>
      </c>
      <c r="J290" s="102">
        <f t="shared" si="26"/>
        <v>0.35</v>
      </c>
      <c r="K290" s="103">
        <f t="shared" si="27"/>
        <v>28.52142857</v>
      </c>
      <c r="L290" s="54"/>
      <c r="M290" s="54"/>
    </row>
    <row r="291">
      <c r="A291" s="54"/>
      <c r="B291" s="110">
        <v>45694.0</v>
      </c>
      <c r="C291" s="110"/>
      <c r="D291" s="99"/>
      <c r="E291" s="100">
        <v>1671125.0</v>
      </c>
      <c r="F291" s="99">
        <f t="shared" si="28"/>
        <v>1015</v>
      </c>
      <c r="G291" s="100">
        <v>600.0</v>
      </c>
      <c r="H291" s="101">
        <v>310.0</v>
      </c>
      <c r="I291" s="101">
        <v>333.42</v>
      </c>
      <c r="J291" s="102">
        <f t="shared" si="26"/>
        <v>-23.42</v>
      </c>
      <c r="K291" s="103">
        <f t="shared" si="27"/>
        <v>32.84926108</v>
      </c>
      <c r="L291" s="54"/>
      <c r="M291" s="54"/>
    </row>
    <row r="292">
      <c r="A292" s="54"/>
      <c r="B292" s="110">
        <v>45695.0</v>
      </c>
      <c r="C292" s="110"/>
      <c r="D292" s="99"/>
      <c r="E292" s="100">
        <v>1671839.0</v>
      </c>
      <c r="F292" s="99">
        <f t="shared" si="28"/>
        <v>714</v>
      </c>
      <c r="G292" s="100">
        <v>600.0</v>
      </c>
      <c r="H292" s="101">
        <v>180.0</v>
      </c>
      <c r="I292" s="101">
        <v>200.0</v>
      </c>
      <c r="J292" s="102">
        <f t="shared" si="26"/>
        <v>-20</v>
      </c>
      <c r="K292" s="103">
        <f t="shared" si="27"/>
        <v>28.01120448</v>
      </c>
      <c r="L292" s="54"/>
      <c r="M292" s="54"/>
    </row>
    <row r="293">
      <c r="A293" s="54"/>
      <c r="B293" s="110">
        <v>45696.0</v>
      </c>
      <c r="C293" s="110"/>
      <c r="D293" s="99"/>
      <c r="E293" s="100">
        <v>1672388.0</v>
      </c>
      <c r="F293" s="99">
        <f t="shared" si="28"/>
        <v>549</v>
      </c>
      <c r="G293" s="100">
        <v>600.0</v>
      </c>
      <c r="H293" s="101">
        <v>160.0</v>
      </c>
      <c r="I293" s="101">
        <v>170.61</v>
      </c>
      <c r="J293" s="102">
        <f t="shared" si="26"/>
        <v>-10.61</v>
      </c>
      <c r="K293" s="103">
        <f t="shared" si="27"/>
        <v>31.07650273</v>
      </c>
      <c r="L293" s="54"/>
      <c r="M293" s="54"/>
    </row>
    <row r="294">
      <c r="A294" s="54"/>
      <c r="B294" s="110">
        <v>45699.0</v>
      </c>
      <c r="C294" s="110"/>
      <c r="D294" s="99"/>
      <c r="E294" s="100">
        <v>1673196.0</v>
      </c>
      <c r="F294" s="99">
        <f t="shared" si="28"/>
        <v>808</v>
      </c>
      <c r="G294" s="100">
        <v>600.0</v>
      </c>
      <c r="H294" s="101">
        <v>195.0</v>
      </c>
      <c r="I294" s="101">
        <v>210.53</v>
      </c>
      <c r="J294" s="102">
        <f t="shared" si="26"/>
        <v>-15.53</v>
      </c>
      <c r="K294" s="103">
        <f t="shared" si="27"/>
        <v>26.05569307</v>
      </c>
      <c r="L294" s="54"/>
      <c r="M294" s="54"/>
    </row>
    <row r="295">
      <c r="A295" s="54"/>
      <c r="B295" s="110">
        <v>45700.0</v>
      </c>
      <c r="C295" s="110"/>
      <c r="D295" s="99"/>
      <c r="E295" s="100">
        <v>1674211.0</v>
      </c>
      <c r="F295" s="99">
        <f t="shared" si="28"/>
        <v>1015</v>
      </c>
      <c r="G295" s="100">
        <v>600.0</v>
      </c>
      <c r="H295" s="101">
        <v>290.0</v>
      </c>
      <c r="I295" s="101">
        <v>300.0</v>
      </c>
      <c r="J295" s="102">
        <f t="shared" si="26"/>
        <v>-10</v>
      </c>
      <c r="K295" s="103">
        <f t="shared" si="27"/>
        <v>29.55665025</v>
      </c>
      <c r="L295" s="54"/>
      <c r="M295" s="54"/>
    </row>
    <row r="296">
      <c r="A296" s="54"/>
      <c r="B296" s="110">
        <v>45701.0</v>
      </c>
      <c r="C296" s="110"/>
      <c r="D296" s="99"/>
      <c r="E296" s="100">
        <v>1674912.0</v>
      </c>
      <c r="F296" s="99">
        <f t="shared" si="28"/>
        <v>701</v>
      </c>
      <c r="G296" s="100">
        <v>600.0</v>
      </c>
      <c r="H296" s="101">
        <v>200.0</v>
      </c>
      <c r="I296" s="101">
        <v>200.0</v>
      </c>
      <c r="J296" s="102">
        <f t="shared" si="26"/>
        <v>0</v>
      </c>
      <c r="K296" s="103">
        <f t="shared" si="27"/>
        <v>28.53067047</v>
      </c>
      <c r="L296" s="54"/>
      <c r="M296" s="54"/>
    </row>
    <row r="297">
      <c r="A297" s="54"/>
      <c r="B297" s="110">
        <v>45702.0</v>
      </c>
      <c r="C297" s="110"/>
      <c r="D297" s="99"/>
      <c r="E297" s="100">
        <v>1675925.0</v>
      </c>
      <c r="F297" s="99">
        <f t="shared" si="28"/>
        <v>1013</v>
      </c>
      <c r="G297" s="100">
        <v>595.0</v>
      </c>
      <c r="H297" s="101">
        <v>305.0</v>
      </c>
      <c r="I297" s="101">
        <v>300.0</v>
      </c>
      <c r="J297" s="102">
        <f t="shared" si="26"/>
        <v>5</v>
      </c>
      <c r="K297" s="103">
        <f t="shared" si="27"/>
        <v>29.61500494</v>
      </c>
      <c r="L297" s="54"/>
      <c r="M297" s="54"/>
    </row>
    <row r="298">
      <c r="A298" s="54"/>
      <c r="B298" s="110">
        <v>45703.0</v>
      </c>
      <c r="C298" s="110"/>
      <c r="D298" s="99"/>
      <c r="E298" s="100">
        <v>1676636.0</v>
      </c>
      <c r="F298" s="99">
        <f t="shared" si="28"/>
        <v>711</v>
      </c>
      <c r="G298" s="100">
        <v>600.0</v>
      </c>
      <c r="H298" s="101">
        <v>210.0</v>
      </c>
      <c r="I298" s="101">
        <v>220.0</v>
      </c>
      <c r="J298" s="102">
        <f t="shared" si="26"/>
        <v>-10</v>
      </c>
      <c r="K298" s="103">
        <f t="shared" si="27"/>
        <v>30.94233474</v>
      </c>
      <c r="L298" s="54"/>
      <c r="M298" s="54"/>
    </row>
    <row r="299">
      <c r="A299" s="54"/>
      <c r="B299" s="110">
        <v>45703.0</v>
      </c>
      <c r="C299" s="110"/>
      <c r="D299" s="99"/>
      <c r="E299" s="100">
        <v>1677591.0</v>
      </c>
      <c r="F299" s="99">
        <f t="shared" si="28"/>
        <v>955</v>
      </c>
      <c r="G299" s="100">
        <v>600.0</v>
      </c>
      <c r="H299" s="101">
        <v>290.0</v>
      </c>
      <c r="I299" s="101">
        <v>300.0</v>
      </c>
      <c r="J299" s="102">
        <f t="shared" si="26"/>
        <v>-10</v>
      </c>
      <c r="K299" s="103">
        <f t="shared" si="27"/>
        <v>31.41361257</v>
      </c>
      <c r="L299" s="54"/>
      <c r="M299" s="54"/>
    </row>
    <row r="300">
      <c r="A300" s="54"/>
      <c r="B300" s="110">
        <v>45705.0</v>
      </c>
      <c r="C300" s="110"/>
      <c r="D300" s="99"/>
      <c r="E300" s="100">
        <v>1678292.0</v>
      </c>
      <c r="F300" s="99">
        <f t="shared" si="28"/>
        <v>701</v>
      </c>
      <c r="G300" s="100">
        <v>600.0</v>
      </c>
      <c r="H300" s="101">
        <v>200.0</v>
      </c>
      <c r="I300" s="101">
        <v>210.64</v>
      </c>
      <c r="J300" s="102">
        <f t="shared" si="26"/>
        <v>-10.64</v>
      </c>
      <c r="K300" s="103">
        <f t="shared" si="27"/>
        <v>30.04850214</v>
      </c>
      <c r="L300" s="54"/>
      <c r="M300" s="54"/>
    </row>
    <row r="301">
      <c r="A301" s="54"/>
      <c r="B301" s="110">
        <v>45706.0</v>
      </c>
      <c r="C301" s="110"/>
      <c r="D301" s="99"/>
      <c r="E301" s="100">
        <v>1679306.0</v>
      </c>
      <c r="F301" s="99">
        <f t="shared" si="28"/>
        <v>1014</v>
      </c>
      <c r="G301" s="100">
        <v>600.0</v>
      </c>
      <c r="H301" s="101">
        <v>310.0</v>
      </c>
      <c r="I301" s="101">
        <v>320.0</v>
      </c>
      <c r="J301" s="102">
        <f t="shared" si="26"/>
        <v>-10</v>
      </c>
      <c r="K301" s="103">
        <f t="shared" si="27"/>
        <v>31.5581854</v>
      </c>
      <c r="L301" s="54"/>
      <c r="M301" s="54"/>
    </row>
    <row r="302">
      <c r="A302" s="54"/>
      <c r="B302" s="110">
        <v>45707.0</v>
      </c>
      <c r="C302" s="110"/>
      <c r="D302" s="99"/>
      <c r="E302" s="100">
        <v>1680017.0</v>
      </c>
      <c r="F302" s="99">
        <f t="shared" si="28"/>
        <v>711</v>
      </c>
      <c r="G302" s="100">
        <v>600.0</v>
      </c>
      <c r="H302" s="101">
        <v>200.0</v>
      </c>
      <c r="I302" s="101">
        <v>220.0</v>
      </c>
      <c r="J302" s="102">
        <f t="shared" si="26"/>
        <v>-20</v>
      </c>
      <c r="K302" s="103">
        <f t="shared" si="27"/>
        <v>30.94233474</v>
      </c>
      <c r="L302" s="54"/>
      <c r="M302" s="54"/>
    </row>
    <row r="303">
      <c r="A303" s="54"/>
      <c r="B303" s="110">
        <v>45708.0</v>
      </c>
      <c r="C303" s="110"/>
      <c r="D303" s="99"/>
      <c r="E303" s="100">
        <v>1680997.0</v>
      </c>
      <c r="F303" s="99">
        <f t="shared" si="28"/>
        <v>980</v>
      </c>
      <c r="G303" s="100">
        <v>600.0</v>
      </c>
      <c r="H303" s="101">
        <v>290.0</v>
      </c>
      <c r="I303" s="101">
        <v>300.0</v>
      </c>
      <c r="J303" s="102">
        <f t="shared" si="26"/>
        <v>-10</v>
      </c>
      <c r="K303" s="103">
        <f t="shared" si="27"/>
        <v>30.6122449</v>
      </c>
      <c r="L303" s="54"/>
      <c r="M303" s="54"/>
    </row>
    <row r="304">
      <c r="A304" s="54"/>
      <c r="B304" s="110">
        <v>45709.0</v>
      </c>
      <c r="C304" s="110"/>
      <c r="D304" s="99"/>
      <c r="E304" s="100">
        <v>1681708.0</v>
      </c>
      <c r="F304" s="99">
        <f t="shared" si="28"/>
        <v>711</v>
      </c>
      <c r="G304" s="100">
        <v>600.0</v>
      </c>
      <c r="H304" s="101">
        <v>200.0</v>
      </c>
      <c r="I304" s="101">
        <v>220.0</v>
      </c>
      <c r="J304" s="102">
        <f t="shared" si="26"/>
        <v>-20</v>
      </c>
      <c r="K304" s="103">
        <f t="shared" si="27"/>
        <v>30.94233474</v>
      </c>
      <c r="L304" s="54"/>
      <c r="M304" s="54"/>
    </row>
    <row r="305">
      <c r="A305" s="54"/>
      <c r="B305" s="110">
        <v>45710.0</v>
      </c>
      <c r="C305" s="110"/>
      <c r="D305" s="99"/>
      <c r="E305" s="100">
        <v>1682711.0</v>
      </c>
      <c r="F305" s="99">
        <f t="shared" si="28"/>
        <v>1003</v>
      </c>
      <c r="G305" s="100">
        <v>600.0</v>
      </c>
      <c r="H305" s="101">
        <v>290.0</v>
      </c>
      <c r="I305" s="101">
        <v>300.0</v>
      </c>
      <c r="J305" s="102">
        <f t="shared" si="26"/>
        <v>-10</v>
      </c>
      <c r="K305" s="103">
        <f t="shared" si="27"/>
        <v>29.91026919</v>
      </c>
      <c r="L305" s="54"/>
      <c r="M305" s="54"/>
    </row>
    <row r="306">
      <c r="A306" s="54"/>
      <c r="B306" s="110">
        <v>45716.0</v>
      </c>
      <c r="C306" s="110"/>
      <c r="D306" s="99"/>
      <c r="E306" s="100">
        <v>1683631.0</v>
      </c>
      <c r="F306" s="99">
        <f t="shared" si="28"/>
        <v>920</v>
      </c>
      <c r="G306" s="100">
        <v>600.0</v>
      </c>
      <c r="H306" s="101">
        <v>280.0</v>
      </c>
      <c r="I306" s="101">
        <v>300.0</v>
      </c>
      <c r="J306" s="102">
        <f t="shared" si="26"/>
        <v>-20</v>
      </c>
      <c r="K306" s="103">
        <f t="shared" si="27"/>
        <v>32.60869565</v>
      </c>
      <c r="L306" s="54"/>
      <c r="M306" s="54"/>
    </row>
    <row r="307">
      <c r="A307" s="68"/>
      <c r="B307" s="203" t="str">
        <f>IF(L307=4,"АПРЕЛЬ",IF(L307=5,"МАЙ",IF(L307=1,"ЯНВАРЬ",IF(L307=2,"ФЕВРАЛЬ",IF(L307=3,"МАРТ",IF(L307=6,"ИЮНЬ",IF(L307=7,"ИЮЛЬ",IF(L307=8,"АВГУСТ",IF(L307=9,"СЕНТЯБРЬ",IF(L307=10,"ОКТЯБРЬ",IF(L307=11,"НОЯБРЬ",IF(L307=12,"ДЕКАБРЬ"))))))))))))</f>
        <v>МАРТ</v>
      </c>
      <c r="J307" s="66"/>
      <c r="K307" s="204"/>
      <c r="L307" s="91">
        <f>MONTH(B308)</f>
        <v>3</v>
      </c>
      <c r="M307" s="66"/>
      <c r="N307" s="66"/>
      <c r="O307" s="66"/>
      <c r="P307" s="66"/>
      <c r="Q307" s="66"/>
      <c r="R307" s="66"/>
      <c r="S307" s="372"/>
      <c r="T307" s="66"/>
      <c r="U307" s="66"/>
      <c r="V307" s="66"/>
      <c r="W307" s="66"/>
      <c r="X307" s="66"/>
      <c r="Y307" s="66"/>
      <c r="Z307" s="66"/>
      <c r="AA307" s="66"/>
      <c r="AB307" s="242"/>
      <c r="AC307" s="66"/>
      <c r="AD307" s="66"/>
    </row>
    <row r="308">
      <c r="A308" s="54"/>
      <c r="B308" s="110">
        <v>45717.0</v>
      </c>
      <c r="C308" s="110"/>
      <c r="D308" s="99"/>
      <c r="E308" s="100">
        <v>1684634.0</v>
      </c>
      <c r="F308" s="99">
        <f>E308-E306</f>
        <v>1003</v>
      </c>
      <c r="G308" s="100">
        <v>580.0</v>
      </c>
      <c r="H308" s="101">
        <v>270.0</v>
      </c>
      <c r="I308" s="101">
        <v>270.0</v>
      </c>
      <c r="J308" s="102">
        <f t="shared" ref="J308:J330" si="29">H308-I308</f>
        <v>0</v>
      </c>
      <c r="K308" s="103">
        <f t="shared" ref="K308:K330" si="30">I308/F308*100</f>
        <v>26.91924227</v>
      </c>
      <c r="L308" s="54"/>
      <c r="M308" s="82" t="str">
        <f>"тотал"&amp;" "&amp;B307&amp;" "&amp;RIGHT(YEAR(B308),2)</f>
        <v>тотал МАРТ 25</v>
      </c>
      <c r="N308" s="75"/>
      <c r="O308" s="75"/>
      <c r="P308" s="75"/>
      <c r="Q308" s="76"/>
    </row>
    <row r="309">
      <c r="A309" s="54"/>
      <c r="B309" s="110">
        <v>45719.0</v>
      </c>
      <c r="C309" s="110"/>
      <c r="D309" s="99"/>
      <c r="E309" s="100">
        <v>1685303.0</v>
      </c>
      <c r="F309" s="99">
        <f t="shared" ref="F309:F330" si="31">E309-E308</f>
        <v>669</v>
      </c>
      <c r="G309" s="100">
        <v>570.0</v>
      </c>
      <c r="H309" s="101">
        <v>190.0</v>
      </c>
      <c r="I309" s="101">
        <v>200.0</v>
      </c>
      <c r="J309" s="102">
        <f t="shared" si="29"/>
        <v>-10</v>
      </c>
      <c r="K309" s="103">
        <f t="shared" si="30"/>
        <v>29.89536622</v>
      </c>
      <c r="L309" s="54"/>
      <c r="M309" s="83" t="s">
        <v>70</v>
      </c>
      <c r="N309" s="83" t="s">
        <v>71</v>
      </c>
      <c r="O309" s="83" t="s">
        <v>27</v>
      </c>
      <c r="P309" s="77" t="s">
        <v>28</v>
      </c>
      <c r="Q309" s="12" t="s">
        <v>78</v>
      </c>
    </row>
    <row r="310">
      <c r="A310" s="54"/>
      <c r="B310" s="110">
        <v>45720.0</v>
      </c>
      <c r="C310" s="110"/>
      <c r="D310" s="99"/>
      <c r="E310" s="100">
        <v>1686317.0</v>
      </c>
      <c r="F310" s="99">
        <f t="shared" si="31"/>
        <v>1014</v>
      </c>
      <c r="G310" s="100">
        <v>600.0</v>
      </c>
      <c r="H310" s="101">
        <v>330.0</v>
      </c>
      <c r="I310" s="101">
        <v>350.0</v>
      </c>
      <c r="J310" s="102">
        <f t="shared" si="29"/>
        <v>-20</v>
      </c>
      <c r="K310" s="103">
        <f t="shared" si="30"/>
        <v>34.51676529</v>
      </c>
      <c r="L310" s="54"/>
      <c r="M310" s="84">
        <f>SUM(F308:F330)</f>
        <v>19769</v>
      </c>
      <c r="N310" s="84">
        <f>SUM(I308:I330)</f>
        <v>5653.45</v>
      </c>
      <c r="O310" s="85">
        <f>N310/M310*100</f>
        <v>28.59755172</v>
      </c>
      <c r="P310" s="79">
        <f>(M310/100)*(O310-Q310)</f>
        <v>908.89</v>
      </c>
      <c r="Q310" s="78">
        <v>24.0</v>
      </c>
    </row>
    <row r="311">
      <c r="A311" s="54"/>
      <c r="B311" s="110">
        <v>45721.0</v>
      </c>
      <c r="C311" s="110"/>
      <c r="D311" s="99"/>
      <c r="E311" s="100">
        <v>1687029.0</v>
      </c>
      <c r="F311" s="99">
        <f t="shared" si="31"/>
        <v>712</v>
      </c>
      <c r="G311" s="100">
        <v>600.0</v>
      </c>
      <c r="H311" s="101">
        <v>200.0</v>
      </c>
      <c r="I311" s="101">
        <v>220.0</v>
      </c>
      <c r="J311" s="102">
        <f t="shared" si="29"/>
        <v>-20</v>
      </c>
      <c r="K311" s="103">
        <f t="shared" si="30"/>
        <v>30.8988764</v>
      </c>
      <c r="L311" s="54"/>
      <c r="M311" s="54"/>
    </row>
    <row r="312">
      <c r="A312" s="54"/>
      <c r="B312" s="110">
        <v>45722.0</v>
      </c>
      <c r="C312" s="110"/>
      <c r="D312" s="99"/>
      <c r="E312" s="100">
        <v>1688033.0</v>
      </c>
      <c r="F312" s="99">
        <f t="shared" si="31"/>
        <v>1004</v>
      </c>
      <c r="G312" s="100">
        <v>600.0</v>
      </c>
      <c r="H312" s="101">
        <v>305.0</v>
      </c>
      <c r="I312" s="101">
        <v>300.0</v>
      </c>
      <c r="J312" s="102">
        <f t="shared" si="29"/>
        <v>5</v>
      </c>
      <c r="K312" s="103">
        <f t="shared" si="30"/>
        <v>29.88047809</v>
      </c>
      <c r="L312" s="54"/>
      <c r="M312" s="54"/>
    </row>
    <row r="313">
      <c r="A313" s="54"/>
      <c r="B313" s="110">
        <v>45723.0</v>
      </c>
      <c r="C313" s="110"/>
      <c r="D313" s="99"/>
      <c r="E313" s="100">
        <v>1688707.0</v>
      </c>
      <c r="F313" s="99">
        <f t="shared" si="31"/>
        <v>674</v>
      </c>
      <c r="G313" s="100">
        <v>600.0</v>
      </c>
      <c r="H313" s="101">
        <v>200.0</v>
      </c>
      <c r="I313" s="101">
        <v>215.77</v>
      </c>
      <c r="J313" s="102">
        <f t="shared" si="29"/>
        <v>-15.77</v>
      </c>
      <c r="K313" s="103">
        <f t="shared" si="30"/>
        <v>32.01335312</v>
      </c>
      <c r="L313" s="54"/>
      <c r="M313" s="54"/>
    </row>
    <row r="314">
      <c r="A314" s="54"/>
      <c r="B314" s="110">
        <v>45724.0</v>
      </c>
      <c r="C314" s="110"/>
      <c r="D314" s="99"/>
      <c r="E314" s="100">
        <v>1689716.0</v>
      </c>
      <c r="F314" s="99">
        <f t="shared" si="31"/>
        <v>1009</v>
      </c>
      <c r="G314" s="100">
        <v>600.0</v>
      </c>
      <c r="H314" s="101">
        <v>290.0</v>
      </c>
      <c r="I314" s="101">
        <v>300.0</v>
      </c>
      <c r="J314" s="102">
        <f t="shared" si="29"/>
        <v>-10</v>
      </c>
      <c r="K314" s="103">
        <f t="shared" si="30"/>
        <v>29.73240833</v>
      </c>
      <c r="L314" s="54"/>
      <c r="M314" s="54"/>
    </row>
    <row r="315">
      <c r="A315" s="54"/>
      <c r="B315" s="110">
        <v>45730.0</v>
      </c>
      <c r="C315" s="110"/>
      <c r="D315" s="99"/>
      <c r="E315" s="100">
        <v>1690833.0</v>
      </c>
      <c r="F315" s="99">
        <f t="shared" si="31"/>
        <v>1117</v>
      </c>
      <c r="G315" s="100">
        <v>600.0</v>
      </c>
      <c r="H315" s="101">
        <v>310.0</v>
      </c>
      <c r="I315" s="101">
        <v>329.18</v>
      </c>
      <c r="J315" s="102">
        <f t="shared" si="29"/>
        <v>-19.18</v>
      </c>
      <c r="K315" s="103">
        <f t="shared" si="30"/>
        <v>29.47000895</v>
      </c>
      <c r="L315" s="54"/>
      <c r="M315" s="54"/>
    </row>
    <row r="316">
      <c r="A316" s="54"/>
      <c r="B316" s="110">
        <v>45730.0</v>
      </c>
      <c r="C316" s="110"/>
      <c r="D316" s="99"/>
      <c r="E316" s="100">
        <v>1691785.0</v>
      </c>
      <c r="F316" s="99">
        <f t="shared" si="31"/>
        <v>952</v>
      </c>
      <c r="G316" s="100">
        <v>595.0</v>
      </c>
      <c r="H316" s="101">
        <v>255.0</v>
      </c>
      <c r="I316" s="101">
        <v>250.0</v>
      </c>
      <c r="J316" s="102">
        <f t="shared" si="29"/>
        <v>5</v>
      </c>
      <c r="K316" s="103">
        <f t="shared" si="30"/>
        <v>26.2605042</v>
      </c>
      <c r="L316" s="54"/>
      <c r="M316" s="54"/>
    </row>
    <row r="317">
      <c r="A317" s="54"/>
      <c r="B317" s="110">
        <v>45733.0</v>
      </c>
      <c r="C317" s="110"/>
      <c r="D317" s="99"/>
      <c r="E317" s="100">
        <v>1692458.0</v>
      </c>
      <c r="F317" s="99">
        <f t="shared" si="31"/>
        <v>673</v>
      </c>
      <c r="G317" s="100">
        <v>600.0</v>
      </c>
      <c r="H317" s="101">
        <v>200.0</v>
      </c>
      <c r="I317" s="101">
        <v>220.75</v>
      </c>
      <c r="J317" s="102">
        <f t="shared" si="29"/>
        <v>-20.75</v>
      </c>
      <c r="K317" s="103">
        <f t="shared" si="30"/>
        <v>32.80089153</v>
      </c>
      <c r="L317" s="54"/>
      <c r="M317" s="54"/>
    </row>
    <row r="318">
      <c r="A318" s="54"/>
      <c r="B318" s="110">
        <v>45734.0</v>
      </c>
      <c r="C318" s="110"/>
      <c r="D318" s="99"/>
      <c r="E318" s="100">
        <v>1693462.0</v>
      </c>
      <c r="F318" s="99">
        <f t="shared" si="31"/>
        <v>1004</v>
      </c>
      <c r="G318" s="100">
        <v>600.0</v>
      </c>
      <c r="H318" s="101">
        <v>270.0</v>
      </c>
      <c r="I318" s="101">
        <v>270.0</v>
      </c>
      <c r="J318" s="102">
        <f t="shared" si="29"/>
        <v>0</v>
      </c>
      <c r="K318" s="103">
        <f t="shared" si="30"/>
        <v>26.89243028</v>
      </c>
      <c r="L318" s="54"/>
      <c r="M318" s="54"/>
    </row>
    <row r="319">
      <c r="A319" s="54"/>
      <c r="B319" s="110">
        <v>45735.0</v>
      </c>
      <c r="C319" s="110"/>
      <c r="D319" s="99"/>
      <c r="E319" s="100">
        <v>1694135.0</v>
      </c>
      <c r="F319" s="99">
        <f t="shared" si="31"/>
        <v>673</v>
      </c>
      <c r="G319" s="100">
        <v>600.0</v>
      </c>
      <c r="H319" s="101">
        <v>195.0</v>
      </c>
      <c r="I319" s="101">
        <v>200.43</v>
      </c>
      <c r="J319" s="102">
        <f t="shared" si="29"/>
        <v>-5.43</v>
      </c>
      <c r="K319" s="103">
        <f t="shared" si="30"/>
        <v>29.78157504</v>
      </c>
      <c r="L319" s="54"/>
      <c r="M319" s="54"/>
    </row>
    <row r="320">
      <c r="A320" s="54"/>
      <c r="B320" s="110">
        <v>45736.0</v>
      </c>
      <c r="C320" s="110"/>
      <c r="D320" s="99"/>
      <c r="E320" s="100">
        <v>1695139.0</v>
      </c>
      <c r="F320" s="99">
        <f t="shared" si="31"/>
        <v>1004</v>
      </c>
      <c r="G320" s="100">
        <v>600.0</v>
      </c>
      <c r="H320" s="101">
        <v>270.0</v>
      </c>
      <c r="I320" s="101">
        <v>270.0</v>
      </c>
      <c r="J320" s="102">
        <f t="shared" si="29"/>
        <v>0</v>
      </c>
      <c r="K320" s="103">
        <f t="shared" si="30"/>
        <v>26.89243028</v>
      </c>
      <c r="L320" s="54"/>
      <c r="M320" s="54"/>
    </row>
    <row r="321">
      <c r="A321" s="54"/>
      <c r="B321" s="110">
        <v>45737.0</v>
      </c>
      <c r="C321" s="110"/>
      <c r="D321" s="99"/>
      <c r="E321" s="100">
        <v>1695814.0</v>
      </c>
      <c r="F321" s="99">
        <f t="shared" si="31"/>
        <v>675</v>
      </c>
      <c r="G321" s="100">
        <v>600.0</v>
      </c>
      <c r="H321" s="101">
        <v>180.0</v>
      </c>
      <c r="I321" s="101">
        <v>197.9</v>
      </c>
      <c r="J321" s="102">
        <f t="shared" si="29"/>
        <v>-17.9</v>
      </c>
      <c r="K321" s="103">
        <f t="shared" si="30"/>
        <v>29.31851852</v>
      </c>
      <c r="L321" s="54"/>
      <c r="M321" s="54"/>
    </row>
    <row r="322">
      <c r="A322" s="54"/>
      <c r="B322" s="110">
        <v>45738.0</v>
      </c>
      <c r="C322" s="110"/>
      <c r="D322" s="99"/>
      <c r="E322" s="100">
        <v>1696823.0</v>
      </c>
      <c r="F322" s="99">
        <f t="shared" si="31"/>
        <v>1009</v>
      </c>
      <c r="G322" s="100">
        <v>595.0</v>
      </c>
      <c r="H322" s="101">
        <v>265.0</v>
      </c>
      <c r="I322" s="101">
        <v>260.0</v>
      </c>
      <c r="J322" s="102">
        <f t="shared" si="29"/>
        <v>5</v>
      </c>
      <c r="K322" s="103">
        <f t="shared" si="30"/>
        <v>25.76808722</v>
      </c>
      <c r="L322" s="54"/>
      <c r="M322" s="54"/>
    </row>
    <row r="323">
      <c r="A323" s="54"/>
      <c r="B323" s="110">
        <v>45740.0</v>
      </c>
      <c r="C323" s="110"/>
      <c r="D323" s="99"/>
      <c r="E323" s="100">
        <v>1697489.0</v>
      </c>
      <c r="F323" s="99">
        <f t="shared" si="31"/>
        <v>666</v>
      </c>
      <c r="G323" s="100">
        <v>600.0</v>
      </c>
      <c r="H323" s="101">
        <v>200.0</v>
      </c>
      <c r="I323" s="101">
        <v>200.0</v>
      </c>
      <c r="J323" s="102">
        <f t="shared" si="29"/>
        <v>0</v>
      </c>
      <c r="K323" s="103">
        <f t="shared" si="30"/>
        <v>30.03003003</v>
      </c>
      <c r="L323" s="54"/>
      <c r="M323" s="54"/>
    </row>
    <row r="324">
      <c r="A324" s="54"/>
      <c r="B324" s="110">
        <v>45740.0</v>
      </c>
      <c r="C324" s="110"/>
      <c r="D324" s="99"/>
      <c r="E324" s="100">
        <v>1698441.0</v>
      </c>
      <c r="F324" s="99">
        <f t="shared" si="31"/>
        <v>952</v>
      </c>
      <c r="G324" s="100">
        <v>600.0</v>
      </c>
      <c r="H324" s="101">
        <v>265.0</v>
      </c>
      <c r="I324" s="101">
        <v>249.54</v>
      </c>
      <c r="J324" s="102">
        <f t="shared" si="29"/>
        <v>15.46</v>
      </c>
      <c r="K324" s="103">
        <f t="shared" si="30"/>
        <v>26.21218487</v>
      </c>
      <c r="L324" s="54"/>
      <c r="M324" s="54"/>
    </row>
    <row r="325">
      <c r="A325" s="54"/>
      <c r="B325" s="110">
        <v>45742.0</v>
      </c>
      <c r="C325" s="110"/>
      <c r="D325" s="99"/>
      <c r="E325" s="100">
        <v>1699105.0</v>
      </c>
      <c r="F325" s="99">
        <f t="shared" si="31"/>
        <v>664</v>
      </c>
      <c r="G325" s="100">
        <v>600.0</v>
      </c>
      <c r="H325" s="101">
        <v>190.0</v>
      </c>
      <c r="I325" s="101">
        <v>193.4</v>
      </c>
      <c r="J325" s="102">
        <f t="shared" si="29"/>
        <v>-3.4</v>
      </c>
      <c r="K325" s="103">
        <f t="shared" si="30"/>
        <v>29.12650602</v>
      </c>
      <c r="L325" s="54"/>
      <c r="M325" s="54"/>
    </row>
    <row r="326">
      <c r="A326" s="54"/>
      <c r="B326" s="110">
        <v>45743.0</v>
      </c>
      <c r="C326" s="110"/>
      <c r="D326" s="99"/>
      <c r="E326" s="100">
        <v>1700125.0</v>
      </c>
      <c r="F326" s="99">
        <f t="shared" si="31"/>
        <v>1020</v>
      </c>
      <c r="G326" s="100">
        <v>590.0</v>
      </c>
      <c r="H326" s="101">
        <v>280.0</v>
      </c>
      <c r="I326" s="101">
        <v>270.0</v>
      </c>
      <c r="J326" s="102">
        <f t="shared" si="29"/>
        <v>10</v>
      </c>
      <c r="K326" s="103">
        <f t="shared" si="30"/>
        <v>26.47058824</v>
      </c>
      <c r="L326" s="54"/>
      <c r="M326" s="54"/>
    </row>
    <row r="327">
      <c r="A327" s="54"/>
      <c r="B327" s="110">
        <v>45744.0</v>
      </c>
      <c r="C327" s="110"/>
      <c r="D327" s="99"/>
      <c r="E327" s="100">
        <v>1700795.0</v>
      </c>
      <c r="F327" s="99">
        <f t="shared" si="31"/>
        <v>670</v>
      </c>
      <c r="G327" s="100">
        <v>600.0</v>
      </c>
      <c r="H327" s="101">
        <v>190.0</v>
      </c>
      <c r="I327" s="101">
        <v>200.0</v>
      </c>
      <c r="J327" s="102">
        <f t="shared" si="29"/>
        <v>-10</v>
      </c>
      <c r="K327" s="103">
        <f t="shared" si="30"/>
        <v>29.85074627</v>
      </c>
      <c r="L327" s="54"/>
      <c r="M327" s="54"/>
    </row>
    <row r="328">
      <c r="A328" s="54"/>
      <c r="B328" s="110">
        <v>45744.0</v>
      </c>
      <c r="C328" s="110"/>
      <c r="D328" s="99"/>
      <c r="E328" s="100">
        <v>1701775.0</v>
      </c>
      <c r="F328" s="99">
        <f t="shared" si="31"/>
        <v>980</v>
      </c>
      <c r="G328" s="100">
        <v>600.0</v>
      </c>
      <c r="H328" s="101">
        <v>260.0</v>
      </c>
      <c r="I328" s="101">
        <v>250.0</v>
      </c>
      <c r="J328" s="102">
        <f t="shared" si="29"/>
        <v>10</v>
      </c>
      <c r="K328" s="103">
        <f t="shared" si="30"/>
        <v>25.51020408</v>
      </c>
      <c r="L328" s="54"/>
      <c r="M328" s="54"/>
    </row>
    <row r="329">
      <c r="A329" s="54"/>
      <c r="B329" s="110">
        <v>45747.0</v>
      </c>
      <c r="C329" s="110"/>
      <c r="D329" s="99"/>
      <c r="E329" s="100">
        <v>1702447.0</v>
      </c>
      <c r="F329" s="99">
        <f t="shared" si="31"/>
        <v>672</v>
      </c>
      <c r="G329" s="100">
        <v>600.0</v>
      </c>
      <c r="H329" s="101">
        <v>180.0</v>
      </c>
      <c r="I329" s="101">
        <v>186.48</v>
      </c>
      <c r="J329" s="102">
        <f t="shared" si="29"/>
        <v>-6.48</v>
      </c>
      <c r="K329" s="103">
        <f t="shared" si="30"/>
        <v>27.75</v>
      </c>
      <c r="L329" s="54"/>
      <c r="M329" s="54"/>
    </row>
    <row r="330">
      <c r="A330" s="54"/>
      <c r="B330" s="110">
        <v>45747.0</v>
      </c>
      <c r="C330" s="110"/>
      <c r="D330" s="99"/>
      <c r="E330" s="100">
        <v>1703400.0</v>
      </c>
      <c r="F330" s="99">
        <f t="shared" si="31"/>
        <v>953</v>
      </c>
      <c r="G330" s="100">
        <v>600.0</v>
      </c>
      <c r="H330" s="101">
        <v>240.0</v>
      </c>
      <c r="I330" s="101">
        <v>250.0</v>
      </c>
      <c r="J330" s="102">
        <f t="shared" si="29"/>
        <v>-10</v>
      </c>
      <c r="K330" s="103">
        <f t="shared" si="30"/>
        <v>26.23294858</v>
      </c>
      <c r="L330" s="54"/>
      <c r="M330" s="54"/>
    </row>
    <row r="331">
      <c r="A331" s="68"/>
      <c r="B331" s="203" t="str">
        <f>IF(L331=4,"АПРЕЛЬ",IF(L331=5,"МАЙ",IF(L331=1,"ЯНВАРЬ",IF(L331=2,"ФЕВРАЛЬ",IF(L331=3,"МАРТ",IF(L331=6,"ИЮНЬ",IF(L331=7,"ИЮЛЬ",IF(L331=8,"АВГУСТ",IF(L331=9,"СЕНТЯБРЬ",IF(L331=10,"ОКТЯБРЬ",IF(L331=11,"НОЯБРЬ",IF(L331=12,"ДЕКАБРЬ"))))))))))))</f>
        <v>АПРЕЛЬ</v>
      </c>
      <c r="J331" s="66"/>
      <c r="K331" s="204"/>
      <c r="L331" s="91">
        <f>MONTH(B332)</f>
        <v>4</v>
      </c>
      <c r="M331" s="66"/>
      <c r="N331" s="66"/>
      <c r="O331" s="66"/>
      <c r="P331" s="66"/>
      <c r="Q331" s="66"/>
      <c r="R331" s="66"/>
      <c r="S331" s="372"/>
      <c r="T331" s="66"/>
      <c r="U331" s="66"/>
      <c r="V331" s="66"/>
      <c r="W331" s="66"/>
      <c r="X331" s="66"/>
      <c r="Y331" s="66"/>
      <c r="Z331" s="66"/>
      <c r="AA331" s="66"/>
      <c r="AB331" s="242"/>
      <c r="AC331" s="66"/>
      <c r="AD331" s="66"/>
    </row>
    <row r="332">
      <c r="A332" s="54"/>
      <c r="B332" s="110">
        <v>45749.0</v>
      </c>
      <c r="C332" s="110"/>
      <c r="D332" s="99"/>
      <c r="E332" s="100">
        <v>1704063.0</v>
      </c>
      <c r="F332" s="99">
        <f>E332-E330</f>
        <v>663</v>
      </c>
      <c r="G332" s="100">
        <v>600.0</v>
      </c>
      <c r="H332" s="101">
        <v>160.0</v>
      </c>
      <c r="I332" s="101">
        <v>168.11</v>
      </c>
      <c r="J332" s="102">
        <f t="shared" ref="J332:J353" si="32">H332-I332</f>
        <v>-8.11</v>
      </c>
      <c r="K332" s="103">
        <f t="shared" ref="K332:K353" si="33">I332/F332*100</f>
        <v>25.35595777</v>
      </c>
      <c r="L332" s="54"/>
      <c r="M332" s="82" t="str">
        <f>"тотал"&amp;" "&amp;B331&amp;" "&amp;RIGHT(YEAR(B332),2)</f>
        <v>тотал АПРЕЛЬ 25</v>
      </c>
      <c r="N332" s="75"/>
      <c r="O332" s="75"/>
      <c r="P332" s="75"/>
      <c r="Q332" s="76"/>
    </row>
    <row r="333">
      <c r="A333" s="54"/>
      <c r="B333" s="110">
        <v>45749.0</v>
      </c>
      <c r="C333" s="110"/>
      <c r="D333" s="99"/>
      <c r="E333" s="100">
        <v>1705025.0</v>
      </c>
      <c r="F333" s="99">
        <f t="shared" ref="F333:F353" si="34">E333-E332</f>
        <v>962</v>
      </c>
      <c r="G333" s="100">
        <v>600.0</v>
      </c>
      <c r="H333" s="101">
        <v>230.0</v>
      </c>
      <c r="I333" s="101">
        <v>240.0</v>
      </c>
      <c r="J333" s="102">
        <f t="shared" si="32"/>
        <v>-10</v>
      </c>
      <c r="K333" s="103">
        <f t="shared" si="33"/>
        <v>24.94802495</v>
      </c>
      <c r="L333" s="54"/>
      <c r="M333" s="83" t="s">
        <v>70</v>
      </c>
      <c r="N333" s="83" t="s">
        <v>71</v>
      </c>
      <c r="O333" s="83" t="s">
        <v>27</v>
      </c>
      <c r="P333" s="77" t="s">
        <v>28</v>
      </c>
      <c r="Q333" s="12" t="s">
        <v>78</v>
      </c>
    </row>
    <row r="334">
      <c r="A334" s="54"/>
      <c r="B334" s="110">
        <v>45751.0</v>
      </c>
      <c r="C334" s="110"/>
      <c r="D334" s="99"/>
      <c r="E334" s="100">
        <v>1705689.0</v>
      </c>
      <c r="F334" s="99">
        <f t="shared" si="34"/>
        <v>664</v>
      </c>
      <c r="G334" s="100">
        <v>600.0</v>
      </c>
      <c r="H334" s="101">
        <v>160.0</v>
      </c>
      <c r="I334" s="101">
        <v>162.72</v>
      </c>
      <c r="J334" s="102">
        <f t="shared" si="32"/>
        <v>-2.72</v>
      </c>
      <c r="K334" s="103">
        <f t="shared" si="33"/>
        <v>24.5060241</v>
      </c>
      <c r="L334" s="54"/>
      <c r="M334" s="84">
        <f>SUM(F332:F353)</f>
        <v>18101</v>
      </c>
      <c r="N334" s="84">
        <f>SUM(I332:I353)</f>
        <v>4462.06</v>
      </c>
      <c r="O334" s="85">
        <f>N334/M334*100</f>
        <v>24.65090327</v>
      </c>
      <c r="P334" s="79">
        <f>(M334/100)*(O334-Q334)</f>
        <v>117.82</v>
      </c>
      <c r="Q334" s="78">
        <v>24.0</v>
      </c>
    </row>
    <row r="335">
      <c r="A335" s="54"/>
      <c r="B335" s="110">
        <v>45751.0</v>
      </c>
      <c r="C335" s="110"/>
      <c r="D335" s="99"/>
      <c r="E335" s="100">
        <v>1706651.0</v>
      </c>
      <c r="F335" s="99">
        <f t="shared" si="34"/>
        <v>962</v>
      </c>
      <c r="G335" s="100">
        <v>600.0</v>
      </c>
      <c r="H335" s="101">
        <v>230.0</v>
      </c>
      <c r="I335" s="101">
        <v>235.49</v>
      </c>
      <c r="J335" s="102">
        <f t="shared" si="32"/>
        <v>-5.49</v>
      </c>
      <c r="K335" s="103">
        <f t="shared" si="33"/>
        <v>24.47920998</v>
      </c>
      <c r="L335" s="54"/>
      <c r="M335" s="54"/>
    </row>
    <row r="336">
      <c r="A336" s="54"/>
      <c r="B336" s="110">
        <v>45756.0</v>
      </c>
      <c r="C336" s="110"/>
      <c r="D336" s="99"/>
      <c r="E336" s="100">
        <v>1707314.0</v>
      </c>
      <c r="F336" s="99">
        <f t="shared" si="34"/>
        <v>663</v>
      </c>
      <c r="G336" s="100">
        <v>600.0</v>
      </c>
      <c r="H336" s="101">
        <v>165.0</v>
      </c>
      <c r="I336" s="101">
        <v>160.06</v>
      </c>
      <c r="J336" s="102">
        <f t="shared" si="32"/>
        <v>4.94</v>
      </c>
      <c r="K336" s="103">
        <f t="shared" si="33"/>
        <v>24.14177979</v>
      </c>
      <c r="L336" s="54"/>
      <c r="M336" s="54"/>
    </row>
    <row r="337">
      <c r="A337" s="54"/>
      <c r="B337" s="110">
        <v>45756.0</v>
      </c>
      <c r="C337" s="110"/>
      <c r="D337" s="99"/>
      <c r="E337" s="100">
        <v>1708277.0</v>
      </c>
      <c r="F337" s="99">
        <f t="shared" si="34"/>
        <v>963</v>
      </c>
      <c r="G337" s="100">
        <v>600.0</v>
      </c>
      <c r="H337" s="101">
        <v>250.0</v>
      </c>
      <c r="I337" s="101">
        <v>250.0</v>
      </c>
      <c r="J337" s="102">
        <f t="shared" si="32"/>
        <v>0</v>
      </c>
      <c r="K337" s="103">
        <f t="shared" si="33"/>
        <v>25.96053998</v>
      </c>
      <c r="L337" s="54"/>
      <c r="M337" s="54"/>
    </row>
    <row r="338">
      <c r="A338" s="54"/>
      <c r="B338" s="110">
        <v>45758.0</v>
      </c>
      <c r="C338" s="110"/>
      <c r="D338" s="99"/>
      <c r="E338" s="100">
        <v>1708940.0</v>
      </c>
      <c r="F338" s="99">
        <f t="shared" si="34"/>
        <v>663</v>
      </c>
      <c r="G338" s="100">
        <v>600.0</v>
      </c>
      <c r="H338" s="101">
        <v>160.0</v>
      </c>
      <c r="I338" s="101">
        <v>160.47</v>
      </c>
      <c r="J338" s="102">
        <f t="shared" si="32"/>
        <v>-0.47</v>
      </c>
      <c r="K338" s="103">
        <f t="shared" si="33"/>
        <v>24.20361991</v>
      </c>
      <c r="L338" s="54"/>
      <c r="M338" s="54"/>
    </row>
    <row r="339">
      <c r="A339" s="54"/>
      <c r="B339" s="110">
        <v>45758.0</v>
      </c>
      <c r="C339" s="110"/>
      <c r="D339" s="99"/>
      <c r="E339" s="100">
        <v>1709902.0</v>
      </c>
      <c r="F339" s="99">
        <f t="shared" si="34"/>
        <v>962</v>
      </c>
      <c r="G339" s="100">
        <v>600.0</v>
      </c>
      <c r="H339" s="101">
        <v>230.0</v>
      </c>
      <c r="I339" s="101">
        <v>240.0</v>
      </c>
      <c r="J339" s="102">
        <f t="shared" si="32"/>
        <v>-10</v>
      </c>
      <c r="K339" s="103">
        <f t="shared" si="33"/>
        <v>24.94802495</v>
      </c>
      <c r="L339" s="54"/>
      <c r="M339" s="54"/>
    </row>
    <row r="340">
      <c r="A340" s="54"/>
      <c r="B340" s="110">
        <v>45761.0</v>
      </c>
      <c r="C340" s="110"/>
      <c r="D340" s="99"/>
      <c r="E340" s="100">
        <v>1710757.0</v>
      </c>
      <c r="F340" s="99">
        <f t="shared" si="34"/>
        <v>855</v>
      </c>
      <c r="G340" s="100">
        <v>600.0</v>
      </c>
      <c r="H340" s="101">
        <v>220.0</v>
      </c>
      <c r="I340" s="101">
        <v>248.63</v>
      </c>
      <c r="J340" s="102">
        <f t="shared" si="32"/>
        <v>-28.63</v>
      </c>
      <c r="K340" s="103">
        <f t="shared" si="33"/>
        <v>29.07953216</v>
      </c>
      <c r="L340" s="54"/>
      <c r="M340" s="54"/>
    </row>
    <row r="341">
      <c r="A341" s="54"/>
      <c r="B341" s="110">
        <v>45761.0</v>
      </c>
      <c r="C341" s="110"/>
      <c r="D341" s="99"/>
      <c r="E341" s="100">
        <v>1711720.0</v>
      </c>
      <c r="F341" s="99">
        <f t="shared" si="34"/>
        <v>963</v>
      </c>
      <c r="G341" s="100">
        <v>600.0</v>
      </c>
      <c r="H341" s="101">
        <v>220.0</v>
      </c>
      <c r="I341" s="101">
        <v>228.12</v>
      </c>
      <c r="J341" s="102">
        <f t="shared" si="32"/>
        <v>-8.12</v>
      </c>
      <c r="K341" s="103">
        <f t="shared" si="33"/>
        <v>23.68847352</v>
      </c>
      <c r="L341" s="54"/>
      <c r="M341" s="54"/>
    </row>
    <row r="342">
      <c r="A342" s="54"/>
      <c r="B342" s="110">
        <v>45763.0</v>
      </c>
      <c r="C342" s="110"/>
      <c r="D342" s="99"/>
      <c r="E342" s="100">
        <v>1712393.0</v>
      </c>
      <c r="F342" s="99">
        <f t="shared" si="34"/>
        <v>673</v>
      </c>
      <c r="G342" s="100">
        <v>600.0</v>
      </c>
      <c r="H342" s="101">
        <v>145.0</v>
      </c>
      <c r="I342" s="101">
        <v>149.53</v>
      </c>
      <c r="J342" s="102">
        <f t="shared" si="32"/>
        <v>-4.53</v>
      </c>
      <c r="K342" s="103">
        <f t="shared" si="33"/>
        <v>22.21842496</v>
      </c>
      <c r="L342" s="54"/>
      <c r="M342" s="54"/>
    </row>
    <row r="343">
      <c r="A343" s="54"/>
      <c r="B343" s="110">
        <v>45763.0</v>
      </c>
      <c r="C343" s="110"/>
      <c r="D343" s="99"/>
      <c r="E343" s="100">
        <v>1713344.0</v>
      </c>
      <c r="F343" s="99">
        <f t="shared" si="34"/>
        <v>951</v>
      </c>
      <c r="G343" s="100">
        <v>600.0</v>
      </c>
      <c r="H343" s="101">
        <v>230.0</v>
      </c>
      <c r="I343" s="101">
        <v>236.83</v>
      </c>
      <c r="J343" s="102">
        <f t="shared" si="32"/>
        <v>-6.83</v>
      </c>
      <c r="K343" s="103">
        <f t="shared" si="33"/>
        <v>24.90325973</v>
      </c>
      <c r="L343" s="54"/>
      <c r="M343" s="54"/>
    </row>
    <row r="344">
      <c r="A344" s="54"/>
      <c r="B344" s="110">
        <v>45765.0</v>
      </c>
      <c r="C344" s="110"/>
      <c r="D344" s="99"/>
      <c r="E344" s="100">
        <v>1714006.0</v>
      </c>
      <c r="F344" s="99">
        <f t="shared" si="34"/>
        <v>662</v>
      </c>
      <c r="G344" s="100">
        <v>600.0</v>
      </c>
      <c r="H344" s="101">
        <v>150.0</v>
      </c>
      <c r="I344" s="101">
        <v>150.03</v>
      </c>
      <c r="J344" s="102">
        <f t="shared" si="32"/>
        <v>-0.03</v>
      </c>
      <c r="K344" s="103">
        <f t="shared" si="33"/>
        <v>22.66314199</v>
      </c>
      <c r="L344" s="54"/>
      <c r="M344" s="54"/>
    </row>
    <row r="345">
      <c r="A345" s="54"/>
      <c r="B345" s="110">
        <v>45765.0</v>
      </c>
      <c r="C345" s="110"/>
      <c r="D345" s="99"/>
      <c r="E345" s="100">
        <v>1714968.0</v>
      </c>
      <c r="F345" s="99">
        <f t="shared" si="34"/>
        <v>962</v>
      </c>
      <c r="G345" s="100">
        <v>600.0</v>
      </c>
      <c r="H345" s="101">
        <v>235.0</v>
      </c>
      <c r="I345" s="101">
        <v>240.0</v>
      </c>
      <c r="J345" s="102">
        <f t="shared" si="32"/>
        <v>-5</v>
      </c>
      <c r="K345" s="103">
        <f t="shared" si="33"/>
        <v>24.94802495</v>
      </c>
      <c r="L345" s="54"/>
      <c r="M345" s="54"/>
    </row>
    <row r="346">
      <c r="A346" s="54"/>
      <c r="B346" s="110">
        <v>45768.0</v>
      </c>
      <c r="C346" s="110"/>
      <c r="D346" s="99"/>
      <c r="E346" s="100">
        <v>1715640.0</v>
      </c>
      <c r="F346" s="99">
        <f t="shared" si="34"/>
        <v>672</v>
      </c>
      <c r="G346" s="100">
        <v>600.0</v>
      </c>
      <c r="H346" s="101">
        <v>160.0</v>
      </c>
      <c r="I346" s="101">
        <v>162.8</v>
      </c>
      <c r="J346" s="102">
        <f t="shared" si="32"/>
        <v>-2.8</v>
      </c>
      <c r="K346" s="103">
        <f t="shared" si="33"/>
        <v>24.22619048</v>
      </c>
      <c r="L346" s="54"/>
      <c r="M346" s="54"/>
    </row>
    <row r="347">
      <c r="A347" s="54"/>
      <c r="B347" s="110">
        <v>45768.0</v>
      </c>
      <c r="C347" s="110"/>
      <c r="D347" s="99"/>
      <c r="E347" s="100">
        <v>1716618.0</v>
      </c>
      <c r="F347" s="99">
        <f t="shared" si="34"/>
        <v>978</v>
      </c>
      <c r="G347" s="100">
        <v>600.0</v>
      </c>
      <c r="H347" s="101">
        <v>250.0</v>
      </c>
      <c r="I347" s="101">
        <v>240.18</v>
      </c>
      <c r="J347" s="102">
        <f t="shared" si="32"/>
        <v>9.82</v>
      </c>
      <c r="K347" s="103">
        <f t="shared" si="33"/>
        <v>24.55828221</v>
      </c>
      <c r="L347" s="54"/>
      <c r="M347" s="54"/>
    </row>
    <row r="348">
      <c r="A348" s="54"/>
      <c r="B348" s="110">
        <v>45770.0</v>
      </c>
      <c r="C348" s="110"/>
      <c r="D348" s="99"/>
      <c r="E348" s="100">
        <v>1717280.0</v>
      </c>
      <c r="F348" s="99">
        <f t="shared" si="34"/>
        <v>662</v>
      </c>
      <c r="G348" s="100">
        <v>600.0</v>
      </c>
      <c r="H348" s="101">
        <v>160.0</v>
      </c>
      <c r="I348" s="101">
        <v>160.45</v>
      </c>
      <c r="J348" s="102">
        <f t="shared" si="32"/>
        <v>-0.45</v>
      </c>
      <c r="K348" s="103">
        <f t="shared" si="33"/>
        <v>24.23716012</v>
      </c>
      <c r="L348" s="54"/>
      <c r="M348" s="54"/>
    </row>
    <row r="349">
      <c r="A349" s="54"/>
      <c r="B349" s="110">
        <v>45771.0</v>
      </c>
      <c r="C349" s="110"/>
      <c r="D349" s="99"/>
      <c r="E349" s="100">
        <v>1718242.0</v>
      </c>
      <c r="F349" s="99">
        <f t="shared" si="34"/>
        <v>962</v>
      </c>
      <c r="G349" s="100">
        <v>600.0</v>
      </c>
      <c r="H349" s="101">
        <v>225.0</v>
      </c>
      <c r="I349" s="101">
        <v>230.47</v>
      </c>
      <c r="J349" s="102">
        <f t="shared" si="32"/>
        <v>-5.47</v>
      </c>
      <c r="K349" s="103">
        <f t="shared" si="33"/>
        <v>23.95738046</v>
      </c>
      <c r="L349" s="54"/>
      <c r="M349" s="54"/>
    </row>
    <row r="350">
      <c r="A350" s="54"/>
      <c r="B350" s="110">
        <v>45772.0</v>
      </c>
      <c r="C350" s="110"/>
      <c r="D350" s="99"/>
      <c r="E350" s="100">
        <v>1718915.0</v>
      </c>
      <c r="F350" s="99">
        <f t="shared" si="34"/>
        <v>673</v>
      </c>
      <c r="G350" s="100">
        <v>600.0</v>
      </c>
      <c r="H350" s="101">
        <v>165.0</v>
      </c>
      <c r="I350" s="101">
        <v>160.5</v>
      </c>
      <c r="J350" s="102">
        <f t="shared" si="32"/>
        <v>4.5</v>
      </c>
      <c r="K350" s="103">
        <f t="shared" si="33"/>
        <v>23.84843982</v>
      </c>
      <c r="L350" s="54"/>
      <c r="M350" s="54"/>
    </row>
    <row r="351">
      <c r="A351" s="54"/>
      <c r="B351" s="110">
        <v>45772.0</v>
      </c>
      <c r="C351" s="110"/>
      <c r="D351" s="99"/>
      <c r="E351" s="100">
        <v>1719872.0</v>
      </c>
      <c r="F351" s="99">
        <f t="shared" si="34"/>
        <v>957</v>
      </c>
      <c r="G351" s="100">
        <v>600.0</v>
      </c>
      <c r="H351" s="101">
        <v>235.0</v>
      </c>
      <c r="I351" s="101">
        <v>230.27</v>
      </c>
      <c r="J351" s="102">
        <f t="shared" si="32"/>
        <v>4.73</v>
      </c>
      <c r="K351" s="103">
        <f t="shared" si="33"/>
        <v>24.06165099</v>
      </c>
      <c r="L351" s="54"/>
      <c r="M351" s="54"/>
    </row>
    <row r="352">
      <c r="A352" s="54"/>
      <c r="B352" s="110">
        <v>45775.0</v>
      </c>
      <c r="C352" s="110"/>
      <c r="D352" s="99"/>
      <c r="E352" s="100">
        <v>1720546.0</v>
      </c>
      <c r="F352" s="99">
        <f t="shared" si="34"/>
        <v>674</v>
      </c>
      <c r="G352" s="100">
        <v>600.0</v>
      </c>
      <c r="H352" s="101">
        <v>180.0</v>
      </c>
      <c r="I352" s="101">
        <v>167.4</v>
      </c>
      <c r="J352" s="102">
        <f t="shared" si="32"/>
        <v>12.6</v>
      </c>
      <c r="K352" s="103">
        <f t="shared" si="33"/>
        <v>24.83679525</v>
      </c>
      <c r="L352" s="54"/>
      <c r="M352" s="54"/>
    </row>
    <row r="353">
      <c r="A353" s="54"/>
      <c r="B353" s="110">
        <v>45776.0</v>
      </c>
      <c r="C353" s="110"/>
      <c r="D353" s="99"/>
      <c r="E353" s="100">
        <v>1721501.0</v>
      </c>
      <c r="F353" s="99">
        <f t="shared" si="34"/>
        <v>955</v>
      </c>
      <c r="G353" s="100">
        <v>590.0</v>
      </c>
      <c r="H353" s="101">
        <v>230.0</v>
      </c>
      <c r="I353" s="101">
        <v>240.0</v>
      </c>
      <c r="J353" s="102">
        <f t="shared" si="32"/>
        <v>-10</v>
      </c>
      <c r="K353" s="103">
        <f t="shared" si="33"/>
        <v>25.13089005</v>
      </c>
      <c r="L353" s="54"/>
      <c r="M353" s="54"/>
    </row>
    <row r="354">
      <c r="A354" s="68"/>
      <c r="B354" s="203" t="str">
        <f>IF(L354=4,"АПРЕЛЬ",IF(L354=5,"МАЙ",IF(L354=1,"ЯНВАРЬ",IF(L354=2,"ФЕВРАЛЬ",IF(L354=3,"МАРТ",IF(L354=6,"ИЮНЬ",IF(L354=7,"ИЮЛЬ",IF(L354=8,"АВГУСТ",IF(L354=9,"СЕНТЯБРЬ",IF(L354=10,"ОКТЯБРЬ",IF(L354=11,"НОЯБРЬ",IF(L354=12,"ДЕКАБРЬ"))))))))))))</f>
        <v>МАЙ</v>
      </c>
      <c r="J354" s="66"/>
      <c r="K354" s="204"/>
      <c r="L354" s="91">
        <f>MONTH(B355)</f>
        <v>5</v>
      </c>
      <c r="M354" s="66"/>
      <c r="N354" s="66"/>
      <c r="O354" s="66"/>
      <c r="P354" s="66"/>
      <c r="Q354" s="66"/>
      <c r="R354" s="66"/>
      <c r="S354" s="372"/>
      <c r="T354" s="66"/>
      <c r="U354" s="66"/>
      <c r="V354" s="66"/>
      <c r="W354" s="66"/>
      <c r="X354" s="66"/>
      <c r="Y354" s="66"/>
      <c r="Z354" s="66"/>
      <c r="AA354" s="66"/>
      <c r="AB354" s="242"/>
      <c r="AC354" s="66"/>
      <c r="AD354" s="66"/>
    </row>
    <row r="355">
      <c r="A355" s="54"/>
      <c r="B355" s="110">
        <v>45789.0</v>
      </c>
      <c r="C355" s="100" t="s">
        <v>152</v>
      </c>
      <c r="D355" s="100" t="s">
        <v>400</v>
      </c>
      <c r="E355" s="100">
        <v>1722379.0</v>
      </c>
      <c r="F355" s="99">
        <f>E355-E353</f>
        <v>878</v>
      </c>
      <c r="G355" s="100">
        <v>600.0</v>
      </c>
      <c r="H355" s="101">
        <v>230.0</v>
      </c>
      <c r="I355" s="101">
        <v>240.0</v>
      </c>
      <c r="J355" s="102">
        <f t="shared" ref="J355:J370" si="35">H355-I355</f>
        <v>-10</v>
      </c>
      <c r="K355" s="103">
        <f t="shared" ref="K355:K370" si="36">I355/F355*100</f>
        <v>27.33485194</v>
      </c>
      <c r="L355" s="54"/>
      <c r="M355" s="82" t="str">
        <f>"тотал"&amp;" "&amp;B354&amp;" "&amp;RIGHT(YEAR(B355),2)</f>
        <v>тотал МАЙ 25</v>
      </c>
      <c r="N355" s="75"/>
      <c r="O355" s="75"/>
      <c r="P355" s="75"/>
      <c r="Q355" s="76"/>
    </row>
    <row r="356">
      <c r="A356" s="54"/>
      <c r="B356" s="110">
        <v>45789.0</v>
      </c>
      <c r="C356" s="100" t="s">
        <v>152</v>
      </c>
      <c r="D356" s="100" t="s">
        <v>400</v>
      </c>
      <c r="E356" s="100">
        <v>1723342.0</v>
      </c>
      <c r="F356" s="99">
        <f t="shared" ref="F356:F370" si="37">E356-E355</f>
        <v>963</v>
      </c>
      <c r="G356" s="100">
        <v>600.0</v>
      </c>
      <c r="H356" s="101">
        <v>230.0</v>
      </c>
      <c r="I356" s="101">
        <v>240.0</v>
      </c>
      <c r="J356" s="102">
        <f t="shared" si="35"/>
        <v>-10</v>
      </c>
      <c r="K356" s="103">
        <f t="shared" si="36"/>
        <v>24.92211838</v>
      </c>
      <c r="L356" s="54"/>
      <c r="M356" s="83" t="s">
        <v>70</v>
      </c>
      <c r="N356" s="83" t="s">
        <v>71</v>
      </c>
      <c r="O356" s="83" t="s">
        <v>27</v>
      </c>
      <c r="P356" s="77" t="s">
        <v>28</v>
      </c>
      <c r="Q356" s="12" t="s">
        <v>78</v>
      </c>
    </row>
    <row r="357">
      <c r="A357" s="54"/>
      <c r="B357" s="110">
        <v>45791.0</v>
      </c>
      <c r="C357" s="100" t="s">
        <v>152</v>
      </c>
      <c r="D357" s="100" t="s">
        <v>400</v>
      </c>
      <c r="E357" s="100">
        <v>1724016.0</v>
      </c>
      <c r="F357" s="99">
        <f t="shared" si="37"/>
        <v>674</v>
      </c>
      <c r="G357" s="100">
        <v>600.0</v>
      </c>
      <c r="H357" s="101">
        <v>165.0</v>
      </c>
      <c r="I357" s="101">
        <v>159.7</v>
      </c>
      <c r="J357" s="102">
        <f t="shared" si="35"/>
        <v>5.3</v>
      </c>
      <c r="K357" s="103">
        <f t="shared" si="36"/>
        <v>23.69436202</v>
      </c>
      <c r="L357" s="54"/>
      <c r="M357" s="84">
        <f>SUM(F355:F370)</f>
        <v>13515</v>
      </c>
      <c r="N357" s="84">
        <f>SUM(I355:I370)</f>
        <v>3373.41</v>
      </c>
      <c r="O357" s="85">
        <f>N357/M357*100</f>
        <v>24.96048835</v>
      </c>
      <c r="P357" s="79">
        <f>(M357/100)*(O357-Q357)</f>
        <v>129.81</v>
      </c>
      <c r="Q357" s="78">
        <v>24.0</v>
      </c>
    </row>
    <row r="358">
      <c r="A358" s="54"/>
      <c r="B358" s="110">
        <v>45791.0</v>
      </c>
      <c r="C358" s="100" t="s">
        <v>152</v>
      </c>
      <c r="D358" s="100" t="s">
        <v>400</v>
      </c>
      <c r="E358" s="100">
        <v>1724969.0</v>
      </c>
      <c r="F358" s="99">
        <f t="shared" si="37"/>
        <v>953</v>
      </c>
      <c r="G358" s="100">
        <v>600.0</v>
      </c>
      <c r="H358" s="101">
        <v>250.0</v>
      </c>
      <c r="I358" s="101">
        <v>240.07</v>
      </c>
      <c r="J358" s="102">
        <f t="shared" si="35"/>
        <v>9.93</v>
      </c>
      <c r="K358" s="103">
        <f t="shared" si="36"/>
        <v>25.19097587</v>
      </c>
      <c r="L358" s="54"/>
      <c r="M358" s="54"/>
    </row>
    <row r="359">
      <c r="A359" s="54"/>
      <c r="B359" s="110">
        <v>45793.0</v>
      </c>
      <c r="C359" s="100" t="s">
        <v>152</v>
      </c>
      <c r="D359" s="100" t="s">
        <v>400</v>
      </c>
      <c r="E359" s="100">
        <v>1725644.0</v>
      </c>
      <c r="F359" s="99">
        <f t="shared" si="37"/>
        <v>675</v>
      </c>
      <c r="G359" s="100">
        <v>600.0</v>
      </c>
      <c r="H359" s="101">
        <v>170.0</v>
      </c>
      <c r="I359" s="101">
        <v>171.59</v>
      </c>
      <c r="J359" s="102">
        <f t="shared" si="35"/>
        <v>-1.59</v>
      </c>
      <c r="K359" s="103">
        <f t="shared" si="36"/>
        <v>25.42074074</v>
      </c>
      <c r="L359" s="54"/>
      <c r="M359" s="54"/>
    </row>
    <row r="360">
      <c r="A360" s="54"/>
      <c r="B360" s="110">
        <v>45793.0</v>
      </c>
      <c r="C360" s="100" t="s">
        <v>152</v>
      </c>
      <c r="D360" s="100" t="s">
        <v>400</v>
      </c>
      <c r="E360" s="100">
        <v>1726597.0</v>
      </c>
      <c r="F360" s="99">
        <f t="shared" si="37"/>
        <v>953</v>
      </c>
      <c r="G360" s="100">
        <v>600.0</v>
      </c>
      <c r="H360" s="101">
        <v>230.0</v>
      </c>
      <c r="I360" s="101">
        <v>240.0</v>
      </c>
      <c r="J360" s="102">
        <f t="shared" si="35"/>
        <v>-10</v>
      </c>
      <c r="K360" s="103">
        <f t="shared" si="36"/>
        <v>25.18363064</v>
      </c>
      <c r="L360" s="54"/>
      <c r="M360" s="54"/>
    </row>
    <row r="361">
      <c r="A361" s="54"/>
      <c r="B361" s="110">
        <v>45799.0</v>
      </c>
      <c r="C361" s="100" t="s">
        <v>152</v>
      </c>
      <c r="D361" s="100" t="s">
        <v>400</v>
      </c>
      <c r="E361" s="100">
        <v>1727536.0</v>
      </c>
      <c r="F361" s="99">
        <f t="shared" si="37"/>
        <v>939</v>
      </c>
      <c r="G361" s="100">
        <v>600.0</v>
      </c>
      <c r="H361" s="101">
        <v>235.0</v>
      </c>
      <c r="I361" s="101">
        <v>242.85</v>
      </c>
      <c r="J361" s="102">
        <f t="shared" si="35"/>
        <v>-7.85</v>
      </c>
      <c r="K361" s="103">
        <f t="shared" si="36"/>
        <v>25.86261981</v>
      </c>
      <c r="L361" s="54"/>
      <c r="M361" s="54"/>
    </row>
    <row r="362">
      <c r="A362" s="54"/>
      <c r="B362" s="110">
        <v>45799.0</v>
      </c>
      <c r="C362" s="100" t="s">
        <v>152</v>
      </c>
      <c r="D362" s="100" t="s">
        <v>400</v>
      </c>
      <c r="E362" s="100">
        <v>1728489.0</v>
      </c>
      <c r="F362" s="99">
        <f t="shared" si="37"/>
        <v>953</v>
      </c>
      <c r="G362" s="100">
        <v>600.0</v>
      </c>
      <c r="H362" s="101">
        <v>225.0</v>
      </c>
      <c r="I362" s="101">
        <v>228.95</v>
      </c>
      <c r="J362" s="102">
        <f t="shared" si="35"/>
        <v>-3.95</v>
      </c>
      <c r="K362" s="103">
        <f t="shared" si="36"/>
        <v>24.02413431</v>
      </c>
      <c r="L362" s="54"/>
      <c r="M362" s="54"/>
    </row>
    <row r="363">
      <c r="A363" s="54"/>
      <c r="B363" s="110">
        <v>45801.0</v>
      </c>
      <c r="C363" s="100" t="s">
        <v>152</v>
      </c>
      <c r="D363" s="100" t="s">
        <v>400</v>
      </c>
      <c r="E363" s="100">
        <v>1729153.0</v>
      </c>
      <c r="F363" s="99">
        <f t="shared" si="37"/>
        <v>664</v>
      </c>
      <c r="G363" s="100">
        <v>600.0</v>
      </c>
      <c r="H363" s="101">
        <v>160.0</v>
      </c>
      <c r="I363" s="101">
        <v>159.93</v>
      </c>
      <c r="J363" s="102">
        <f t="shared" si="35"/>
        <v>0.07</v>
      </c>
      <c r="K363" s="103">
        <f t="shared" si="36"/>
        <v>24.08584337</v>
      </c>
      <c r="L363" s="54"/>
      <c r="M363" s="54"/>
    </row>
    <row r="364">
      <c r="A364" s="54"/>
      <c r="B364" s="110">
        <v>45801.0</v>
      </c>
      <c r="C364" s="100" t="s">
        <v>152</v>
      </c>
      <c r="D364" s="100" t="s">
        <v>400</v>
      </c>
      <c r="E364" s="100">
        <v>1730116.0</v>
      </c>
      <c r="F364" s="99">
        <f t="shared" si="37"/>
        <v>963</v>
      </c>
      <c r="G364" s="100">
        <v>600.0</v>
      </c>
      <c r="H364" s="101">
        <v>235.0</v>
      </c>
      <c r="I364" s="101">
        <v>240.0</v>
      </c>
      <c r="J364" s="102">
        <f t="shared" si="35"/>
        <v>-5</v>
      </c>
      <c r="K364" s="103">
        <f t="shared" si="36"/>
        <v>24.92211838</v>
      </c>
      <c r="L364" s="54"/>
      <c r="M364" s="54"/>
    </row>
    <row r="365">
      <c r="A365" s="54"/>
      <c r="B365" s="110">
        <v>45803.0</v>
      </c>
      <c r="C365" s="100" t="s">
        <v>152</v>
      </c>
      <c r="D365" s="100" t="s">
        <v>400</v>
      </c>
      <c r="E365" s="100">
        <v>1730788.0</v>
      </c>
      <c r="F365" s="99">
        <f t="shared" si="37"/>
        <v>672</v>
      </c>
      <c r="G365" s="100">
        <v>600.0</v>
      </c>
      <c r="H365" s="101">
        <v>155.0</v>
      </c>
      <c r="I365" s="101">
        <v>160.19</v>
      </c>
      <c r="J365" s="102">
        <f t="shared" si="35"/>
        <v>-5.19</v>
      </c>
      <c r="K365" s="103">
        <f t="shared" si="36"/>
        <v>23.83779762</v>
      </c>
      <c r="L365" s="54"/>
      <c r="M365" s="54"/>
    </row>
    <row r="366">
      <c r="A366" s="54"/>
      <c r="B366" s="110">
        <v>45803.0</v>
      </c>
      <c r="C366" s="100" t="s">
        <v>152</v>
      </c>
      <c r="D366" s="100" t="s">
        <v>400</v>
      </c>
      <c r="E366" s="100">
        <v>1731740.0</v>
      </c>
      <c r="F366" s="99">
        <f t="shared" si="37"/>
        <v>952</v>
      </c>
      <c r="G366" s="100">
        <v>600.0</v>
      </c>
      <c r="H366" s="101">
        <v>245.0</v>
      </c>
      <c r="I366" s="101">
        <v>240.0</v>
      </c>
      <c r="J366" s="102">
        <f t="shared" si="35"/>
        <v>5</v>
      </c>
      <c r="K366" s="103">
        <f t="shared" si="36"/>
        <v>25.21008403</v>
      </c>
      <c r="L366" s="54"/>
      <c r="M366" s="54"/>
    </row>
    <row r="367">
      <c r="A367" s="54"/>
      <c r="B367" s="110">
        <v>45805.0</v>
      </c>
      <c r="C367" s="100" t="s">
        <v>152</v>
      </c>
      <c r="D367" s="100" t="s">
        <v>400</v>
      </c>
      <c r="E367" s="100">
        <v>1732413.0</v>
      </c>
      <c r="F367" s="99">
        <f t="shared" si="37"/>
        <v>673</v>
      </c>
      <c r="G367" s="100">
        <v>600.0</v>
      </c>
      <c r="H367" s="101">
        <v>160.0</v>
      </c>
      <c r="I367" s="101">
        <v>160.13</v>
      </c>
      <c r="J367" s="102">
        <f t="shared" si="35"/>
        <v>-0.13</v>
      </c>
      <c r="K367" s="103">
        <f t="shared" si="36"/>
        <v>23.79346211</v>
      </c>
      <c r="L367" s="54"/>
      <c r="M367" s="54"/>
    </row>
    <row r="368">
      <c r="A368" s="54"/>
      <c r="B368" s="110">
        <v>45805.0</v>
      </c>
      <c r="C368" s="100" t="s">
        <v>152</v>
      </c>
      <c r="D368" s="100" t="s">
        <v>400</v>
      </c>
      <c r="E368" s="100">
        <v>1733365.0</v>
      </c>
      <c r="F368" s="99">
        <f t="shared" si="37"/>
        <v>952</v>
      </c>
      <c r="G368" s="100">
        <v>600.0</v>
      </c>
      <c r="H368" s="101">
        <v>235.0</v>
      </c>
      <c r="I368" s="101">
        <v>240.0</v>
      </c>
      <c r="J368" s="102">
        <f t="shared" si="35"/>
        <v>-5</v>
      </c>
      <c r="K368" s="103">
        <f t="shared" si="36"/>
        <v>25.21008403</v>
      </c>
      <c r="L368" s="54"/>
      <c r="M368" s="54"/>
    </row>
    <row r="369">
      <c r="A369" s="54"/>
      <c r="B369" s="110">
        <v>45807.0</v>
      </c>
      <c r="C369" s="100" t="s">
        <v>152</v>
      </c>
      <c r="D369" s="100" t="s">
        <v>400</v>
      </c>
      <c r="E369" s="100">
        <v>1734038.0</v>
      </c>
      <c r="F369" s="99">
        <f t="shared" si="37"/>
        <v>673</v>
      </c>
      <c r="G369" s="100">
        <v>600.0</v>
      </c>
      <c r="H369" s="101">
        <v>170.0</v>
      </c>
      <c r="I369" s="101">
        <v>160.0</v>
      </c>
      <c r="J369" s="102">
        <f t="shared" si="35"/>
        <v>10</v>
      </c>
      <c r="K369" s="103">
        <f t="shared" si="36"/>
        <v>23.77414562</v>
      </c>
      <c r="L369" s="54"/>
      <c r="M369" s="54"/>
    </row>
    <row r="370">
      <c r="A370" s="54"/>
      <c r="B370" s="110">
        <v>45807.0</v>
      </c>
      <c r="C370" s="100" t="s">
        <v>152</v>
      </c>
      <c r="D370" s="100" t="s">
        <v>400</v>
      </c>
      <c r="E370" s="100">
        <v>1735016.0</v>
      </c>
      <c r="F370" s="99">
        <f t="shared" si="37"/>
        <v>978</v>
      </c>
      <c r="G370" s="100">
        <v>600.0</v>
      </c>
      <c r="H370" s="101">
        <v>255.0</v>
      </c>
      <c r="I370" s="101">
        <v>250.0</v>
      </c>
      <c r="J370" s="102">
        <f t="shared" si="35"/>
        <v>5</v>
      </c>
      <c r="K370" s="103">
        <f t="shared" si="36"/>
        <v>25.56237219</v>
      </c>
      <c r="L370" s="54"/>
      <c r="M370" s="54"/>
    </row>
    <row r="371">
      <c r="A371" s="68"/>
      <c r="B371" s="203" t="str">
        <f>IF(L371=4,"АПРЕЛЬ",IF(L371=5,"МАЙ",IF(L371=1,"ЯНВАРЬ",IF(L371=2,"ФЕВРАЛЬ",IF(L371=3,"МАРТ",IF(L371=6,"ИЮНЬ",IF(L371=7,"ИЮЛЬ",IF(L371=8,"АВГУСТ",IF(L371=9,"СЕНТЯБРЬ",IF(L371=10,"ОКТЯБРЬ",IF(L371=11,"НОЯБРЬ",IF(L371=12,"ДЕКАБРЬ"))))))))))))</f>
        <v>ИЮНЬ</v>
      </c>
      <c r="J371" s="66"/>
      <c r="K371" s="204"/>
      <c r="L371" s="91">
        <f>MONTH(B372)</f>
        <v>6</v>
      </c>
      <c r="M371" s="66"/>
      <c r="N371" s="66"/>
      <c r="O371" s="66"/>
      <c r="P371" s="66"/>
      <c r="Q371" s="66"/>
      <c r="R371" s="66"/>
      <c r="S371" s="372"/>
      <c r="T371" s="66"/>
      <c r="U371" s="66"/>
      <c r="V371" s="66"/>
      <c r="W371" s="66"/>
      <c r="X371" s="66"/>
      <c r="Y371" s="66"/>
      <c r="Z371" s="66"/>
      <c r="AA371" s="66"/>
      <c r="AB371" s="242"/>
      <c r="AC371" s="66"/>
      <c r="AD371" s="66"/>
    </row>
    <row r="372">
      <c r="A372" s="54"/>
      <c r="B372" s="110">
        <v>45810.0</v>
      </c>
      <c r="C372" s="100" t="s">
        <v>152</v>
      </c>
      <c r="D372" s="100" t="s">
        <v>400</v>
      </c>
      <c r="E372" s="100">
        <v>1735683.0</v>
      </c>
      <c r="F372" s="99">
        <f>E372-E370</f>
        <v>667</v>
      </c>
      <c r="G372" s="100">
        <v>595.0</v>
      </c>
      <c r="H372" s="101">
        <v>170.0</v>
      </c>
      <c r="I372" s="101">
        <v>160.05</v>
      </c>
      <c r="J372" s="102">
        <f t="shared" ref="J372:J386" si="38">H372-I372</f>
        <v>9.95</v>
      </c>
      <c r="K372" s="103">
        <f t="shared" ref="K372:K386" si="39">I372/F372*100</f>
        <v>23.99550225</v>
      </c>
      <c r="L372" s="54"/>
      <c r="M372" s="82" t="str">
        <f>"тотал"&amp;" "&amp;B371&amp;" "&amp;RIGHT(YEAR(B372),2)</f>
        <v>тотал ИЮНЬ 25</v>
      </c>
      <c r="N372" s="75"/>
      <c r="O372" s="75"/>
      <c r="P372" s="75"/>
      <c r="Q372" s="76"/>
    </row>
    <row r="373">
      <c r="A373" s="54"/>
      <c r="B373" s="110">
        <v>45811.0</v>
      </c>
      <c r="C373" s="100" t="s">
        <v>152</v>
      </c>
      <c r="D373" s="100" t="s">
        <v>400</v>
      </c>
      <c r="E373" s="100">
        <v>1736653.0</v>
      </c>
      <c r="F373" s="99">
        <f t="shared" ref="F373:F386" si="40">E373-E372</f>
        <v>970</v>
      </c>
      <c r="G373" s="100">
        <v>600.0</v>
      </c>
      <c r="H373" s="101">
        <v>255.0</v>
      </c>
      <c r="I373" s="101">
        <v>254.92</v>
      </c>
      <c r="J373" s="102">
        <f t="shared" si="38"/>
        <v>0.08</v>
      </c>
      <c r="K373" s="103">
        <f t="shared" si="39"/>
        <v>26.28041237</v>
      </c>
      <c r="L373" s="54"/>
      <c r="M373" s="83" t="s">
        <v>70</v>
      </c>
      <c r="N373" s="83" t="s">
        <v>71</v>
      </c>
      <c r="O373" s="83" t="s">
        <v>27</v>
      </c>
      <c r="P373" s="77" t="s">
        <v>28</v>
      </c>
      <c r="Q373" s="12" t="s">
        <v>78</v>
      </c>
    </row>
    <row r="374">
      <c r="A374" s="54"/>
      <c r="B374" s="110">
        <v>45812.0</v>
      </c>
      <c r="C374" s="100" t="s">
        <v>152</v>
      </c>
      <c r="D374" s="100" t="s">
        <v>400</v>
      </c>
      <c r="E374" s="100">
        <v>1737321.0</v>
      </c>
      <c r="F374" s="99">
        <f t="shared" si="40"/>
        <v>668</v>
      </c>
      <c r="G374" s="100">
        <v>600.0</v>
      </c>
      <c r="H374" s="101">
        <v>160.0</v>
      </c>
      <c r="I374" s="102">
        <f>113.35+47.8</f>
        <v>161.15</v>
      </c>
      <c r="J374" s="102">
        <f t="shared" si="38"/>
        <v>-1.15</v>
      </c>
      <c r="K374" s="103">
        <f t="shared" si="39"/>
        <v>24.1242515</v>
      </c>
      <c r="L374" s="54"/>
      <c r="M374" s="84">
        <f>SUM(F372:F386)</f>
        <v>12541</v>
      </c>
      <c r="N374" s="84">
        <f>SUM(I372:I386)</f>
        <v>3062.15</v>
      </c>
      <c r="O374" s="85">
        <f>N374/M374*100</f>
        <v>24.41711187</v>
      </c>
      <c r="P374" s="79">
        <f>(M374/100)*(O374-Q374)</f>
        <v>52.31</v>
      </c>
      <c r="Q374" s="78">
        <v>24.0</v>
      </c>
    </row>
    <row r="375">
      <c r="A375" s="54"/>
      <c r="B375" s="110">
        <v>45812.0</v>
      </c>
      <c r="C375" s="100" t="s">
        <v>152</v>
      </c>
      <c r="D375" s="100" t="s">
        <v>400</v>
      </c>
      <c r="E375" s="100">
        <v>1738283.0</v>
      </c>
      <c r="F375" s="99">
        <f t="shared" si="40"/>
        <v>962</v>
      </c>
      <c r="G375" s="100">
        <v>600.0</v>
      </c>
      <c r="H375" s="101">
        <v>230.0</v>
      </c>
      <c r="I375" s="101">
        <v>240.0</v>
      </c>
      <c r="J375" s="102">
        <f t="shared" si="38"/>
        <v>-10</v>
      </c>
      <c r="K375" s="103">
        <f t="shared" si="39"/>
        <v>24.94802495</v>
      </c>
      <c r="L375" s="54"/>
      <c r="M375" s="54"/>
    </row>
    <row r="376">
      <c r="A376" s="54"/>
      <c r="B376" s="110">
        <v>45814.0</v>
      </c>
      <c r="C376" s="100" t="s">
        <v>152</v>
      </c>
      <c r="D376" s="100" t="s">
        <v>400</v>
      </c>
      <c r="E376" s="100">
        <v>1738945.0</v>
      </c>
      <c r="F376" s="99">
        <f t="shared" si="40"/>
        <v>662</v>
      </c>
      <c r="G376" s="100">
        <v>600.0</v>
      </c>
      <c r="H376" s="101">
        <v>160.0</v>
      </c>
      <c r="I376" s="101">
        <v>160.09</v>
      </c>
      <c r="J376" s="102">
        <f t="shared" si="38"/>
        <v>-0.09</v>
      </c>
      <c r="K376" s="103">
        <f t="shared" si="39"/>
        <v>24.18277946</v>
      </c>
      <c r="L376" s="54"/>
      <c r="M376" s="54"/>
    </row>
    <row r="377">
      <c r="A377" s="54"/>
      <c r="B377" s="110">
        <v>45815.0</v>
      </c>
      <c r="C377" s="100" t="s">
        <v>152</v>
      </c>
      <c r="D377" s="100" t="s">
        <v>400</v>
      </c>
      <c r="E377" s="100">
        <v>1739959.0</v>
      </c>
      <c r="F377" s="99">
        <f t="shared" si="40"/>
        <v>1014</v>
      </c>
      <c r="G377" s="100">
        <v>600.0</v>
      </c>
      <c r="H377" s="101">
        <v>255.0</v>
      </c>
      <c r="I377" s="101">
        <v>260.04</v>
      </c>
      <c r="J377" s="102">
        <f t="shared" si="38"/>
        <v>-5.04</v>
      </c>
      <c r="K377" s="103">
        <f t="shared" si="39"/>
        <v>25.64497041</v>
      </c>
      <c r="L377" s="54"/>
      <c r="M377" s="54"/>
    </row>
    <row r="378">
      <c r="A378" s="54"/>
      <c r="B378" s="110">
        <v>45817.0</v>
      </c>
      <c r="C378" s="100" t="s">
        <v>152</v>
      </c>
      <c r="D378" s="100" t="s">
        <v>400</v>
      </c>
      <c r="E378" s="100">
        <v>1740893.0</v>
      </c>
      <c r="F378" s="99">
        <f t="shared" si="40"/>
        <v>934</v>
      </c>
      <c r="G378" s="100">
        <v>600.0</v>
      </c>
      <c r="H378" s="101">
        <v>220.0</v>
      </c>
      <c r="I378" s="101">
        <v>240.0</v>
      </c>
      <c r="J378" s="102">
        <f t="shared" si="38"/>
        <v>-20</v>
      </c>
      <c r="K378" s="103">
        <f t="shared" si="39"/>
        <v>25.69593148</v>
      </c>
      <c r="L378" s="54"/>
      <c r="M378" s="54"/>
    </row>
    <row r="379">
      <c r="A379" s="54"/>
      <c r="B379" s="110">
        <v>45818.0</v>
      </c>
      <c r="C379" s="100" t="s">
        <v>152</v>
      </c>
      <c r="D379" s="100" t="s">
        <v>400</v>
      </c>
      <c r="E379" s="100">
        <v>1741855.0</v>
      </c>
      <c r="F379" s="99">
        <f t="shared" si="40"/>
        <v>962</v>
      </c>
      <c r="G379" s="100">
        <v>600.0</v>
      </c>
      <c r="H379" s="101">
        <v>205.0</v>
      </c>
      <c r="I379" s="101">
        <v>225.12</v>
      </c>
      <c r="J379" s="102">
        <f t="shared" si="38"/>
        <v>-20.12</v>
      </c>
      <c r="K379" s="103">
        <f t="shared" si="39"/>
        <v>23.4012474</v>
      </c>
      <c r="L379" s="54"/>
      <c r="M379" s="54"/>
    </row>
    <row r="380">
      <c r="A380" s="54"/>
      <c r="B380" s="110">
        <v>45819.0</v>
      </c>
      <c r="C380" s="100" t="s">
        <v>152</v>
      </c>
      <c r="D380" s="100" t="s">
        <v>400</v>
      </c>
      <c r="E380" s="100">
        <v>1742732.0</v>
      </c>
      <c r="F380" s="99">
        <f t="shared" si="40"/>
        <v>877</v>
      </c>
      <c r="G380" s="100">
        <v>600.0</v>
      </c>
      <c r="H380" s="101">
        <v>185.0</v>
      </c>
      <c r="I380" s="101">
        <v>200.0</v>
      </c>
      <c r="J380" s="102">
        <f t="shared" si="38"/>
        <v>-15</v>
      </c>
      <c r="K380" s="103">
        <f t="shared" si="39"/>
        <v>22.8050171</v>
      </c>
      <c r="L380" s="54"/>
      <c r="M380" s="54"/>
    </row>
    <row r="381">
      <c r="A381" s="54"/>
      <c r="B381" s="110">
        <v>45819.0</v>
      </c>
      <c r="C381" s="100" t="s">
        <v>152</v>
      </c>
      <c r="D381" s="100" t="s">
        <v>400</v>
      </c>
      <c r="E381" s="100">
        <v>1743695.0</v>
      </c>
      <c r="F381" s="99">
        <f t="shared" si="40"/>
        <v>963</v>
      </c>
      <c r="G381" s="100">
        <v>600.0</v>
      </c>
      <c r="H381" s="101">
        <v>210.0</v>
      </c>
      <c r="I381" s="101">
        <v>221.38</v>
      </c>
      <c r="J381" s="102">
        <f t="shared" si="38"/>
        <v>-11.38</v>
      </c>
      <c r="K381" s="103">
        <f t="shared" si="39"/>
        <v>22.98857736</v>
      </c>
      <c r="L381" s="54"/>
      <c r="M381" s="54"/>
    </row>
    <row r="382">
      <c r="A382" s="54"/>
      <c r="B382" s="110">
        <v>45821.0</v>
      </c>
      <c r="C382" s="100" t="s">
        <v>152</v>
      </c>
      <c r="D382" s="100" t="s">
        <v>400</v>
      </c>
      <c r="E382" s="100">
        <v>1744413.0</v>
      </c>
      <c r="F382" s="99">
        <f t="shared" si="40"/>
        <v>718</v>
      </c>
      <c r="G382" s="100">
        <v>600.0</v>
      </c>
      <c r="H382" s="101">
        <v>165.0</v>
      </c>
      <c r="I382" s="101">
        <v>160.0</v>
      </c>
      <c r="J382" s="102">
        <f t="shared" si="38"/>
        <v>5</v>
      </c>
      <c r="K382" s="103">
        <f t="shared" si="39"/>
        <v>22.28412256</v>
      </c>
      <c r="L382" s="54"/>
      <c r="M382" s="54"/>
    </row>
    <row r="383">
      <c r="A383" s="54"/>
      <c r="B383" s="110">
        <v>45823.0</v>
      </c>
      <c r="C383" s="100" t="s">
        <v>152</v>
      </c>
      <c r="D383" s="100" t="s">
        <v>400</v>
      </c>
      <c r="E383" s="100">
        <v>1745376.0</v>
      </c>
      <c r="F383" s="99">
        <f t="shared" si="40"/>
        <v>963</v>
      </c>
      <c r="G383" s="100">
        <v>600.0</v>
      </c>
      <c r="H383" s="101">
        <v>235.0</v>
      </c>
      <c r="I383" s="101">
        <v>250.0</v>
      </c>
      <c r="J383" s="102">
        <f t="shared" si="38"/>
        <v>-15</v>
      </c>
      <c r="K383" s="103">
        <f t="shared" si="39"/>
        <v>25.96053998</v>
      </c>
      <c r="L383" s="54"/>
      <c r="M383" s="54"/>
    </row>
    <row r="384">
      <c r="A384" s="54"/>
      <c r="B384" s="110">
        <v>45823.0</v>
      </c>
      <c r="C384" s="100" t="s">
        <v>152</v>
      </c>
      <c r="D384" s="100" t="s">
        <v>400</v>
      </c>
      <c r="E384" s="100">
        <v>1746043.0</v>
      </c>
      <c r="F384" s="99">
        <f t="shared" si="40"/>
        <v>667</v>
      </c>
      <c r="G384" s="100">
        <v>600.0</v>
      </c>
      <c r="H384" s="101">
        <v>150.0</v>
      </c>
      <c r="I384" s="101">
        <v>160.0</v>
      </c>
      <c r="J384" s="102">
        <f t="shared" si="38"/>
        <v>-10</v>
      </c>
      <c r="K384" s="103">
        <f t="shared" si="39"/>
        <v>23.988006</v>
      </c>
      <c r="L384" s="54"/>
      <c r="M384" s="54"/>
    </row>
    <row r="385">
      <c r="A385" s="54"/>
      <c r="B385" s="110">
        <v>45834.0</v>
      </c>
      <c r="C385" s="100" t="s">
        <v>152</v>
      </c>
      <c r="D385" s="100" t="s">
        <v>400</v>
      </c>
      <c r="E385" s="100">
        <v>1746566.0</v>
      </c>
      <c r="F385" s="99">
        <f t="shared" si="40"/>
        <v>523</v>
      </c>
      <c r="G385" s="100">
        <v>600.0</v>
      </c>
      <c r="H385" s="101">
        <v>115.0</v>
      </c>
      <c r="I385" s="101">
        <v>132.62</v>
      </c>
      <c r="J385" s="102">
        <f t="shared" si="38"/>
        <v>-17.62</v>
      </c>
      <c r="K385" s="103">
        <f t="shared" si="39"/>
        <v>25.35755258</v>
      </c>
      <c r="L385" s="54"/>
      <c r="M385" s="54"/>
    </row>
    <row r="386">
      <c r="A386" s="54"/>
      <c r="B386" s="110">
        <v>45834.0</v>
      </c>
      <c r="C386" s="100" t="s">
        <v>152</v>
      </c>
      <c r="D386" s="100" t="s">
        <v>400</v>
      </c>
      <c r="E386" s="100">
        <v>1747557.0</v>
      </c>
      <c r="F386" s="99">
        <f t="shared" si="40"/>
        <v>991</v>
      </c>
      <c r="G386" s="100">
        <v>600.0</v>
      </c>
      <c r="H386" s="101">
        <v>220.0</v>
      </c>
      <c r="I386" s="101">
        <v>236.78</v>
      </c>
      <c r="J386" s="102">
        <f t="shared" si="38"/>
        <v>-16.78</v>
      </c>
      <c r="K386" s="103">
        <f t="shared" si="39"/>
        <v>23.89303734</v>
      </c>
      <c r="L386" s="54"/>
      <c r="M386" s="54"/>
    </row>
    <row r="387">
      <c r="A387" s="68"/>
      <c r="B387" s="203" t="str">
        <f>IF(L387=4,"АПРЕЛЬ",IF(L387=5,"МАЙ",IF(L387=1,"ЯНВАРЬ",IF(L387=2,"ФЕВРАЛЬ",IF(L387=3,"МАРТ",IF(L387=6,"ИЮНЬ",IF(L387=7,"ИЮЛЬ",IF(L387=8,"АВГУСТ",IF(L387=9,"СЕНТЯБРЬ",IF(L387=10,"ОКТЯБРЬ",IF(L387=11,"НОЯБРЬ",IF(L387=12,"ДЕКАБРЬ"))))))))))))</f>
        <v>ИЮЛЬ</v>
      </c>
      <c r="J387" s="66"/>
      <c r="K387" s="204"/>
      <c r="L387" s="91">
        <f>MONTH(B388)</f>
        <v>7</v>
      </c>
      <c r="M387" s="66"/>
      <c r="N387" s="66"/>
      <c r="O387" s="66"/>
      <c r="P387" s="66"/>
      <c r="Q387" s="66"/>
      <c r="R387" s="66"/>
      <c r="S387" s="372"/>
      <c r="T387" s="66"/>
      <c r="U387" s="66"/>
      <c r="V387" s="66"/>
      <c r="W387" s="66"/>
      <c r="X387" s="66"/>
      <c r="Y387" s="66"/>
      <c r="Z387" s="66"/>
      <c r="AA387" s="66"/>
      <c r="AB387" s="242"/>
      <c r="AC387" s="66"/>
      <c r="AD387" s="66"/>
    </row>
    <row r="388">
      <c r="A388" s="54"/>
      <c r="B388" s="110">
        <v>45852.0</v>
      </c>
      <c r="C388" s="100" t="s">
        <v>152</v>
      </c>
      <c r="D388" s="100" t="s">
        <v>400</v>
      </c>
      <c r="E388" s="100">
        <v>1748454.0</v>
      </c>
      <c r="F388" s="99">
        <f>E388-E386</f>
        <v>897</v>
      </c>
      <c r="G388" s="100">
        <v>600.0</v>
      </c>
      <c r="H388" s="101">
        <v>200.0</v>
      </c>
      <c r="I388" s="101">
        <v>215.46</v>
      </c>
      <c r="J388" s="102">
        <f t="shared" ref="J388:J403" si="41">H388-I388</f>
        <v>-15.46</v>
      </c>
      <c r="K388" s="103">
        <f t="shared" ref="K388:K403" si="42">I388/F388*100</f>
        <v>24.02006689</v>
      </c>
      <c r="L388" s="54"/>
      <c r="M388" s="82" t="str">
        <f>"тотал"&amp;" "&amp;B387&amp;" "&amp;RIGHT(YEAR(B388),2)</f>
        <v>тотал ИЮЛЬ 25</v>
      </c>
      <c r="N388" s="75"/>
      <c r="O388" s="75"/>
      <c r="P388" s="75"/>
      <c r="Q388" s="76"/>
    </row>
    <row r="389">
      <c r="A389" s="54"/>
      <c r="B389" s="110">
        <v>45852.0</v>
      </c>
      <c r="C389" s="100" t="s">
        <v>152</v>
      </c>
      <c r="D389" s="100" t="s">
        <v>400</v>
      </c>
      <c r="E389" s="100">
        <v>1749467.0</v>
      </c>
      <c r="F389" s="99">
        <f t="shared" ref="F389:F403" si="43">E389-E388</f>
        <v>1013</v>
      </c>
      <c r="G389" s="100">
        <v>600.0</v>
      </c>
      <c r="H389" s="101">
        <v>240.0</v>
      </c>
      <c r="I389" s="101">
        <v>240.0</v>
      </c>
      <c r="J389" s="102">
        <f t="shared" si="41"/>
        <v>0</v>
      </c>
      <c r="K389" s="103">
        <f t="shared" si="42"/>
        <v>23.69200395</v>
      </c>
      <c r="L389" s="54"/>
      <c r="M389" s="83" t="s">
        <v>70</v>
      </c>
      <c r="N389" s="83" t="s">
        <v>71</v>
      </c>
      <c r="O389" s="83" t="s">
        <v>27</v>
      </c>
      <c r="P389" s="77" t="s">
        <v>28</v>
      </c>
      <c r="Q389" s="12" t="s">
        <v>78</v>
      </c>
    </row>
    <row r="390">
      <c r="A390" s="54"/>
      <c r="B390" s="110">
        <v>45854.0</v>
      </c>
      <c r="C390" s="100" t="s">
        <v>152</v>
      </c>
      <c r="D390" s="100" t="s">
        <v>400</v>
      </c>
      <c r="E390" s="100">
        <v>1750129.0</v>
      </c>
      <c r="F390" s="99">
        <f t="shared" si="43"/>
        <v>662</v>
      </c>
      <c r="G390" s="100">
        <v>600.0</v>
      </c>
      <c r="H390" s="101">
        <v>155.0</v>
      </c>
      <c r="I390" s="101">
        <v>160.0</v>
      </c>
      <c r="J390" s="102">
        <f t="shared" si="41"/>
        <v>-5</v>
      </c>
      <c r="K390" s="103">
        <f t="shared" si="42"/>
        <v>24.16918429</v>
      </c>
      <c r="L390" s="54"/>
      <c r="M390" s="84">
        <f>SUM(F388:F403)</f>
        <v>13640</v>
      </c>
      <c r="N390" s="84">
        <f>SUM(I388:I403)</f>
        <v>3309.94</v>
      </c>
      <c r="O390" s="85">
        <f>N390/M390*100</f>
        <v>24.26642229</v>
      </c>
      <c r="P390" s="79">
        <f>(M390/100)*(O390-Q390)</f>
        <v>36.34</v>
      </c>
      <c r="Q390" s="78">
        <v>24.0</v>
      </c>
    </row>
    <row r="391">
      <c r="A391" s="54"/>
      <c r="B391" s="110">
        <v>45854.0</v>
      </c>
      <c r="C391" s="100" t="s">
        <v>152</v>
      </c>
      <c r="D391" s="100" t="s">
        <v>400</v>
      </c>
      <c r="E391" s="100">
        <v>1751109.0</v>
      </c>
      <c r="F391" s="99">
        <f t="shared" si="43"/>
        <v>980</v>
      </c>
      <c r="G391" s="100">
        <v>600.0</v>
      </c>
      <c r="H391" s="101">
        <v>220.0</v>
      </c>
      <c r="I391" s="101">
        <v>240.0</v>
      </c>
      <c r="J391" s="102">
        <f t="shared" si="41"/>
        <v>-20</v>
      </c>
      <c r="K391" s="103">
        <f t="shared" si="42"/>
        <v>24.48979592</v>
      </c>
      <c r="L391" s="54"/>
      <c r="M391" s="54"/>
    </row>
    <row r="392">
      <c r="A392" s="54"/>
      <c r="B392" s="110">
        <v>45856.0</v>
      </c>
      <c r="C392" s="100" t="s">
        <v>152</v>
      </c>
      <c r="D392" s="100" t="s">
        <v>400</v>
      </c>
      <c r="E392" s="100">
        <v>1751772.0</v>
      </c>
      <c r="F392" s="99">
        <f t="shared" si="43"/>
        <v>663</v>
      </c>
      <c r="G392" s="100">
        <v>600.0</v>
      </c>
      <c r="H392" s="101">
        <v>140.0</v>
      </c>
      <c r="I392" s="101">
        <v>154.61</v>
      </c>
      <c r="J392" s="102">
        <f t="shared" si="41"/>
        <v>-14.61</v>
      </c>
      <c r="K392" s="103">
        <f t="shared" si="42"/>
        <v>23.31975867</v>
      </c>
      <c r="L392" s="54"/>
      <c r="M392" s="54"/>
    </row>
    <row r="393">
      <c r="A393" s="54"/>
      <c r="B393" s="110">
        <v>45856.0</v>
      </c>
      <c r="C393" s="100" t="s">
        <v>152</v>
      </c>
      <c r="D393" s="100" t="s">
        <v>400</v>
      </c>
      <c r="E393" s="100">
        <v>1752739.0</v>
      </c>
      <c r="F393" s="99">
        <f t="shared" si="43"/>
        <v>967</v>
      </c>
      <c r="G393" s="100">
        <v>600.0</v>
      </c>
      <c r="H393" s="101">
        <v>220.0</v>
      </c>
      <c r="I393" s="101">
        <v>236.07</v>
      </c>
      <c r="J393" s="102">
        <f t="shared" si="41"/>
        <v>-16.07</v>
      </c>
      <c r="K393" s="103">
        <f t="shared" si="42"/>
        <v>24.41261634</v>
      </c>
      <c r="L393" s="54"/>
      <c r="M393" s="54"/>
    </row>
    <row r="394">
      <c r="A394" s="54"/>
      <c r="B394" s="110">
        <v>45859.0</v>
      </c>
      <c r="C394" s="100" t="s">
        <v>152</v>
      </c>
      <c r="D394" s="100" t="s">
        <v>400</v>
      </c>
      <c r="E394" s="100">
        <v>1753404.0</v>
      </c>
      <c r="F394" s="99">
        <f t="shared" si="43"/>
        <v>665</v>
      </c>
      <c r="G394" s="100">
        <v>600.0</v>
      </c>
      <c r="H394" s="101">
        <v>160.0</v>
      </c>
      <c r="I394" s="101">
        <v>160.01</v>
      </c>
      <c r="J394" s="102">
        <f t="shared" si="41"/>
        <v>-0.01</v>
      </c>
      <c r="K394" s="103">
        <f t="shared" si="42"/>
        <v>24.06165414</v>
      </c>
      <c r="L394" s="54"/>
      <c r="M394" s="54"/>
    </row>
    <row r="395">
      <c r="A395" s="54"/>
      <c r="B395" s="110">
        <v>45859.0</v>
      </c>
      <c r="C395" s="100" t="s">
        <v>152</v>
      </c>
      <c r="D395" s="100" t="s">
        <v>400</v>
      </c>
      <c r="E395" s="100">
        <v>1754403.0</v>
      </c>
      <c r="F395" s="99">
        <f t="shared" si="43"/>
        <v>999</v>
      </c>
      <c r="G395" s="100">
        <v>600.0</v>
      </c>
      <c r="H395" s="101">
        <v>255.0</v>
      </c>
      <c r="I395" s="101">
        <v>260.0</v>
      </c>
      <c r="J395" s="102">
        <f t="shared" si="41"/>
        <v>-5</v>
      </c>
      <c r="K395" s="103">
        <f t="shared" si="42"/>
        <v>26.02602603</v>
      </c>
      <c r="L395" s="54"/>
      <c r="M395" s="54"/>
    </row>
    <row r="396">
      <c r="A396" s="54"/>
      <c r="B396" s="110">
        <v>45861.0</v>
      </c>
      <c r="C396" s="100" t="s">
        <v>152</v>
      </c>
      <c r="D396" s="100" t="s">
        <v>400</v>
      </c>
      <c r="E396" s="100">
        <v>1755068.0</v>
      </c>
      <c r="F396" s="99">
        <f t="shared" si="43"/>
        <v>665</v>
      </c>
      <c r="G396" s="100">
        <v>600.0</v>
      </c>
      <c r="H396" s="101">
        <v>155.0</v>
      </c>
      <c r="I396" s="101">
        <v>160.01</v>
      </c>
      <c r="J396" s="102">
        <f t="shared" si="41"/>
        <v>-5.01</v>
      </c>
      <c r="K396" s="103">
        <f t="shared" si="42"/>
        <v>24.06165414</v>
      </c>
      <c r="L396" s="54"/>
      <c r="M396" s="54"/>
    </row>
    <row r="397">
      <c r="A397" s="54"/>
      <c r="B397" s="110">
        <v>45861.0</v>
      </c>
      <c r="C397" s="100" t="s">
        <v>152</v>
      </c>
      <c r="D397" s="100" t="s">
        <v>400</v>
      </c>
      <c r="E397" s="100">
        <v>1756035.0</v>
      </c>
      <c r="F397" s="99">
        <f t="shared" si="43"/>
        <v>967</v>
      </c>
      <c r="G397" s="100">
        <v>600.0</v>
      </c>
      <c r="H397" s="101">
        <v>220.0</v>
      </c>
      <c r="I397" s="101">
        <v>240.0</v>
      </c>
      <c r="J397" s="102">
        <f t="shared" si="41"/>
        <v>-20</v>
      </c>
      <c r="K397" s="103">
        <f t="shared" si="42"/>
        <v>24.81902792</v>
      </c>
      <c r="L397" s="54"/>
      <c r="M397" s="54"/>
    </row>
    <row r="398">
      <c r="A398" s="54"/>
      <c r="B398" s="110">
        <v>45863.0</v>
      </c>
      <c r="C398" s="100" t="s">
        <v>152</v>
      </c>
      <c r="D398" s="100" t="s">
        <v>400</v>
      </c>
      <c r="E398" s="100">
        <v>1756699.0</v>
      </c>
      <c r="F398" s="99">
        <f t="shared" si="43"/>
        <v>664</v>
      </c>
      <c r="G398" s="100">
        <v>600.0</v>
      </c>
      <c r="H398" s="101">
        <v>140.0</v>
      </c>
      <c r="I398" s="101">
        <v>159.97</v>
      </c>
      <c r="J398" s="102">
        <f t="shared" si="41"/>
        <v>-19.97</v>
      </c>
      <c r="K398" s="103">
        <f t="shared" si="42"/>
        <v>24.09186747</v>
      </c>
      <c r="L398" s="54"/>
      <c r="M398" s="54"/>
    </row>
    <row r="399">
      <c r="A399" s="54"/>
      <c r="B399" s="110">
        <v>45863.0</v>
      </c>
      <c r="C399" s="100" t="s">
        <v>152</v>
      </c>
      <c r="D399" s="100" t="s">
        <v>400</v>
      </c>
      <c r="E399" s="100">
        <v>1757662.0</v>
      </c>
      <c r="F399" s="99">
        <f t="shared" si="43"/>
        <v>963</v>
      </c>
      <c r="G399" s="100">
        <v>600.0</v>
      </c>
      <c r="H399" s="101">
        <v>21.0</v>
      </c>
      <c r="I399" s="101">
        <v>228.74</v>
      </c>
      <c r="J399" s="102">
        <f t="shared" si="41"/>
        <v>-207.74</v>
      </c>
      <c r="K399" s="103">
        <f t="shared" si="42"/>
        <v>23.75285566</v>
      </c>
      <c r="L399" s="54"/>
      <c r="M399" s="54"/>
    </row>
    <row r="400">
      <c r="A400" s="54"/>
      <c r="B400" s="110">
        <v>45867.0</v>
      </c>
      <c r="C400" s="100" t="s">
        <v>152</v>
      </c>
      <c r="D400" s="100" t="s">
        <v>400</v>
      </c>
      <c r="E400" s="100">
        <v>1758518.0</v>
      </c>
      <c r="F400" s="99">
        <f t="shared" si="43"/>
        <v>856</v>
      </c>
      <c r="G400" s="100">
        <v>600.0</v>
      </c>
      <c r="H400" s="101">
        <v>180.0</v>
      </c>
      <c r="I400" s="101">
        <v>200.0</v>
      </c>
      <c r="J400" s="102">
        <f t="shared" si="41"/>
        <v>-20</v>
      </c>
      <c r="K400" s="103">
        <f t="shared" si="42"/>
        <v>23.36448598</v>
      </c>
      <c r="L400" s="54"/>
      <c r="M400" s="54"/>
    </row>
    <row r="401">
      <c r="A401" s="54"/>
      <c r="B401" s="110">
        <v>45868.0</v>
      </c>
      <c r="C401" s="100" t="s">
        <v>152</v>
      </c>
      <c r="D401" s="100" t="s">
        <v>400</v>
      </c>
      <c r="E401" s="100">
        <v>1759533.0</v>
      </c>
      <c r="F401" s="99">
        <f t="shared" si="43"/>
        <v>1015</v>
      </c>
      <c r="G401" s="100">
        <v>600.0</v>
      </c>
      <c r="H401" s="101">
        <v>240.0</v>
      </c>
      <c r="I401" s="101">
        <v>250.0</v>
      </c>
      <c r="J401" s="102">
        <f t="shared" si="41"/>
        <v>-10</v>
      </c>
      <c r="K401" s="103">
        <f t="shared" si="42"/>
        <v>24.63054187</v>
      </c>
      <c r="L401" s="54"/>
      <c r="M401" s="54"/>
    </row>
    <row r="402">
      <c r="A402" s="54"/>
      <c r="B402" s="110">
        <v>45869.0</v>
      </c>
      <c r="C402" s="100" t="s">
        <v>152</v>
      </c>
      <c r="D402" s="100" t="s">
        <v>400</v>
      </c>
      <c r="E402" s="100">
        <v>1760244.0</v>
      </c>
      <c r="F402" s="99">
        <f t="shared" si="43"/>
        <v>711</v>
      </c>
      <c r="G402" s="100">
        <v>600.0</v>
      </c>
      <c r="H402" s="101">
        <v>160.0</v>
      </c>
      <c r="I402" s="101">
        <v>180.0</v>
      </c>
      <c r="J402" s="102">
        <f t="shared" si="41"/>
        <v>-20</v>
      </c>
      <c r="K402" s="103">
        <f t="shared" si="42"/>
        <v>25.3164557</v>
      </c>
      <c r="L402" s="54"/>
      <c r="M402" s="54"/>
    </row>
    <row r="403">
      <c r="A403" s="54"/>
      <c r="B403" s="110">
        <v>45869.0</v>
      </c>
      <c r="C403" s="100" t="s">
        <v>152</v>
      </c>
      <c r="D403" s="100" t="s">
        <v>400</v>
      </c>
      <c r="E403" s="100">
        <v>1761197.0</v>
      </c>
      <c r="F403" s="99">
        <f t="shared" si="43"/>
        <v>953</v>
      </c>
      <c r="G403" s="100">
        <v>600.0</v>
      </c>
      <c r="H403" s="101">
        <v>205.0</v>
      </c>
      <c r="I403" s="101">
        <v>225.07</v>
      </c>
      <c r="J403" s="102">
        <f t="shared" si="41"/>
        <v>-20.07</v>
      </c>
      <c r="K403" s="103">
        <f t="shared" si="42"/>
        <v>23.61699895</v>
      </c>
      <c r="L403" s="54"/>
      <c r="M403" s="54"/>
    </row>
    <row r="404">
      <c r="A404" s="68"/>
      <c r="B404" s="203" t="str">
        <f>IF(L404=4,"АПРЕЛЬ",IF(L404=5,"МАЙ",IF(L404=1,"ЯНВАРЬ",IF(L404=2,"ФЕВРАЛЬ",IF(L404=3,"МАРТ",IF(L404=6,"ИЮНЬ",IF(L404=7,"ИЮЛЬ",IF(L404=8,"АВГУСТ",IF(L404=9,"СЕНТЯБРЬ",IF(L404=10,"ОКТЯБРЬ",IF(L404=11,"НОЯБРЬ",IF(L404=12,"ДЕКАБРЬ"))))))))))))</f>
        <v>АВГУСТ</v>
      </c>
      <c r="J404" s="66"/>
      <c r="K404" s="204"/>
      <c r="L404" s="91">
        <f>MONTH(B405)</f>
        <v>8</v>
      </c>
      <c r="M404" s="66"/>
      <c r="N404" s="66"/>
      <c r="O404" s="66"/>
      <c r="P404" s="66"/>
      <c r="Q404" s="66"/>
      <c r="R404" s="66"/>
      <c r="S404" s="372"/>
      <c r="T404" s="66"/>
      <c r="U404" s="66"/>
      <c r="V404" s="66"/>
      <c r="W404" s="66"/>
      <c r="X404" s="66"/>
      <c r="Y404" s="66"/>
      <c r="Z404" s="66"/>
      <c r="AA404" s="66"/>
      <c r="AB404" s="242"/>
      <c r="AC404" s="66"/>
      <c r="AD404" s="66"/>
    </row>
    <row r="405">
      <c r="A405" s="54"/>
      <c r="B405" s="110">
        <v>45871.0</v>
      </c>
      <c r="C405" s="100" t="s">
        <v>152</v>
      </c>
      <c r="D405" s="100" t="s">
        <v>400</v>
      </c>
      <c r="E405" s="100">
        <v>1761865.0</v>
      </c>
      <c r="F405" s="99">
        <f>E405-E403</f>
        <v>668</v>
      </c>
      <c r="G405" s="100">
        <v>600.0</v>
      </c>
      <c r="H405" s="101">
        <v>140.0</v>
      </c>
      <c r="I405" s="101">
        <v>160.01</v>
      </c>
      <c r="J405" s="102">
        <f t="shared" ref="J405:J432" si="44">H405-I405</f>
        <v>-20.01</v>
      </c>
      <c r="K405" s="103">
        <f t="shared" ref="K405:K432" si="45">I405/F405*100</f>
        <v>23.95359281</v>
      </c>
      <c r="L405" s="54"/>
      <c r="M405" s="82" t="str">
        <f>"тотал"&amp;" "&amp;B404&amp;" "&amp;RIGHT(YEAR(B405),2)</f>
        <v>тотал АВГУСТ 25</v>
      </c>
      <c r="N405" s="75"/>
      <c r="O405" s="75"/>
      <c r="P405" s="75"/>
      <c r="Q405" s="76"/>
    </row>
    <row r="406">
      <c r="A406" s="54"/>
      <c r="B406" s="110">
        <v>45871.0</v>
      </c>
      <c r="C406" s="100" t="s">
        <v>152</v>
      </c>
      <c r="D406" s="100" t="s">
        <v>400</v>
      </c>
      <c r="E406" s="100">
        <v>1762847.0</v>
      </c>
      <c r="F406" s="99">
        <f t="shared" ref="F406:F432" si="46">E406-E405</f>
        <v>982</v>
      </c>
      <c r="G406" s="100">
        <v>600.0</v>
      </c>
      <c r="H406" s="101">
        <v>200.0</v>
      </c>
      <c r="I406" s="101">
        <v>230.13</v>
      </c>
      <c r="J406" s="102">
        <f t="shared" si="44"/>
        <v>-30.13</v>
      </c>
      <c r="K406" s="103">
        <f t="shared" si="45"/>
        <v>23.43482688</v>
      </c>
      <c r="L406" s="54"/>
      <c r="M406" s="83" t="s">
        <v>70</v>
      </c>
      <c r="N406" s="83" t="s">
        <v>71</v>
      </c>
      <c r="O406" s="83" t="s">
        <v>27</v>
      </c>
      <c r="P406" s="77" t="s">
        <v>28</v>
      </c>
      <c r="Q406" s="12" t="s">
        <v>78</v>
      </c>
    </row>
    <row r="407">
      <c r="A407" s="54"/>
      <c r="B407" s="110">
        <v>45873.0</v>
      </c>
      <c r="C407" s="100" t="s">
        <v>152</v>
      </c>
      <c r="D407" s="100" t="s">
        <v>400</v>
      </c>
      <c r="E407" s="100">
        <v>1763511.0</v>
      </c>
      <c r="F407" s="99">
        <f t="shared" si="46"/>
        <v>664</v>
      </c>
      <c r="G407" s="100">
        <v>600.0</v>
      </c>
      <c r="H407" s="101">
        <v>140.0</v>
      </c>
      <c r="I407" s="101">
        <v>150.89</v>
      </c>
      <c r="J407" s="102">
        <f t="shared" si="44"/>
        <v>-10.89</v>
      </c>
      <c r="K407" s="103">
        <f t="shared" si="45"/>
        <v>22.72439759</v>
      </c>
      <c r="L407" s="54"/>
      <c r="M407" s="84">
        <f>SUM(F405:F432)</f>
        <v>23626</v>
      </c>
      <c r="N407" s="84">
        <f>SUM(I405:I432)</f>
        <v>5715.04</v>
      </c>
      <c r="O407" s="85">
        <f>N407/M407*100</f>
        <v>24.1896216</v>
      </c>
      <c r="P407" s="79">
        <f>(M407/100)*(O407-Q407)</f>
        <v>44.8</v>
      </c>
      <c r="Q407" s="78">
        <v>24.0</v>
      </c>
    </row>
    <row r="408">
      <c r="A408" s="54"/>
      <c r="B408" s="110">
        <v>45873.0</v>
      </c>
      <c r="C408" s="100" t="s">
        <v>152</v>
      </c>
      <c r="D408" s="100" t="s">
        <v>400</v>
      </c>
      <c r="E408" s="100">
        <v>1764485.0</v>
      </c>
      <c r="F408" s="99">
        <f t="shared" si="46"/>
        <v>974</v>
      </c>
      <c r="G408" s="100">
        <v>600.0</v>
      </c>
      <c r="H408" s="101">
        <v>230.0</v>
      </c>
      <c r="I408" s="101">
        <v>250.0</v>
      </c>
      <c r="J408" s="102">
        <f t="shared" si="44"/>
        <v>-20</v>
      </c>
      <c r="K408" s="103">
        <f t="shared" si="45"/>
        <v>25.66735113</v>
      </c>
      <c r="L408" s="54"/>
      <c r="M408" s="54"/>
    </row>
    <row r="409">
      <c r="A409" s="54"/>
      <c r="B409" s="110">
        <v>45875.0</v>
      </c>
      <c r="C409" s="100" t="s">
        <v>152</v>
      </c>
      <c r="D409" s="100" t="s">
        <v>400</v>
      </c>
      <c r="E409" s="100">
        <v>1765153.0</v>
      </c>
      <c r="F409" s="99">
        <f t="shared" si="46"/>
        <v>668</v>
      </c>
      <c r="G409" s="100">
        <v>600.0</v>
      </c>
      <c r="H409" s="101">
        <v>145.0</v>
      </c>
      <c r="I409" s="101">
        <v>155.46</v>
      </c>
      <c r="J409" s="102">
        <f t="shared" si="44"/>
        <v>-10.46</v>
      </c>
      <c r="K409" s="103">
        <f t="shared" si="45"/>
        <v>23.27245509</v>
      </c>
      <c r="L409" s="54"/>
      <c r="M409" s="54"/>
    </row>
    <row r="410">
      <c r="A410" s="54"/>
      <c r="B410" s="110">
        <v>45876.0</v>
      </c>
      <c r="C410" s="100" t="s">
        <v>152</v>
      </c>
      <c r="D410" s="100" t="s">
        <v>400</v>
      </c>
      <c r="E410" s="100">
        <v>1766141.0</v>
      </c>
      <c r="F410" s="99">
        <f t="shared" si="46"/>
        <v>988</v>
      </c>
      <c r="G410" s="100">
        <v>600.0</v>
      </c>
      <c r="H410" s="101">
        <v>215.0</v>
      </c>
      <c r="I410" s="101">
        <v>230.0</v>
      </c>
      <c r="J410" s="102">
        <f t="shared" si="44"/>
        <v>-15</v>
      </c>
      <c r="K410" s="103">
        <f t="shared" si="45"/>
        <v>23.27935223</v>
      </c>
      <c r="L410" s="54"/>
      <c r="M410" s="54"/>
    </row>
    <row r="411">
      <c r="A411" s="54"/>
      <c r="B411" s="110">
        <v>45877.0</v>
      </c>
      <c r="C411" s="100" t="s">
        <v>152</v>
      </c>
      <c r="D411" s="100" t="s">
        <v>400</v>
      </c>
      <c r="E411" s="100">
        <v>1766805.0</v>
      </c>
      <c r="F411" s="99">
        <f t="shared" si="46"/>
        <v>664</v>
      </c>
      <c r="G411" s="100">
        <v>600.0</v>
      </c>
      <c r="H411" s="101">
        <v>140.0</v>
      </c>
      <c r="I411" s="101">
        <v>160.0</v>
      </c>
      <c r="J411" s="102">
        <f t="shared" si="44"/>
        <v>-20</v>
      </c>
      <c r="K411" s="103">
        <f t="shared" si="45"/>
        <v>24.09638554</v>
      </c>
      <c r="L411" s="54"/>
      <c r="M411" s="54"/>
    </row>
    <row r="412">
      <c r="A412" s="54"/>
      <c r="B412" s="110">
        <v>45877.0</v>
      </c>
      <c r="C412" s="100" t="s">
        <v>152</v>
      </c>
      <c r="D412" s="100" t="s">
        <v>400</v>
      </c>
      <c r="E412" s="100">
        <v>1767773.0</v>
      </c>
      <c r="F412" s="99">
        <f t="shared" si="46"/>
        <v>968</v>
      </c>
      <c r="G412" s="100">
        <v>600.0</v>
      </c>
      <c r="H412" s="101">
        <v>225.0</v>
      </c>
      <c r="I412" s="101">
        <v>220.69</v>
      </c>
      <c r="J412" s="102">
        <f t="shared" si="44"/>
        <v>4.31</v>
      </c>
      <c r="K412" s="103">
        <f t="shared" si="45"/>
        <v>22.79855372</v>
      </c>
      <c r="L412" s="54"/>
      <c r="M412" s="54"/>
    </row>
    <row r="413">
      <c r="A413" s="54"/>
      <c r="B413" s="110">
        <v>45880.0</v>
      </c>
      <c r="C413" s="100" t="s">
        <v>152</v>
      </c>
      <c r="D413" s="100" t="s">
        <v>400</v>
      </c>
      <c r="E413" s="100">
        <v>1768664.0</v>
      </c>
      <c r="F413" s="99">
        <f t="shared" si="46"/>
        <v>891</v>
      </c>
      <c r="G413" s="100">
        <v>600.0</v>
      </c>
      <c r="H413" s="101">
        <v>220.0</v>
      </c>
      <c r="I413" s="101">
        <v>240.0</v>
      </c>
      <c r="J413" s="102">
        <f t="shared" si="44"/>
        <v>-20</v>
      </c>
      <c r="K413" s="103">
        <f t="shared" si="45"/>
        <v>26.93602694</v>
      </c>
      <c r="L413" s="54"/>
      <c r="M413" s="54"/>
    </row>
    <row r="414">
      <c r="A414" s="54"/>
      <c r="B414" s="110">
        <v>45880.0</v>
      </c>
      <c r="C414" s="100" t="s">
        <v>152</v>
      </c>
      <c r="D414" s="100" t="s">
        <v>400</v>
      </c>
      <c r="E414" s="100">
        <v>1769647.0</v>
      </c>
      <c r="F414" s="99">
        <f t="shared" si="46"/>
        <v>983</v>
      </c>
      <c r="G414" s="100">
        <v>600.0</v>
      </c>
      <c r="H414" s="101">
        <v>220.0</v>
      </c>
      <c r="I414" s="101">
        <v>240.0</v>
      </c>
      <c r="J414" s="102">
        <f t="shared" si="44"/>
        <v>-20</v>
      </c>
      <c r="K414" s="103">
        <f t="shared" si="45"/>
        <v>24.41505595</v>
      </c>
      <c r="L414" s="54"/>
      <c r="M414" s="54"/>
    </row>
    <row r="415">
      <c r="A415" s="54"/>
      <c r="B415" s="110">
        <v>45882.0</v>
      </c>
      <c r="C415" s="100" t="s">
        <v>152</v>
      </c>
      <c r="D415" s="100" t="s">
        <v>400</v>
      </c>
      <c r="E415" s="100">
        <v>1770360.0</v>
      </c>
      <c r="F415" s="99">
        <f t="shared" si="46"/>
        <v>713</v>
      </c>
      <c r="G415" s="100">
        <v>600.0</v>
      </c>
      <c r="H415" s="101">
        <v>160.0</v>
      </c>
      <c r="I415" s="101">
        <v>176.7</v>
      </c>
      <c r="J415" s="102">
        <f t="shared" si="44"/>
        <v>-16.7</v>
      </c>
      <c r="K415" s="103">
        <f t="shared" si="45"/>
        <v>24.7826087</v>
      </c>
      <c r="L415" s="54"/>
      <c r="M415" s="54"/>
    </row>
    <row r="416">
      <c r="A416" s="54"/>
      <c r="B416" s="110">
        <v>45883.0</v>
      </c>
      <c r="C416" s="100" t="s">
        <v>152</v>
      </c>
      <c r="D416" s="100" t="s">
        <v>400</v>
      </c>
      <c r="E416" s="100">
        <v>1771321.0</v>
      </c>
      <c r="F416" s="99">
        <f t="shared" si="46"/>
        <v>961</v>
      </c>
      <c r="G416" s="100">
        <v>600.0</v>
      </c>
      <c r="H416" s="101">
        <v>220.0</v>
      </c>
      <c r="I416" s="101">
        <v>240.0</v>
      </c>
      <c r="J416" s="102">
        <f t="shared" si="44"/>
        <v>-20</v>
      </c>
      <c r="K416" s="103">
        <f t="shared" si="45"/>
        <v>24.97398543</v>
      </c>
      <c r="L416" s="54"/>
      <c r="M416" s="54"/>
    </row>
    <row r="417">
      <c r="A417" s="54"/>
      <c r="B417" s="110">
        <v>45884.0</v>
      </c>
      <c r="C417" s="100" t="s">
        <v>152</v>
      </c>
      <c r="D417" s="100" t="s">
        <v>400</v>
      </c>
      <c r="E417" s="100">
        <v>1772024.0</v>
      </c>
      <c r="F417" s="99">
        <f t="shared" si="46"/>
        <v>703</v>
      </c>
      <c r="G417" s="100">
        <v>600.0</v>
      </c>
      <c r="H417" s="101">
        <v>145.0</v>
      </c>
      <c r="I417" s="101">
        <v>170.04</v>
      </c>
      <c r="J417" s="102">
        <f t="shared" si="44"/>
        <v>-25.04</v>
      </c>
      <c r="K417" s="103">
        <f t="shared" si="45"/>
        <v>24.18776671</v>
      </c>
      <c r="L417" s="54"/>
      <c r="M417" s="54"/>
    </row>
    <row r="418">
      <c r="A418" s="54"/>
      <c r="B418" s="110">
        <v>45884.0</v>
      </c>
      <c r="C418" s="100" t="s">
        <v>152</v>
      </c>
      <c r="D418" s="100" t="s">
        <v>400</v>
      </c>
      <c r="E418" s="100">
        <v>1772989.0</v>
      </c>
      <c r="F418" s="99">
        <f t="shared" si="46"/>
        <v>965</v>
      </c>
      <c r="G418" s="100">
        <v>600.0</v>
      </c>
      <c r="H418" s="101">
        <v>215.0</v>
      </c>
      <c r="I418" s="101">
        <v>236.59</v>
      </c>
      <c r="J418" s="102">
        <f t="shared" si="44"/>
        <v>-21.59</v>
      </c>
      <c r="K418" s="103">
        <f t="shared" si="45"/>
        <v>24.51709845</v>
      </c>
      <c r="L418" s="54"/>
      <c r="M418" s="54"/>
    </row>
    <row r="419">
      <c r="A419" s="54"/>
      <c r="B419" s="110">
        <v>45887.0</v>
      </c>
      <c r="C419" s="100" t="s">
        <v>152</v>
      </c>
      <c r="D419" s="100" t="s">
        <v>400</v>
      </c>
      <c r="E419" s="100">
        <v>1773698.0</v>
      </c>
      <c r="F419" s="99">
        <f t="shared" si="46"/>
        <v>709</v>
      </c>
      <c r="G419" s="100">
        <v>600.0</v>
      </c>
      <c r="H419" s="101">
        <v>150.0</v>
      </c>
      <c r="I419" s="101">
        <v>159.87</v>
      </c>
      <c r="J419" s="102">
        <f t="shared" si="44"/>
        <v>-9.87</v>
      </c>
      <c r="K419" s="103">
        <f t="shared" si="45"/>
        <v>22.54866008</v>
      </c>
      <c r="L419" s="54"/>
      <c r="M419" s="54"/>
    </row>
    <row r="420">
      <c r="A420" s="54"/>
      <c r="B420" s="110">
        <v>45887.0</v>
      </c>
      <c r="C420" s="100" t="s">
        <v>152</v>
      </c>
      <c r="D420" s="100" t="s">
        <v>400</v>
      </c>
      <c r="E420" s="100">
        <v>1774691.0</v>
      </c>
      <c r="F420" s="99">
        <f t="shared" si="46"/>
        <v>993</v>
      </c>
      <c r="G420" s="100">
        <v>600.0</v>
      </c>
      <c r="H420" s="101">
        <v>240.0</v>
      </c>
      <c r="I420" s="101">
        <v>250.0</v>
      </c>
      <c r="J420" s="102">
        <f t="shared" si="44"/>
        <v>-10</v>
      </c>
      <c r="K420" s="103">
        <f t="shared" si="45"/>
        <v>25.17623364</v>
      </c>
      <c r="L420" s="54"/>
      <c r="M420" s="54"/>
    </row>
    <row r="421">
      <c r="A421" s="54"/>
      <c r="B421" s="110">
        <v>45889.0</v>
      </c>
      <c r="C421" s="100" t="s">
        <v>152</v>
      </c>
      <c r="D421" s="100" t="s">
        <v>400</v>
      </c>
      <c r="E421" s="100">
        <v>1775406.0</v>
      </c>
      <c r="F421" s="99">
        <f t="shared" si="46"/>
        <v>715</v>
      </c>
      <c r="G421" s="100">
        <v>600.0</v>
      </c>
      <c r="H421" s="101">
        <v>160.0</v>
      </c>
      <c r="I421" s="101">
        <v>169.96</v>
      </c>
      <c r="J421" s="102">
        <f t="shared" si="44"/>
        <v>-9.96</v>
      </c>
      <c r="K421" s="103">
        <f t="shared" si="45"/>
        <v>23.77062937</v>
      </c>
      <c r="L421" s="54"/>
      <c r="M421" s="54"/>
    </row>
    <row r="422">
      <c r="A422" s="54"/>
      <c r="B422" s="110">
        <v>45890.0</v>
      </c>
      <c r="C422" s="100" t="s">
        <v>152</v>
      </c>
      <c r="D422" s="100" t="s">
        <v>400</v>
      </c>
      <c r="E422" s="100">
        <v>1776499.0</v>
      </c>
      <c r="F422" s="99">
        <f t="shared" si="46"/>
        <v>1093</v>
      </c>
      <c r="G422" s="100">
        <v>600.0</v>
      </c>
      <c r="H422" s="101">
        <v>279.0</v>
      </c>
      <c r="I422" s="101">
        <v>280.19</v>
      </c>
      <c r="J422" s="102">
        <f t="shared" si="44"/>
        <v>-1.19</v>
      </c>
      <c r="K422" s="103">
        <f t="shared" si="45"/>
        <v>25.63494968</v>
      </c>
      <c r="L422" s="54"/>
      <c r="M422" s="54"/>
    </row>
    <row r="423">
      <c r="A423" s="54"/>
      <c r="B423" s="110">
        <v>45891.0</v>
      </c>
      <c r="C423" s="100" t="s">
        <v>152</v>
      </c>
      <c r="D423" s="100" t="s">
        <v>400</v>
      </c>
      <c r="E423" s="100">
        <v>1777082.0</v>
      </c>
      <c r="F423" s="99">
        <f t="shared" si="46"/>
        <v>583</v>
      </c>
      <c r="G423" s="100">
        <v>600.0</v>
      </c>
      <c r="H423" s="101">
        <v>130.0</v>
      </c>
      <c r="I423" s="101">
        <v>130.01</v>
      </c>
      <c r="J423" s="102">
        <f t="shared" si="44"/>
        <v>-0.01</v>
      </c>
      <c r="K423" s="103">
        <f t="shared" si="45"/>
        <v>22.30017153</v>
      </c>
      <c r="L423" s="54"/>
      <c r="M423" s="54"/>
    </row>
    <row r="424">
      <c r="A424" s="54"/>
      <c r="B424" s="110">
        <v>45892.0</v>
      </c>
      <c r="C424" s="100" t="s">
        <v>152</v>
      </c>
      <c r="D424" s="100" t="s">
        <v>400</v>
      </c>
      <c r="E424" s="100">
        <v>1778234.0</v>
      </c>
      <c r="F424" s="99">
        <f t="shared" si="46"/>
        <v>1152</v>
      </c>
      <c r="G424" s="100">
        <v>600.0</v>
      </c>
      <c r="H424" s="101">
        <v>265.0</v>
      </c>
      <c r="I424" s="101">
        <v>288.93</v>
      </c>
      <c r="J424" s="102">
        <f t="shared" si="44"/>
        <v>-23.93</v>
      </c>
      <c r="K424" s="103">
        <f t="shared" si="45"/>
        <v>25.08072917</v>
      </c>
      <c r="L424" s="54"/>
      <c r="M424" s="54"/>
    </row>
    <row r="425">
      <c r="A425" s="54"/>
      <c r="B425" s="110">
        <v>45894.0</v>
      </c>
      <c r="C425" s="100" t="s">
        <v>152</v>
      </c>
      <c r="D425" s="100" t="s">
        <v>400</v>
      </c>
      <c r="E425" s="100">
        <v>1778817.0</v>
      </c>
      <c r="F425" s="99">
        <f t="shared" si="46"/>
        <v>583</v>
      </c>
      <c r="G425" s="100">
        <v>600.0</v>
      </c>
      <c r="H425" s="101">
        <v>140.0</v>
      </c>
      <c r="I425" s="101">
        <v>150.0</v>
      </c>
      <c r="J425" s="102">
        <f t="shared" si="44"/>
        <v>-10</v>
      </c>
      <c r="K425" s="103">
        <f t="shared" si="45"/>
        <v>25.72898799</v>
      </c>
      <c r="L425" s="54"/>
      <c r="M425" s="54"/>
    </row>
    <row r="426">
      <c r="A426" s="54"/>
      <c r="B426" s="110">
        <v>45895.0</v>
      </c>
      <c r="C426" s="100" t="s">
        <v>152</v>
      </c>
      <c r="D426" s="100" t="s">
        <v>400</v>
      </c>
      <c r="E426" s="100">
        <v>1779782.0</v>
      </c>
      <c r="F426" s="99">
        <f t="shared" si="46"/>
        <v>965</v>
      </c>
      <c r="G426" s="100">
        <v>600.0</v>
      </c>
      <c r="H426" s="101">
        <v>220.0</v>
      </c>
      <c r="I426" s="101">
        <v>239.35</v>
      </c>
      <c r="J426" s="102">
        <f t="shared" si="44"/>
        <v>-19.35</v>
      </c>
      <c r="K426" s="103">
        <f t="shared" si="45"/>
        <v>24.80310881</v>
      </c>
      <c r="L426" s="54"/>
      <c r="M426" s="54"/>
    </row>
    <row r="427">
      <c r="A427" s="54"/>
      <c r="B427" s="110">
        <v>45896.0</v>
      </c>
      <c r="C427" s="100" t="s">
        <v>152</v>
      </c>
      <c r="D427" s="100" t="s">
        <v>400</v>
      </c>
      <c r="E427" s="100">
        <v>1780487.0</v>
      </c>
      <c r="F427" s="99">
        <f t="shared" si="46"/>
        <v>705</v>
      </c>
      <c r="G427" s="100">
        <v>600.0</v>
      </c>
      <c r="H427" s="101">
        <v>150.0</v>
      </c>
      <c r="I427" s="101">
        <v>160.0</v>
      </c>
      <c r="J427" s="102">
        <f t="shared" si="44"/>
        <v>-10</v>
      </c>
      <c r="K427" s="103">
        <f t="shared" si="45"/>
        <v>22.69503546</v>
      </c>
      <c r="L427" s="54"/>
      <c r="M427" s="54"/>
    </row>
    <row r="428">
      <c r="A428" s="54"/>
      <c r="B428" s="110">
        <v>45897.0</v>
      </c>
      <c r="C428" s="100" t="s">
        <v>152</v>
      </c>
      <c r="D428" s="100" t="s">
        <v>400</v>
      </c>
      <c r="E428" s="100">
        <v>1781457.0</v>
      </c>
      <c r="F428" s="99">
        <f t="shared" si="46"/>
        <v>970</v>
      </c>
      <c r="G428" s="100">
        <v>600.0</v>
      </c>
      <c r="H428" s="101">
        <v>220.0</v>
      </c>
      <c r="I428" s="101">
        <v>240.0</v>
      </c>
      <c r="J428" s="102">
        <f t="shared" si="44"/>
        <v>-20</v>
      </c>
      <c r="K428" s="103">
        <f t="shared" si="45"/>
        <v>24.74226804</v>
      </c>
      <c r="L428" s="54"/>
      <c r="M428" s="54"/>
    </row>
    <row r="429">
      <c r="A429" s="54"/>
      <c r="B429" s="110">
        <v>45898.0</v>
      </c>
      <c r="C429" s="100" t="s">
        <v>152</v>
      </c>
      <c r="D429" s="100" t="s">
        <v>400</v>
      </c>
      <c r="E429" s="100">
        <v>1782162.0</v>
      </c>
      <c r="F429" s="99">
        <f t="shared" si="46"/>
        <v>705</v>
      </c>
      <c r="G429" s="100">
        <v>600.0</v>
      </c>
      <c r="H429" s="101">
        <v>150.0</v>
      </c>
      <c r="I429" s="101">
        <v>160.0</v>
      </c>
      <c r="J429" s="102">
        <f t="shared" si="44"/>
        <v>-10</v>
      </c>
      <c r="K429" s="103">
        <f t="shared" si="45"/>
        <v>22.69503546</v>
      </c>
      <c r="L429" s="54"/>
      <c r="M429" s="54"/>
    </row>
    <row r="430">
      <c r="A430" s="54"/>
      <c r="B430" s="110">
        <v>45899.0</v>
      </c>
      <c r="C430" s="100" t="s">
        <v>152</v>
      </c>
      <c r="D430" s="100" t="s">
        <v>400</v>
      </c>
      <c r="E430" s="100">
        <v>1783127.0</v>
      </c>
      <c r="F430" s="99">
        <f t="shared" si="46"/>
        <v>965</v>
      </c>
      <c r="G430" s="100">
        <v>600.0</v>
      </c>
      <c r="H430" s="101">
        <v>220.0</v>
      </c>
      <c r="I430" s="101">
        <v>240.0</v>
      </c>
      <c r="J430" s="102">
        <f t="shared" si="44"/>
        <v>-20</v>
      </c>
      <c r="K430" s="103">
        <f t="shared" si="45"/>
        <v>24.87046632</v>
      </c>
      <c r="L430" s="54"/>
      <c r="M430" s="54"/>
    </row>
    <row r="431">
      <c r="A431" s="54"/>
      <c r="B431" s="110">
        <v>45899.0</v>
      </c>
      <c r="C431" s="100" t="s">
        <v>152</v>
      </c>
      <c r="D431" s="100" t="s">
        <v>400</v>
      </c>
      <c r="E431" s="100">
        <v>1783833.0</v>
      </c>
      <c r="F431" s="99">
        <f t="shared" si="46"/>
        <v>706</v>
      </c>
      <c r="G431" s="100">
        <v>600.0</v>
      </c>
      <c r="H431" s="101">
        <v>135.0</v>
      </c>
      <c r="I431" s="101">
        <v>160.0</v>
      </c>
      <c r="J431" s="102">
        <f t="shared" si="44"/>
        <v>-25</v>
      </c>
      <c r="K431" s="103">
        <f t="shared" si="45"/>
        <v>22.66288952</v>
      </c>
      <c r="L431" s="54"/>
      <c r="M431" s="54"/>
    </row>
    <row r="432">
      <c r="A432" s="54"/>
      <c r="B432" s="110">
        <v>45900.0</v>
      </c>
      <c r="C432" s="100" t="s">
        <v>152</v>
      </c>
      <c r="D432" s="100" t="s">
        <v>400</v>
      </c>
      <c r="E432" s="100">
        <v>1784823.0</v>
      </c>
      <c r="F432" s="99">
        <f t="shared" si="46"/>
        <v>990</v>
      </c>
      <c r="G432" s="100">
        <v>600.0</v>
      </c>
      <c r="H432" s="101">
        <v>200.0</v>
      </c>
      <c r="I432" s="101">
        <v>226.22</v>
      </c>
      <c r="J432" s="102">
        <f t="shared" si="44"/>
        <v>-26.22</v>
      </c>
      <c r="K432" s="103">
        <f t="shared" si="45"/>
        <v>22.85050505</v>
      </c>
      <c r="L432" s="54"/>
      <c r="M432" s="54"/>
    </row>
    <row r="433">
      <c r="A433" s="68"/>
      <c r="B433" s="203" t="str">
        <f>IF(L433=4,"АПРЕЛЬ",IF(L433=5,"МАЙ",IF(L433=1,"ЯНВАРЬ",IF(L433=2,"ФЕВРАЛЬ",IF(L433=3,"МАРТ",IF(L433=6,"ИЮНЬ",IF(L433=7,"ИЮЛЬ",IF(L433=8,"АВГУСТ",IF(L433=9,"СЕНТЯБРЬ",IF(L433=10,"ОКТЯБРЬ",IF(L433=11,"НОЯБРЬ",IF(L433=12,"ДЕКАБРЬ"))))))))))))</f>
        <v>СЕНТЯБРЬ</v>
      </c>
      <c r="J433" s="66"/>
      <c r="K433" s="204"/>
      <c r="L433" s="91">
        <f>MONTH(B434)</f>
        <v>9</v>
      </c>
      <c r="M433" s="66"/>
      <c r="N433" s="66"/>
      <c r="O433" s="66"/>
      <c r="P433" s="66"/>
      <c r="Q433" s="66"/>
      <c r="R433" s="66"/>
      <c r="S433" s="372"/>
      <c r="T433" s="66"/>
      <c r="U433" s="66"/>
      <c r="V433" s="66"/>
      <c r="W433" s="66"/>
      <c r="X433" s="66"/>
      <c r="Y433" s="66"/>
      <c r="Z433" s="66"/>
      <c r="AA433" s="66"/>
      <c r="AB433" s="242"/>
      <c r="AC433" s="66"/>
      <c r="AD433" s="66"/>
    </row>
    <row r="434">
      <c r="A434" s="54"/>
      <c r="B434" s="110">
        <v>45902.0</v>
      </c>
      <c r="C434" s="100" t="s">
        <v>152</v>
      </c>
      <c r="D434" s="100" t="s">
        <v>400</v>
      </c>
      <c r="E434" s="100">
        <v>1785488.0</v>
      </c>
      <c r="F434" s="99">
        <f>E434-E432</f>
        <v>665</v>
      </c>
      <c r="G434" s="100">
        <v>600.0</v>
      </c>
      <c r="H434" s="101">
        <v>125.0</v>
      </c>
      <c r="I434" s="101">
        <v>148.55</v>
      </c>
      <c r="J434" s="102">
        <f t="shared" ref="J434:J452" si="47">H434-I434</f>
        <v>-23.55</v>
      </c>
      <c r="K434" s="103">
        <f t="shared" ref="K434:K452" si="48">I434/F434*100</f>
        <v>22.33834586</v>
      </c>
      <c r="L434" s="54"/>
      <c r="M434" s="82" t="str">
        <f>"тотал"&amp;" "&amp;B433&amp;" "&amp;RIGHT(YEAR(B434),2)</f>
        <v>тотал СЕНТЯБРЬ 25</v>
      </c>
      <c r="N434" s="75"/>
      <c r="O434" s="75"/>
      <c r="P434" s="75"/>
      <c r="Q434" s="76"/>
    </row>
    <row r="435">
      <c r="A435" s="54"/>
      <c r="B435" s="110">
        <v>45902.0</v>
      </c>
      <c r="C435" s="100" t="s">
        <v>152</v>
      </c>
      <c r="D435" s="100" t="s">
        <v>400</v>
      </c>
      <c r="E435" s="100">
        <v>1786483.0</v>
      </c>
      <c r="F435" s="99">
        <f t="shared" ref="F435:F452" si="49">E435-E434</f>
        <v>995</v>
      </c>
      <c r="G435" s="100">
        <v>600.0</v>
      </c>
      <c r="H435" s="101">
        <v>210.0</v>
      </c>
      <c r="I435" s="101">
        <v>230.75</v>
      </c>
      <c r="J435" s="102">
        <f t="shared" si="47"/>
        <v>-20.75</v>
      </c>
      <c r="K435" s="103">
        <f t="shared" si="48"/>
        <v>23.19095477</v>
      </c>
      <c r="L435" s="54"/>
      <c r="M435" s="83" t="s">
        <v>70</v>
      </c>
      <c r="N435" s="83" t="s">
        <v>71</v>
      </c>
      <c r="O435" s="83" t="s">
        <v>27</v>
      </c>
      <c r="P435" s="77" t="s">
        <v>28</v>
      </c>
      <c r="Q435" s="12" t="s">
        <v>78</v>
      </c>
    </row>
    <row r="436">
      <c r="A436" s="54"/>
      <c r="B436" s="110">
        <v>45903.0</v>
      </c>
      <c r="C436" s="100" t="s">
        <v>152</v>
      </c>
      <c r="D436" s="100" t="s">
        <v>148</v>
      </c>
      <c r="E436" s="100">
        <v>1786886.0</v>
      </c>
      <c r="F436" s="99">
        <f t="shared" si="49"/>
        <v>403</v>
      </c>
      <c r="G436" s="100">
        <v>600.0</v>
      </c>
      <c r="H436" s="101">
        <v>75.0</v>
      </c>
      <c r="I436" s="101">
        <v>75.72</v>
      </c>
      <c r="J436" s="102">
        <f t="shared" si="47"/>
        <v>-0.72</v>
      </c>
      <c r="K436" s="103">
        <f t="shared" si="48"/>
        <v>18.78908189</v>
      </c>
      <c r="L436" s="54"/>
      <c r="M436" s="84">
        <f>SUM(F434:F452)</f>
        <v>20473</v>
      </c>
      <c r="N436" s="84">
        <f>SUM(I434:I452)</f>
        <v>4670.47</v>
      </c>
      <c r="O436" s="85">
        <f>N436/M436*100</f>
        <v>22.81282665</v>
      </c>
      <c r="P436" s="79">
        <f>(M436/100)*(O436-Q436)</f>
        <v>-243.05</v>
      </c>
      <c r="Q436" s="78">
        <v>24.0</v>
      </c>
    </row>
    <row r="437">
      <c r="A437" s="54"/>
      <c r="B437" s="110">
        <v>45905.0</v>
      </c>
      <c r="C437" s="100" t="s">
        <v>152</v>
      </c>
      <c r="D437" s="100" t="s">
        <v>148</v>
      </c>
      <c r="E437" s="100">
        <v>1788566.0</v>
      </c>
      <c r="F437" s="99">
        <f t="shared" si="49"/>
        <v>1680</v>
      </c>
      <c r="G437" s="100">
        <v>600.0</v>
      </c>
      <c r="H437" s="101">
        <v>340.0</v>
      </c>
      <c r="I437" s="101">
        <v>365.06</v>
      </c>
      <c r="J437" s="102">
        <f t="shared" si="47"/>
        <v>-25.06</v>
      </c>
      <c r="K437" s="103">
        <f t="shared" si="48"/>
        <v>21.7297619</v>
      </c>
      <c r="L437" s="54"/>
      <c r="M437" s="439" t="s">
        <v>70</v>
      </c>
      <c r="N437" s="440" t="s">
        <v>71</v>
      </c>
      <c r="O437" s="440" t="s">
        <v>27</v>
      </c>
      <c r="P437" s="440" t="s">
        <v>46</v>
      </c>
      <c r="Q437" s="440" t="s">
        <v>78</v>
      </c>
    </row>
    <row r="438">
      <c r="A438" s="54"/>
      <c r="B438" s="110">
        <v>45907.0</v>
      </c>
      <c r="C438" s="100" t="s">
        <v>152</v>
      </c>
      <c r="D438" s="100" t="s">
        <v>148</v>
      </c>
      <c r="E438" s="100">
        <v>1790239.0</v>
      </c>
      <c r="F438" s="99">
        <f t="shared" si="49"/>
        <v>1673</v>
      </c>
      <c r="G438" s="100">
        <v>600.0</v>
      </c>
      <c r="H438" s="101">
        <v>340.0</v>
      </c>
      <c r="I438" s="101">
        <v>355.04</v>
      </c>
      <c r="J438" s="102">
        <f t="shared" si="47"/>
        <v>-15.04</v>
      </c>
      <c r="K438" s="103">
        <f t="shared" si="48"/>
        <v>21.22175732</v>
      </c>
      <c r="L438" s="101" t="s">
        <v>400</v>
      </c>
      <c r="M438" s="102">
        <f>SUM(F434:F435)+SUM(F442:F452)</f>
        <v>11684</v>
      </c>
      <c r="N438" s="102">
        <f>SUM(I434:I435)+SUM(I442:I452)</f>
        <v>2754.65</v>
      </c>
      <c r="O438" s="85">
        <f t="shared" ref="O438:O439" si="50">N438/M438*100</f>
        <v>23.57625813</v>
      </c>
      <c r="P438" s="79">
        <f t="shared" ref="P438:P439" si="51">(M438/100)*(O438-Q438)</f>
        <v>-49.51</v>
      </c>
      <c r="Q438" s="78">
        <v>24.0</v>
      </c>
    </row>
    <row r="439">
      <c r="A439" s="54"/>
      <c r="B439" s="110">
        <v>45909.0</v>
      </c>
      <c r="C439" s="100" t="s">
        <v>152</v>
      </c>
      <c r="D439" s="100" t="s">
        <v>148</v>
      </c>
      <c r="E439" s="100">
        <v>1791920.0</v>
      </c>
      <c r="F439" s="99">
        <f t="shared" si="49"/>
        <v>1681</v>
      </c>
      <c r="G439" s="100">
        <v>600.0</v>
      </c>
      <c r="H439" s="101">
        <v>365.0</v>
      </c>
      <c r="I439" s="101">
        <v>370.0</v>
      </c>
      <c r="J439" s="102">
        <f t="shared" si="47"/>
        <v>-5</v>
      </c>
      <c r="K439" s="103">
        <f t="shared" si="48"/>
        <v>22.01070791</v>
      </c>
      <c r="L439" s="101" t="s">
        <v>148</v>
      </c>
      <c r="M439" s="102">
        <f>SUM(F436:F441)</f>
        <v>8789</v>
      </c>
      <c r="N439" s="102">
        <f>SUM(I436:I441)</f>
        <v>1915.82</v>
      </c>
      <c r="O439" s="85">
        <f t="shared" si="50"/>
        <v>21.79792923</v>
      </c>
      <c r="P439" s="79">
        <f t="shared" si="51"/>
        <v>-193.54</v>
      </c>
      <c r="Q439" s="78">
        <v>24.0</v>
      </c>
    </row>
    <row r="440">
      <c r="A440" s="54"/>
      <c r="B440" s="110">
        <v>45911.0</v>
      </c>
      <c r="C440" s="100" t="s">
        <v>152</v>
      </c>
      <c r="D440" s="100" t="s">
        <v>148</v>
      </c>
      <c r="E440" s="100">
        <v>1793601.0</v>
      </c>
      <c r="F440" s="99">
        <f t="shared" si="49"/>
        <v>1681</v>
      </c>
      <c r="G440" s="100">
        <v>600.0</v>
      </c>
      <c r="H440" s="101">
        <v>365.0</v>
      </c>
      <c r="I440" s="101">
        <v>380.0</v>
      </c>
      <c r="J440" s="102">
        <f t="shared" si="47"/>
        <v>-15</v>
      </c>
      <c r="K440" s="103">
        <f t="shared" si="48"/>
        <v>22.60559191</v>
      </c>
      <c r="L440" s="54"/>
      <c r="M440" s="54"/>
    </row>
    <row r="441">
      <c r="A441" s="54"/>
      <c r="B441" s="110">
        <v>45913.0</v>
      </c>
      <c r="C441" s="100" t="s">
        <v>152</v>
      </c>
      <c r="D441" s="100" t="s">
        <v>148</v>
      </c>
      <c r="E441" s="100">
        <v>1795272.0</v>
      </c>
      <c r="F441" s="99">
        <f t="shared" si="49"/>
        <v>1671</v>
      </c>
      <c r="G441" s="100">
        <v>600.0</v>
      </c>
      <c r="H441" s="101">
        <v>350.0</v>
      </c>
      <c r="I441" s="101">
        <v>370.0</v>
      </c>
      <c r="J441" s="102">
        <f t="shared" si="47"/>
        <v>-20</v>
      </c>
      <c r="K441" s="103">
        <f t="shared" si="48"/>
        <v>22.14242968</v>
      </c>
      <c r="L441" s="54"/>
      <c r="M441" s="54"/>
    </row>
    <row r="442">
      <c r="A442" s="54"/>
      <c r="B442" s="110">
        <v>45919.0</v>
      </c>
      <c r="C442" s="100" t="s">
        <v>152</v>
      </c>
      <c r="D442" s="100" t="s">
        <v>400</v>
      </c>
      <c r="E442" s="100">
        <v>1797059.0</v>
      </c>
      <c r="F442" s="99">
        <f t="shared" si="49"/>
        <v>1787</v>
      </c>
      <c r="G442" s="100">
        <v>600.0</v>
      </c>
      <c r="H442" s="101">
        <v>370.0</v>
      </c>
      <c r="I442" s="101">
        <v>400.0</v>
      </c>
      <c r="J442" s="102">
        <f t="shared" si="47"/>
        <v>-30</v>
      </c>
      <c r="K442" s="103">
        <f t="shared" si="48"/>
        <v>22.3838836</v>
      </c>
      <c r="L442" s="54"/>
      <c r="M442" s="60"/>
    </row>
    <row r="443">
      <c r="A443" s="54"/>
      <c r="B443" s="110">
        <v>45920.0</v>
      </c>
      <c r="C443" s="100" t="s">
        <v>152</v>
      </c>
      <c r="D443" s="100" t="s">
        <v>400</v>
      </c>
      <c r="E443" s="100">
        <v>1797487.0</v>
      </c>
      <c r="F443" s="99">
        <f t="shared" si="49"/>
        <v>428</v>
      </c>
      <c r="G443" s="100">
        <v>600.0</v>
      </c>
      <c r="H443" s="101">
        <v>80.0</v>
      </c>
      <c r="I443" s="101">
        <v>102.88</v>
      </c>
      <c r="J443" s="102">
        <f t="shared" si="47"/>
        <v>-22.88</v>
      </c>
      <c r="K443" s="103">
        <f t="shared" si="48"/>
        <v>24.03738318</v>
      </c>
      <c r="L443" s="54"/>
      <c r="M443" s="54"/>
    </row>
    <row r="444">
      <c r="A444" s="54"/>
      <c r="B444" s="110">
        <v>45920.0</v>
      </c>
      <c r="C444" s="100" t="s">
        <v>152</v>
      </c>
      <c r="D444" s="100" t="s">
        <v>400</v>
      </c>
      <c r="E444" s="100">
        <v>1798452.0</v>
      </c>
      <c r="F444" s="99">
        <f t="shared" si="49"/>
        <v>965</v>
      </c>
      <c r="G444" s="100">
        <v>600.0</v>
      </c>
      <c r="H444" s="101">
        <v>200.0</v>
      </c>
      <c r="I444" s="101">
        <v>219.16</v>
      </c>
      <c r="J444" s="102">
        <f t="shared" si="47"/>
        <v>-19.16</v>
      </c>
      <c r="K444" s="103">
        <f t="shared" si="48"/>
        <v>22.71088083</v>
      </c>
      <c r="L444" s="54"/>
      <c r="M444" s="54"/>
    </row>
    <row r="445">
      <c r="A445" s="54"/>
      <c r="B445" s="110">
        <v>45922.0</v>
      </c>
      <c r="C445" s="100" t="s">
        <v>152</v>
      </c>
      <c r="D445" s="100" t="s">
        <v>400</v>
      </c>
      <c r="E445" s="100">
        <v>1799159.0</v>
      </c>
      <c r="F445" s="99">
        <f t="shared" si="49"/>
        <v>707</v>
      </c>
      <c r="G445" s="100">
        <v>600.0</v>
      </c>
      <c r="H445" s="101">
        <v>155.0</v>
      </c>
      <c r="I445" s="101">
        <v>160.0</v>
      </c>
      <c r="J445" s="102">
        <f t="shared" si="47"/>
        <v>-5</v>
      </c>
      <c r="K445" s="103">
        <f t="shared" si="48"/>
        <v>22.63083451</v>
      </c>
      <c r="L445" s="54"/>
      <c r="M445" s="54"/>
    </row>
    <row r="446">
      <c r="A446" s="54"/>
      <c r="B446" s="110">
        <v>45922.0</v>
      </c>
      <c r="C446" s="100" t="s">
        <v>152</v>
      </c>
      <c r="D446" s="100" t="s">
        <v>400</v>
      </c>
      <c r="E446" s="100">
        <v>1800125.0</v>
      </c>
      <c r="F446" s="99">
        <f t="shared" si="49"/>
        <v>966</v>
      </c>
      <c r="G446" s="100">
        <v>600.0</v>
      </c>
      <c r="H446" s="101">
        <v>220.0</v>
      </c>
      <c r="I446" s="101">
        <v>220.34</v>
      </c>
      <c r="J446" s="102">
        <f t="shared" si="47"/>
        <v>-0.34</v>
      </c>
      <c r="K446" s="103">
        <f t="shared" si="48"/>
        <v>22.80952381</v>
      </c>
      <c r="L446" s="54"/>
      <c r="M446" s="54"/>
    </row>
    <row r="447">
      <c r="A447" s="54"/>
      <c r="B447" s="110">
        <v>45924.0</v>
      </c>
      <c r="C447" s="100" t="s">
        <v>152</v>
      </c>
      <c r="D447" s="100" t="s">
        <v>400</v>
      </c>
      <c r="E447" s="100">
        <v>1800830.0</v>
      </c>
      <c r="F447" s="99">
        <f t="shared" si="49"/>
        <v>705</v>
      </c>
      <c r="G447" s="100">
        <v>600.0</v>
      </c>
      <c r="H447" s="101">
        <v>170.0</v>
      </c>
      <c r="I447" s="101">
        <v>171.99</v>
      </c>
      <c r="J447" s="102">
        <f t="shared" si="47"/>
        <v>-1.99</v>
      </c>
      <c r="K447" s="103">
        <f t="shared" si="48"/>
        <v>24.39574468</v>
      </c>
      <c r="L447" s="54"/>
      <c r="M447" s="54"/>
    </row>
    <row r="448">
      <c r="A448" s="54"/>
      <c r="B448" s="110">
        <v>45925.0</v>
      </c>
      <c r="C448" s="100" t="s">
        <v>152</v>
      </c>
      <c r="D448" s="100" t="s">
        <v>400</v>
      </c>
      <c r="E448" s="100">
        <v>1801852.0</v>
      </c>
      <c r="F448" s="99">
        <f t="shared" si="49"/>
        <v>1022</v>
      </c>
      <c r="G448" s="100">
        <v>600.0</v>
      </c>
      <c r="H448" s="101">
        <v>250.0</v>
      </c>
      <c r="I448" s="101">
        <v>250.0</v>
      </c>
      <c r="J448" s="102">
        <f t="shared" si="47"/>
        <v>0</v>
      </c>
      <c r="K448" s="103">
        <f t="shared" si="48"/>
        <v>24.46183953</v>
      </c>
      <c r="L448" s="54"/>
      <c r="M448" s="54"/>
    </row>
    <row r="449">
      <c r="A449" s="54"/>
      <c r="B449" s="110">
        <v>45926.0</v>
      </c>
      <c r="C449" s="100" t="s">
        <v>152</v>
      </c>
      <c r="D449" s="100" t="s">
        <v>400</v>
      </c>
      <c r="E449" s="100">
        <v>1802555.0</v>
      </c>
      <c r="F449" s="99">
        <f t="shared" si="49"/>
        <v>703</v>
      </c>
      <c r="G449" s="100">
        <v>590.0</v>
      </c>
      <c r="H449" s="101">
        <v>165.0</v>
      </c>
      <c r="I449" s="101">
        <v>160.1</v>
      </c>
      <c r="J449" s="102">
        <f t="shared" si="47"/>
        <v>4.9</v>
      </c>
      <c r="K449" s="103">
        <f t="shared" si="48"/>
        <v>22.77382646</v>
      </c>
      <c r="L449" s="54"/>
      <c r="M449" s="54"/>
    </row>
    <row r="450">
      <c r="A450" s="54"/>
      <c r="B450" s="110">
        <v>45927.0</v>
      </c>
      <c r="C450" s="100" t="s">
        <v>152</v>
      </c>
      <c r="D450" s="100" t="s">
        <v>400</v>
      </c>
      <c r="E450" s="100">
        <v>1803573.0</v>
      </c>
      <c r="F450" s="99">
        <f t="shared" si="49"/>
        <v>1018</v>
      </c>
      <c r="G450" s="100">
        <v>600.0</v>
      </c>
      <c r="H450" s="101">
        <v>260.0</v>
      </c>
      <c r="I450" s="101">
        <v>261.21</v>
      </c>
      <c r="J450" s="102">
        <f t="shared" si="47"/>
        <v>-1.21</v>
      </c>
      <c r="K450" s="103">
        <f t="shared" si="48"/>
        <v>25.65913556</v>
      </c>
      <c r="L450" s="54"/>
      <c r="M450" s="54"/>
    </row>
    <row r="451">
      <c r="A451" s="54"/>
      <c r="B451" s="110">
        <v>45929.0</v>
      </c>
      <c r="C451" s="100" t="s">
        <v>152</v>
      </c>
      <c r="D451" s="100" t="s">
        <v>400</v>
      </c>
      <c r="E451" s="100">
        <v>1804277.0</v>
      </c>
      <c r="F451" s="99">
        <f t="shared" si="49"/>
        <v>704</v>
      </c>
      <c r="G451" s="100">
        <v>600.0</v>
      </c>
      <c r="H451" s="101">
        <v>175.0</v>
      </c>
      <c r="I451" s="101">
        <v>170.0</v>
      </c>
      <c r="J451" s="102">
        <f t="shared" si="47"/>
        <v>5</v>
      </c>
      <c r="K451" s="103">
        <f t="shared" si="48"/>
        <v>24.14772727</v>
      </c>
      <c r="L451" s="54"/>
      <c r="M451" s="54"/>
    </row>
    <row r="452">
      <c r="A452" s="54"/>
      <c r="B452" s="100">
        <v>30.9</v>
      </c>
      <c r="C452" s="100" t="s">
        <v>152</v>
      </c>
      <c r="D452" s="100" t="s">
        <v>400</v>
      </c>
      <c r="E452" s="441">
        <v>1805296.0</v>
      </c>
      <c r="F452" s="99">
        <f t="shared" si="49"/>
        <v>1019</v>
      </c>
      <c r="G452" s="100">
        <v>600.0</v>
      </c>
      <c r="H452" s="101">
        <v>270.0</v>
      </c>
      <c r="I452" s="101">
        <v>259.67</v>
      </c>
      <c r="J452" s="102">
        <f t="shared" si="47"/>
        <v>10.33</v>
      </c>
      <c r="K452" s="103">
        <f t="shared" si="48"/>
        <v>25.4828263</v>
      </c>
      <c r="L452" s="54"/>
      <c r="M452" s="54"/>
    </row>
    <row r="453">
      <c r="A453" s="68"/>
      <c r="B453" s="203" t="str">
        <f>IF(L453=4,"АПРЕЛЬ",IF(L453=5,"МАЙ",IF(L453=1,"ЯНВАРЬ",IF(L453=2,"ФЕВРАЛЬ",IF(L453=3,"МАРТ",IF(L453=6,"ИЮНЬ",IF(L453=7,"ИЮЛЬ",IF(L453=8,"АВГУСТ",IF(L453=9,"СЕНТЯБРЬ",IF(L453=10,"ОКТЯБРЬ",IF(L453=11,"НОЯБРЬ",IF(L453=12,"ДЕКАБРЬ"))))))))))))</f>
        <v>ОКТЯБРЬ</v>
      </c>
      <c r="J453" s="66"/>
      <c r="K453" s="204"/>
      <c r="L453" s="91">
        <f>MONTH(B454)</f>
        <v>10</v>
      </c>
      <c r="M453" s="66"/>
      <c r="N453" s="66"/>
      <c r="O453" s="66"/>
      <c r="P453" s="66"/>
      <c r="Q453" s="66"/>
      <c r="R453" s="66"/>
      <c r="S453" s="372"/>
      <c r="T453" s="66"/>
      <c r="U453" s="66"/>
      <c r="V453" s="66"/>
      <c r="W453" s="66"/>
      <c r="X453" s="66"/>
      <c r="Y453" s="66"/>
      <c r="Z453" s="66"/>
      <c r="AA453" s="66"/>
      <c r="AB453" s="242"/>
      <c r="AC453" s="66"/>
      <c r="AD453" s="66"/>
    </row>
    <row r="454">
      <c r="A454" s="54"/>
      <c r="B454" s="98">
        <v>45931.0</v>
      </c>
      <c r="C454" s="100" t="s">
        <v>152</v>
      </c>
      <c r="D454" s="100" t="s">
        <v>400</v>
      </c>
      <c r="E454" s="441">
        <v>1805999.0</v>
      </c>
      <c r="F454" s="99">
        <f>E454-E452</f>
        <v>703</v>
      </c>
      <c r="G454" s="100">
        <v>600.0</v>
      </c>
      <c r="H454" s="101">
        <v>180.0</v>
      </c>
      <c r="I454" s="101">
        <v>179.63</v>
      </c>
      <c r="J454" s="102">
        <f t="shared" ref="J454:J464" si="52">H454-I454</f>
        <v>0.37</v>
      </c>
      <c r="K454" s="103">
        <f t="shared" ref="K454:K464" si="53">I454/F454*100</f>
        <v>25.55192034</v>
      </c>
      <c r="L454" s="54"/>
      <c r="M454" s="82" t="str">
        <f>"тотал"&amp;" "&amp;B453&amp;" "&amp;RIGHT(YEAR(B454),2)</f>
        <v>тотал ОКТЯБРЬ 25</v>
      </c>
      <c r="N454" s="75"/>
      <c r="O454" s="75"/>
      <c r="P454" s="75"/>
      <c r="Q454" s="76"/>
    </row>
    <row r="455">
      <c r="A455" s="54"/>
      <c r="B455" s="98">
        <v>45932.0</v>
      </c>
      <c r="C455" s="100" t="s">
        <v>152</v>
      </c>
      <c r="D455" s="100" t="s">
        <v>400</v>
      </c>
      <c r="E455" s="441">
        <v>1806989.0</v>
      </c>
      <c r="F455" s="99">
        <f t="shared" ref="F455:F464" si="54">E455-E454</f>
        <v>990</v>
      </c>
      <c r="G455" s="100">
        <v>600.0</v>
      </c>
      <c r="H455" s="101">
        <v>250.0</v>
      </c>
      <c r="I455" s="101">
        <v>249.94</v>
      </c>
      <c r="J455" s="102">
        <f t="shared" si="52"/>
        <v>0.06</v>
      </c>
      <c r="K455" s="103">
        <f t="shared" si="53"/>
        <v>25.24646465</v>
      </c>
      <c r="L455" s="54"/>
      <c r="M455" s="83" t="s">
        <v>70</v>
      </c>
      <c r="N455" s="83" t="s">
        <v>71</v>
      </c>
      <c r="O455" s="83" t="s">
        <v>27</v>
      </c>
      <c r="P455" s="77" t="s">
        <v>28</v>
      </c>
      <c r="Q455" s="12" t="s">
        <v>78</v>
      </c>
    </row>
    <row r="456">
      <c r="A456" s="54"/>
      <c r="B456" s="98">
        <v>45933.0</v>
      </c>
      <c r="C456" s="100" t="s">
        <v>152</v>
      </c>
      <c r="D456" s="100" t="s">
        <v>400</v>
      </c>
      <c r="E456" s="441">
        <v>1807692.0</v>
      </c>
      <c r="F456" s="99">
        <f t="shared" si="54"/>
        <v>703</v>
      </c>
      <c r="G456" s="100">
        <v>600.0</v>
      </c>
      <c r="H456" s="101">
        <v>170.0</v>
      </c>
      <c r="I456" s="101">
        <v>170.05</v>
      </c>
      <c r="J456" s="102">
        <f t="shared" si="52"/>
        <v>-0.05</v>
      </c>
      <c r="K456" s="103">
        <f t="shared" si="53"/>
        <v>24.18918919</v>
      </c>
      <c r="L456" s="54"/>
      <c r="M456" s="84">
        <f>SUM(F454:F472)</f>
        <v>9557</v>
      </c>
      <c r="N456" s="84">
        <f>SUM(I454:I472)</f>
        <v>2349.75</v>
      </c>
      <c r="O456" s="85">
        <f>N456/M456*100</f>
        <v>24.58669038</v>
      </c>
      <c r="P456" s="79">
        <f>(M456/100)*(O456-Q456)</f>
        <v>56.07</v>
      </c>
      <c r="Q456" s="78">
        <v>24.0</v>
      </c>
    </row>
    <row r="457">
      <c r="A457" s="54"/>
      <c r="B457" s="98">
        <v>45934.0</v>
      </c>
      <c r="C457" s="100" t="s">
        <v>152</v>
      </c>
      <c r="D457" s="100" t="s">
        <v>400</v>
      </c>
      <c r="E457" s="441">
        <v>1808660.0</v>
      </c>
      <c r="F457" s="99">
        <f t="shared" si="54"/>
        <v>968</v>
      </c>
      <c r="G457" s="100">
        <v>600.0</v>
      </c>
      <c r="H457" s="101">
        <v>235.0</v>
      </c>
      <c r="I457" s="101">
        <v>239.97</v>
      </c>
      <c r="J457" s="102">
        <f t="shared" si="52"/>
        <v>-4.97</v>
      </c>
      <c r="K457" s="103">
        <f t="shared" si="53"/>
        <v>24.79028926</v>
      </c>
      <c r="L457" s="54"/>
      <c r="M457" s="54"/>
    </row>
    <row r="458">
      <c r="A458" s="54"/>
      <c r="B458" s="98">
        <v>45935.0</v>
      </c>
      <c r="C458" s="100" t="s">
        <v>152</v>
      </c>
      <c r="D458" s="100" t="s">
        <v>400</v>
      </c>
      <c r="E458" s="441">
        <v>1809366.0</v>
      </c>
      <c r="F458" s="99">
        <f t="shared" si="54"/>
        <v>706</v>
      </c>
      <c r="G458" s="100">
        <v>600.0</v>
      </c>
      <c r="H458" s="101">
        <v>180.0</v>
      </c>
      <c r="I458" s="101">
        <v>179.27</v>
      </c>
      <c r="J458" s="102">
        <f t="shared" si="52"/>
        <v>0.73</v>
      </c>
      <c r="K458" s="103">
        <f t="shared" si="53"/>
        <v>25.39235127</v>
      </c>
      <c r="L458" s="54"/>
      <c r="M458" s="54"/>
    </row>
    <row r="459">
      <c r="A459" s="54"/>
      <c r="B459" s="98">
        <v>45935.0</v>
      </c>
      <c r="C459" s="100" t="s">
        <v>152</v>
      </c>
      <c r="D459" s="100" t="s">
        <v>400</v>
      </c>
      <c r="E459" s="441">
        <v>1810359.0</v>
      </c>
      <c r="F459" s="99">
        <f t="shared" si="54"/>
        <v>993</v>
      </c>
      <c r="G459" s="100">
        <v>600.0</v>
      </c>
      <c r="H459" s="101">
        <v>235.0</v>
      </c>
      <c r="I459" s="101">
        <v>250.0</v>
      </c>
      <c r="J459" s="102">
        <f t="shared" si="52"/>
        <v>-15</v>
      </c>
      <c r="K459" s="103">
        <f t="shared" si="53"/>
        <v>25.17623364</v>
      </c>
      <c r="L459" s="54"/>
      <c r="M459" s="54"/>
    </row>
    <row r="460">
      <c r="A460" s="54"/>
      <c r="B460" s="98">
        <v>45938.0</v>
      </c>
      <c r="C460" s="100" t="s">
        <v>152</v>
      </c>
      <c r="D460" s="100" t="s">
        <v>400</v>
      </c>
      <c r="E460" s="178">
        <v>1811253.0</v>
      </c>
      <c r="F460" s="99">
        <f t="shared" si="54"/>
        <v>894</v>
      </c>
      <c r="G460" s="100">
        <v>600.0</v>
      </c>
      <c r="H460" s="101">
        <v>200.0</v>
      </c>
      <c r="I460" s="101">
        <v>200.0</v>
      </c>
      <c r="J460" s="102">
        <f t="shared" si="52"/>
        <v>0</v>
      </c>
      <c r="K460" s="103">
        <f t="shared" si="53"/>
        <v>22.37136465</v>
      </c>
      <c r="L460" s="54"/>
      <c r="M460" s="54"/>
    </row>
    <row r="461">
      <c r="A461" s="54"/>
      <c r="B461" s="98">
        <v>45939.0</v>
      </c>
      <c r="C461" s="100" t="s">
        <v>152</v>
      </c>
      <c r="D461" s="100" t="s">
        <v>400</v>
      </c>
      <c r="E461" s="100">
        <v>1812245.0</v>
      </c>
      <c r="F461" s="99">
        <f t="shared" si="54"/>
        <v>992</v>
      </c>
      <c r="G461" s="100">
        <v>600.0</v>
      </c>
      <c r="H461" s="101">
        <v>240.0</v>
      </c>
      <c r="I461" s="101">
        <v>260.0</v>
      </c>
      <c r="J461" s="102">
        <f t="shared" si="52"/>
        <v>-20</v>
      </c>
      <c r="K461" s="103">
        <f t="shared" si="53"/>
        <v>26.20967742</v>
      </c>
      <c r="L461" s="54"/>
      <c r="M461" s="54"/>
    </row>
    <row r="462">
      <c r="A462" s="54"/>
      <c r="B462" s="98">
        <v>45940.0</v>
      </c>
      <c r="C462" s="100" t="s">
        <v>152</v>
      </c>
      <c r="D462" s="100" t="s">
        <v>400</v>
      </c>
      <c r="E462" s="100">
        <v>1812948.0</v>
      </c>
      <c r="F462" s="99">
        <f t="shared" si="54"/>
        <v>703</v>
      </c>
      <c r="G462" s="100">
        <v>600.0</v>
      </c>
      <c r="H462" s="101">
        <v>155.0</v>
      </c>
      <c r="I462" s="101">
        <v>160.0</v>
      </c>
      <c r="J462" s="102">
        <f t="shared" si="52"/>
        <v>-5</v>
      </c>
      <c r="K462" s="103">
        <f t="shared" si="53"/>
        <v>22.75960171</v>
      </c>
      <c r="L462" s="54"/>
      <c r="M462" s="54"/>
    </row>
    <row r="463">
      <c r="A463" s="54"/>
      <c r="B463" s="98">
        <v>45941.0</v>
      </c>
      <c r="C463" s="100" t="s">
        <v>276</v>
      </c>
      <c r="D463" s="100" t="s">
        <v>400</v>
      </c>
      <c r="E463" s="100">
        <v>1813968.0</v>
      </c>
      <c r="F463" s="99">
        <f t="shared" si="54"/>
        <v>1020</v>
      </c>
      <c r="G463" s="100">
        <v>600.0</v>
      </c>
      <c r="H463" s="101">
        <v>250.0</v>
      </c>
      <c r="I463" s="101">
        <v>261.02</v>
      </c>
      <c r="J463" s="102">
        <f t="shared" si="52"/>
        <v>-11.02</v>
      </c>
      <c r="K463" s="103">
        <f t="shared" si="53"/>
        <v>25.59019608</v>
      </c>
      <c r="L463" s="60" t="s">
        <v>414</v>
      </c>
      <c r="M463" s="54"/>
    </row>
    <row r="464">
      <c r="A464" s="54"/>
      <c r="B464" s="98">
        <v>45942.0</v>
      </c>
      <c r="C464" s="100" t="s">
        <v>276</v>
      </c>
      <c r="D464" s="100" t="s">
        <v>400</v>
      </c>
      <c r="E464" s="100">
        <v>1814853.0</v>
      </c>
      <c r="F464" s="99">
        <f t="shared" si="54"/>
        <v>885</v>
      </c>
      <c r="G464" s="100">
        <v>600.0</v>
      </c>
      <c r="H464" s="101">
        <v>200.0</v>
      </c>
      <c r="I464" s="101">
        <v>199.87</v>
      </c>
      <c r="J464" s="102">
        <f t="shared" si="52"/>
        <v>0.13</v>
      </c>
      <c r="K464" s="103">
        <f t="shared" si="53"/>
        <v>22.58418079</v>
      </c>
      <c r="L464" s="60" t="s">
        <v>157</v>
      </c>
      <c r="M464" s="54"/>
    </row>
    <row r="465">
      <c r="A465" s="54"/>
      <c r="B465" s="99"/>
      <c r="C465" s="99"/>
      <c r="D465" s="99"/>
      <c r="E465" s="99"/>
      <c r="F465" s="99"/>
      <c r="G465" s="99"/>
      <c r="H465" s="102"/>
      <c r="I465" s="102"/>
      <c r="J465" s="102"/>
      <c r="K465" s="102"/>
      <c r="L465" s="54"/>
      <c r="M465" s="54"/>
    </row>
    <row r="466">
      <c r="A466" s="54"/>
      <c r="B466" s="99"/>
      <c r="C466" s="99"/>
      <c r="D466" s="99"/>
      <c r="E466" s="99"/>
      <c r="F466" s="99"/>
      <c r="G466" s="99"/>
      <c r="H466" s="102"/>
      <c r="I466" s="102"/>
      <c r="J466" s="102"/>
      <c r="K466" s="102"/>
      <c r="L466" s="54"/>
      <c r="M466" s="54"/>
    </row>
    <row r="467">
      <c r="A467" s="54"/>
      <c r="B467" s="99"/>
      <c r="C467" s="99"/>
      <c r="D467" s="99"/>
      <c r="E467" s="99"/>
      <c r="F467" s="99"/>
      <c r="G467" s="99"/>
      <c r="H467" s="102"/>
      <c r="I467" s="102"/>
      <c r="J467" s="102"/>
      <c r="K467" s="102"/>
      <c r="L467" s="54"/>
      <c r="M467" s="54"/>
    </row>
    <row r="468">
      <c r="A468" s="54"/>
      <c r="B468" s="99"/>
      <c r="C468" s="99"/>
      <c r="D468" s="99"/>
      <c r="E468" s="99"/>
      <c r="F468" s="99"/>
      <c r="G468" s="99"/>
      <c r="H468" s="102"/>
      <c r="I468" s="102"/>
      <c r="J468" s="102"/>
      <c r="K468" s="102"/>
      <c r="L468" s="54"/>
      <c r="M468" s="54"/>
    </row>
    <row r="469">
      <c r="A469" s="54"/>
      <c r="B469" s="99"/>
      <c r="C469" s="99"/>
      <c r="D469" s="99"/>
      <c r="E469" s="99"/>
      <c r="F469" s="99"/>
      <c r="G469" s="99"/>
      <c r="H469" s="102"/>
      <c r="I469" s="102"/>
      <c r="J469" s="102"/>
      <c r="K469" s="102"/>
      <c r="L469" s="54"/>
      <c r="M469" s="54"/>
    </row>
    <row r="470">
      <c r="A470" s="54"/>
      <c r="B470" s="99"/>
      <c r="C470" s="99"/>
      <c r="D470" s="99"/>
      <c r="E470" s="99"/>
      <c r="F470" s="99"/>
      <c r="G470" s="99"/>
      <c r="H470" s="102"/>
      <c r="I470" s="102"/>
      <c r="J470" s="102"/>
      <c r="K470" s="102"/>
      <c r="L470" s="54"/>
      <c r="M470" s="54"/>
    </row>
    <row r="471">
      <c r="A471" s="54"/>
      <c r="B471" s="99"/>
      <c r="C471" s="99"/>
      <c r="D471" s="99"/>
      <c r="E471" s="99"/>
      <c r="F471" s="99"/>
      <c r="G471" s="99"/>
      <c r="H471" s="102"/>
      <c r="I471" s="102"/>
      <c r="J471" s="102"/>
      <c r="K471" s="102"/>
      <c r="L471" s="54"/>
      <c r="M471" s="54"/>
    </row>
    <row r="472">
      <c r="A472" s="54"/>
      <c r="B472" s="99"/>
      <c r="C472" s="99"/>
      <c r="D472" s="99"/>
      <c r="E472" s="99"/>
      <c r="F472" s="99"/>
      <c r="G472" s="99"/>
      <c r="H472" s="102"/>
      <c r="I472" s="102"/>
      <c r="J472" s="102"/>
      <c r="K472" s="102"/>
      <c r="L472" s="54"/>
      <c r="M472" s="54"/>
    </row>
    <row r="473">
      <c r="A473" s="54"/>
      <c r="B473" s="99"/>
      <c r="C473" s="99"/>
      <c r="D473" s="99"/>
      <c r="E473" s="99"/>
      <c r="F473" s="99"/>
      <c r="G473" s="99"/>
      <c r="H473" s="102"/>
      <c r="I473" s="102"/>
      <c r="J473" s="102"/>
      <c r="K473" s="102"/>
      <c r="L473" s="54"/>
      <c r="M473" s="54"/>
    </row>
    <row r="474">
      <c r="A474" s="54"/>
      <c r="B474" s="99"/>
      <c r="C474" s="99"/>
      <c r="D474" s="99"/>
      <c r="E474" s="99"/>
      <c r="F474" s="99"/>
      <c r="G474" s="99"/>
      <c r="H474" s="102"/>
      <c r="I474" s="102"/>
      <c r="J474" s="102"/>
      <c r="K474" s="102"/>
      <c r="L474" s="54"/>
      <c r="M474" s="54"/>
    </row>
    <row r="475">
      <c r="A475" s="54"/>
      <c r="B475" s="99"/>
      <c r="C475" s="99"/>
      <c r="D475" s="99"/>
      <c r="E475" s="99"/>
      <c r="F475" s="99"/>
      <c r="G475" s="99"/>
      <c r="H475" s="102"/>
      <c r="I475" s="102"/>
      <c r="J475" s="102"/>
      <c r="K475" s="102"/>
      <c r="L475" s="54"/>
      <c r="M475" s="54"/>
    </row>
    <row r="476">
      <c r="A476" s="54"/>
      <c r="B476" s="99"/>
      <c r="C476" s="99"/>
      <c r="D476" s="99"/>
      <c r="E476" s="99"/>
      <c r="F476" s="99"/>
      <c r="G476" s="99"/>
      <c r="H476" s="102"/>
      <c r="I476" s="102"/>
      <c r="J476" s="102"/>
      <c r="K476" s="102"/>
      <c r="L476" s="54"/>
      <c r="M476" s="54"/>
    </row>
    <row r="477">
      <c r="A477" s="54"/>
      <c r="B477" s="99"/>
      <c r="C477" s="99"/>
      <c r="D477" s="99"/>
      <c r="E477" s="99"/>
      <c r="F477" s="99"/>
      <c r="G477" s="99"/>
      <c r="H477" s="102"/>
      <c r="I477" s="102"/>
      <c r="J477" s="102"/>
      <c r="K477" s="102"/>
      <c r="L477" s="54"/>
      <c r="M477" s="54"/>
    </row>
    <row r="478">
      <c r="A478" s="54"/>
      <c r="B478" s="99"/>
      <c r="C478" s="99"/>
      <c r="D478" s="99"/>
      <c r="E478" s="99"/>
      <c r="F478" s="99"/>
      <c r="G478" s="99"/>
      <c r="H478" s="102"/>
      <c r="I478" s="102"/>
      <c r="J478" s="102"/>
      <c r="K478" s="102"/>
      <c r="L478" s="54"/>
      <c r="M478" s="54"/>
    </row>
    <row r="479">
      <c r="A479" s="54"/>
      <c r="B479" s="99"/>
      <c r="C479" s="99"/>
      <c r="D479" s="99"/>
      <c r="E479" s="99"/>
      <c r="F479" s="99"/>
      <c r="G479" s="99"/>
      <c r="H479" s="102"/>
      <c r="I479" s="102"/>
      <c r="J479" s="102"/>
      <c r="K479" s="102"/>
      <c r="L479" s="54"/>
      <c r="M479" s="54"/>
    </row>
    <row r="480">
      <c r="A480" s="54"/>
      <c r="B480" s="99"/>
      <c r="C480" s="99"/>
      <c r="D480" s="99"/>
      <c r="E480" s="99"/>
      <c r="F480" s="99"/>
      <c r="G480" s="99"/>
      <c r="H480" s="102"/>
      <c r="I480" s="102"/>
      <c r="J480" s="102"/>
      <c r="K480" s="102"/>
      <c r="L480" s="54"/>
      <c r="M480" s="54"/>
    </row>
    <row r="481">
      <c r="A481" s="54"/>
      <c r="B481" s="99"/>
      <c r="C481" s="99"/>
      <c r="D481" s="99"/>
      <c r="E481" s="99"/>
      <c r="F481" s="99"/>
      <c r="G481" s="99"/>
      <c r="H481" s="102"/>
      <c r="I481" s="102"/>
      <c r="J481" s="102"/>
      <c r="K481" s="102"/>
      <c r="L481" s="54"/>
      <c r="M481" s="54"/>
    </row>
    <row r="482">
      <c r="A482" s="54"/>
      <c r="B482" s="99"/>
      <c r="C482" s="99"/>
      <c r="D482" s="99"/>
      <c r="E482" s="99"/>
      <c r="F482" s="99"/>
      <c r="G482" s="99"/>
      <c r="H482" s="102"/>
      <c r="I482" s="102"/>
      <c r="J482" s="102"/>
      <c r="K482" s="102"/>
      <c r="L482" s="54"/>
      <c r="M482" s="54"/>
    </row>
    <row r="483">
      <c r="A483" s="54"/>
      <c r="B483" s="99"/>
      <c r="C483" s="99"/>
      <c r="D483" s="99"/>
      <c r="E483" s="99"/>
      <c r="F483" s="99"/>
      <c r="G483" s="99"/>
      <c r="H483" s="102"/>
      <c r="I483" s="102"/>
      <c r="J483" s="102"/>
      <c r="K483" s="102"/>
      <c r="L483" s="54"/>
      <c r="M483" s="54"/>
    </row>
    <row r="484">
      <c r="A484" s="54"/>
      <c r="B484" s="99"/>
      <c r="C484" s="99"/>
      <c r="D484" s="99"/>
      <c r="E484" s="99"/>
      <c r="F484" s="99"/>
      <c r="G484" s="99"/>
      <c r="H484" s="102"/>
      <c r="I484" s="102"/>
      <c r="J484" s="102"/>
      <c r="K484" s="102"/>
      <c r="L484" s="54"/>
      <c r="M484" s="54"/>
    </row>
    <row r="485">
      <c r="A485" s="54"/>
      <c r="B485" s="99"/>
      <c r="C485" s="99"/>
      <c r="D485" s="99"/>
      <c r="E485" s="99"/>
      <c r="F485" s="99"/>
      <c r="G485" s="99"/>
      <c r="H485" s="102"/>
      <c r="I485" s="102"/>
      <c r="J485" s="102"/>
      <c r="K485" s="102"/>
      <c r="L485" s="54"/>
      <c r="M485" s="54"/>
    </row>
    <row r="486">
      <c r="A486" s="54"/>
      <c r="B486" s="99"/>
      <c r="C486" s="99"/>
      <c r="D486" s="99"/>
      <c r="E486" s="99"/>
      <c r="F486" s="99"/>
      <c r="G486" s="99"/>
      <c r="H486" s="102"/>
      <c r="I486" s="102"/>
      <c r="J486" s="102"/>
      <c r="K486" s="102"/>
      <c r="L486" s="54"/>
      <c r="M486" s="54"/>
    </row>
    <row r="487">
      <c r="A487" s="54"/>
      <c r="B487" s="99"/>
      <c r="C487" s="99"/>
      <c r="D487" s="99"/>
      <c r="E487" s="99"/>
      <c r="F487" s="99"/>
      <c r="G487" s="99"/>
      <c r="H487" s="102"/>
      <c r="I487" s="102"/>
      <c r="J487" s="102"/>
      <c r="K487" s="102"/>
      <c r="L487" s="54"/>
      <c r="M487" s="54"/>
    </row>
    <row r="488">
      <c r="A488" s="54"/>
      <c r="B488" s="99"/>
      <c r="C488" s="99"/>
      <c r="D488" s="99"/>
      <c r="E488" s="99"/>
      <c r="F488" s="99"/>
      <c r="G488" s="99"/>
      <c r="H488" s="102"/>
      <c r="I488" s="102"/>
      <c r="J488" s="102"/>
      <c r="K488" s="102"/>
      <c r="L488" s="54"/>
      <c r="M488" s="54"/>
    </row>
    <row r="489">
      <c r="A489" s="54"/>
      <c r="B489" s="99"/>
      <c r="C489" s="99"/>
      <c r="D489" s="99"/>
      <c r="E489" s="99"/>
      <c r="F489" s="99"/>
      <c r="G489" s="99"/>
      <c r="H489" s="102"/>
      <c r="I489" s="102"/>
      <c r="J489" s="102"/>
      <c r="K489" s="102"/>
      <c r="L489" s="54"/>
      <c r="M489" s="54"/>
    </row>
    <row r="490">
      <c r="A490" s="54"/>
      <c r="B490" s="99"/>
      <c r="C490" s="99"/>
      <c r="D490" s="99"/>
      <c r="E490" s="99"/>
      <c r="F490" s="99"/>
      <c r="G490" s="99"/>
      <c r="H490" s="102"/>
      <c r="I490" s="102"/>
      <c r="J490" s="102"/>
      <c r="K490" s="102"/>
      <c r="L490" s="54"/>
      <c r="M490" s="54"/>
    </row>
    <row r="491">
      <c r="A491" s="54"/>
      <c r="B491" s="99"/>
      <c r="C491" s="99"/>
      <c r="D491" s="99"/>
      <c r="E491" s="99"/>
      <c r="F491" s="99"/>
      <c r="G491" s="99"/>
      <c r="H491" s="102"/>
      <c r="I491" s="102"/>
      <c r="J491" s="102"/>
      <c r="K491" s="102"/>
      <c r="L491" s="54"/>
      <c r="M491" s="54"/>
    </row>
    <row r="492">
      <c r="A492" s="54"/>
      <c r="B492" s="99"/>
      <c r="C492" s="99"/>
      <c r="D492" s="99"/>
      <c r="E492" s="99"/>
      <c r="F492" s="99"/>
      <c r="G492" s="99"/>
      <c r="H492" s="102"/>
      <c r="I492" s="102"/>
      <c r="J492" s="102"/>
      <c r="K492" s="102"/>
      <c r="L492" s="54"/>
      <c r="M492" s="54"/>
    </row>
    <row r="493">
      <c r="A493" s="54"/>
      <c r="B493" s="99"/>
      <c r="C493" s="99"/>
      <c r="D493" s="99"/>
      <c r="E493" s="99"/>
      <c r="F493" s="99"/>
      <c r="G493" s="99"/>
      <c r="H493" s="102"/>
      <c r="I493" s="102"/>
      <c r="J493" s="102"/>
      <c r="K493" s="102"/>
      <c r="L493" s="54"/>
      <c r="M493" s="54"/>
    </row>
    <row r="494">
      <c r="A494" s="54"/>
      <c r="B494" s="99"/>
      <c r="C494" s="99"/>
      <c r="D494" s="99"/>
      <c r="E494" s="99"/>
      <c r="F494" s="99"/>
      <c r="G494" s="99"/>
      <c r="H494" s="102"/>
      <c r="I494" s="102"/>
      <c r="J494" s="102"/>
      <c r="K494" s="102"/>
      <c r="L494" s="54"/>
      <c r="M494" s="54"/>
    </row>
    <row r="495">
      <c r="A495" s="54"/>
      <c r="B495" s="99"/>
      <c r="C495" s="99"/>
      <c r="D495" s="99"/>
      <c r="E495" s="99"/>
      <c r="F495" s="99"/>
      <c r="G495" s="99"/>
      <c r="H495" s="102"/>
      <c r="I495" s="102"/>
      <c r="J495" s="102"/>
      <c r="K495" s="102"/>
      <c r="L495" s="54"/>
      <c r="M495" s="54"/>
    </row>
    <row r="496">
      <c r="A496" s="54"/>
      <c r="B496" s="99"/>
      <c r="C496" s="99"/>
      <c r="D496" s="99"/>
      <c r="E496" s="99"/>
      <c r="F496" s="99"/>
      <c r="G496" s="99"/>
      <c r="H496" s="102"/>
      <c r="I496" s="102"/>
      <c r="J496" s="102"/>
      <c r="K496" s="102"/>
      <c r="L496" s="54"/>
      <c r="M496" s="54"/>
    </row>
    <row r="497">
      <c r="A497" s="54"/>
      <c r="B497" s="99"/>
      <c r="C497" s="99"/>
      <c r="D497" s="99"/>
      <c r="E497" s="99"/>
      <c r="F497" s="99"/>
      <c r="G497" s="99"/>
      <c r="H497" s="102"/>
      <c r="I497" s="102"/>
      <c r="J497" s="102"/>
      <c r="K497" s="102"/>
      <c r="L497" s="54"/>
      <c r="M497" s="54"/>
    </row>
    <row r="498">
      <c r="A498" s="54"/>
      <c r="B498" s="99"/>
      <c r="C498" s="99"/>
      <c r="D498" s="99"/>
      <c r="E498" s="99"/>
      <c r="F498" s="99"/>
      <c r="G498" s="99"/>
      <c r="H498" s="102"/>
      <c r="I498" s="102"/>
      <c r="J498" s="102"/>
      <c r="K498" s="102"/>
      <c r="L498" s="54"/>
      <c r="M498" s="54"/>
    </row>
    <row r="499">
      <c r="A499" s="54"/>
      <c r="B499" s="99"/>
      <c r="C499" s="99"/>
      <c r="D499" s="99"/>
      <c r="E499" s="99"/>
      <c r="F499" s="99"/>
      <c r="G499" s="99"/>
      <c r="H499" s="102"/>
      <c r="I499" s="102"/>
      <c r="J499" s="102"/>
      <c r="K499" s="102"/>
      <c r="L499" s="54"/>
      <c r="M499" s="54"/>
    </row>
    <row r="500">
      <c r="A500" s="54"/>
      <c r="B500" s="99"/>
      <c r="C500" s="99"/>
      <c r="D500" s="99"/>
      <c r="E500" s="99"/>
      <c r="F500" s="99"/>
      <c r="G500" s="99"/>
      <c r="H500" s="102"/>
      <c r="I500" s="102"/>
      <c r="J500" s="102"/>
      <c r="K500" s="102"/>
      <c r="L500" s="54"/>
      <c r="M500" s="54"/>
    </row>
    <row r="501">
      <c r="A501" s="54"/>
      <c r="B501" s="99"/>
      <c r="C501" s="99"/>
      <c r="D501" s="99"/>
      <c r="E501" s="99"/>
      <c r="F501" s="99"/>
      <c r="G501" s="99"/>
      <c r="H501" s="102"/>
      <c r="I501" s="102"/>
      <c r="J501" s="102"/>
      <c r="K501" s="102"/>
      <c r="L501" s="54"/>
      <c r="M501" s="54"/>
    </row>
    <row r="502">
      <c r="A502" s="54"/>
      <c r="B502" s="99"/>
      <c r="C502" s="99"/>
      <c r="D502" s="99"/>
      <c r="E502" s="99"/>
      <c r="F502" s="99"/>
      <c r="G502" s="99"/>
      <c r="H502" s="102"/>
      <c r="I502" s="102"/>
      <c r="J502" s="102"/>
      <c r="K502" s="102"/>
      <c r="L502" s="54"/>
      <c r="M502" s="54"/>
    </row>
    <row r="503">
      <c r="A503" s="54"/>
      <c r="B503" s="99"/>
      <c r="C503" s="99"/>
      <c r="D503" s="99"/>
      <c r="E503" s="99"/>
      <c r="F503" s="99"/>
      <c r="G503" s="99"/>
      <c r="H503" s="102"/>
      <c r="I503" s="102"/>
      <c r="J503" s="102"/>
      <c r="K503" s="102"/>
      <c r="L503" s="54"/>
      <c r="M503" s="54"/>
    </row>
    <row r="504">
      <c r="A504" s="54"/>
      <c r="B504" s="99"/>
      <c r="C504" s="99"/>
      <c r="D504" s="99"/>
      <c r="E504" s="99"/>
      <c r="F504" s="99"/>
      <c r="G504" s="99"/>
      <c r="H504" s="102"/>
      <c r="I504" s="102"/>
      <c r="J504" s="102"/>
      <c r="K504" s="102"/>
      <c r="L504" s="54"/>
      <c r="M504" s="54"/>
    </row>
    <row r="505">
      <c r="A505" s="54"/>
      <c r="B505" s="99"/>
      <c r="C505" s="99"/>
      <c r="D505" s="99"/>
      <c r="E505" s="99"/>
      <c r="F505" s="99"/>
      <c r="G505" s="99"/>
      <c r="H505" s="102"/>
      <c r="I505" s="102"/>
      <c r="J505" s="102"/>
      <c r="K505" s="102"/>
      <c r="L505" s="54"/>
      <c r="M505" s="54"/>
    </row>
    <row r="506">
      <c r="A506" s="54"/>
      <c r="B506" s="99"/>
      <c r="C506" s="99"/>
      <c r="D506" s="99"/>
      <c r="E506" s="99"/>
      <c r="F506" s="99"/>
      <c r="G506" s="99"/>
      <c r="H506" s="102"/>
      <c r="I506" s="102"/>
      <c r="J506" s="102"/>
      <c r="K506" s="102"/>
      <c r="L506" s="54"/>
      <c r="M506" s="54"/>
    </row>
    <row r="507">
      <c r="A507" s="54"/>
      <c r="B507" s="99"/>
      <c r="C507" s="99"/>
      <c r="D507" s="99"/>
      <c r="E507" s="99"/>
      <c r="F507" s="99"/>
      <c r="G507" s="99"/>
      <c r="H507" s="102"/>
      <c r="I507" s="102"/>
      <c r="J507" s="102"/>
      <c r="K507" s="102"/>
      <c r="L507" s="54"/>
      <c r="M507" s="54"/>
    </row>
    <row r="508">
      <c r="A508" s="54"/>
      <c r="B508" s="99"/>
      <c r="C508" s="99"/>
      <c r="D508" s="99"/>
      <c r="E508" s="99"/>
      <c r="F508" s="99"/>
      <c r="G508" s="99"/>
      <c r="H508" s="102"/>
      <c r="I508" s="102"/>
      <c r="J508" s="102"/>
      <c r="K508" s="102"/>
      <c r="L508" s="54"/>
      <c r="M508" s="54"/>
    </row>
    <row r="509">
      <c r="A509" s="54"/>
      <c r="B509" s="99"/>
      <c r="C509" s="99"/>
      <c r="D509" s="99"/>
      <c r="E509" s="99"/>
      <c r="F509" s="99"/>
      <c r="G509" s="99"/>
      <c r="H509" s="102"/>
      <c r="I509" s="102"/>
      <c r="J509" s="102"/>
      <c r="K509" s="102"/>
      <c r="L509" s="54"/>
      <c r="M509" s="54"/>
    </row>
    <row r="510">
      <c r="A510" s="54"/>
      <c r="B510" s="99"/>
      <c r="C510" s="99"/>
      <c r="D510" s="99"/>
      <c r="E510" s="99"/>
      <c r="F510" s="99"/>
      <c r="G510" s="99"/>
      <c r="H510" s="102"/>
      <c r="I510" s="102"/>
      <c r="J510" s="102"/>
      <c r="K510" s="102"/>
      <c r="L510" s="54"/>
      <c r="M510" s="54"/>
    </row>
    <row r="511">
      <c r="A511" s="54"/>
      <c r="B511" s="99"/>
      <c r="C511" s="99"/>
      <c r="D511" s="99"/>
      <c r="E511" s="99"/>
      <c r="F511" s="99"/>
      <c r="G511" s="99"/>
      <c r="H511" s="102"/>
      <c r="I511" s="102"/>
      <c r="J511" s="102"/>
      <c r="K511" s="102"/>
      <c r="L511" s="54"/>
      <c r="M511" s="54"/>
    </row>
    <row r="512">
      <c r="A512" s="54"/>
      <c r="B512" s="99"/>
      <c r="C512" s="99"/>
      <c r="D512" s="99"/>
      <c r="E512" s="99"/>
      <c r="F512" s="99"/>
      <c r="G512" s="99"/>
      <c r="H512" s="102"/>
      <c r="I512" s="102"/>
      <c r="J512" s="102"/>
      <c r="K512" s="102"/>
      <c r="L512" s="54"/>
      <c r="M512" s="54"/>
    </row>
    <row r="513">
      <c r="A513" s="54"/>
      <c r="B513" s="99"/>
      <c r="C513" s="99"/>
      <c r="D513" s="99"/>
      <c r="E513" s="99"/>
      <c r="F513" s="99"/>
      <c r="G513" s="99"/>
      <c r="H513" s="102"/>
      <c r="I513" s="102"/>
      <c r="J513" s="102"/>
      <c r="K513" s="102"/>
      <c r="L513" s="54"/>
      <c r="M513" s="54"/>
    </row>
    <row r="514">
      <c r="A514" s="54"/>
      <c r="B514" s="99"/>
      <c r="C514" s="99"/>
      <c r="D514" s="99"/>
      <c r="E514" s="99"/>
      <c r="F514" s="99"/>
      <c r="G514" s="99"/>
      <c r="H514" s="102"/>
      <c r="I514" s="102"/>
      <c r="J514" s="102"/>
      <c r="K514" s="102"/>
      <c r="L514" s="54"/>
      <c r="M514" s="54"/>
    </row>
    <row r="515">
      <c r="A515" s="54"/>
      <c r="B515" s="99"/>
      <c r="C515" s="99"/>
      <c r="D515" s="99"/>
      <c r="E515" s="99"/>
      <c r="F515" s="99"/>
      <c r="G515" s="99"/>
      <c r="H515" s="102"/>
      <c r="I515" s="102"/>
      <c r="J515" s="102"/>
      <c r="K515" s="102"/>
      <c r="L515" s="54"/>
      <c r="M515" s="54"/>
    </row>
    <row r="516">
      <c r="A516" s="54"/>
      <c r="B516" s="99"/>
      <c r="C516" s="99"/>
      <c r="D516" s="99"/>
      <c r="E516" s="99"/>
      <c r="F516" s="99"/>
      <c r="G516" s="99"/>
      <c r="H516" s="102"/>
      <c r="I516" s="102"/>
      <c r="J516" s="102"/>
      <c r="K516" s="102"/>
      <c r="L516" s="54"/>
      <c r="M516" s="54"/>
    </row>
    <row r="517">
      <c r="A517" s="54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54"/>
      <c r="M517" s="54"/>
    </row>
    <row r="518">
      <c r="A518" s="54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54"/>
      <c r="M518" s="54"/>
    </row>
    <row r="519">
      <c r="A519" s="54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54"/>
      <c r="M519" s="54"/>
    </row>
    <row r="520">
      <c r="A520" s="54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54"/>
      <c r="M520" s="54"/>
    </row>
    <row r="521">
      <c r="A521" s="54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54"/>
      <c r="M521" s="54"/>
    </row>
    <row r="522">
      <c r="A522" s="54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54"/>
      <c r="M522" s="54"/>
    </row>
    <row r="523">
      <c r="A523" s="54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54"/>
      <c r="M523" s="54"/>
    </row>
    <row r="524">
      <c r="A524" s="54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54"/>
      <c r="M524" s="54"/>
    </row>
    <row r="525">
      <c r="A525" s="54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54"/>
      <c r="M525" s="54"/>
    </row>
    <row r="526">
      <c r="A526" s="54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54"/>
      <c r="M526" s="54"/>
    </row>
    <row r="527">
      <c r="A527" s="54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54"/>
      <c r="M527" s="54"/>
    </row>
    <row r="528">
      <c r="A528" s="54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54"/>
      <c r="M528" s="54"/>
    </row>
    <row r="529">
      <c r="A529" s="54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54"/>
      <c r="M529" s="54"/>
    </row>
    <row r="530">
      <c r="A530" s="54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54"/>
      <c r="M530" s="54"/>
    </row>
    <row r="531">
      <c r="A531" s="54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54"/>
      <c r="M531" s="54"/>
    </row>
    <row r="532">
      <c r="A532" s="54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54"/>
      <c r="M532" s="54"/>
    </row>
    <row r="533">
      <c r="A533" s="54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54"/>
      <c r="M533" s="54"/>
    </row>
    <row r="534">
      <c r="A534" s="54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54"/>
      <c r="M534" s="54"/>
    </row>
    <row r="535">
      <c r="A535" s="54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54"/>
      <c r="M535" s="54"/>
    </row>
    <row r="536">
      <c r="A536" s="54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54"/>
      <c r="M536" s="54"/>
    </row>
    <row r="537">
      <c r="A537" s="54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54"/>
      <c r="M537" s="54"/>
    </row>
    <row r="538">
      <c r="A538" s="54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54"/>
      <c r="M538" s="54"/>
    </row>
    <row r="539">
      <c r="A539" s="54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54"/>
      <c r="M539" s="54"/>
    </row>
    <row r="540">
      <c r="A540" s="54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54"/>
      <c r="M540" s="54"/>
    </row>
    <row r="541">
      <c r="A541" s="54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54"/>
      <c r="M541" s="54"/>
    </row>
    <row r="542">
      <c r="A542" s="54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54"/>
      <c r="M542" s="54"/>
    </row>
    <row r="543">
      <c r="A543" s="54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54"/>
      <c r="M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</row>
    <row r="100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</row>
    <row r="1002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</row>
    <row r="100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</row>
    <row r="1004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</row>
  </sheetData>
  <mergeCells count="44">
    <mergeCell ref="B3:I3"/>
    <mergeCell ref="B26:I26"/>
    <mergeCell ref="M29:O29"/>
    <mergeCell ref="B47:I47"/>
    <mergeCell ref="M50:O50"/>
    <mergeCell ref="B73:I73"/>
    <mergeCell ref="M76:O76"/>
    <mergeCell ref="B94:I94"/>
    <mergeCell ref="M97:O97"/>
    <mergeCell ref="B122:I122"/>
    <mergeCell ref="M123:O123"/>
    <mergeCell ref="B146:I146"/>
    <mergeCell ref="M147:O147"/>
    <mergeCell ref="M152:O152"/>
    <mergeCell ref="B151:I151"/>
    <mergeCell ref="B178:I178"/>
    <mergeCell ref="M179:O179"/>
    <mergeCell ref="B203:I203"/>
    <mergeCell ref="M204:Q204"/>
    <mergeCell ref="B225:I225"/>
    <mergeCell ref="M226:Q226"/>
    <mergeCell ref="B252:I252"/>
    <mergeCell ref="M253:Q253"/>
    <mergeCell ref="B275:I275"/>
    <mergeCell ref="B276:I276"/>
    <mergeCell ref="M277:Q277"/>
    <mergeCell ref="B286:I286"/>
    <mergeCell ref="M287:Q287"/>
    <mergeCell ref="B307:I307"/>
    <mergeCell ref="M308:Q308"/>
    <mergeCell ref="B331:I331"/>
    <mergeCell ref="M332:Q332"/>
    <mergeCell ref="B354:I354"/>
    <mergeCell ref="M355:Q355"/>
    <mergeCell ref="M372:Q372"/>
    <mergeCell ref="B453:I453"/>
    <mergeCell ref="M454:Q454"/>
    <mergeCell ref="B371:I371"/>
    <mergeCell ref="B387:I387"/>
    <mergeCell ref="M388:Q388"/>
    <mergeCell ref="B404:I404"/>
    <mergeCell ref="M405:Q405"/>
    <mergeCell ref="B433:I433"/>
    <mergeCell ref="M434:Q434"/>
  </mergeCells>
  <conditionalFormatting sqref="AB307 AB331 AB354 AB371 AB387 AB404 AB433 AB453">
    <cfRule type="cellIs" dxfId="7" priority="1" operator="greaterThan">
      <formula>30</formula>
    </cfRule>
  </conditionalFormatting>
  <conditionalFormatting sqref="AB307 AB331 AB354 AB371 AB387 AB404 AB433 AB453">
    <cfRule type="cellIs" dxfId="6" priority="2" operator="greaterThan">
      <formula>28</formula>
    </cfRule>
  </conditionalFormatting>
  <conditionalFormatting sqref="J2">
    <cfRule type="expression" dxfId="0" priority="3">
      <formula>ABS(J2:J1005)&gt;5</formula>
    </cfRule>
  </conditionalFormatting>
  <conditionalFormatting sqref="J2 J307 J331 J354 J371 J387 J404 J433 J453">
    <cfRule type="expression" dxfId="0" priority="4">
      <formula>ABS(J:J)&gt;10.3</formula>
    </cfRule>
  </conditionalFormatting>
  <conditionalFormatting sqref="K1:K1004">
    <cfRule type="cellIs" dxfId="3" priority="5" operator="greaterThanOrEqual">
      <formula>25</formula>
    </cfRule>
  </conditionalFormatting>
  <conditionalFormatting sqref="K1:K1004">
    <cfRule type="cellIs" dxfId="4" priority="6" operator="greaterThanOrEqual">
      <formula>24</formula>
    </cfRule>
  </conditionalFormatting>
  <conditionalFormatting sqref="J1:J177 J179:J1004">
    <cfRule type="expression" dxfId="0" priority="7">
      <formula>ABS(J:J)&gt;5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3.88"/>
  </cols>
  <sheetData>
    <row r="1">
      <c r="A1" s="58" t="s">
        <v>54</v>
      </c>
      <c r="B1" s="59" t="s">
        <v>55</v>
      </c>
      <c r="C1" s="60" t="s">
        <v>415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42</v>
      </c>
      <c r="M1" s="195">
        <v>28.0</v>
      </c>
      <c r="N1" s="9" t="s">
        <v>129</v>
      </c>
      <c r="O1" s="9">
        <v>70.0</v>
      </c>
      <c r="P1" s="44"/>
    </row>
    <row r="2">
      <c r="A2" s="62" t="s">
        <v>416</v>
      </c>
      <c r="B2" s="54"/>
      <c r="C2" s="54"/>
      <c r="D2" s="54"/>
      <c r="E2" s="54"/>
      <c r="F2" s="54">
        <f>SUM(F4:F997)</f>
        <v>294108</v>
      </c>
      <c r="G2" s="114">
        <f>MAX(G4:G997)</f>
        <v>1163</v>
      </c>
      <c r="H2" s="54">
        <f t="shared" ref="H2:I2" si="1">SUM(H4:H997)</f>
        <v>76562</v>
      </c>
      <c r="I2" s="54">
        <f t="shared" si="1"/>
        <v>90179.65</v>
      </c>
      <c r="J2" s="54">
        <f>H2-I2</f>
        <v>-13617.65</v>
      </c>
      <c r="K2" s="63">
        <f>I2/F2*100</f>
        <v>30.66208672</v>
      </c>
      <c r="L2" s="64" t="s">
        <v>65</v>
      </c>
      <c r="M2" s="65"/>
      <c r="N2" s="122" t="s">
        <v>84</v>
      </c>
      <c r="P2" s="44"/>
    </row>
    <row r="3">
      <c r="A3" s="333"/>
      <c r="B3" s="67" t="s">
        <v>66</v>
      </c>
      <c r="J3" s="333"/>
      <c r="K3" s="333"/>
      <c r="L3" s="333"/>
      <c r="M3" s="333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</row>
    <row r="4">
      <c r="A4" s="54"/>
      <c r="B4" s="442">
        <v>45295.0</v>
      </c>
      <c r="C4" s="443"/>
      <c r="D4" s="405" t="s">
        <v>417</v>
      </c>
      <c r="E4" s="405">
        <v>1502273.0</v>
      </c>
      <c r="F4" s="405">
        <v>1046.0</v>
      </c>
      <c r="G4" s="405">
        <v>1092.0</v>
      </c>
      <c r="H4" s="406">
        <v>383.0</v>
      </c>
      <c r="I4" s="406">
        <v>400.0</v>
      </c>
      <c r="J4" s="406">
        <v>-17.0</v>
      </c>
      <c r="K4" s="290">
        <v>38.24</v>
      </c>
      <c r="L4" s="54"/>
      <c r="M4" s="54"/>
      <c r="P4" s="44"/>
    </row>
    <row r="5">
      <c r="A5" s="54"/>
      <c r="B5" s="444">
        <v>45297.0</v>
      </c>
      <c r="C5" s="445"/>
      <c r="D5" s="412" t="s">
        <v>417</v>
      </c>
      <c r="E5" s="412">
        <v>1503923.0</v>
      </c>
      <c r="F5" s="412">
        <v>1650.0</v>
      </c>
      <c r="G5" s="412">
        <v>853.0</v>
      </c>
      <c r="H5" s="413">
        <v>289.0</v>
      </c>
      <c r="I5" s="413">
        <v>300.0</v>
      </c>
      <c r="J5" s="413">
        <v>-11.0</v>
      </c>
      <c r="K5" s="290">
        <v>18.18</v>
      </c>
      <c r="L5" s="54"/>
      <c r="M5" s="54"/>
      <c r="P5" s="44"/>
    </row>
    <row r="6">
      <c r="A6" s="54"/>
      <c r="B6" s="444">
        <v>45302.0</v>
      </c>
      <c r="C6" s="445"/>
      <c r="D6" s="412" t="s">
        <v>418</v>
      </c>
      <c r="E6" s="412">
        <v>1505948.0</v>
      </c>
      <c r="F6" s="412">
        <v>2025.0</v>
      </c>
      <c r="G6" s="412">
        <v>965.0</v>
      </c>
      <c r="H6" s="413">
        <v>763.0</v>
      </c>
      <c r="I6" s="413">
        <v>800.0</v>
      </c>
      <c r="J6" s="413">
        <v>-37.0</v>
      </c>
      <c r="K6" s="290">
        <v>39.51</v>
      </c>
      <c r="L6" s="54"/>
      <c r="M6" s="54"/>
      <c r="P6" s="44"/>
    </row>
    <row r="7">
      <c r="A7" s="54"/>
      <c r="B7" s="444">
        <v>45304.0</v>
      </c>
      <c r="C7" s="445"/>
      <c r="D7" s="412" t="s">
        <v>418</v>
      </c>
      <c r="E7" s="412">
        <v>1507408.0</v>
      </c>
      <c r="F7" s="412">
        <v>1460.0</v>
      </c>
      <c r="G7" s="412">
        <v>1117.0</v>
      </c>
      <c r="H7" s="413">
        <v>616.0</v>
      </c>
      <c r="I7" s="413">
        <v>641.17</v>
      </c>
      <c r="J7" s="413">
        <v>-25.17</v>
      </c>
      <c r="K7" s="290">
        <v>43.92</v>
      </c>
      <c r="L7" s="54"/>
      <c r="M7" s="54"/>
      <c r="P7" s="44"/>
    </row>
    <row r="8">
      <c r="A8" s="54"/>
      <c r="B8" s="444">
        <v>45309.0</v>
      </c>
      <c r="C8" s="445"/>
      <c r="D8" s="412" t="s">
        <v>418</v>
      </c>
      <c r="E8" s="412">
        <v>1510327.0</v>
      </c>
      <c r="F8" s="412">
        <v>2919.0</v>
      </c>
      <c r="G8" s="412">
        <v>1061.0</v>
      </c>
      <c r="H8" s="413">
        <v>848.0</v>
      </c>
      <c r="I8" s="413">
        <v>900.0</v>
      </c>
      <c r="J8" s="413">
        <v>-52.0</v>
      </c>
      <c r="K8" s="290">
        <v>30.83</v>
      </c>
      <c r="L8" s="54"/>
      <c r="M8" s="54"/>
      <c r="P8" s="44"/>
    </row>
    <row r="9">
      <c r="A9" s="54"/>
      <c r="B9" s="444">
        <v>45311.0</v>
      </c>
      <c r="C9" s="445"/>
      <c r="D9" s="412" t="s">
        <v>418</v>
      </c>
      <c r="E9" s="412">
        <v>1511790.0</v>
      </c>
      <c r="F9" s="412">
        <v>1463.0</v>
      </c>
      <c r="G9" s="412">
        <v>1066.0</v>
      </c>
      <c r="H9" s="413">
        <v>481.0</v>
      </c>
      <c r="I9" s="413">
        <v>519.53</v>
      </c>
      <c r="J9" s="413">
        <v>-38.53</v>
      </c>
      <c r="K9" s="290">
        <v>35.51</v>
      </c>
      <c r="L9" s="54"/>
      <c r="M9" s="54"/>
      <c r="P9" s="44"/>
    </row>
    <row r="10">
      <c r="A10" s="54"/>
      <c r="B10" s="444">
        <v>45316.0</v>
      </c>
      <c r="C10" s="445"/>
      <c r="D10" s="412" t="s">
        <v>417</v>
      </c>
      <c r="E10" s="412">
        <v>1514223.0</v>
      </c>
      <c r="F10" s="412">
        <v>2433.0</v>
      </c>
      <c r="G10" s="412">
        <v>1126.0</v>
      </c>
      <c r="H10" s="413">
        <v>824.0</v>
      </c>
      <c r="I10" s="413">
        <v>879.13</v>
      </c>
      <c r="J10" s="413">
        <v>-55.13</v>
      </c>
      <c r="K10" s="290">
        <v>36.13</v>
      </c>
      <c r="L10" s="54"/>
      <c r="M10" s="54"/>
      <c r="P10" s="44"/>
    </row>
    <row r="11">
      <c r="A11" s="54"/>
      <c r="B11" s="444">
        <v>45318.0</v>
      </c>
      <c r="C11" s="445"/>
      <c r="D11" s="412" t="s">
        <v>417</v>
      </c>
      <c r="E11" s="412">
        <v>1516258.0</v>
      </c>
      <c r="F11" s="412">
        <v>2035.0</v>
      </c>
      <c r="G11" s="412">
        <v>1135.0</v>
      </c>
      <c r="H11" s="413">
        <v>611.0</v>
      </c>
      <c r="I11" s="413">
        <v>657.23</v>
      </c>
      <c r="J11" s="413">
        <v>-46.23</v>
      </c>
      <c r="K11" s="290">
        <v>32.3</v>
      </c>
      <c r="L11" s="54"/>
      <c r="M11" s="54"/>
      <c r="P11" s="44"/>
    </row>
    <row r="12">
      <c r="A12" s="54"/>
      <c r="B12" s="444">
        <v>45321.0</v>
      </c>
      <c r="C12" s="445"/>
      <c r="D12" s="412" t="s">
        <v>417</v>
      </c>
      <c r="E12" s="412">
        <v>1518014.0</v>
      </c>
      <c r="F12" s="412">
        <v>1756.0</v>
      </c>
      <c r="G12" s="412">
        <v>1135.0</v>
      </c>
      <c r="H12" s="413">
        <v>490.0</v>
      </c>
      <c r="I12" s="413">
        <v>525.67</v>
      </c>
      <c r="J12" s="413">
        <v>-35.67</v>
      </c>
      <c r="K12" s="290">
        <v>29.94</v>
      </c>
      <c r="L12" s="54"/>
      <c r="M12" s="54"/>
      <c r="P12" s="44"/>
    </row>
    <row r="13">
      <c r="A13" s="66"/>
      <c r="B13" s="67" t="s">
        <v>68</v>
      </c>
      <c r="J13" s="66"/>
      <c r="K13" s="66"/>
      <c r="L13" s="66"/>
      <c r="M13" s="66"/>
      <c r="N13" s="68"/>
      <c r="O13" s="68"/>
      <c r="P13" s="69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>
      <c r="A14" s="54"/>
      <c r="B14" s="442">
        <v>45325.0</v>
      </c>
      <c r="C14" s="443"/>
      <c r="D14" s="446"/>
      <c r="E14" s="405">
        <v>1520932.0</v>
      </c>
      <c r="F14" s="405">
        <v>2918.0</v>
      </c>
      <c r="G14" s="405">
        <v>1117.0</v>
      </c>
      <c r="H14" s="406">
        <v>840.0</v>
      </c>
      <c r="I14" s="406">
        <v>900.0</v>
      </c>
      <c r="J14" s="406">
        <v>-60.0</v>
      </c>
      <c r="K14" s="290">
        <v>30.84</v>
      </c>
      <c r="L14" s="54"/>
      <c r="M14" s="54"/>
      <c r="P14" s="44"/>
    </row>
    <row r="15">
      <c r="A15" s="54"/>
      <c r="B15" s="444">
        <v>45329.0</v>
      </c>
      <c r="C15" s="445"/>
      <c r="D15" s="431"/>
      <c r="E15" s="412">
        <v>1523989.0</v>
      </c>
      <c r="F15" s="412">
        <v>3057.0</v>
      </c>
      <c r="G15" s="412">
        <v>1052.0</v>
      </c>
      <c r="H15" s="413">
        <v>844.0</v>
      </c>
      <c r="I15" s="413">
        <v>900.0</v>
      </c>
      <c r="J15" s="413">
        <v>-56.0</v>
      </c>
      <c r="K15" s="290">
        <v>29.44</v>
      </c>
      <c r="L15" s="54"/>
      <c r="M15" s="74" t="s">
        <v>69</v>
      </c>
      <c r="N15" s="75"/>
      <c r="O15" s="76"/>
      <c r="P15" s="44"/>
    </row>
    <row r="16">
      <c r="A16" s="54"/>
      <c r="B16" s="444">
        <v>45331.0</v>
      </c>
      <c r="C16" s="445"/>
      <c r="D16" s="431"/>
      <c r="E16" s="412">
        <v>1525487.0</v>
      </c>
      <c r="F16" s="412">
        <v>1498.0</v>
      </c>
      <c r="G16" s="412">
        <v>1124.0</v>
      </c>
      <c r="H16" s="413">
        <v>557.0</v>
      </c>
      <c r="I16" s="413">
        <v>588.85</v>
      </c>
      <c r="J16" s="413">
        <v>-31.85</v>
      </c>
      <c r="K16" s="290">
        <v>39.31</v>
      </c>
      <c r="L16" s="54"/>
      <c r="M16" s="77" t="s">
        <v>70</v>
      </c>
      <c r="N16" s="78" t="s">
        <v>71</v>
      </c>
      <c r="O16" s="78" t="s">
        <v>27</v>
      </c>
      <c r="P16" s="44"/>
    </row>
    <row r="17">
      <c r="A17" s="54"/>
      <c r="B17" s="444">
        <v>45333.0</v>
      </c>
      <c r="C17" s="445"/>
      <c r="D17" s="431"/>
      <c r="E17" s="412">
        <v>1527183.0</v>
      </c>
      <c r="F17" s="412">
        <v>1696.0</v>
      </c>
      <c r="G17" s="412">
        <v>1044.0</v>
      </c>
      <c r="H17" s="413">
        <v>473.0</v>
      </c>
      <c r="I17" s="413">
        <v>504.99</v>
      </c>
      <c r="J17" s="413">
        <v>-31.99</v>
      </c>
      <c r="K17" s="290">
        <v>29.78</v>
      </c>
      <c r="L17" s="54"/>
      <c r="M17" s="79">
        <f>SUM(F14:F20)</f>
        <v>14040</v>
      </c>
      <c r="N17" s="80">
        <f>SUM(I14:I20)</f>
        <v>4683.68</v>
      </c>
      <c r="O17" s="81">
        <f>N17/M17*100</f>
        <v>33.35954416</v>
      </c>
      <c r="P17" s="44"/>
    </row>
    <row r="18">
      <c r="A18" s="54"/>
      <c r="B18" s="444">
        <v>45335.0</v>
      </c>
      <c r="C18" s="445"/>
      <c r="D18" s="431"/>
      <c r="E18" s="412">
        <v>1528643.0</v>
      </c>
      <c r="F18" s="412">
        <v>1460.0</v>
      </c>
      <c r="G18" s="412">
        <v>792.0</v>
      </c>
      <c r="H18" s="413">
        <v>207.0</v>
      </c>
      <c r="I18" s="413">
        <v>217.91</v>
      </c>
      <c r="J18" s="413">
        <v>-10.91</v>
      </c>
      <c r="K18" s="290">
        <v>14.93</v>
      </c>
      <c r="L18" s="54"/>
      <c r="M18" s="54"/>
      <c r="P18" s="44"/>
    </row>
    <row r="19">
      <c r="A19" s="54"/>
      <c r="B19" s="444">
        <v>45337.0</v>
      </c>
      <c r="C19" s="445"/>
      <c r="D19" s="431"/>
      <c r="E19" s="412">
        <v>1530104.0</v>
      </c>
      <c r="F19" s="412">
        <v>1461.0</v>
      </c>
      <c r="G19" s="412">
        <v>1050.0</v>
      </c>
      <c r="H19" s="413">
        <v>744.0</v>
      </c>
      <c r="I19" s="413">
        <v>800.12</v>
      </c>
      <c r="J19" s="413">
        <v>-56.12</v>
      </c>
      <c r="K19" s="290">
        <v>54.77</v>
      </c>
      <c r="L19" s="54"/>
      <c r="M19" s="54"/>
      <c r="P19" s="44"/>
    </row>
    <row r="20">
      <c r="A20" s="54"/>
      <c r="B20" s="444">
        <v>45348.0</v>
      </c>
      <c r="C20" s="445"/>
      <c r="D20" s="431"/>
      <c r="E20" s="412">
        <v>1532054.0</v>
      </c>
      <c r="F20" s="412">
        <v>1950.0</v>
      </c>
      <c r="G20" s="412">
        <v>1136.0</v>
      </c>
      <c r="H20" s="413">
        <v>724.0</v>
      </c>
      <c r="I20" s="413">
        <v>771.81</v>
      </c>
      <c r="J20" s="413">
        <v>-47.81</v>
      </c>
      <c r="K20" s="290">
        <v>39.58</v>
      </c>
      <c r="L20" s="54"/>
      <c r="M20" s="54"/>
      <c r="P20" s="44"/>
    </row>
    <row r="21">
      <c r="A21" s="66"/>
      <c r="B21" s="67" t="s">
        <v>72</v>
      </c>
      <c r="J21" s="66"/>
      <c r="K21" s="66"/>
      <c r="L21" s="66"/>
      <c r="M21" s="66"/>
      <c r="N21" s="68"/>
      <c r="O21" s="68"/>
      <c r="P21" s="69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>
      <c r="A22" s="54"/>
      <c r="B22" s="442">
        <v>45363.0</v>
      </c>
      <c r="C22" s="443"/>
      <c r="D22" s="446"/>
      <c r="E22" s="405">
        <v>1534434.0</v>
      </c>
      <c r="F22" s="405">
        <v>2380.0</v>
      </c>
      <c r="G22" s="405">
        <v>553.0</v>
      </c>
      <c r="H22" s="406">
        <v>181.0</v>
      </c>
      <c r="I22" s="406">
        <v>200.0</v>
      </c>
      <c r="J22" s="406">
        <v>-19.0</v>
      </c>
      <c r="K22" s="447"/>
      <c r="L22" s="54"/>
      <c r="M22" s="54"/>
      <c r="P22" s="44"/>
    </row>
    <row r="23">
      <c r="A23" s="54"/>
      <c r="B23" s="444">
        <v>45363.0</v>
      </c>
      <c r="C23" s="445"/>
      <c r="D23" s="431"/>
      <c r="E23" s="412">
        <v>1534903.0</v>
      </c>
      <c r="F23" s="412">
        <v>469.0</v>
      </c>
      <c r="G23" s="412">
        <v>1077.0</v>
      </c>
      <c r="H23" s="413">
        <v>651.0</v>
      </c>
      <c r="I23" s="413">
        <v>700.0</v>
      </c>
      <c r="J23" s="413">
        <v>-49.0</v>
      </c>
      <c r="K23" s="290">
        <v>31.59</v>
      </c>
      <c r="L23" s="54"/>
      <c r="M23" s="74" t="s">
        <v>73</v>
      </c>
      <c r="N23" s="75"/>
      <c r="O23" s="76"/>
      <c r="P23" s="44"/>
    </row>
    <row r="24">
      <c r="A24" s="54"/>
      <c r="B24" s="444">
        <v>45365.0</v>
      </c>
      <c r="C24" s="445"/>
      <c r="D24" s="431"/>
      <c r="E24" s="412">
        <v>1536361.0</v>
      </c>
      <c r="F24" s="412">
        <v>1458.0</v>
      </c>
      <c r="G24" s="412">
        <v>1058.0</v>
      </c>
      <c r="H24" s="413">
        <v>407.0</v>
      </c>
      <c r="I24" s="413">
        <v>443.5</v>
      </c>
      <c r="J24" s="413">
        <v>-36.5</v>
      </c>
      <c r="K24" s="290">
        <v>30.42</v>
      </c>
      <c r="L24" s="54"/>
      <c r="M24" s="77" t="s">
        <v>70</v>
      </c>
      <c r="N24" s="78" t="s">
        <v>71</v>
      </c>
      <c r="O24" s="78" t="s">
        <v>27</v>
      </c>
      <c r="P24" s="44"/>
    </row>
    <row r="25">
      <c r="A25" s="54"/>
      <c r="B25" s="444">
        <v>45367.0</v>
      </c>
      <c r="C25" s="445"/>
      <c r="D25" s="431"/>
      <c r="E25" s="412">
        <v>1537884.0</v>
      </c>
      <c r="F25" s="412">
        <v>1523.0</v>
      </c>
      <c r="G25" s="412">
        <v>1090.0</v>
      </c>
      <c r="H25" s="413">
        <v>471.0</v>
      </c>
      <c r="I25" s="413">
        <v>512.34</v>
      </c>
      <c r="J25" s="413">
        <v>-41.34</v>
      </c>
      <c r="K25" s="290">
        <v>33.64</v>
      </c>
      <c r="L25" s="54"/>
      <c r="M25" s="79">
        <f>SUM(F22:F27)</f>
        <v>9265</v>
      </c>
      <c r="N25" s="80">
        <f>SUM(I22:I27)</f>
        <v>2939.85</v>
      </c>
      <c r="O25" s="81">
        <f>N25/M25*100</f>
        <v>31.73070696</v>
      </c>
      <c r="P25" s="44"/>
    </row>
    <row r="26">
      <c r="A26" s="54"/>
      <c r="B26" s="444">
        <v>45381.0</v>
      </c>
      <c r="C26" s="445"/>
      <c r="D26" s="431"/>
      <c r="E26" s="412">
        <v>1540870.0</v>
      </c>
      <c r="F26" s="412">
        <v>2986.0</v>
      </c>
      <c r="G26" s="412">
        <v>436.0</v>
      </c>
      <c r="H26" s="413">
        <v>190.0</v>
      </c>
      <c r="I26" s="413">
        <v>200.0</v>
      </c>
      <c r="J26" s="413">
        <v>-10.0</v>
      </c>
      <c r="K26" s="448">
        <f>I26/F26*100</f>
        <v>6.697923644</v>
      </c>
      <c r="L26" s="54"/>
      <c r="M26" s="60" t="s">
        <v>419</v>
      </c>
    </row>
    <row r="27">
      <c r="A27" s="54"/>
      <c r="B27" s="444">
        <v>45382.0</v>
      </c>
      <c r="C27" s="445"/>
      <c r="D27" s="431"/>
      <c r="E27" s="412">
        <v>1541319.0</v>
      </c>
      <c r="F27" s="412">
        <v>449.0</v>
      </c>
      <c r="G27" s="412">
        <v>1139.0</v>
      </c>
      <c r="H27" s="413">
        <v>834.0</v>
      </c>
      <c r="I27" s="413">
        <v>884.01</v>
      </c>
      <c r="J27" s="413">
        <v>-50.01</v>
      </c>
      <c r="K27" s="290">
        <v>31.56</v>
      </c>
      <c r="L27" s="54"/>
      <c r="M27" s="54"/>
      <c r="P27" s="44"/>
    </row>
    <row r="28">
      <c r="A28" s="66"/>
      <c r="B28" s="67" t="s">
        <v>74</v>
      </c>
      <c r="J28" s="66"/>
      <c r="K28" s="66"/>
      <c r="L28" s="66"/>
      <c r="M28" s="66"/>
      <c r="N28" s="68"/>
      <c r="O28" s="68"/>
      <c r="P28" s="69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>
      <c r="A29" s="54"/>
      <c r="B29" s="442">
        <v>45386.0</v>
      </c>
      <c r="C29" s="443"/>
      <c r="D29" s="446"/>
      <c r="E29" s="405">
        <v>1544135.0</v>
      </c>
      <c r="F29" s="405">
        <v>2816.0</v>
      </c>
      <c r="G29" s="405">
        <v>1098.0</v>
      </c>
      <c r="H29" s="406">
        <v>759.0</v>
      </c>
      <c r="I29" s="406">
        <v>798.37</v>
      </c>
      <c r="J29" s="406">
        <v>-39.37</v>
      </c>
      <c r="K29" s="290">
        <v>28.35</v>
      </c>
      <c r="L29" s="54"/>
      <c r="M29" s="82" t="str">
        <f>"тотал"&amp;" "&amp;B28</f>
        <v>тотал АПРЕЛЬ</v>
      </c>
      <c r="N29" s="75"/>
      <c r="O29" s="76"/>
      <c r="P29" s="44"/>
    </row>
    <row r="30">
      <c r="A30" s="54"/>
      <c r="B30" s="444">
        <v>45388.0</v>
      </c>
      <c r="C30" s="445"/>
      <c r="D30" s="431"/>
      <c r="E30" s="412">
        <v>1545593.0</v>
      </c>
      <c r="F30" s="412">
        <v>1458.0</v>
      </c>
      <c r="G30" s="412">
        <v>1112.0</v>
      </c>
      <c r="H30" s="413">
        <v>443.0</v>
      </c>
      <c r="I30" s="413">
        <v>467.7</v>
      </c>
      <c r="J30" s="413">
        <v>-24.7</v>
      </c>
      <c r="K30" s="290">
        <v>32.08</v>
      </c>
      <c r="L30" s="54"/>
      <c r="M30" s="83" t="s">
        <v>70</v>
      </c>
      <c r="N30" s="83" t="s">
        <v>71</v>
      </c>
      <c r="O30" s="83" t="s">
        <v>27</v>
      </c>
      <c r="P30" s="44"/>
    </row>
    <row r="31">
      <c r="A31" s="54"/>
      <c r="B31" s="444">
        <v>45391.0</v>
      </c>
      <c r="C31" s="445"/>
      <c r="D31" s="431"/>
      <c r="E31" s="412">
        <v>1547203.0</v>
      </c>
      <c r="F31" s="412">
        <v>1610.0</v>
      </c>
      <c r="G31" s="412">
        <v>1122.0</v>
      </c>
      <c r="H31" s="413">
        <v>484.0</v>
      </c>
      <c r="I31" s="413">
        <v>510.0</v>
      </c>
      <c r="J31" s="413">
        <v>-26.0</v>
      </c>
      <c r="K31" s="290">
        <v>31.68</v>
      </c>
      <c r="L31" s="54"/>
      <c r="M31" s="84">
        <f>SUM(F29:F38)</f>
        <v>19857</v>
      </c>
      <c r="N31" s="84">
        <f>SUM(I29:I38)</f>
        <v>6038.25</v>
      </c>
      <c r="O31" s="85">
        <f>N31/M31*100</f>
        <v>30.408672</v>
      </c>
      <c r="P31" s="44"/>
    </row>
    <row r="32">
      <c r="A32" s="54"/>
      <c r="B32" s="444">
        <v>45393.0</v>
      </c>
      <c r="C32" s="445"/>
      <c r="D32" s="431"/>
      <c r="E32" s="412">
        <v>1548851.0</v>
      </c>
      <c r="F32" s="412">
        <v>1648.0</v>
      </c>
      <c r="G32" s="412">
        <v>1068.0</v>
      </c>
      <c r="H32" s="413">
        <v>398.0</v>
      </c>
      <c r="I32" s="413">
        <v>422.16</v>
      </c>
      <c r="J32" s="413">
        <v>-24.16</v>
      </c>
      <c r="K32" s="290">
        <v>25.62</v>
      </c>
      <c r="L32" s="54"/>
      <c r="M32" s="54"/>
      <c r="P32" s="44"/>
    </row>
    <row r="33">
      <c r="A33" s="54"/>
      <c r="B33" s="444">
        <v>45395.0</v>
      </c>
      <c r="C33" s="445"/>
      <c r="D33" s="431"/>
      <c r="E33" s="412">
        <v>1550309.0</v>
      </c>
      <c r="F33" s="412">
        <v>1458.0</v>
      </c>
      <c r="G33" s="412">
        <v>1105.0</v>
      </c>
      <c r="H33" s="413">
        <v>458.0</v>
      </c>
      <c r="I33" s="413">
        <v>484.66</v>
      </c>
      <c r="J33" s="413">
        <v>-26.66</v>
      </c>
      <c r="K33" s="290">
        <v>33.24</v>
      </c>
      <c r="L33" s="54"/>
      <c r="M33" s="54"/>
      <c r="P33" s="44"/>
    </row>
    <row r="34">
      <c r="A34" s="54"/>
      <c r="B34" s="444">
        <v>45400.0</v>
      </c>
      <c r="C34" s="445"/>
      <c r="D34" s="431"/>
      <c r="E34" s="412">
        <v>1553179.0</v>
      </c>
      <c r="F34" s="412">
        <v>2870.0</v>
      </c>
      <c r="G34" s="412">
        <v>442.0</v>
      </c>
      <c r="H34" s="413">
        <v>189.0</v>
      </c>
      <c r="I34" s="413">
        <v>200.0</v>
      </c>
      <c r="J34" s="413">
        <v>-11.0</v>
      </c>
      <c r="K34" s="290">
        <v>6.97</v>
      </c>
      <c r="L34" s="54"/>
      <c r="M34" s="54"/>
      <c r="P34" s="44"/>
    </row>
    <row r="35">
      <c r="A35" s="54"/>
      <c r="B35" s="444">
        <v>45401.0</v>
      </c>
      <c r="C35" s="445"/>
      <c r="D35" s="431"/>
      <c r="E35" s="412">
        <v>1553628.0</v>
      </c>
      <c r="F35" s="412">
        <v>449.0</v>
      </c>
      <c r="G35" s="412">
        <v>1151.0</v>
      </c>
      <c r="H35" s="413">
        <v>842.0</v>
      </c>
      <c r="I35" s="413">
        <v>892.64</v>
      </c>
      <c r="J35" s="413">
        <v>-50.64</v>
      </c>
      <c r="K35" s="290">
        <v>198.81</v>
      </c>
      <c r="L35" s="54"/>
      <c r="M35" s="54"/>
      <c r="P35" s="44"/>
    </row>
    <row r="36">
      <c r="A36" s="54"/>
      <c r="B36" s="444">
        <v>45406.0</v>
      </c>
      <c r="C36" s="445"/>
      <c r="D36" s="431"/>
      <c r="E36" s="412">
        <v>1556746.0</v>
      </c>
      <c r="F36" s="412">
        <v>3118.0</v>
      </c>
      <c r="G36" s="412">
        <v>1081.0</v>
      </c>
      <c r="H36" s="413">
        <v>856.0</v>
      </c>
      <c r="I36" s="413">
        <v>900.0</v>
      </c>
      <c r="J36" s="413">
        <v>-44.0</v>
      </c>
      <c r="K36" s="290">
        <v>28.86</v>
      </c>
      <c r="L36" s="54"/>
      <c r="M36" s="54"/>
      <c r="P36" s="44"/>
    </row>
    <row r="37">
      <c r="A37" s="54"/>
      <c r="B37" s="449">
        <v>45409.0</v>
      </c>
      <c r="C37" s="450"/>
      <c r="D37" s="431"/>
      <c r="E37" s="412">
        <v>1559522.0</v>
      </c>
      <c r="F37" s="412">
        <v>2776.0</v>
      </c>
      <c r="G37" s="412">
        <v>1137.0</v>
      </c>
      <c r="H37" s="413">
        <v>848.0</v>
      </c>
      <c r="I37" s="413">
        <v>900.0</v>
      </c>
      <c r="J37" s="413">
        <v>-52.0</v>
      </c>
      <c r="K37" s="290">
        <v>32.42</v>
      </c>
      <c r="L37" s="54"/>
      <c r="M37" s="54"/>
      <c r="P37" s="44"/>
    </row>
    <row r="38">
      <c r="A38" s="54"/>
      <c r="B38" s="449">
        <v>45412.0</v>
      </c>
      <c r="C38" s="450"/>
      <c r="D38" s="431"/>
      <c r="E38" s="412">
        <v>1561176.0</v>
      </c>
      <c r="F38" s="412">
        <v>1654.0</v>
      </c>
      <c r="G38" s="412">
        <v>1111.0</v>
      </c>
      <c r="H38" s="413">
        <v>436.0</v>
      </c>
      <c r="I38" s="413">
        <v>462.72</v>
      </c>
      <c r="J38" s="413">
        <v>-26.72</v>
      </c>
      <c r="K38" s="290">
        <v>27.98</v>
      </c>
      <c r="L38" s="54"/>
      <c r="M38" s="54"/>
      <c r="P38" s="44"/>
    </row>
    <row r="39">
      <c r="A39" s="333"/>
      <c r="B39" s="67" t="s">
        <v>75</v>
      </c>
      <c r="J39" s="333"/>
      <c r="K39" s="333"/>
      <c r="L39" s="333"/>
      <c r="M39" s="333"/>
      <c r="N39" s="334"/>
      <c r="O39" s="334"/>
      <c r="P39" s="334"/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</row>
    <row r="40">
      <c r="A40" s="54"/>
      <c r="B40" s="404" t="s">
        <v>134</v>
      </c>
      <c r="C40" s="405"/>
      <c r="D40" s="446"/>
      <c r="E40" s="405">
        <v>1564241.0</v>
      </c>
      <c r="F40" s="405">
        <v>3065.0</v>
      </c>
      <c r="G40" s="405">
        <v>1030.0</v>
      </c>
      <c r="H40" s="406">
        <v>743.0</v>
      </c>
      <c r="I40" s="406">
        <v>787.24</v>
      </c>
      <c r="J40" s="406">
        <v>-44.24</v>
      </c>
      <c r="K40" s="290">
        <v>25.68</v>
      </c>
      <c r="L40" s="54"/>
      <c r="M40" s="82" t="str">
        <f>"тотал"&amp;" "&amp;B39</f>
        <v>тотал МАЙ</v>
      </c>
      <c r="N40" s="75"/>
      <c r="O40" s="76"/>
      <c r="P40" s="44"/>
    </row>
    <row r="41">
      <c r="A41" s="54"/>
      <c r="B41" s="411" t="s">
        <v>406</v>
      </c>
      <c r="C41" s="412"/>
      <c r="D41" s="431"/>
      <c r="E41" s="412">
        <v>1565740.0</v>
      </c>
      <c r="F41" s="412">
        <v>1499.0</v>
      </c>
      <c r="G41" s="412">
        <v>829.0</v>
      </c>
      <c r="H41" s="413">
        <v>237.0</v>
      </c>
      <c r="I41" s="413">
        <v>247.45</v>
      </c>
      <c r="J41" s="413">
        <v>-10.45</v>
      </c>
      <c r="K41" s="290">
        <v>16.51</v>
      </c>
      <c r="L41" s="54"/>
      <c r="M41" s="83" t="s">
        <v>70</v>
      </c>
      <c r="N41" s="83" t="s">
        <v>71</v>
      </c>
      <c r="O41" s="83" t="s">
        <v>27</v>
      </c>
      <c r="P41" s="44"/>
    </row>
    <row r="42">
      <c r="A42" s="54"/>
      <c r="B42" s="411" t="s">
        <v>76</v>
      </c>
      <c r="C42" s="412"/>
      <c r="D42" s="431"/>
      <c r="E42" s="412">
        <v>1568103.0</v>
      </c>
      <c r="F42" s="412">
        <v>2363.0</v>
      </c>
      <c r="G42" s="412">
        <v>1011.0</v>
      </c>
      <c r="H42" s="413">
        <v>855.0</v>
      </c>
      <c r="I42" s="413">
        <v>900.0</v>
      </c>
      <c r="J42" s="413">
        <v>-45.0</v>
      </c>
      <c r="K42" s="290">
        <v>38.09</v>
      </c>
      <c r="L42" s="54"/>
      <c r="M42" s="84">
        <f>SUM(F40:F46)</f>
        <v>16886</v>
      </c>
      <c r="N42" s="84">
        <f>SUM(I40:I46)</f>
        <v>4899.24</v>
      </c>
      <c r="O42" s="85">
        <f>N42/M42*100</f>
        <v>29.01362075</v>
      </c>
      <c r="P42" s="44"/>
    </row>
    <row r="43">
      <c r="A43" s="54"/>
      <c r="B43" s="411" t="s">
        <v>410</v>
      </c>
      <c r="C43" s="412"/>
      <c r="D43" s="431"/>
      <c r="E43" s="412">
        <v>1570697.0</v>
      </c>
      <c r="F43" s="412">
        <v>2594.0</v>
      </c>
      <c r="G43" s="412">
        <v>1147.0</v>
      </c>
      <c r="H43" s="413">
        <v>843.0</v>
      </c>
      <c r="I43" s="413">
        <v>889.61</v>
      </c>
      <c r="J43" s="413">
        <v>-46.61</v>
      </c>
      <c r="K43" s="290">
        <v>34.29</v>
      </c>
      <c r="L43" s="54"/>
      <c r="M43" s="54"/>
      <c r="P43" s="44"/>
    </row>
    <row r="44">
      <c r="A44" s="54"/>
      <c r="B44" s="444">
        <v>45435.0</v>
      </c>
      <c r="C44" s="445"/>
      <c r="D44" s="431"/>
      <c r="E44" s="412">
        <v>1573676.0</v>
      </c>
      <c r="F44" s="412">
        <v>2979.0</v>
      </c>
      <c r="G44" s="412">
        <v>1144.0</v>
      </c>
      <c r="H44" s="413">
        <v>805.0</v>
      </c>
      <c r="I44" s="413">
        <v>856.38</v>
      </c>
      <c r="J44" s="413">
        <v>-51.38</v>
      </c>
      <c r="K44" s="290">
        <v>28.75</v>
      </c>
      <c r="L44" s="54"/>
      <c r="P44" s="44"/>
    </row>
    <row r="45">
      <c r="A45" s="54"/>
      <c r="B45" s="444">
        <v>45440.0</v>
      </c>
      <c r="C45" s="445"/>
      <c r="D45" s="431"/>
      <c r="E45" s="412">
        <v>1576568.0</v>
      </c>
      <c r="F45" s="412">
        <v>2892.0</v>
      </c>
      <c r="G45" s="412">
        <v>1128.0</v>
      </c>
      <c r="H45" s="413">
        <v>766.0</v>
      </c>
      <c r="I45" s="413">
        <v>808.51</v>
      </c>
      <c r="J45" s="413">
        <v>-42.51</v>
      </c>
      <c r="K45" s="290">
        <v>27.96</v>
      </c>
      <c r="L45" s="54"/>
      <c r="P45" s="44"/>
    </row>
    <row r="46">
      <c r="A46" s="54"/>
      <c r="B46" s="444">
        <v>45442.0</v>
      </c>
      <c r="C46" s="445"/>
      <c r="D46" s="431"/>
      <c r="E46" s="412">
        <v>1578062.0</v>
      </c>
      <c r="F46" s="412">
        <v>1494.0</v>
      </c>
      <c r="G46" s="412">
        <v>1111.0</v>
      </c>
      <c r="H46" s="413">
        <v>386.0</v>
      </c>
      <c r="I46" s="413">
        <v>410.05</v>
      </c>
      <c r="J46" s="413">
        <v>-24.05</v>
      </c>
      <c r="K46" s="290">
        <v>27.45</v>
      </c>
      <c r="L46" s="54"/>
      <c r="P46" s="44"/>
    </row>
    <row r="47">
      <c r="A47" s="66"/>
      <c r="B47" s="67" t="s">
        <v>90</v>
      </c>
      <c r="J47" s="66"/>
      <c r="K47" s="66"/>
      <c r="L47" s="66"/>
      <c r="M47" s="66"/>
      <c r="N47" s="68"/>
      <c r="O47" s="68"/>
      <c r="P47" s="69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54"/>
      <c r="B48" s="70">
        <v>45446.0</v>
      </c>
      <c r="C48" s="70"/>
      <c r="D48" s="73"/>
      <c r="E48" s="71">
        <v>1580982.0</v>
      </c>
      <c r="F48" s="71">
        <v>2920.0</v>
      </c>
      <c r="G48" s="71">
        <v>1063.0</v>
      </c>
      <c r="H48" s="72">
        <v>734.0</v>
      </c>
      <c r="I48" s="72">
        <v>780.08</v>
      </c>
      <c r="J48" s="72">
        <v>-46.08</v>
      </c>
      <c r="K48" s="72">
        <v>26.72</v>
      </c>
      <c r="L48" s="54"/>
      <c r="M48" s="82" t="str">
        <f>"тотал"&amp;" "&amp;B47</f>
        <v>тотал ИЮНЬ</v>
      </c>
      <c r="N48" s="75"/>
      <c r="O48" s="76"/>
      <c r="P48" s="44"/>
    </row>
    <row r="49">
      <c r="A49" s="54"/>
      <c r="B49" s="70">
        <v>45450.0</v>
      </c>
      <c r="C49" s="70"/>
      <c r="D49" s="73"/>
      <c r="E49" s="71">
        <v>1583950.0</v>
      </c>
      <c r="F49" s="71">
        <v>2968.0</v>
      </c>
      <c r="G49" s="71">
        <v>1098.0</v>
      </c>
      <c r="H49" s="72">
        <v>846.0</v>
      </c>
      <c r="I49" s="72">
        <v>900.0</v>
      </c>
      <c r="J49" s="72">
        <v>-54.0</v>
      </c>
      <c r="K49" s="72">
        <v>30.32</v>
      </c>
      <c r="L49" s="54"/>
      <c r="M49" s="83" t="s">
        <v>70</v>
      </c>
      <c r="N49" s="83" t="s">
        <v>71</v>
      </c>
      <c r="O49" s="83" t="s">
        <v>27</v>
      </c>
      <c r="P49" s="44"/>
    </row>
    <row r="50">
      <c r="A50" s="54"/>
      <c r="B50" s="70">
        <v>45455.0</v>
      </c>
      <c r="C50" s="70"/>
      <c r="D50" s="73"/>
      <c r="E50" s="71">
        <v>1586871.0</v>
      </c>
      <c r="F50" s="71">
        <v>2921.0</v>
      </c>
      <c r="G50" s="71">
        <v>1111.0</v>
      </c>
      <c r="H50" s="72">
        <v>808.0</v>
      </c>
      <c r="I50" s="72">
        <v>860.0</v>
      </c>
      <c r="J50" s="72">
        <v>-52.0</v>
      </c>
      <c r="K50" s="72">
        <v>29.44</v>
      </c>
      <c r="L50" s="54"/>
      <c r="M50" s="84">
        <f>SUM(F48:F53)</f>
        <v>16487</v>
      </c>
      <c r="N50" s="84">
        <f>SUM(I48:I53)</f>
        <v>4199.09</v>
      </c>
      <c r="O50" s="85">
        <f>N50/M50*100</f>
        <v>25.46909686</v>
      </c>
      <c r="P50" s="44"/>
    </row>
    <row r="51">
      <c r="A51" s="54"/>
      <c r="B51" s="70">
        <v>45467.0</v>
      </c>
      <c r="C51" s="70"/>
      <c r="D51" s="73"/>
      <c r="E51" s="71">
        <v>1590119.0</v>
      </c>
      <c r="F51" s="71">
        <v>3248.0</v>
      </c>
      <c r="G51" s="71">
        <v>1061.0</v>
      </c>
      <c r="H51" s="72">
        <v>843.0</v>
      </c>
      <c r="I51" s="72">
        <v>900.0</v>
      </c>
      <c r="J51" s="72">
        <v>-57.0</v>
      </c>
      <c r="K51" s="72">
        <v>27.71</v>
      </c>
      <c r="L51" s="54"/>
      <c r="M51" s="54"/>
      <c r="P51" s="44"/>
    </row>
    <row r="52">
      <c r="A52" s="54"/>
      <c r="B52" s="70">
        <v>45471.0</v>
      </c>
      <c r="C52" s="70"/>
      <c r="D52" s="73"/>
      <c r="E52" s="71">
        <v>1592625.0</v>
      </c>
      <c r="F52" s="71">
        <v>2506.0</v>
      </c>
      <c r="G52" s="71">
        <v>805.0</v>
      </c>
      <c r="H52" s="72">
        <v>428.0</v>
      </c>
      <c r="I52" s="72">
        <v>456.59</v>
      </c>
      <c r="J52" s="72">
        <v>-28.59</v>
      </c>
      <c r="K52" s="72">
        <v>18.22</v>
      </c>
      <c r="M52" s="74" t="s">
        <v>420</v>
      </c>
      <c r="N52" s="75"/>
      <c r="O52" s="76"/>
      <c r="P52" s="44"/>
    </row>
    <row r="53">
      <c r="A53" s="54"/>
      <c r="B53" s="70">
        <v>45473.0</v>
      </c>
      <c r="C53" s="70"/>
      <c r="D53" s="73"/>
      <c r="E53" s="71">
        <v>1594549.0</v>
      </c>
      <c r="F53" s="71">
        <v>1924.0</v>
      </c>
      <c r="G53" s="71">
        <v>566.0</v>
      </c>
      <c r="H53" s="72">
        <v>287.0</v>
      </c>
      <c r="I53" s="72">
        <v>302.42</v>
      </c>
      <c r="J53" s="72">
        <v>-15.42</v>
      </c>
      <c r="K53" s="72">
        <v>15.72</v>
      </c>
      <c r="M53" s="101" t="s">
        <v>70</v>
      </c>
      <c r="N53" s="12" t="s">
        <v>71</v>
      </c>
      <c r="O53" s="12" t="s">
        <v>27</v>
      </c>
      <c r="P53" s="44"/>
    </row>
    <row r="54">
      <c r="A54" s="66"/>
      <c r="B54" s="67" t="s">
        <v>92</v>
      </c>
      <c r="J54" s="66"/>
      <c r="K54" s="66"/>
      <c r="L54" s="68"/>
      <c r="M54" s="396">
        <f>SUM(F48:F53)+SUM(F55:F60)</f>
        <v>25525</v>
      </c>
      <c r="N54" s="451">
        <f>SUM(I48:I53)+SUM(I55:I60)</f>
        <v>7318.39</v>
      </c>
      <c r="O54" s="452">
        <f>N54/M54*100</f>
        <v>28.67145935</v>
      </c>
      <c r="P54" s="69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</row>
    <row r="55">
      <c r="A55" s="54"/>
      <c r="B55" s="71" t="s">
        <v>421</v>
      </c>
      <c r="C55" s="71"/>
      <c r="D55" s="73"/>
      <c r="E55" s="425">
        <v>1595005.0</v>
      </c>
      <c r="F55" s="71">
        <v>455.0</v>
      </c>
      <c r="G55" s="71">
        <v>1123.0</v>
      </c>
      <c r="H55" s="72">
        <v>687.0</v>
      </c>
      <c r="I55" s="72">
        <v>723.55</v>
      </c>
      <c r="J55" s="72">
        <v>-36.55</v>
      </c>
      <c r="K55" s="72">
        <v>159.02</v>
      </c>
      <c r="P55" s="44"/>
    </row>
    <row r="56">
      <c r="A56" s="54"/>
      <c r="B56" s="98">
        <v>45486.0</v>
      </c>
      <c r="C56" s="98"/>
      <c r="D56" s="102"/>
      <c r="E56" s="453">
        <v>1597512.0</v>
      </c>
      <c r="F56" s="99">
        <f t="shared" ref="F56:F60" si="2">E56-E55</f>
        <v>2507</v>
      </c>
      <c r="G56" s="100">
        <v>778.0</v>
      </c>
      <c r="H56" s="101">
        <v>373.0</v>
      </c>
      <c r="I56" s="101">
        <v>400.0</v>
      </c>
      <c r="J56" s="102">
        <f t="shared" ref="J56:J60" si="3">H56-I56</f>
        <v>-27</v>
      </c>
      <c r="K56" s="103">
        <f t="shared" ref="K56:K60" si="4">I56/F56*100</f>
        <v>15.95532509</v>
      </c>
      <c r="L56" s="54"/>
      <c r="M56" s="74" t="s">
        <v>118</v>
      </c>
      <c r="N56" s="75"/>
      <c r="O56" s="76"/>
      <c r="P56" s="44"/>
    </row>
    <row r="57">
      <c r="A57" s="54"/>
      <c r="B57" s="98">
        <v>45491.0</v>
      </c>
      <c r="C57" s="98"/>
      <c r="D57" s="102"/>
      <c r="E57" s="100">
        <v>1598569.0</v>
      </c>
      <c r="F57" s="99">
        <f t="shared" si="2"/>
        <v>1057</v>
      </c>
      <c r="G57" s="100">
        <v>1118.0</v>
      </c>
      <c r="H57" s="101">
        <v>663.0</v>
      </c>
      <c r="I57" s="101">
        <v>702.11</v>
      </c>
      <c r="J57" s="102">
        <f t="shared" si="3"/>
        <v>-39.11</v>
      </c>
      <c r="K57" s="103">
        <f t="shared" si="4"/>
        <v>66.42478713</v>
      </c>
      <c r="L57" s="54"/>
      <c r="M57" s="77" t="s">
        <v>70</v>
      </c>
      <c r="N57" s="78" t="s">
        <v>71</v>
      </c>
      <c r="O57" s="78" t="s">
        <v>27</v>
      </c>
      <c r="P57" s="44"/>
    </row>
    <row r="58">
      <c r="A58" s="54"/>
      <c r="B58" s="98">
        <v>45495.0</v>
      </c>
      <c r="C58" s="98"/>
      <c r="D58" s="99"/>
      <c r="E58" s="100">
        <v>1601179.0</v>
      </c>
      <c r="F58" s="99">
        <f t="shared" si="2"/>
        <v>2610</v>
      </c>
      <c r="G58" s="100">
        <v>725.0</v>
      </c>
      <c r="H58" s="101">
        <v>348.0</v>
      </c>
      <c r="I58" s="101">
        <v>364.65</v>
      </c>
      <c r="J58" s="102">
        <f t="shared" si="3"/>
        <v>-16.65</v>
      </c>
      <c r="K58" s="103">
        <f t="shared" si="4"/>
        <v>13.97126437</v>
      </c>
      <c r="L58" s="54"/>
      <c r="M58" s="79">
        <f>SUM(F55:F60)</f>
        <v>9038</v>
      </c>
      <c r="N58" s="80">
        <f>SUM(I55:I60)</f>
        <v>3119.3</v>
      </c>
      <c r="O58" s="81">
        <f>N58/M58*100</f>
        <v>34.51316663</v>
      </c>
      <c r="P58" s="44"/>
    </row>
    <row r="59">
      <c r="A59" s="54"/>
      <c r="B59" s="98">
        <v>45495.0</v>
      </c>
      <c r="C59" s="98"/>
      <c r="D59" s="99"/>
      <c r="E59" s="104">
        <v>1601308.0</v>
      </c>
      <c r="F59" s="99">
        <f t="shared" si="2"/>
        <v>129</v>
      </c>
      <c r="G59" s="454">
        <v>1130.0</v>
      </c>
      <c r="H59" s="101">
        <v>456.0</v>
      </c>
      <c r="I59" s="101">
        <v>479.81</v>
      </c>
      <c r="J59" s="102">
        <f t="shared" si="3"/>
        <v>-23.81</v>
      </c>
      <c r="K59" s="103">
        <f t="shared" si="4"/>
        <v>371.9457364</v>
      </c>
      <c r="L59" s="54"/>
      <c r="M59" s="54"/>
      <c r="P59" s="44"/>
    </row>
    <row r="60">
      <c r="A60" s="54"/>
      <c r="B60" s="98">
        <v>45499.0</v>
      </c>
      <c r="C60" s="98"/>
      <c r="D60" s="99"/>
      <c r="E60" s="104">
        <v>1603588.0</v>
      </c>
      <c r="F60" s="99">
        <f t="shared" si="2"/>
        <v>2280</v>
      </c>
      <c r="G60" s="100">
        <v>817.0</v>
      </c>
      <c r="H60" s="101">
        <v>417.0</v>
      </c>
      <c r="I60" s="101">
        <v>449.18</v>
      </c>
      <c r="J60" s="102">
        <f t="shared" si="3"/>
        <v>-32.18</v>
      </c>
      <c r="K60" s="103">
        <f t="shared" si="4"/>
        <v>19.70087719</v>
      </c>
      <c r="L60" s="54"/>
      <c r="M60" s="54"/>
      <c r="P60" s="44"/>
    </row>
    <row r="61">
      <c r="A61" s="66"/>
      <c r="B61" s="67" t="s">
        <v>95</v>
      </c>
      <c r="J61" s="66"/>
      <c r="K61" s="66"/>
      <c r="L61" s="68"/>
      <c r="M61" s="66"/>
      <c r="N61" s="68"/>
      <c r="O61" s="455"/>
      <c r="P61" s="69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>
      <c r="A62" s="54"/>
      <c r="B62" s="98">
        <v>45511.0</v>
      </c>
      <c r="C62" s="98"/>
      <c r="D62" s="99"/>
      <c r="E62" s="100">
        <v>1605564.0</v>
      </c>
      <c r="F62" s="99">
        <f>E62-E60</f>
        <v>1976</v>
      </c>
      <c r="G62" s="100">
        <v>1078.0</v>
      </c>
      <c r="H62" s="101">
        <v>844.0</v>
      </c>
      <c r="I62" s="101">
        <v>900.0</v>
      </c>
      <c r="J62" s="102">
        <f t="shared" ref="J62:J64" si="5">H62-I62</f>
        <v>-56</v>
      </c>
      <c r="K62" s="103">
        <f t="shared" ref="K62:K64" si="6">I62/F62*100</f>
        <v>45.5465587</v>
      </c>
      <c r="L62" s="54"/>
      <c r="M62" s="82" t="str">
        <f>"тотал"&amp;" "&amp;B61</f>
        <v>тотал АВГУСТ</v>
      </c>
      <c r="N62" s="75"/>
      <c r="O62" s="76"/>
      <c r="P62" s="44"/>
    </row>
    <row r="63">
      <c r="A63" s="54"/>
      <c r="B63" s="98">
        <v>45518.0</v>
      </c>
      <c r="C63" s="98"/>
      <c r="D63" s="99"/>
      <c r="E63" s="131">
        <v>1607823.0</v>
      </c>
      <c r="F63" s="99">
        <f t="shared" ref="F63:F64" si="7">E63-E62</f>
        <v>2259</v>
      </c>
      <c r="G63" s="100">
        <v>1130.0</v>
      </c>
      <c r="H63" s="101">
        <v>746.0</v>
      </c>
      <c r="I63" s="101">
        <v>787.11</v>
      </c>
      <c r="J63" s="102">
        <f t="shared" si="5"/>
        <v>-41.11</v>
      </c>
      <c r="K63" s="103">
        <f t="shared" si="6"/>
        <v>34.84329349</v>
      </c>
      <c r="L63" s="54"/>
      <c r="M63" s="83" t="s">
        <v>70</v>
      </c>
      <c r="N63" s="83" t="s">
        <v>71</v>
      </c>
      <c r="O63" s="83" t="s">
        <v>27</v>
      </c>
      <c r="P63" s="44"/>
    </row>
    <row r="64">
      <c r="A64" s="54"/>
      <c r="B64" s="98">
        <v>45535.0</v>
      </c>
      <c r="C64" s="98"/>
      <c r="D64" s="99"/>
      <c r="E64" s="104">
        <v>1610879.0</v>
      </c>
      <c r="F64" s="99">
        <f t="shared" si="7"/>
        <v>3056</v>
      </c>
      <c r="G64" s="100">
        <v>751.0</v>
      </c>
      <c r="H64" s="101">
        <v>481.0</v>
      </c>
      <c r="I64" s="101">
        <v>380.0</v>
      </c>
      <c r="J64" s="102">
        <f t="shared" si="5"/>
        <v>101</v>
      </c>
      <c r="K64" s="103">
        <f t="shared" si="6"/>
        <v>12.43455497</v>
      </c>
      <c r="L64" s="54"/>
      <c r="M64" s="84">
        <f>SUM(F62:F64)</f>
        <v>7291</v>
      </c>
      <c r="N64" s="84">
        <f>SUM(I62:I64)</f>
        <v>2067.11</v>
      </c>
      <c r="O64" s="85">
        <f>N64/M64*100</f>
        <v>28.35152928</v>
      </c>
      <c r="P64" s="44"/>
    </row>
    <row r="65">
      <c r="A65" s="68"/>
      <c r="B65" s="203" t="str">
        <f>IF(L65=4,"АПРЕЛЬ",IF(L65=5,"МАЙ",IF(L65=1,"ЯНВАРЬ",IF(L65=2,"ФЕВРАЛЬ",IF(L65=3,"МАРТ",IF(L65=6,"ИЮНЬ",IF(L65=7,"ИЮЛЬ",IF(L65=8,"АВГУСТ",IF(L65=9,"СЕНТЯБРЬ",IF(L65=10,"ОКТЯБРЬ",IF(L65=11,"НОЯБРЬ",IF(L65=12,"ДЕКАБРЬ"))))))))))))</f>
        <v>СЕНТЯБРЬ</v>
      </c>
      <c r="J65" s="88"/>
      <c r="K65" s="204"/>
      <c r="L65" s="91">
        <f>MONTH(B66)</f>
        <v>9</v>
      </c>
      <c r="M65" s="66"/>
      <c r="N65" s="66"/>
      <c r="O65" s="66"/>
      <c r="P65" s="113"/>
      <c r="Q65" s="66"/>
    </row>
    <row r="66">
      <c r="A66" s="54"/>
      <c r="B66" s="98">
        <v>45536.0</v>
      </c>
      <c r="C66" s="98"/>
      <c r="D66" s="99"/>
      <c r="E66" s="104">
        <v>1611480.0</v>
      </c>
      <c r="F66" s="99">
        <f>E66-E64</f>
        <v>601</v>
      </c>
      <c r="G66" s="100">
        <v>959.0</v>
      </c>
      <c r="H66" s="101">
        <v>350.0</v>
      </c>
      <c r="I66" s="101">
        <v>518.03</v>
      </c>
      <c r="J66" s="102">
        <f t="shared" ref="J66:J70" si="8">H66-I66</f>
        <v>-168.03</v>
      </c>
      <c r="K66" s="103">
        <f t="shared" ref="K66:K70" si="9">I66/F66*100</f>
        <v>86.19467554</v>
      </c>
      <c r="L66" s="54"/>
      <c r="M66" s="82" t="str">
        <f>"тотал"&amp;" "&amp;B65</f>
        <v>тотал СЕНТЯБРЬ</v>
      </c>
      <c r="N66" s="75"/>
      <c r="O66" s="76"/>
      <c r="P66" s="44"/>
    </row>
    <row r="67">
      <c r="A67" s="54"/>
      <c r="B67" s="98">
        <v>45540.0</v>
      </c>
      <c r="C67" s="98"/>
      <c r="D67" s="99"/>
      <c r="E67" s="100">
        <v>1614516.0</v>
      </c>
      <c r="F67" s="99">
        <f t="shared" ref="F67:F70" si="10">E67-E66</f>
        <v>3036</v>
      </c>
      <c r="G67" s="100">
        <v>876.0</v>
      </c>
      <c r="H67" s="101">
        <v>711.0</v>
      </c>
      <c r="I67" s="101">
        <v>760.62</v>
      </c>
      <c r="J67" s="102">
        <f t="shared" si="8"/>
        <v>-49.62</v>
      </c>
      <c r="K67" s="103">
        <f t="shared" si="9"/>
        <v>25.05335968</v>
      </c>
      <c r="L67" s="54"/>
      <c r="M67" s="83" t="s">
        <v>70</v>
      </c>
      <c r="N67" s="83" t="s">
        <v>71</v>
      </c>
      <c r="O67" s="83" t="s">
        <v>27</v>
      </c>
      <c r="P67" s="44"/>
    </row>
    <row r="68">
      <c r="A68" s="54"/>
      <c r="B68" s="98">
        <v>45544.0</v>
      </c>
      <c r="C68" s="98"/>
      <c r="D68" s="99"/>
      <c r="E68" s="104">
        <v>1616981.0</v>
      </c>
      <c r="F68" s="99">
        <f t="shared" si="10"/>
        <v>2465</v>
      </c>
      <c r="G68" s="100">
        <v>729.0</v>
      </c>
      <c r="H68" s="101">
        <v>514.0</v>
      </c>
      <c r="I68" s="101">
        <v>556.47</v>
      </c>
      <c r="J68" s="102">
        <f t="shared" si="8"/>
        <v>-42.47</v>
      </c>
      <c r="K68" s="103">
        <f t="shared" si="9"/>
        <v>22.57484787</v>
      </c>
      <c r="L68" s="54"/>
      <c r="M68" s="84">
        <f>SUM(F66:F70)</f>
        <v>8851</v>
      </c>
      <c r="N68" s="84">
        <f>SUM(I66:I70)</f>
        <v>2983.86</v>
      </c>
      <c r="O68" s="85">
        <f>N68/M68*100</f>
        <v>33.71212292</v>
      </c>
      <c r="P68" s="44"/>
    </row>
    <row r="69">
      <c r="A69" s="54"/>
      <c r="B69" s="98">
        <v>45545.0</v>
      </c>
      <c r="C69" s="98"/>
      <c r="D69" s="99"/>
      <c r="E69" s="104">
        <v>1617582.0</v>
      </c>
      <c r="F69" s="99">
        <f t="shared" si="10"/>
        <v>601</v>
      </c>
      <c r="G69" s="100">
        <v>907.0</v>
      </c>
      <c r="H69" s="101">
        <v>313.0</v>
      </c>
      <c r="I69" s="101">
        <v>340.0</v>
      </c>
      <c r="J69" s="102">
        <f t="shared" si="8"/>
        <v>-27</v>
      </c>
      <c r="K69" s="103">
        <f t="shared" si="9"/>
        <v>56.57237937</v>
      </c>
      <c r="L69" s="54"/>
      <c r="M69" s="54"/>
      <c r="P69" s="44"/>
    </row>
    <row r="70">
      <c r="A70" s="54"/>
      <c r="B70" s="98">
        <v>45549.0</v>
      </c>
      <c r="C70" s="98"/>
      <c r="D70" s="99"/>
      <c r="E70" s="100">
        <v>1619730.0</v>
      </c>
      <c r="F70" s="99">
        <f t="shared" si="10"/>
        <v>2148</v>
      </c>
      <c r="G70" s="100">
        <v>1104.0</v>
      </c>
      <c r="H70" s="101">
        <v>764.0</v>
      </c>
      <c r="I70" s="101">
        <v>808.74</v>
      </c>
      <c r="J70" s="102">
        <f t="shared" si="8"/>
        <v>-44.74</v>
      </c>
      <c r="K70" s="103">
        <f t="shared" si="9"/>
        <v>37.65083799</v>
      </c>
      <c r="L70" s="54"/>
      <c r="M70" s="54"/>
      <c r="P70" s="44"/>
    </row>
    <row r="71">
      <c r="A71" s="68"/>
      <c r="B71" s="112" t="s">
        <v>96</v>
      </c>
      <c r="J71" s="88"/>
      <c r="K71" s="204"/>
      <c r="L71" s="91">
        <f>MONTH(B72)</f>
        <v>10</v>
      </c>
      <c r="M71" s="66"/>
      <c r="N71" s="66"/>
      <c r="O71" s="66"/>
      <c r="P71" s="113"/>
      <c r="Q71" s="66"/>
    </row>
    <row r="72">
      <c r="A72" s="54"/>
      <c r="B72" s="110">
        <v>45575.0</v>
      </c>
      <c r="C72" s="110"/>
      <c r="D72" s="99"/>
      <c r="E72" s="111">
        <v>1622889.0</v>
      </c>
      <c r="F72" s="99">
        <f>E72-E70</f>
        <v>3159</v>
      </c>
      <c r="G72" s="100">
        <v>1027.0</v>
      </c>
      <c r="H72" s="101">
        <v>794.0</v>
      </c>
      <c r="I72" s="101">
        <v>851.1</v>
      </c>
      <c r="J72" s="102">
        <f t="shared" ref="J72:J74" si="11">H72-I72</f>
        <v>-57.1</v>
      </c>
      <c r="K72" s="103">
        <f t="shared" ref="K72:K74" si="12">I72/F72*100</f>
        <v>26.94207028</v>
      </c>
      <c r="L72" s="54"/>
      <c r="M72" s="205" t="str">
        <f>"тотал"&amp;" "&amp;B71&amp;" "&amp;RIGHT(YEAR(B72),2)</f>
        <v>тотал ОКТЯБРЬ 24</v>
      </c>
      <c r="N72" s="75"/>
      <c r="O72" s="75"/>
      <c r="P72" s="75"/>
      <c r="Q72" s="76"/>
    </row>
    <row r="73">
      <c r="A73" s="54"/>
      <c r="B73" s="110">
        <v>45579.0</v>
      </c>
      <c r="C73" s="110"/>
      <c r="D73" s="99"/>
      <c r="E73" s="100">
        <v>1625396.0</v>
      </c>
      <c r="F73" s="99">
        <f t="shared" ref="F73:F74" si="13">E73-E72</f>
        <v>2507</v>
      </c>
      <c r="G73" s="100">
        <v>981.0</v>
      </c>
      <c r="H73" s="101">
        <v>725.0</v>
      </c>
      <c r="I73" s="101">
        <v>749.0</v>
      </c>
      <c r="J73" s="102">
        <f t="shared" si="11"/>
        <v>-24</v>
      </c>
      <c r="K73" s="103">
        <f t="shared" si="12"/>
        <v>29.87634623</v>
      </c>
      <c r="L73" s="54"/>
      <c r="M73" s="83" t="s">
        <v>70</v>
      </c>
      <c r="N73" s="83" t="s">
        <v>71</v>
      </c>
      <c r="O73" s="83" t="s">
        <v>27</v>
      </c>
      <c r="P73" s="77" t="s">
        <v>28</v>
      </c>
      <c r="Q73" s="12" t="s">
        <v>78</v>
      </c>
    </row>
    <row r="74">
      <c r="A74" s="54"/>
      <c r="B74" s="110">
        <v>45585.0</v>
      </c>
      <c r="C74" s="110"/>
      <c r="D74" s="99"/>
      <c r="E74" s="100">
        <v>1627394.0</v>
      </c>
      <c r="F74" s="99">
        <f t="shared" si="13"/>
        <v>1998</v>
      </c>
      <c r="G74" s="100">
        <v>1118.0</v>
      </c>
      <c r="H74" s="101">
        <v>812.0</v>
      </c>
      <c r="I74" s="101">
        <v>857.86</v>
      </c>
      <c r="J74" s="102">
        <f t="shared" si="11"/>
        <v>-45.86</v>
      </c>
      <c r="K74" s="103">
        <f t="shared" si="12"/>
        <v>42.93593594</v>
      </c>
      <c r="L74" s="54"/>
      <c r="M74" s="84">
        <f>SUM(F72:F76)</f>
        <v>9659</v>
      </c>
      <c r="N74" s="84">
        <f>SUM(I72:I76)</f>
        <v>3034.74</v>
      </c>
      <c r="O74" s="85">
        <f>N74/M74*100</f>
        <v>31.41878041</v>
      </c>
      <c r="P74" s="79">
        <f>(M74/100)*(O74-Q74)</f>
        <v>330.22</v>
      </c>
      <c r="Q74" s="78">
        <v>28.0</v>
      </c>
    </row>
    <row r="75">
      <c r="A75" s="68"/>
      <c r="B75" s="112" t="s">
        <v>97</v>
      </c>
      <c r="J75" s="88"/>
      <c r="K75" s="204"/>
      <c r="L75" s="91">
        <f>MONTH(B76)</f>
        <v>11</v>
      </c>
      <c r="M75" s="66"/>
      <c r="N75" s="66"/>
      <c r="O75" s="66"/>
      <c r="P75" s="113"/>
      <c r="Q75" s="66"/>
    </row>
    <row r="76">
      <c r="A76" s="54"/>
      <c r="B76" s="110">
        <v>45609.0</v>
      </c>
      <c r="C76" s="110"/>
      <c r="D76" s="99"/>
      <c r="E76" s="100">
        <v>1629389.0</v>
      </c>
      <c r="F76" s="99">
        <f>E76-E74</f>
        <v>1995</v>
      </c>
      <c r="G76" s="100">
        <v>1003.0</v>
      </c>
      <c r="H76" s="101">
        <v>545.0</v>
      </c>
      <c r="I76" s="101">
        <v>576.78</v>
      </c>
      <c r="J76" s="102">
        <f t="shared" ref="J76:J83" si="14">H76-I76</f>
        <v>-31.78</v>
      </c>
      <c r="K76" s="103">
        <f t="shared" ref="K76:K83" si="15">I76/F76*100</f>
        <v>28.9112782</v>
      </c>
      <c r="L76" s="54"/>
      <c r="M76" s="205" t="str">
        <f>"тотал"&amp;" "&amp;B75&amp;" "&amp;RIGHT(YEAR(B76),2)</f>
        <v>тотал НОЯБРЬ 24</v>
      </c>
      <c r="N76" s="75"/>
      <c r="O76" s="75"/>
      <c r="P76" s="75"/>
      <c r="Q76" s="76"/>
    </row>
    <row r="77">
      <c r="A77" s="54"/>
      <c r="B77" s="110">
        <v>45612.0</v>
      </c>
      <c r="C77" s="110"/>
      <c r="D77" s="99"/>
      <c r="E77" s="100">
        <v>1631502.0</v>
      </c>
      <c r="F77" s="99">
        <f t="shared" ref="F77:F83" si="16">E77-E76</f>
        <v>2113</v>
      </c>
      <c r="G77" s="100">
        <v>667.0</v>
      </c>
      <c r="H77" s="101">
        <v>292.0</v>
      </c>
      <c r="I77" s="101">
        <v>301.16</v>
      </c>
      <c r="J77" s="102">
        <f t="shared" si="14"/>
        <v>-9.16</v>
      </c>
      <c r="K77" s="103">
        <f t="shared" si="15"/>
        <v>14.25272125</v>
      </c>
      <c r="L77" s="54"/>
      <c r="M77" s="83" t="s">
        <v>70</v>
      </c>
      <c r="N77" s="83" t="s">
        <v>71</v>
      </c>
      <c r="O77" s="83" t="s">
        <v>27</v>
      </c>
      <c r="P77" s="77" t="s">
        <v>28</v>
      </c>
      <c r="Q77" s="12" t="s">
        <v>78</v>
      </c>
    </row>
    <row r="78">
      <c r="A78" s="54"/>
      <c r="B78" s="110">
        <v>45612.0</v>
      </c>
      <c r="C78" s="110"/>
      <c r="D78" s="100" t="s">
        <v>422</v>
      </c>
      <c r="E78" s="100">
        <v>1632183.0</v>
      </c>
      <c r="F78" s="99">
        <f t="shared" si="16"/>
        <v>681</v>
      </c>
      <c r="G78" s="100">
        <v>904.0</v>
      </c>
      <c r="H78" s="101">
        <v>457.0</v>
      </c>
      <c r="I78" s="101">
        <v>480.29</v>
      </c>
      <c r="J78" s="102">
        <f t="shared" si="14"/>
        <v>-23.29</v>
      </c>
      <c r="K78" s="103">
        <f t="shared" si="15"/>
        <v>70.52716593</v>
      </c>
      <c r="L78" s="54"/>
      <c r="M78" s="84">
        <f>SUM(F76:F83)</f>
        <v>15202</v>
      </c>
      <c r="N78" s="84">
        <f>SUM(I76:I83)</f>
        <v>4824.58</v>
      </c>
      <c r="O78" s="85">
        <f>N78/M78*100</f>
        <v>31.73648204</v>
      </c>
      <c r="P78" s="79">
        <f>(M78/100)*(O78-Q78)</f>
        <v>568.02</v>
      </c>
      <c r="Q78" s="78">
        <v>28.0</v>
      </c>
    </row>
    <row r="79">
      <c r="A79" s="54"/>
      <c r="B79" s="110">
        <v>45615.0</v>
      </c>
      <c r="C79" s="110"/>
      <c r="D79" s="99"/>
      <c r="E79" s="100">
        <v>1634206.0</v>
      </c>
      <c r="F79" s="99">
        <f t="shared" si="16"/>
        <v>2023</v>
      </c>
      <c r="G79" s="100">
        <v>1161.0</v>
      </c>
      <c r="H79" s="101">
        <v>845.0</v>
      </c>
      <c r="I79" s="101">
        <v>873.54</v>
      </c>
      <c r="J79" s="102">
        <f t="shared" si="14"/>
        <v>-28.54</v>
      </c>
      <c r="K79" s="103">
        <f t="shared" si="15"/>
        <v>43.18042511</v>
      </c>
      <c r="L79" s="54"/>
      <c r="M79" s="54"/>
      <c r="P79" s="44"/>
    </row>
    <row r="80">
      <c r="A80" s="54"/>
      <c r="B80" s="110">
        <v>45619.0</v>
      </c>
      <c r="C80" s="110"/>
      <c r="D80" s="99"/>
      <c r="E80" s="100">
        <v>1637175.0</v>
      </c>
      <c r="F80" s="99">
        <f t="shared" si="16"/>
        <v>2969</v>
      </c>
      <c r="G80" s="100">
        <v>670.0</v>
      </c>
      <c r="H80" s="101">
        <v>383.0</v>
      </c>
      <c r="I80" s="101">
        <v>396.3</v>
      </c>
      <c r="J80" s="102">
        <f t="shared" si="14"/>
        <v>-13.3</v>
      </c>
      <c r="K80" s="103">
        <f t="shared" si="15"/>
        <v>13.3479286</v>
      </c>
      <c r="L80" s="54"/>
      <c r="M80" s="54"/>
      <c r="P80" s="44"/>
    </row>
    <row r="81">
      <c r="A81" s="54"/>
      <c r="B81" s="110">
        <v>45619.0</v>
      </c>
      <c r="C81" s="110"/>
      <c r="D81" s="99"/>
      <c r="E81" s="456">
        <v>1637993.0</v>
      </c>
      <c r="F81" s="99">
        <f t="shared" si="16"/>
        <v>818</v>
      </c>
      <c r="G81" s="100">
        <v>957.0</v>
      </c>
      <c r="H81" s="101">
        <v>543.0</v>
      </c>
      <c r="I81" s="101">
        <v>586.07</v>
      </c>
      <c r="J81" s="102">
        <f t="shared" si="14"/>
        <v>-43.07</v>
      </c>
      <c r="K81" s="103">
        <f t="shared" si="15"/>
        <v>71.64669927</v>
      </c>
      <c r="L81" s="54"/>
      <c r="M81" s="54"/>
      <c r="P81" s="44"/>
    </row>
    <row r="82">
      <c r="A82" s="54"/>
      <c r="B82" s="110">
        <v>45622.0</v>
      </c>
      <c r="C82" s="110"/>
      <c r="D82" s="99"/>
      <c r="E82" s="100">
        <v>1639804.0</v>
      </c>
      <c r="F82" s="99">
        <f t="shared" si="16"/>
        <v>1811</v>
      </c>
      <c r="G82" s="100">
        <v>1125.0</v>
      </c>
      <c r="H82" s="101">
        <v>702.0</v>
      </c>
      <c r="I82" s="101">
        <v>728.41</v>
      </c>
      <c r="J82" s="102">
        <f t="shared" si="14"/>
        <v>-26.41</v>
      </c>
      <c r="K82" s="103">
        <f t="shared" si="15"/>
        <v>40.22142463</v>
      </c>
      <c r="L82" s="54"/>
      <c r="M82" s="54"/>
      <c r="P82" s="44"/>
    </row>
    <row r="83">
      <c r="A83" s="54"/>
      <c r="B83" s="110">
        <v>45626.0</v>
      </c>
      <c r="C83" s="110"/>
      <c r="D83" s="99"/>
      <c r="E83" s="100">
        <v>1642596.0</v>
      </c>
      <c r="F83" s="99">
        <f t="shared" si="16"/>
        <v>2792</v>
      </c>
      <c r="G83" s="100">
        <v>1113.0</v>
      </c>
      <c r="H83" s="101">
        <v>827.0</v>
      </c>
      <c r="I83" s="101">
        <v>882.03</v>
      </c>
      <c r="J83" s="102">
        <f t="shared" si="14"/>
        <v>-55.03</v>
      </c>
      <c r="K83" s="103">
        <f t="shared" si="15"/>
        <v>31.59133238</v>
      </c>
      <c r="L83" s="54"/>
      <c r="M83" s="54"/>
      <c r="P83" s="44"/>
    </row>
    <row r="84">
      <c r="A84" s="68"/>
      <c r="B84" s="112" t="s">
        <v>98</v>
      </c>
      <c r="J84" s="88"/>
      <c r="K84" s="204"/>
      <c r="L84" s="91">
        <f>MONTH(B85)</f>
        <v>12</v>
      </c>
      <c r="M84" s="66"/>
      <c r="N84" s="66"/>
      <c r="O84" s="66"/>
      <c r="P84" s="113"/>
      <c r="Q84" s="66"/>
    </row>
    <row r="85">
      <c r="A85" s="54"/>
      <c r="B85" s="110">
        <v>45629.0</v>
      </c>
      <c r="C85" s="110"/>
      <c r="D85" s="99"/>
      <c r="E85" s="100">
        <v>1645109.0</v>
      </c>
      <c r="F85" s="99">
        <f>E85-E83</f>
        <v>2513</v>
      </c>
      <c r="G85" s="100">
        <v>1141.0</v>
      </c>
      <c r="H85" s="101">
        <v>773.0</v>
      </c>
      <c r="I85" s="101">
        <v>802.9</v>
      </c>
      <c r="J85" s="102">
        <f t="shared" ref="J85:J94" si="17">H85-I85</f>
        <v>-29.9</v>
      </c>
      <c r="K85" s="103">
        <f t="shared" ref="K85:K94" si="18">I85/F85*100</f>
        <v>31.94986072</v>
      </c>
      <c r="L85" s="54"/>
      <c r="M85" s="205" t="str">
        <f>"тотал"&amp;" "&amp;B84&amp;" "&amp;RIGHT(YEAR(B85),2)</f>
        <v>тотал ДЕКАБРЬ 24</v>
      </c>
      <c r="N85" s="75"/>
      <c r="O85" s="75"/>
      <c r="P85" s="75"/>
      <c r="Q85" s="76"/>
    </row>
    <row r="86">
      <c r="A86" s="54"/>
      <c r="B86" s="110">
        <v>45633.0</v>
      </c>
      <c r="C86" s="110"/>
      <c r="D86" s="99"/>
      <c r="E86" s="100">
        <v>1647794.0</v>
      </c>
      <c r="F86" s="99">
        <f t="shared" ref="F86:F94" si="19">E86-E85</f>
        <v>2685</v>
      </c>
      <c r="G86" s="100">
        <v>1130.0</v>
      </c>
      <c r="H86" s="101">
        <v>788.0</v>
      </c>
      <c r="I86" s="101">
        <v>834.52</v>
      </c>
      <c r="J86" s="102">
        <f t="shared" si="17"/>
        <v>-46.52</v>
      </c>
      <c r="K86" s="103">
        <f t="shared" si="18"/>
        <v>31.08081937</v>
      </c>
      <c r="L86" s="54"/>
      <c r="M86" s="83" t="s">
        <v>70</v>
      </c>
      <c r="N86" s="83" t="s">
        <v>71</v>
      </c>
      <c r="O86" s="83" t="s">
        <v>27</v>
      </c>
      <c r="P86" s="77" t="s">
        <v>28</v>
      </c>
      <c r="Q86" s="12" t="s">
        <v>78</v>
      </c>
    </row>
    <row r="87">
      <c r="A87" s="54"/>
      <c r="B87" s="110">
        <v>45636.0</v>
      </c>
      <c r="C87" s="110"/>
      <c r="D87" s="99"/>
      <c r="E87" s="100">
        <v>1650282.0</v>
      </c>
      <c r="F87" s="99">
        <f t="shared" si="19"/>
        <v>2488</v>
      </c>
      <c r="G87" s="100">
        <v>1163.0</v>
      </c>
      <c r="H87" s="101">
        <v>834.0</v>
      </c>
      <c r="I87" s="102">
        <f>493.99+365.73</f>
        <v>859.72</v>
      </c>
      <c r="J87" s="102">
        <f t="shared" si="17"/>
        <v>-25.72</v>
      </c>
      <c r="K87" s="103">
        <f t="shared" si="18"/>
        <v>34.55466238</v>
      </c>
      <c r="L87" s="54"/>
      <c r="M87" s="84">
        <f>SUM(F85:F94)</f>
        <v>21228</v>
      </c>
      <c r="N87" s="84">
        <f>SUM(I85:I94)</f>
        <v>7009.52</v>
      </c>
      <c r="O87" s="85">
        <f>N87/M87*100</f>
        <v>33.02016205</v>
      </c>
      <c r="P87" s="79">
        <f>(M87/100)*(O87-Q87)</f>
        <v>1065.68</v>
      </c>
      <c r="Q87" s="78">
        <v>28.0</v>
      </c>
    </row>
    <row r="88">
      <c r="A88" s="54"/>
      <c r="B88" s="110">
        <v>45640.0</v>
      </c>
      <c r="C88" s="110"/>
      <c r="D88" s="99"/>
      <c r="E88" s="100">
        <v>1652945.0</v>
      </c>
      <c r="F88" s="99">
        <f t="shared" si="19"/>
        <v>2663</v>
      </c>
      <c r="G88" s="100">
        <v>1138.0</v>
      </c>
      <c r="H88" s="101">
        <v>789.0</v>
      </c>
      <c r="I88" s="101">
        <v>830.88</v>
      </c>
      <c r="J88" s="102">
        <f t="shared" si="17"/>
        <v>-41.88</v>
      </c>
      <c r="K88" s="103">
        <f t="shared" si="18"/>
        <v>31.20090124</v>
      </c>
      <c r="L88" s="54"/>
      <c r="M88" s="54"/>
      <c r="P88" s="44"/>
    </row>
    <row r="89">
      <c r="A89" s="54"/>
      <c r="B89" s="110">
        <v>45643.0</v>
      </c>
      <c r="C89" s="110"/>
      <c r="D89" s="99"/>
      <c r="E89" s="100">
        <v>1655432.0</v>
      </c>
      <c r="F89" s="99">
        <f t="shared" si="19"/>
        <v>2487</v>
      </c>
      <c r="G89" s="100">
        <v>786.0</v>
      </c>
      <c r="H89" s="101">
        <v>438.0</v>
      </c>
      <c r="I89" s="101">
        <v>451.13</v>
      </c>
      <c r="J89" s="102">
        <f t="shared" si="17"/>
        <v>-13.13</v>
      </c>
      <c r="K89" s="103">
        <f t="shared" si="18"/>
        <v>18.13952553</v>
      </c>
      <c r="L89" s="54"/>
      <c r="M89" s="54"/>
      <c r="P89" s="44"/>
    </row>
    <row r="90">
      <c r="A90" s="54"/>
      <c r="B90" s="110">
        <v>45643.0</v>
      </c>
      <c r="C90" s="110"/>
      <c r="D90" s="99"/>
      <c r="E90" s="100">
        <v>1655646.0</v>
      </c>
      <c r="F90" s="99">
        <f t="shared" si="19"/>
        <v>214</v>
      </c>
      <c r="G90" s="100">
        <v>1132.0</v>
      </c>
      <c r="H90" s="101">
        <v>441.0</v>
      </c>
      <c r="I90" s="101">
        <v>460.02</v>
      </c>
      <c r="J90" s="102">
        <f t="shared" si="17"/>
        <v>-19.02</v>
      </c>
      <c r="K90" s="103">
        <f t="shared" si="18"/>
        <v>214.9626168</v>
      </c>
      <c r="L90" s="54"/>
      <c r="M90" s="54"/>
      <c r="P90" s="44"/>
    </row>
    <row r="91">
      <c r="A91" s="54"/>
      <c r="B91" s="110">
        <v>45645.0</v>
      </c>
      <c r="C91" s="110"/>
      <c r="D91" s="99"/>
      <c r="E91" s="100">
        <v>1657469.0</v>
      </c>
      <c r="F91" s="99">
        <f t="shared" si="19"/>
        <v>1823</v>
      </c>
      <c r="G91" s="100">
        <v>1016.0</v>
      </c>
      <c r="H91" s="101">
        <v>476.0</v>
      </c>
      <c r="I91" s="101">
        <v>500.0</v>
      </c>
      <c r="J91" s="102">
        <f t="shared" si="17"/>
        <v>-24</v>
      </c>
      <c r="K91" s="103">
        <f t="shared" si="18"/>
        <v>27.42731761</v>
      </c>
      <c r="L91" s="54"/>
      <c r="M91" s="54"/>
      <c r="P91" s="44"/>
    </row>
    <row r="92">
      <c r="A92" s="54"/>
      <c r="B92" s="110">
        <v>45647.0</v>
      </c>
      <c r="C92" s="110"/>
      <c r="D92" s="99"/>
      <c r="E92" s="100">
        <v>1659189.0</v>
      </c>
      <c r="F92" s="99">
        <f t="shared" si="19"/>
        <v>1720</v>
      </c>
      <c r="G92" s="100">
        <v>1140.0</v>
      </c>
      <c r="H92" s="101">
        <v>691.0</v>
      </c>
      <c r="I92" s="101">
        <v>723.19</v>
      </c>
      <c r="J92" s="102">
        <f t="shared" si="17"/>
        <v>-32.19</v>
      </c>
      <c r="K92" s="103">
        <f t="shared" si="18"/>
        <v>42.04593023</v>
      </c>
      <c r="L92" s="54"/>
      <c r="M92" s="54"/>
      <c r="P92" s="44"/>
    </row>
    <row r="93">
      <c r="A93" s="54"/>
      <c r="B93" s="110">
        <v>45650.0</v>
      </c>
      <c r="C93" s="110"/>
      <c r="D93" s="99"/>
      <c r="E93" s="100">
        <v>1661161.0</v>
      </c>
      <c r="F93" s="99">
        <f t="shared" si="19"/>
        <v>1972</v>
      </c>
      <c r="G93" s="100">
        <v>1111.0</v>
      </c>
      <c r="H93" s="101">
        <v>603.0</v>
      </c>
      <c r="I93" s="101">
        <v>636.78</v>
      </c>
      <c r="J93" s="102">
        <f t="shared" si="17"/>
        <v>-33.78</v>
      </c>
      <c r="K93" s="103">
        <f t="shared" si="18"/>
        <v>32.29107505</v>
      </c>
      <c r="L93" s="54"/>
      <c r="M93" s="54"/>
      <c r="P93" s="44"/>
    </row>
    <row r="94">
      <c r="A94" s="54"/>
      <c r="B94" s="110">
        <v>45653.0</v>
      </c>
      <c r="C94" s="110"/>
      <c r="D94" s="99"/>
      <c r="E94" s="100">
        <v>1663824.0</v>
      </c>
      <c r="F94" s="99">
        <f t="shared" si="19"/>
        <v>2663</v>
      </c>
      <c r="G94" s="100">
        <v>1122.0</v>
      </c>
      <c r="H94" s="101">
        <v>849.0</v>
      </c>
      <c r="I94" s="101">
        <v>910.38</v>
      </c>
      <c r="J94" s="102">
        <f t="shared" si="17"/>
        <v>-61.38</v>
      </c>
      <c r="K94" s="103">
        <f t="shared" si="18"/>
        <v>34.1862561</v>
      </c>
      <c r="L94" s="54"/>
      <c r="M94" s="54"/>
      <c r="P94" s="44"/>
    </row>
    <row r="95">
      <c r="A95" s="68"/>
      <c r="B95" s="134">
        <v>2025.0</v>
      </c>
      <c r="J95" s="88"/>
      <c r="K95" s="204"/>
      <c r="L95" s="91"/>
      <c r="M95" s="66"/>
      <c r="N95" s="66"/>
      <c r="O95" s="66"/>
      <c r="P95" s="113"/>
      <c r="Q95" s="66"/>
    </row>
    <row r="96">
      <c r="A96" s="68"/>
      <c r="B96" s="112" t="s">
        <v>66</v>
      </c>
      <c r="J96" s="88"/>
      <c r="K96" s="204"/>
      <c r="L96" s="91">
        <f>MONTH(B97)</f>
        <v>1</v>
      </c>
      <c r="M96" s="66"/>
      <c r="N96" s="66"/>
      <c r="O96" s="66"/>
      <c r="P96" s="113"/>
      <c r="Q96" s="66"/>
    </row>
    <row r="97">
      <c r="A97" s="54"/>
      <c r="B97" s="110">
        <v>45673.0</v>
      </c>
      <c r="C97" s="110"/>
      <c r="D97" s="99"/>
      <c r="E97" s="100">
        <v>1666696.0</v>
      </c>
      <c r="F97" s="99">
        <f>E97-E94</f>
        <v>2872</v>
      </c>
      <c r="G97" s="100">
        <v>1097.0</v>
      </c>
      <c r="H97" s="101">
        <v>874.0</v>
      </c>
      <c r="I97" s="101">
        <v>924.94</v>
      </c>
      <c r="J97" s="102">
        <f t="shared" ref="J97:J101" si="20">H97-I97</f>
        <v>-50.94</v>
      </c>
      <c r="K97" s="103">
        <f t="shared" ref="K97:K101" si="21">I97/F97*100</f>
        <v>32.20543175</v>
      </c>
      <c r="L97" s="54"/>
      <c r="M97" s="205" t="str">
        <f>"тотал"&amp;" "&amp;B96&amp;" "&amp;RIGHT(YEAR(B97),2)</f>
        <v>тотал ЯНВАРЬ 25</v>
      </c>
      <c r="N97" s="75"/>
      <c r="O97" s="75"/>
      <c r="P97" s="75"/>
      <c r="Q97" s="76"/>
    </row>
    <row r="98">
      <c r="A98" s="54"/>
      <c r="B98" s="110">
        <v>45677.0</v>
      </c>
      <c r="C98" s="110"/>
      <c r="D98" s="99"/>
      <c r="E98" s="100">
        <v>1669343.0</v>
      </c>
      <c r="F98" s="99">
        <f t="shared" ref="F98:F101" si="22">E98-E97</f>
        <v>2647</v>
      </c>
      <c r="G98" s="100">
        <v>1108.0</v>
      </c>
      <c r="H98" s="101">
        <v>858.0</v>
      </c>
      <c r="I98" s="101">
        <v>927.04</v>
      </c>
      <c r="J98" s="102">
        <f t="shared" si="20"/>
        <v>-69.04</v>
      </c>
      <c r="K98" s="103">
        <f t="shared" si="21"/>
        <v>35.02228938</v>
      </c>
      <c r="L98" s="54"/>
      <c r="M98" s="83" t="s">
        <v>70</v>
      </c>
      <c r="N98" s="83" t="s">
        <v>71</v>
      </c>
      <c r="O98" s="83" t="s">
        <v>27</v>
      </c>
      <c r="P98" s="77" t="s">
        <v>28</v>
      </c>
      <c r="Q98" s="12" t="s">
        <v>78</v>
      </c>
    </row>
    <row r="99">
      <c r="A99" s="54"/>
      <c r="B99" s="110">
        <v>45680.0</v>
      </c>
      <c r="C99" s="110"/>
      <c r="D99" s="99"/>
      <c r="E99" s="100">
        <v>1672022.0</v>
      </c>
      <c r="F99" s="99">
        <f t="shared" si="22"/>
        <v>2679</v>
      </c>
      <c r="G99" s="100">
        <v>1118.0</v>
      </c>
      <c r="H99" s="101">
        <v>858.0</v>
      </c>
      <c r="I99" s="101">
        <v>902.67</v>
      </c>
      <c r="J99" s="102">
        <f t="shared" si="20"/>
        <v>-44.67</v>
      </c>
      <c r="K99" s="103">
        <f t="shared" si="21"/>
        <v>33.69428891</v>
      </c>
      <c r="L99" s="54"/>
      <c r="M99" s="84">
        <f>SUM(F97:F101)</f>
        <v>13510</v>
      </c>
      <c r="N99" s="84">
        <f>SUM(I97:I101)</f>
        <v>4480.29</v>
      </c>
      <c r="O99" s="85">
        <f>N99/M99*100</f>
        <v>33.16276832</v>
      </c>
      <c r="P99" s="79">
        <f>(M99/100)*(O99-Q99)</f>
        <v>697.49</v>
      </c>
      <c r="Q99" s="78">
        <v>28.0</v>
      </c>
    </row>
    <row r="100">
      <c r="A100" s="54"/>
      <c r="B100" s="110">
        <v>45684.0</v>
      </c>
      <c r="C100" s="110"/>
      <c r="D100" s="99"/>
      <c r="E100" s="100">
        <v>1674711.0</v>
      </c>
      <c r="F100" s="99">
        <f t="shared" si="22"/>
        <v>2689</v>
      </c>
      <c r="G100" s="100">
        <v>1122.0</v>
      </c>
      <c r="H100" s="101">
        <v>840.0</v>
      </c>
      <c r="I100" s="101">
        <v>849.95</v>
      </c>
      <c r="J100" s="102">
        <f t="shared" si="20"/>
        <v>-9.95</v>
      </c>
      <c r="K100" s="103">
        <f t="shared" si="21"/>
        <v>31.60840461</v>
      </c>
      <c r="L100" s="54"/>
      <c r="M100" s="54"/>
      <c r="P100" s="44"/>
    </row>
    <row r="101">
      <c r="A101" s="54"/>
      <c r="B101" s="110">
        <v>45687.0</v>
      </c>
      <c r="C101" s="110"/>
      <c r="D101" s="99"/>
      <c r="E101" s="100">
        <v>1677334.0</v>
      </c>
      <c r="F101" s="99">
        <f t="shared" si="22"/>
        <v>2623</v>
      </c>
      <c r="G101" s="100">
        <v>1142.0</v>
      </c>
      <c r="H101" s="101">
        <v>796.0</v>
      </c>
      <c r="I101" s="101">
        <v>875.69</v>
      </c>
      <c r="J101" s="102">
        <f t="shared" si="20"/>
        <v>-79.69</v>
      </c>
      <c r="K101" s="103">
        <f t="shared" si="21"/>
        <v>33.38505528</v>
      </c>
      <c r="L101" s="54"/>
      <c r="M101" s="54"/>
      <c r="P101" s="44"/>
    </row>
    <row r="102">
      <c r="A102" s="68"/>
      <c r="B102" s="203" t="str">
        <f>IF(L102=4,"АПРЕЛЬ",IF(L102=5,"МАЙ",IF(L102=1,"ЯНВАРЬ",IF(L102=2,"ФЕВРАЛЬ",IF(L102=3,"МАРТ",IF(L102=6,"ИЮНЬ",IF(L102=7,"ИЮЛЬ",IF(L102=8,"АВГУСТ",IF(L102=9,"СЕНТЯБРЬ",IF(L102=10,"ОКТЯБРЬ",IF(L102=11,"НОЯБРЬ",IF(L102=12,"ДЕКАБРЬ"))))))))))))</f>
        <v>ФЕВРАЛЬ</v>
      </c>
      <c r="J102" s="88"/>
      <c r="K102" s="204"/>
      <c r="L102" s="91">
        <f>MONTH(B103)</f>
        <v>2</v>
      </c>
      <c r="M102" s="66"/>
      <c r="N102" s="66"/>
      <c r="O102" s="66"/>
      <c r="P102" s="66"/>
      <c r="Q102" s="66"/>
    </row>
    <row r="103">
      <c r="A103" s="54"/>
      <c r="B103" s="110">
        <v>45691.0</v>
      </c>
      <c r="C103" s="110"/>
      <c r="D103" s="99"/>
      <c r="E103" s="100">
        <v>1679971.0</v>
      </c>
      <c r="F103" s="99">
        <f>E103-E101</f>
        <v>2637</v>
      </c>
      <c r="G103" s="100">
        <v>1128.0</v>
      </c>
      <c r="H103" s="101">
        <v>779.0</v>
      </c>
      <c r="I103" s="101">
        <v>828.21</v>
      </c>
      <c r="J103" s="102">
        <f t="shared" ref="J103:J108" si="23">H103-I103</f>
        <v>-49.21</v>
      </c>
      <c r="K103" s="103">
        <f t="shared" ref="K103:K108" si="24">I103/F103*100</f>
        <v>31.407281</v>
      </c>
      <c r="L103" s="54"/>
      <c r="M103" s="205" t="str">
        <f>"тотал"&amp;" "&amp;B102&amp;" "&amp;RIGHT(YEAR(B103),2)</f>
        <v>тотал ФЕВРАЛЬ 25</v>
      </c>
      <c r="N103" s="75"/>
      <c r="O103" s="75"/>
      <c r="P103" s="75"/>
      <c r="Q103" s="76"/>
    </row>
    <row r="104">
      <c r="A104" s="54"/>
      <c r="B104" s="110">
        <v>45693.0</v>
      </c>
      <c r="C104" s="110"/>
      <c r="D104" s="99"/>
      <c r="E104" s="100">
        <v>1682358.0</v>
      </c>
      <c r="F104" s="99">
        <f t="shared" ref="F104:F108" si="25">E104-E103</f>
        <v>2387</v>
      </c>
      <c r="G104" s="100">
        <v>1070.0</v>
      </c>
      <c r="H104" s="101">
        <v>709.0</v>
      </c>
      <c r="I104" s="101">
        <v>755.78</v>
      </c>
      <c r="J104" s="102">
        <f t="shared" si="23"/>
        <v>-46.78</v>
      </c>
      <c r="K104" s="103">
        <f t="shared" si="24"/>
        <v>31.66233766</v>
      </c>
      <c r="L104" s="54"/>
      <c r="M104" s="83" t="s">
        <v>70</v>
      </c>
      <c r="N104" s="83" t="s">
        <v>71</v>
      </c>
      <c r="O104" s="83" t="s">
        <v>27</v>
      </c>
      <c r="P104" s="77" t="s">
        <v>28</v>
      </c>
      <c r="Q104" s="12" t="s">
        <v>78</v>
      </c>
    </row>
    <row r="105">
      <c r="A105" s="54"/>
      <c r="B105" s="110">
        <v>45696.0</v>
      </c>
      <c r="C105" s="110"/>
      <c r="D105" s="99"/>
      <c r="E105" s="100">
        <v>1684757.0</v>
      </c>
      <c r="F105" s="99">
        <f t="shared" si="25"/>
        <v>2399</v>
      </c>
      <c r="G105" s="100">
        <v>1134.0</v>
      </c>
      <c r="H105" s="101">
        <v>816.0</v>
      </c>
      <c r="I105" s="101">
        <v>860.4</v>
      </c>
      <c r="J105" s="102">
        <f t="shared" si="23"/>
        <v>-44.4</v>
      </c>
      <c r="K105" s="103">
        <f t="shared" si="24"/>
        <v>35.86494373</v>
      </c>
      <c r="L105" s="54"/>
      <c r="M105" s="84">
        <f>SUM(F103:F108)</f>
        <v>15066</v>
      </c>
      <c r="N105" s="84">
        <f>SUM(I103:I108)</f>
        <v>5016.64</v>
      </c>
      <c r="O105" s="85">
        <f>N105/M105*100</f>
        <v>33.29775654</v>
      </c>
      <c r="P105" s="79">
        <f>(M105/100)*(O105-Q105)</f>
        <v>798.16</v>
      </c>
      <c r="Q105" s="78">
        <v>28.0</v>
      </c>
    </row>
    <row r="106">
      <c r="A106" s="54"/>
      <c r="B106" s="110">
        <v>45699.0</v>
      </c>
      <c r="C106" s="110"/>
      <c r="D106" s="99"/>
      <c r="E106" s="100">
        <v>1687375.0</v>
      </c>
      <c r="F106" s="99">
        <f t="shared" si="25"/>
        <v>2618</v>
      </c>
      <c r="G106" s="100">
        <v>1155.0</v>
      </c>
      <c r="H106" s="101">
        <v>860.0</v>
      </c>
      <c r="I106" s="101">
        <v>900.98</v>
      </c>
      <c r="J106" s="102">
        <f t="shared" si="23"/>
        <v>-40.98</v>
      </c>
      <c r="K106" s="103">
        <f t="shared" si="24"/>
        <v>34.41482047</v>
      </c>
      <c r="L106" s="54"/>
      <c r="M106" s="54"/>
      <c r="P106" s="44"/>
    </row>
    <row r="107">
      <c r="A107" s="54"/>
      <c r="B107" s="110">
        <v>45703.0</v>
      </c>
      <c r="C107" s="110"/>
      <c r="D107" s="99"/>
      <c r="E107" s="100">
        <v>1690012.0</v>
      </c>
      <c r="F107" s="99">
        <f t="shared" si="25"/>
        <v>2637</v>
      </c>
      <c r="G107" s="100">
        <v>1135.0</v>
      </c>
      <c r="H107" s="101">
        <v>804.0</v>
      </c>
      <c r="I107" s="101">
        <v>851.93</v>
      </c>
      <c r="J107" s="102">
        <f t="shared" si="23"/>
        <v>-47.93</v>
      </c>
      <c r="K107" s="103">
        <f t="shared" si="24"/>
        <v>32.30678802</v>
      </c>
      <c r="L107" s="54"/>
      <c r="M107" s="54"/>
      <c r="P107" s="44"/>
    </row>
    <row r="108">
      <c r="A108" s="54"/>
      <c r="B108" s="110">
        <v>45705.0</v>
      </c>
      <c r="C108" s="110"/>
      <c r="D108" s="99"/>
      <c r="E108" s="100">
        <v>1692400.0</v>
      </c>
      <c r="F108" s="99">
        <f t="shared" si="25"/>
        <v>2388</v>
      </c>
      <c r="G108" s="100">
        <v>1127.0</v>
      </c>
      <c r="H108" s="101">
        <v>770.0</v>
      </c>
      <c r="I108" s="102">
        <f>400.23+419.11</f>
        <v>819.34</v>
      </c>
      <c r="J108" s="102">
        <f t="shared" si="23"/>
        <v>-49.34</v>
      </c>
      <c r="K108" s="103">
        <f t="shared" si="24"/>
        <v>34.31072027</v>
      </c>
      <c r="L108" s="54"/>
      <c r="M108" s="54"/>
      <c r="P108" s="44"/>
    </row>
    <row r="109">
      <c r="A109" s="68"/>
      <c r="B109" s="203" t="str">
        <f>IF(L109=4,"АПРЕЛЬ",IF(L109=5,"МАЙ",IF(L109=1,"ЯНВАРЬ",IF(L109=2,"ФЕВРАЛЬ",IF(L109=3,"МАРТ",IF(L109=6,"ИЮНЬ",IF(L109=7,"ИЮЛЬ",IF(L109=8,"АВГУСТ",IF(L109=9,"СЕНТЯБРЬ",IF(L109=10,"ОКТЯБРЬ",IF(L109=11,"НОЯБРЬ",IF(L109=12,"ДЕКАБРЬ"))))))))))))</f>
        <v>МАРТ</v>
      </c>
      <c r="J109" s="88"/>
      <c r="K109" s="204"/>
      <c r="L109" s="91">
        <f>MONTH(B110)</f>
        <v>3</v>
      </c>
      <c r="M109" s="66"/>
      <c r="N109" s="66"/>
      <c r="O109" s="66"/>
      <c r="P109" s="66"/>
      <c r="Q109" s="66"/>
    </row>
    <row r="110">
      <c r="A110" s="54"/>
      <c r="B110" s="110">
        <v>45738.0</v>
      </c>
      <c r="C110" s="110"/>
      <c r="D110" s="99"/>
      <c r="E110" s="100">
        <v>1694698.0</v>
      </c>
      <c r="F110" s="99">
        <f>E110-E108</f>
        <v>2298</v>
      </c>
      <c r="G110" s="100">
        <v>802.0</v>
      </c>
      <c r="H110" s="101">
        <v>467.0</v>
      </c>
      <c r="I110" s="101">
        <v>499.0</v>
      </c>
      <c r="J110" s="102">
        <f t="shared" ref="J110:J113" si="26">H110-I110</f>
        <v>-32</v>
      </c>
      <c r="K110" s="103">
        <f t="shared" ref="K110:K113" si="27">I110/F110*100</f>
        <v>21.71453438</v>
      </c>
      <c r="L110" s="54"/>
      <c r="M110" s="205" t="str">
        <f>"тотал"&amp;" "&amp;B109&amp;" "&amp;RIGHT(YEAR(B110),2)</f>
        <v>тотал МАРТ 25</v>
      </c>
      <c r="N110" s="75"/>
      <c r="O110" s="75"/>
      <c r="P110" s="75"/>
      <c r="Q110" s="76"/>
    </row>
    <row r="111">
      <c r="A111" s="54"/>
      <c r="B111" s="110">
        <v>45740.0</v>
      </c>
      <c r="C111" s="110"/>
      <c r="D111" s="99"/>
      <c r="E111" s="100">
        <v>1695203.0</v>
      </c>
      <c r="F111" s="99">
        <f t="shared" ref="F111:F113" si="28">E111-E110</f>
        <v>505</v>
      </c>
      <c r="G111" s="100">
        <v>1120.0</v>
      </c>
      <c r="H111" s="101">
        <v>476.0</v>
      </c>
      <c r="I111" s="101">
        <v>500.0</v>
      </c>
      <c r="J111" s="102">
        <f t="shared" si="26"/>
        <v>-24</v>
      </c>
      <c r="K111" s="103">
        <f t="shared" si="27"/>
        <v>99.00990099</v>
      </c>
      <c r="L111" s="54"/>
      <c r="M111" s="83" t="s">
        <v>70</v>
      </c>
      <c r="N111" s="83" t="s">
        <v>71</v>
      </c>
      <c r="O111" s="83" t="s">
        <v>27</v>
      </c>
      <c r="P111" s="77" t="s">
        <v>28</v>
      </c>
      <c r="Q111" s="12" t="s">
        <v>78</v>
      </c>
    </row>
    <row r="112">
      <c r="A112" s="54"/>
      <c r="B112" s="110">
        <v>45744.0</v>
      </c>
      <c r="C112" s="110"/>
      <c r="D112" s="99"/>
      <c r="E112" s="100">
        <v>1697271.0</v>
      </c>
      <c r="F112" s="99">
        <f t="shared" si="28"/>
        <v>2068</v>
      </c>
      <c r="G112" s="100">
        <v>1142.0</v>
      </c>
      <c r="H112" s="101">
        <v>653.0</v>
      </c>
      <c r="I112" s="101">
        <v>686.97</v>
      </c>
      <c r="J112" s="102">
        <f t="shared" si="26"/>
        <v>-33.97</v>
      </c>
      <c r="K112" s="103">
        <f t="shared" si="27"/>
        <v>33.21905222</v>
      </c>
      <c r="L112" s="54"/>
      <c r="M112" s="84">
        <f>SUM(F110:F113)</f>
        <v>7549</v>
      </c>
      <c r="N112" s="84">
        <f>SUM(I110:I113)</f>
        <v>2532</v>
      </c>
      <c r="O112" s="85">
        <f>N112/M112*100</f>
        <v>33.54086634</v>
      </c>
      <c r="P112" s="79">
        <f>(M112/100)*(O112-Q112)</f>
        <v>361.6625</v>
      </c>
      <c r="Q112" s="78">
        <v>28.75</v>
      </c>
    </row>
    <row r="113">
      <c r="A113" s="54"/>
      <c r="B113" s="110">
        <v>45747.0</v>
      </c>
      <c r="C113" s="110"/>
      <c r="D113" s="99"/>
      <c r="E113" s="100">
        <v>1699949.0</v>
      </c>
      <c r="F113" s="99">
        <f t="shared" si="28"/>
        <v>2678</v>
      </c>
      <c r="G113" s="100">
        <v>1159.0</v>
      </c>
      <c r="H113" s="101">
        <v>803.0</v>
      </c>
      <c r="I113" s="101">
        <v>846.03</v>
      </c>
      <c r="J113" s="102">
        <f t="shared" si="26"/>
        <v>-43.03</v>
      </c>
      <c r="K113" s="103">
        <f t="shared" si="27"/>
        <v>31.5918596</v>
      </c>
      <c r="L113" s="54"/>
      <c r="M113" s="54"/>
      <c r="P113" s="44"/>
    </row>
    <row r="114">
      <c r="A114" s="68"/>
      <c r="B114" s="203" t="str">
        <f>IF(L114=4,"АПРЕЛЬ",IF(L114=5,"МАЙ",IF(L114=1,"ЯНВАРЬ",IF(L114=2,"ФЕВРАЛЬ",IF(L114=3,"МАРТ",IF(L114=6,"ИЮНЬ",IF(L114=7,"ИЮЛЬ",IF(L114=8,"АВГУСТ",IF(L114=9,"СЕНТЯБРЬ",IF(L114=10,"ОКТЯБРЬ",IF(L114=11,"НОЯБРЬ",IF(L114=12,"ДЕКАБРЬ"))))))))))))</f>
        <v>АПРЕЛЬ</v>
      </c>
      <c r="J114" s="88"/>
      <c r="K114" s="204"/>
      <c r="L114" s="91">
        <f>MONTH(B115)</f>
        <v>4</v>
      </c>
      <c r="M114" s="66"/>
      <c r="N114" s="66"/>
      <c r="O114" s="66"/>
      <c r="P114" s="66"/>
      <c r="Q114" s="66"/>
    </row>
    <row r="115">
      <c r="A115" s="54"/>
      <c r="B115" s="110">
        <v>45750.0</v>
      </c>
      <c r="C115" s="110"/>
      <c r="D115" s="99"/>
      <c r="E115" s="100">
        <v>1702352.0</v>
      </c>
      <c r="F115" s="99">
        <f>E115-E113</f>
        <v>2403</v>
      </c>
      <c r="G115" s="100">
        <v>1134.0</v>
      </c>
      <c r="H115" s="101">
        <v>670.0</v>
      </c>
      <c r="I115" s="101">
        <v>702.76</v>
      </c>
      <c r="J115" s="102">
        <f t="shared" ref="J115:J122" si="29">H115-I115</f>
        <v>-32.76</v>
      </c>
      <c r="K115" s="103">
        <f t="shared" ref="K115:K122" si="30">I115/F115*100</f>
        <v>29.24511028</v>
      </c>
      <c r="L115" s="54"/>
      <c r="M115" s="205" t="str">
        <f>"тотал"&amp;" "&amp;B114&amp;" "&amp;RIGHT(YEAR(B115),2)</f>
        <v>тотал АПРЕЛЬ 25</v>
      </c>
      <c r="N115" s="75"/>
      <c r="O115" s="75"/>
      <c r="P115" s="75"/>
      <c r="Q115" s="76"/>
    </row>
    <row r="116">
      <c r="A116" s="54"/>
      <c r="B116" s="110">
        <v>45753.0</v>
      </c>
      <c r="C116" s="110"/>
      <c r="D116" s="99"/>
      <c r="E116" s="100">
        <v>1704335.0</v>
      </c>
      <c r="F116" s="99">
        <f t="shared" ref="F116:F122" si="31">E116-E115</f>
        <v>1983</v>
      </c>
      <c r="G116" s="100">
        <v>1138.0</v>
      </c>
      <c r="H116" s="101">
        <v>610.0</v>
      </c>
      <c r="I116" s="101">
        <v>637.07</v>
      </c>
      <c r="J116" s="102">
        <f t="shared" si="29"/>
        <v>-27.07</v>
      </c>
      <c r="K116" s="103">
        <f t="shared" si="30"/>
        <v>32.1265759</v>
      </c>
      <c r="L116" s="54"/>
      <c r="M116" s="83" t="s">
        <v>70</v>
      </c>
      <c r="N116" s="83" t="s">
        <v>71</v>
      </c>
      <c r="O116" s="83" t="s">
        <v>27</v>
      </c>
      <c r="P116" s="77" t="s">
        <v>28</v>
      </c>
      <c r="Q116" s="12" t="s">
        <v>78</v>
      </c>
    </row>
    <row r="117">
      <c r="A117" s="54"/>
      <c r="B117" s="110">
        <v>45755.0</v>
      </c>
      <c r="C117" s="110"/>
      <c r="D117" s="99"/>
      <c r="E117" s="100">
        <v>1706031.0</v>
      </c>
      <c r="F117" s="99">
        <f t="shared" si="31"/>
        <v>1696</v>
      </c>
      <c r="G117" s="100">
        <v>1147.0</v>
      </c>
      <c r="H117" s="101">
        <v>550.0</v>
      </c>
      <c r="I117" s="101">
        <v>580.01</v>
      </c>
      <c r="J117" s="102">
        <f t="shared" si="29"/>
        <v>-30.01</v>
      </c>
      <c r="K117" s="103">
        <f t="shared" si="30"/>
        <v>34.19870283</v>
      </c>
      <c r="L117" s="54"/>
      <c r="M117" s="84">
        <f>SUM(F115:F122)</f>
        <v>14973</v>
      </c>
      <c r="N117" s="84">
        <f>SUM(I115:I122)</f>
        <v>4701.29</v>
      </c>
      <c r="O117" s="85">
        <f>N117/M117*100</f>
        <v>31.39845054</v>
      </c>
      <c r="P117" s="79">
        <f>(M117/100)*(O117-Q117)</f>
        <v>508.85</v>
      </c>
      <c r="Q117" s="78">
        <v>28.0</v>
      </c>
    </row>
    <row r="118">
      <c r="A118" s="54"/>
      <c r="B118" s="110">
        <v>45757.0</v>
      </c>
      <c r="C118" s="110"/>
      <c r="D118" s="99"/>
      <c r="E118" s="100">
        <v>1707725.0</v>
      </c>
      <c r="F118" s="99">
        <f t="shared" si="31"/>
        <v>1694</v>
      </c>
      <c r="G118" s="100">
        <v>1140.0</v>
      </c>
      <c r="H118" s="101">
        <v>525.0</v>
      </c>
      <c r="I118" s="101">
        <v>550.0</v>
      </c>
      <c r="J118" s="102">
        <f t="shared" si="29"/>
        <v>-25</v>
      </c>
      <c r="K118" s="103">
        <f t="shared" si="30"/>
        <v>32.46753247</v>
      </c>
      <c r="L118" s="54"/>
      <c r="M118" s="54"/>
      <c r="P118" s="44"/>
    </row>
    <row r="119">
      <c r="A119" s="54"/>
      <c r="B119" s="110">
        <v>45760.0</v>
      </c>
      <c r="C119" s="110"/>
      <c r="D119" s="99"/>
      <c r="E119" s="100">
        <v>1709704.0</v>
      </c>
      <c r="F119" s="99">
        <f t="shared" si="31"/>
        <v>1979</v>
      </c>
      <c r="G119" s="100">
        <v>1098.0</v>
      </c>
      <c r="H119" s="101">
        <v>568.0</v>
      </c>
      <c r="I119" s="101">
        <v>600.0</v>
      </c>
      <c r="J119" s="102">
        <f t="shared" si="29"/>
        <v>-32</v>
      </c>
      <c r="K119" s="103">
        <f t="shared" si="30"/>
        <v>30.3183426</v>
      </c>
      <c r="L119" s="54"/>
      <c r="M119" s="54"/>
      <c r="P119" s="44"/>
    </row>
    <row r="120">
      <c r="A120" s="54"/>
      <c r="B120" s="110">
        <v>45762.0</v>
      </c>
      <c r="C120" s="110"/>
      <c r="D120" s="99"/>
      <c r="E120" s="100">
        <v>1711381.0</v>
      </c>
      <c r="F120" s="99">
        <f t="shared" si="31"/>
        <v>1677</v>
      </c>
      <c r="G120" s="100">
        <v>1141.0</v>
      </c>
      <c r="H120" s="101">
        <v>518.0</v>
      </c>
      <c r="I120" s="101">
        <v>547.21</v>
      </c>
      <c r="J120" s="102">
        <f t="shared" si="29"/>
        <v>-29.21</v>
      </c>
      <c r="K120" s="103">
        <f t="shared" si="30"/>
        <v>32.63029219</v>
      </c>
      <c r="L120" s="54"/>
      <c r="M120" s="54"/>
      <c r="P120" s="44"/>
    </row>
    <row r="121">
      <c r="A121" s="54"/>
      <c r="B121" s="110">
        <v>45764.0</v>
      </c>
      <c r="C121" s="110"/>
      <c r="D121" s="99"/>
      <c r="E121" s="100">
        <v>1713074.0</v>
      </c>
      <c r="F121" s="99">
        <f t="shared" si="31"/>
        <v>1693</v>
      </c>
      <c r="G121" s="100">
        <v>1140.0</v>
      </c>
      <c r="H121" s="101">
        <v>497.0</v>
      </c>
      <c r="I121" s="101">
        <v>530.02</v>
      </c>
      <c r="J121" s="102">
        <f t="shared" si="29"/>
        <v>-33.02</v>
      </c>
      <c r="K121" s="103">
        <f t="shared" si="30"/>
        <v>31.30655641</v>
      </c>
      <c r="L121" s="54"/>
      <c r="M121" s="54"/>
      <c r="P121" s="44"/>
    </row>
    <row r="122">
      <c r="A122" s="54"/>
      <c r="B122" s="110">
        <v>45767.0</v>
      </c>
      <c r="C122" s="110"/>
      <c r="D122" s="99"/>
      <c r="E122" s="100">
        <v>1714922.0</v>
      </c>
      <c r="F122" s="99">
        <f t="shared" si="31"/>
        <v>1848</v>
      </c>
      <c r="G122" s="100">
        <v>1137.0</v>
      </c>
      <c r="H122" s="101">
        <v>526.0</v>
      </c>
      <c r="I122" s="101">
        <v>554.22</v>
      </c>
      <c r="J122" s="102">
        <f t="shared" si="29"/>
        <v>-28.22</v>
      </c>
      <c r="K122" s="103">
        <f t="shared" si="30"/>
        <v>29.99025974</v>
      </c>
      <c r="L122" s="54"/>
      <c r="M122" s="54"/>
      <c r="P122" s="44"/>
    </row>
    <row r="123">
      <c r="A123" s="68"/>
      <c r="B123" s="203" t="str">
        <f>IF(L123=4,"АПРЕЛЬ",IF(L123=5,"МАЙ",IF(L123=1,"ЯНВАРЬ",IF(L123=2,"ФЕВРАЛЬ",IF(L123=3,"МАРТ",IF(L123=6,"ИЮНЬ",IF(L123=7,"ИЮЛЬ",IF(L123=8,"АВГУСТ",IF(L123=9,"СЕНТЯБРЬ",IF(L123=10,"ОКТЯБРЬ",IF(L123=11,"НОЯБРЬ",IF(L123=12,"ДЕКАБРЬ"))))))))))))</f>
        <v>МАЙ</v>
      </c>
      <c r="J123" s="88"/>
      <c r="K123" s="204"/>
      <c r="L123" s="91">
        <f>MONTH(B124)</f>
        <v>5</v>
      </c>
      <c r="M123" s="66"/>
      <c r="N123" s="66"/>
      <c r="O123" s="66"/>
      <c r="P123" s="66"/>
      <c r="Q123" s="66"/>
    </row>
    <row r="124">
      <c r="A124" s="54"/>
      <c r="B124" s="110">
        <v>45790.0</v>
      </c>
      <c r="C124" s="100" t="s">
        <v>127</v>
      </c>
      <c r="D124" s="100" t="s">
        <v>271</v>
      </c>
      <c r="E124" s="100">
        <v>1716894.0</v>
      </c>
      <c r="F124" s="99">
        <f>E124-E122</f>
        <v>1972</v>
      </c>
      <c r="G124" s="100">
        <v>1127.0</v>
      </c>
      <c r="H124" s="101">
        <v>557.0</v>
      </c>
      <c r="I124" s="101">
        <v>585.28</v>
      </c>
      <c r="J124" s="102">
        <f t="shared" ref="J124:J128" si="32">H124-I124</f>
        <v>-28.28</v>
      </c>
      <c r="K124" s="103">
        <f t="shared" ref="K124:K128" si="33">I124/F124*100</f>
        <v>29.67951318</v>
      </c>
      <c r="L124" s="54"/>
      <c r="M124" s="205" t="str">
        <f>"тотал"&amp;" "&amp;B123&amp;" "&amp;RIGHT(YEAR(B124),2)</f>
        <v>тотал МАЙ 25</v>
      </c>
      <c r="N124" s="75"/>
      <c r="O124" s="75"/>
      <c r="P124" s="75"/>
      <c r="Q124" s="76"/>
    </row>
    <row r="125">
      <c r="A125" s="54"/>
      <c r="B125" s="110">
        <v>45792.0</v>
      </c>
      <c r="C125" s="100" t="s">
        <v>127</v>
      </c>
      <c r="D125" s="100" t="s">
        <v>271</v>
      </c>
      <c r="E125" s="100">
        <v>1718589.0</v>
      </c>
      <c r="F125" s="99">
        <f t="shared" ref="F125:F128" si="34">E125-E124</f>
        <v>1695</v>
      </c>
      <c r="G125" s="100">
        <v>1136.0</v>
      </c>
      <c r="H125" s="101">
        <v>510.0</v>
      </c>
      <c r="I125" s="101">
        <v>539.55</v>
      </c>
      <c r="J125" s="102">
        <f t="shared" si="32"/>
        <v>-29.55</v>
      </c>
      <c r="K125" s="103">
        <f t="shared" si="33"/>
        <v>31.83185841</v>
      </c>
      <c r="L125" s="54"/>
      <c r="M125" s="83" t="s">
        <v>70</v>
      </c>
      <c r="N125" s="83" t="s">
        <v>71</v>
      </c>
      <c r="O125" s="83" t="s">
        <v>27</v>
      </c>
      <c r="P125" s="77" t="s">
        <v>28</v>
      </c>
      <c r="Q125" s="12" t="s">
        <v>78</v>
      </c>
    </row>
    <row r="126">
      <c r="A126" s="54"/>
      <c r="B126" s="110">
        <v>45795.0</v>
      </c>
      <c r="C126" s="100" t="s">
        <v>127</v>
      </c>
      <c r="D126" s="100" t="s">
        <v>271</v>
      </c>
      <c r="E126" s="100">
        <v>1720583.0</v>
      </c>
      <c r="F126" s="99">
        <f t="shared" si="34"/>
        <v>1994</v>
      </c>
      <c r="G126" s="100">
        <v>1136.0</v>
      </c>
      <c r="H126" s="101">
        <v>573.0</v>
      </c>
      <c r="I126" s="101">
        <v>605.0</v>
      </c>
      <c r="J126" s="102">
        <f t="shared" si="32"/>
        <v>-32</v>
      </c>
      <c r="K126" s="103">
        <f t="shared" si="33"/>
        <v>30.34102307</v>
      </c>
      <c r="L126" s="54"/>
      <c r="M126" s="84">
        <f>SUM(F124:F128)</f>
        <v>9085</v>
      </c>
      <c r="N126" s="84">
        <f>SUM(I124:I128)</f>
        <v>2723.28</v>
      </c>
      <c r="O126" s="85">
        <f>N126/M126*100</f>
        <v>29.97556412</v>
      </c>
      <c r="P126" s="79">
        <f>(M126/100)*(O126-Q126)</f>
        <v>179.48</v>
      </c>
      <c r="Q126" s="78">
        <v>28.0</v>
      </c>
    </row>
    <row r="127">
      <c r="A127" s="54"/>
      <c r="B127" s="110">
        <v>45797.0</v>
      </c>
      <c r="C127" s="100" t="s">
        <v>127</v>
      </c>
      <c r="D127" s="100" t="s">
        <v>271</v>
      </c>
      <c r="E127" s="100">
        <v>1722296.0</v>
      </c>
      <c r="F127" s="99">
        <f t="shared" si="34"/>
        <v>1713</v>
      </c>
      <c r="G127" s="100">
        <v>1144.0</v>
      </c>
      <c r="H127" s="101">
        <v>494.0</v>
      </c>
      <c r="I127" s="101">
        <v>524.29</v>
      </c>
      <c r="J127" s="102">
        <f t="shared" si="32"/>
        <v>-30.29</v>
      </c>
      <c r="K127" s="103">
        <f t="shared" si="33"/>
        <v>30.60653824</v>
      </c>
      <c r="L127" s="54"/>
      <c r="M127" s="54"/>
      <c r="P127" s="44"/>
    </row>
    <row r="128">
      <c r="A128" s="54"/>
      <c r="B128" s="110">
        <v>45799.0</v>
      </c>
      <c r="C128" s="100" t="s">
        <v>127</v>
      </c>
      <c r="D128" s="100" t="s">
        <v>271</v>
      </c>
      <c r="E128" s="100">
        <v>1724007.0</v>
      </c>
      <c r="F128" s="99">
        <f t="shared" si="34"/>
        <v>1711</v>
      </c>
      <c r="G128" s="100">
        <v>1131.0</v>
      </c>
      <c r="H128" s="101">
        <v>437.0</v>
      </c>
      <c r="I128" s="101">
        <v>469.16</v>
      </c>
      <c r="J128" s="102">
        <f t="shared" si="32"/>
        <v>-32.16</v>
      </c>
      <c r="K128" s="103">
        <f t="shared" si="33"/>
        <v>27.42022209</v>
      </c>
      <c r="L128" s="54"/>
      <c r="M128" s="54"/>
      <c r="P128" s="44"/>
    </row>
    <row r="129">
      <c r="A129" s="68"/>
      <c r="B129" s="203" t="str">
        <f>IF(L129=4,"АПРЕЛЬ",IF(L129=5,"МАЙ",IF(L129=1,"ЯНВАРЬ",IF(L129=2,"ФЕВРАЛЬ",IF(L129=3,"МАРТ",IF(L129=6,"ИЮНЬ",IF(L129=7,"ИЮЛЬ",IF(L129=8,"АВГУСТ",IF(L129=9,"СЕНТЯБРЬ",IF(L129=10,"ОКТЯБРЬ",IF(L129=11,"НОЯБРЬ",IF(L129=12,"ДЕКАБРЬ"))))))))))))</f>
        <v>ИЮНЬ</v>
      </c>
      <c r="J129" s="88"/>
      <c r="K129" s="204"/>
      <c r="L129" s="91">
        <f>MONTH(B130)</f>
        <v>6</v>
      </c>
      <c r="M129" s="66"/>
      <c r="N129" s="66"/>
      <c r="O129" s="66"/>
      <c r="P129" s="66"/>
      <c r="Q129" s="66"/>
    </row>
    <row r="130">
      <c r="A130" s="54"/>
      <c r="B130" s="110">
        <v>45811.0</v>
      </c>
      <c r="C130" s="100" t="s">
        <v>127</v>
      </c>
      <c r="D130" s="100" t="s">
        <v>271</v>
      </c>
      <c r="E130" s="100">
        <v>1726204.0</v>
      </c>
      <c r="F130" s="99">
        <f>E130-E128</f>
        <v>2197</v>
      </c>
      <c r="G130" s="100">
        <v>1152.0</v>
      </c>
      <c r="H130" s="101">
        <v>662.0</v>
      </c>
      <c r="I130" s="102">
        <f>300+400</f>
        <v>700</v>
      </c>
      <c r="J130" s="102">
        <f t="shared" ref="J130:J134" si="35">H130-I130</f>
        <v>-38</v>
      </c>
      <c r="K130" s="103">
        <f t="shared" ref="K130:K134" si="36">I130/F130*100</f>
        <v>31.86162949</v>
      </c>
      <c r="L130" s="54"/>
      <c r="M130" s="205" t="str">
        <f>"тотал"&amp;" "&amp;B129&amp;" "&amp;RIGHT(YEAR(B130),2)</f>
        <v>тотал ИЮНЬ 25</v>
      </c>
      <c r="N130" s="75"/>
      <c r="O130" s="75"/>
      <c r="P130" s="75"/>
      <c r="Q130" s="76"/>
    </row>
    <row r="131">
      <c r="A131" s="54"/>
      <c r="B131" s="110">
        <v>45812.0</v>
      </c>
      <c r="C131" s="100" t="s">
        <v>127</v>
      </c>
      <c r="D131" s="100" t="s">
        <v>271</v>
      </c>
      <c r="E131" s="100">
        <v>1727917.0</v>
      </c>
      <c r="F131" s="99">
        <f t="shared" ref="F131:F134" si="37">E131-E130</f>
        <v>1713</v>
      </c>
      <c r="G131" s="100">
        <v>1134.0</v>
      </c>
      <c r="H131" s="101">
        <v>451.0</v>
      </c>
      <c r="I131" s="102">
        <f>200+206.64+70</f>
        <v>476.64</v>
      </c>
      <c r="J131" s="102">
        <f t="shared" si="35"/>
        <v>-25.64</v>
      </c>
      <c r="K131" s="103">
        <f t="shared" si="36"/>
        <v>27.82486865</v>
      </c>
      <c r="L131" s="54"/>
      <c r="M131" s="83" t="s">
        <v>70</v>
      </c>
      <c r="N131" s="83" t="s">
        <v>71</v>
      </c>
      <c r="O131" s="83" t="s">
        <v>27</v>
      </c>
      <c r="P131" s="77" t="s">
        <v>28</v>
      </c>
      <c r="Q131" s="12" t="s">
        <v>78</v>
      </c>
    </row>
    <row r="132">
      <c r="A132" s="54"/>
      <c r="B132" s="110">
        <v>45814.0</v>
      </c>
      <c r="C132" s="100" t="s">
        <v>127</v>
      </c>
      <c r="D132" s="100" t="s">
        <v>271</v>
      </c>
      <c r="E132" s="100">
        <v>1729625.0</v>
      </c>
      <c r="F132" s="99">
        <f t="shared" si="37"/>
        <v>1708</v>
      </c>
      <c r="G132" s="100">
        <v>1150.0</v>
      </c>
      <c r="H132" s="101">
        <v>484.0</v>
      </c>
      <c r="I132" s="102">
        <f>208.72+300</f>
        <v>508.72</v>
      </c>
      <c r="J132" s="102">
        <f t="shared" si="35"/>
        <v>-24.72</v>
      </c>
      <c r="K132" s="103">
        <f t="shared" si="36"/>
        <v>29.78454333</v>
      </c>
      <c r="L132" s="54"/>
      <c r="M132" s="84">
        <f>SUM(F130:F134)</f>
        <v>9314</v>
      </c>
      <c r="N132" s="84">
        <f>SUM(I130:I134)</f>
        <v>2696.29</v>
      </c>
      <c r="O132" s="85">
        <f>N132/M132*100</f>
        <v>28.94878677</v>
      </c>
      <c r="P132" s="79">
        <f>(M132/100)*(O132-Q132)</f>
        <v>88.37</v>
      </c>
      <c r="Q132" s="78">
        <v>28.0</v>
      </c>
    </row>
    <row r="133">
      <c r="A133" s="54"/>
      <c r="B133" s="110">
        <v>45816.0</v>
      </c>
      <c r="C133" s="100" t="s">
        <v>127</v>
      </c>
      <c r="D133" s="100" t="s">
        <v>271</v>
      </c>
      <c r="E133" s="100">
        <v>1731318.0</v>
      </c>
      <c r="F133" s="99">
        <f t="shared" si="37"/>
        <v>1693</v>
      </c>
      <c r="G133" s="100">
        <v>1154.0</v>
      </c>
      <c r="H133" s="101">
        <v>460.0</v>
      </c>
      <c r="I133" s="102">
        <f>194.9+290.57</f>
        <v>485.47</v>
      </c>
      <c r="J133" s="102">
        <f t="shared" si="35"/>
        <v>-25.47</v>
      </c>
      <c r="K133" s="103">
        <f t="shared" si="36"/>
        <v>28.6751329</v>
      </c>
      <c r="L133" s="54"/>
      <c r="M133" s="54"/>
      <c r="P133" s="44"/>
    </row>
    <row r="134">
      <c r="A134" s="54"/>
      <c r="B134" s="110">
        <v>45820.0</v>
      </c>
      <c r="C134" s="100" t="s">
        <v>127</v>
      </c>
      <c r="D134" s="100" t="s">
        <v>271</v>
      </c>
      <c r="E134" s="100">
        <v>1733321.0</v>
      </c>
      <c r="F134" s="99">
        <f t="shared" si="37"/>
        <v>2003</v>
      </c>
      <c r="G134" s="100">
        <v>1127.0</v>
      </c>
      <c r="H134" s="101">
        <v>496.0</v>
      </c>
      <c r="I134" s="101">
        <v>525.46</v>
      </c>
      <c r="J134" s="102">
        <f t="shared" si="35"/>
        <v>-29.46</v>
      </c>
      <c r="K134" s="103">
        <f t="shared" si="36"/>
        <v>26.23364953</v>
      </c>
      <c r="L134" s="54"/>
      <c r="M134" s="54"/>
      <c r="P134" s="44"/>
    </row>
    <row r="135">
      <c r="A135" s="68"/>
      <c r="B135" s="203" t="str">
        <f>IF(L135=4,"АПРЕЛЬ",IF(L135=5,"МАЙ",IF(L135=1,"ЯНВАРЬ",IF(L135=2,"ФЕВРАЛЬ",IF(L135=3,"МАРТ",IF(L135=6,"ИЮНЬ",IF(L135=7,"ИЮЛЬ",IF(L135=8,"АВГУСТ",IF(L135=9,"СЕНТЯБРЬ",IF(L135=10,"ОКТЯБРЬ",IF(L135=11,"НОЯБРЬ",IF(L135=12,"ДЕКАБРЬ"))))))))))))</f>
        <v>ИЮЛЬ</v>
      </c>
      <c r="J135" s="88"/>
      <c r="K135" s="204"/>
      <c r="L135" s="91">
        <f>MONTH(B136)</f>
        <v>7</v>
      </c>
      <c r="M135" s="66"/>
      <c r="N135" s="66"/>
      <c r="O135" s="66"/>
      <c r="P135" s="66"/>
      <c r="Q135" s="66"/>
    </row>
    <row r="136">
      <c r="A136" s="54"/>
      <c r="B136" s="110">
        <v>45844.0</v>
      </c>
      <c r="C136" s="100" t="s">
        <v>276</v>
      </c>
      <c r="D136" s="100" t="s">
        <v>271</v>
      </c>
      <c r="E136" s="99"/>
      <c r="F136" s="457">
        <f t="shared" ref="F136:F146" si="38">($E$152-$E$134)/15</f>
        <v>2357.733333</v>
      </c>
      <c r="G136" s="99"/>
      <c r="H136" s="102"/>
      <c r="I136" s="101">
        <v>400.0</v>
      </c>
      <c r="J136" s="102"/>
      <c r="K136" s="103">
        <f t="shared" ref="K136:K146" si="39">I136/F136*100</f>
        <v>16.96544704</v>
      </c>
      <c r="L136" s="54"/>
      <c r="M136" s="205" t="str">
        <f>"тотал"&amp;" "&amp;B135&amp;" "&amp;RIGHT(YEAR(B136),2)</f>
        <v>тотал ИЮЛЬ 25</v>
      </c>
      <c r="N136" s="75"/>
      <c r="O136" s="75"/>
      <c r="P136" s="75"/>
      <c r="Q136" s="76"/>
    </row>
    <row r="137">
      <c r="A137" s="54"/>
      <c r="B137" s="110">
        <v>45845.0</v>
      </c>
      <c r="C137" s="100" t="s">
        <v>276</v>
      </c>
      <c r="D137" s="100" t="s">
        <v>271</v>
      </c>
      <c r="E137" s="99"/>
      <c r="F137" s="457">
        <f t="shared" si="38"/>
        <v>2357.733333</v>
      </c>
      <c r="G137" s="99"/>
      <c r="H137" s="102"/>
      <c r="I137" s="101">
        <v>419.08</v>
      </c>
      <c r="J137" s="102"/>
      <c r="K137" s="103">
        <f t="shared" si="39"/>
        <v>17.77469886</v>
      </c>
      <c r="L137" s="54"/>
      <c r="M137" s="83" t="s">
        <v>70</v>
      </c>
      <c r="N137" s="83" t="s">
        <v>71</v>
      </c>
      <c r="O137" s="83" t="s">
        <v>27</v>
      </c>
      <c r="P137" s="77" t="s">
        <v>28</v>
      </c>
      <c r="Q137" s="12" t="s">
        <v>78</v>
      </c>
    </row>
    <row r="138">
      <c r="A138" s="54"/>
      <c r="B138" s="110">
        <v>45846.0</v>
      </c>
      <c r="C138" s="100" t="s">
        <v>276</v>
      </c>
      <c r="D138" s="100" t="s">
        <v>271</v>
      </c>
      <c r="E138" s="99"/>
      <c r="F138" s="457">
        <f t="shared" si="38"/>
        <v>2357.733333</v>
      </c>
      <c r="G138" s="99"/>
      <c r="H138" s="102"/>
      <c r="I138" s="102">
        <f>300*2</f>
        <v>600</v>
      </c>
      <c r="J138" s="102"/>
      <c r="K138" s="103">
        <f t="shared" si="39"/>
        <v>25.44817056</v>
      </c>
      <c r="L138" s="54"/>
      <c r="M138" s="85">
        <f>SUM(F136:F146)</f>
        <v>25935.06667</v>
      </c>
      <c r="N138" s="84">
        <f>SUM(I136:I146)</f>
        <v>6833.53</v>
      </c>
      <c r="O138" s="85">
        <f>N138/M138*100</f>
        <v>26.34861166</v>
      </c>
      <c r="P138" s="214">
        <f>(M138/100)*(O138-Q138)</f>
        <v>-428.2886667</v>
      </c>
      <c r="Q138" s="78">
        <v>28.0</v>
      </c>
    </row>
    <row r="139">
      <c r="A139" s="54"/>
      <c r="B139" s="110">
        <v>45848.0</v>
      </c>
      <c r="C139" s="100" t="s">
        <v>276</v>
      </c>
      <c r="D139" s="100" t="s">
        <v>271</v>
      </c>
      <c r="E139" s="99"/>
      <c r="F139" s="457">
        <f t="shared" si="38"/>
        <v>2357.733333</v>
      </c>
      <c r="G139" s="99"/>
      <c r="H139" s="102"/>
      <c r="I139" s="101">
        <v>650.93</v>
      </c>
      <c r="J139" s="102"/>
      <c r="K139" s="103">
        <f t="shared" si="39"/>
        <v>27.6082961</v>
      </c>
      <c r="L139" s="54"/>
      <c r="M139" s="54"/>
      <c r="P139" s="44"/>
    </row>
    <row r="140">
      <c r="A140" s="54"/>
      <c r="B140" s="110">
        <v>45850.0</v>
      </c>
      <c r="C140" s="100" t="s">
        <v>276</v>
      </c>
      <c r="D140" s="100" t="s">
        <v>271</v>
      </c>
      <c r="E140" s="99"/>
      <c r="F140" s="457">
        <f t="shared" si="38"/>
        <v>2357.733333</v>
      </c>
      <c r="G140" s="99"/>
      <c r="H140" s="102"/>
      <c r="I140" s="101">
        <v>559.64</v>
      </c>
      <c r="J140" s="102"/>
      <c r="K140" s="103">
        <f t="shared" si="39"/>
        <v>23.73635695</v>
      </c>
      <c r="L140" s="54"/>
      <c r="M140" s="54">
        <f>12*1850</f>
        <v>22200</v>
      </c>
      <c r="N140" s="35">
        <f>N138/M140*100</f>
        <v>30.78166667</v>
      </c>
      <c r="O140" s="55">
        <f>M140/100*(N140-Q138)</f>
        <v>617.53</v>
      </c>
      <c r="P140" s="44"/>
    </row>
    <row r="141">
      <c r="A141" s="54"/>
      <c r="B141" s="110">
        <v>45853.0</v>
      </c>
      <c r="C141" s="100" t="s">
        <v>276</v>
      </c>
      <c r="D141" s="100" t="s">
        <v>271</v>
      </c>
      <c r="E141" s="99"/>
      <c r="F141" s="457">
        <f t="shared" si="38"/>
        <v>2357.733333</v>
      </c>
      <c r="G141" s="99"/>
      <c r="H141" s="102"/>
      <c r="I141" s="101">
        <v>300.0</v>
      </c>
      <c r="J141" s="102"/>
      <c r="K141" s="103">
        <f t="shared" si="39"/>
        <v>12.72408528</v>
      </c>
      <c r="L141" s="54"/>
      <c r="P141" s="44"/>
    </row>
    <row r="142">
      <c r="A142" s="54"/>
      <c r="B142" s="110">
        <v>45854.0</v>
      </c>
      <c r="C142" s="100" t="s">
        <v>276</v>
      </c>
      <c r="D142" s="100" t="s">
        <v>271</v>
      </c>
      <c r="E142" s="99"/>
      <c r="F142" s="457">
        <f t="shared" si="38"/>
        <v>2357.733333</v>
      </c>
      <c r="G142" s="99"/>
      <c r="H142" s="102"/>
      <c r="I142" s="101">
        <v>800.0</v>
      </c>
      <c r="J142" s="102"/>
      <c r="K142" s="103">
        <f t="shared" si="39"/>
        <v>33.93089408</v>
      </c>
      <c r="L142" s="54"/>
      <c r="M142" s="54">
        <f>18*1850</f>
        <v>33300</v>
      </c>
      <c r="O142" s="35">
        <f>M138--M150--M154</f>
        <v>50041</v>
      </c>
      <c r="P142" s="44"/>
    </row>
    <row r="143">
      <c r="A143" s="54"/>
      <c r="B143" s="110">
        <v>45859.0</v>
      </c>
      <c r="C143" s="100" t="s">
        <v>276</v>
      </c>
      <c r="D143" s="100" t="s">
        <v>271</v>
      </c>
      <c r="E143" s="99"/>
      <c r="F143" s="457">
        <f t="shared" si="38"/>
        <v>2357.733333</v>
      </c>
      <c r="G143" s="99"/>
      <c r="H143" s="102"/>
      <c r="I143" s="102">
        <f>500--377.91</f>
        <v>877.91</v>
      </c>
      <c r="J143" s="102"/>
      <c r="K143" s="103">
        <f t="shared" si="39"/>
        <v>37.23533903</v>
      </c>
      <c r="L143" s="54"/>
      <c r="M143" s="54">
        <f>N138--N150--N154</f>
        <v>13910.9</v>
      </c>
      <c r="O143" s="55">
        <f>N138--N150--N154</f>
        <v>13910.9</v>
      </c>
      <c r="P143" s="44"/>
    </row>
    <row r="144">
      <c r="A144" s="54"/>
      <c r="B144" s="110">
        <v>45863.0</v>
      </c>
      <c r="C144" s="100" t="s">
        <v>276</v>
      </c>
      <c r="D144" s="100" t="s">
        <v>271</v>
      </c>
      <c r="E144" s="99"/>
      <c r="F144" s="457">
        <f t="shared" si="38"/>
        <v>2357.733333</v>
      </c>
      <c r="G144" s="99"/>
      <c r="H144" s="102"/>
      <c r="I144" s="102">
        <f>329.46--450</f>
        <v>779.46</v>
      </c>
      <c r="J144" s="102"/>
      <c r="K144" s="103">
        <f t="shared" si="39"/>
        <v>33.05971837</v>
      </c>
      <c r="L144" s="54"/>
      <c r="M144" s="63">
        <f>M143/M142*100</f>
        <v>41.77447447</v>
      </c>
      <c r="O144" s="35">
        <f>O143/O142*100</f>
        <v>27.79900482</v>
      </c>
      <c r="P144" s="44"/>
    </row>
    <row r="145">
      <c r="A145" s="54"/>
      <c r="B145" s="110">
        <v>45866.0</v>
      </c>
      <c r="C145" s="100" t="s">
        <v>276</v>
      </c>
      <c r="D145" s="100" t="s">
        <v>271</v>
      </c>
      <c r="E145" s="99"/>
      <c r="F145" s="457">
        <f t="shared" si="38"/>
        <v>2357.733333</v>
      </c>
      <c r="G145" s="99"/>
      <c r="H145" s="102"/>
      <c r="I145" s="102">
        <f>400--346.51</f>
        <v>746.51</v>
      </c>
      <c r="J145" s="102"/>
      <c r="K145" s="103">
        <f t="shared" si="39"/>
        <v>31.66218967</v>
      </c>
      <c r="L145" s="54"/>
      <c r="M145" s="54">
        <f>M142/100*(M144-Q138)</f>
        <v>4586.9</v>
      </c>
      <c r="O145" s="55">
        <f>O142/100*(O144-Q138)</f>
        <v>-100.58</v>
      </c>
      <c r="P145" s="44"/>
    </row>
    <row r="146">
      <c r="A146" s="54"/>
      <c r="B146" s="110">
        <v>45869.0</v>
      </c>
      <c r="C146" s="100" t="s">
        <v>276</v>
      </c>
      <c r="D146" s="100" t="s">
        <v>271</v>
      </c>
      <c r="E146" s="99"/>
      <c r="F146" s="457">
        <f t="shared" si="38"/>
        <v>2357.733333</v>
      </c>
      <c r="G146" s="99"/>
      <c r="H146" s="102"/>
      <c r="I146" s="102">
        <f>300--400</f>
        <v>700</v>
      </c>
      <c r="J146" s="102"/>
      <c r="K146" s="103">
        <f t="shared" si="39"/>
        <v>29.68953232</v>
      </c>
      <c r="L146" s="54"/>
      <c r="M146" s="54"/>
      <c r="P146" s="44"/>
    </row>
    <row r="147">
      <c r="A147" s="68"/>
      <c r="B147" s="203" t="str">
        <f>IF(L147=4,"АПРЕЛЬ",IF(L147=5,"МАЙ",IF(L147=1,"ЯНВАРЬ",IF(L147=2,"ФЕВРАЛЬ",IF(L147=3,"МАРТ",IF(L147=6,"ИЮНЬ",IF(L147=7,"ИЮЛЬ",IF(L147=8,"АВГУСТ",IF(L147=9,"СЕНТЯБРЬ",IF(L147=10,"ОКТЯБРЬ",IF(L147=11,"НОЯБРЬ",IF(L147=12,"ДЕКАБРЬ"))))))))))))</f>
        <v>АВГУСТ</v>
      </c>
      <c r="J147" s="88"/>
      <c r="K147" s="204"/>
      <c r="L147" s="91">
        <f>MONTH(B148)</f>
        <v>8</v>
      </c>
      <c r="M147" s="66"/>
      <c r="N147" s="66"/>
      <c r="O147" s="66"/>
      <c r="P147" s="66"/>
      <c r="Q147" s="66"/>
    </row>
    <row r="148">
      <c r="A148" s="54"/>
      <c r="B148" s="110">
        <v>45871.0</v>
      </c>
      <c r="C148" s="100" t="s">
        <v>276</v>
      </c>
      <c r="D148" s="100" t="s">
        <v>271</v>
      </c>
      <c r="E148" s="99"/>
      <c r="F148" s="457">
        <f t="shared" ref="F148:F150" si="40">($E$152-$E$134)/15</f>
        <v>2357.733333</v>
      </c>
      <c r="G148" s="99"/>
      <c r="H148" s="102"/>
      <c r="I148" s="102">
        <f>300--316.9</f>
        <v>616.9</v>
      </c>
      <c r="J148" s="102"/>
      <c r="K148" s="103">
        <f t="shared" ref="K148:K150" si="41">I148/F148*100</f>
        <v>26.1649607</v>
      </c>
      <c r="L148" s="54"/>
      <c r="M148" s="205" t="str">
        <f>"тотал"&amp;" "&amp;B147&amp;" "&amp;RIGHT(YEAR(B148),2)</f>
        <v>тотал АВГУСТ 25</v>
      </c>
      <c r="N148" s="75"/>
      <c r="O148" s="75"/>
      <c r="P148" s="75"/>
      <c r="Q148" s="76"/>
    </row>
    <row r="149">
      <c r="A149" s="54"/>
      <c r="B149" s="110">
        <v>45874.0</v>
      </c>
      <c r="C149" s="100" t="s">
        <v>276</v>
      </c>
      <c r="D149" s="100" t="s">
        <v>271</v>
      </c>
      <c r="E149" s="99"/>
      <c r="F149" s="457">
        <f t="shared" si="40"/>
        <v>2357.733333</v>
      </c>
      <c r="G149" s="99"/>
      <c r="H149" s="102"/>
      <c r="I149" s="102">
        <f>500--375.41</f>
        <v>875.41</v>
      </c>
      <c r="J149" s="102"/>
      <c r="K149" s="103">
        <f t="shared" si="41"/>
        <v>37.12930498</v>
      </c>
      <c r="L149" s="54"/>
      <c r="M149" s="83" t="s">
        <v>70</v>
      </c>
      <c r="N149" s="83" t="s">
        <v>71</v>
      </c>
      <c r="O149" s="83" t="s">
        <v>27</v>
      </c>
      <c r="P149" s="77" t="s">
        <v>28</v>
      </c>
      <c r="Q149" s="12" t="s">
        <v>78</v>
      </c>
    </row>
    <row r="150">
      <c r="A150" s="54"/>
      <c r="B150" s="110">
        <v>45877.0</v>
      </c>
      <c r="C150" s="100" t="s">
        <v>276</v>
      </c>
      <c r="D150" s="100" t="s">
        <v>271</v>
      </c>
      <c r="E150" s="99"/>
      <c r="F150" s="457">
        <f t="shared" si="40"/>
        <v>2357.733333</v>
      </c>
      <c r="G150" s="99"/>
      <c r="H150" s="102"/>
      <c r="I150" s="102">
        <f>341.2--400</f>
        <v>741.2</v>
      </c>
      <c r="J150" s="102"/>
      <c r="K150" s="103">
        <f t="shared" si="41"/>
        <v>31.43697336</v>
      </c>
      <c r="L150" s="54"/>
      <c r="M150" s="85">
        <f>SUM(F148:F150)</f>
        <v>7073.2</v>
      </c>
      <c r="N150" s="84">
        <f>SUM(I148:I150)</f>
        <v>2233.51</v>
      </c>
      <c r="O150" s="85">
        <f>N150/M150*100</f>
        <v>31.57707968</v>
      </c>
      <c r="P150" s="79">
        <f>(M150/100)*(O150-Q150)</f>
        <v>253.014</v>
      </c>
      <c r="Q150" s="78">
        <v>28.0</v>
      </c>
    </row>
    <row r="151">
      <c r="A151" s="68"/>
      <c r="B151" s="203" t="str">
        <f>IF(L151=4,"АПРЕЛЬ",IF(L151=5,"МАЙ",IF(L151=1,"ЯНВАРЬ",IF(L151=2,"ФЕВРАЛЬ",IF(L151=3,"МАРТ",IF(L151=6,"ИЮНЬ",IF(L151=7,"ИЮЛЬ",IF(L151=8,"АВГУСТ",IF(L151=9,"СЕНТЯБРЬ",IF(L151=10,"ОКТЯБРЬ",IF(L151=11,"НОЯБРЬ",IF(L151=12,"ДЕКАБРЬ"))))))))))))</f>
        <v>СЕНТЯБРЬ</v>
      </c>
      <c r="J151" s="88"/>
      <c r="K151" s="204"/>
      <c r="L151" s="91">
        <f>MONTH(B152)</f>
        <v>9</v>
      </c>
      <c r="M151" s="66"/>
      <c r="N151" s="66"/>
      <c r="O151" s="66"/>
      <c r="P151" s="66"/>
      <c r="Q151" s="66"/>
    </row>
    <row r="152">
      <c r="A152" s="54"/>
      <c r="B152" s="110">
        <v>45903.0</v>
      </c>
      <c r="C152" s="100" t="s">
        <v>276</v>
      </c>
      <c r="D152" s="100" t="s">
        <v>271</v>
      </c>
      <c r="E152" s="100">
        <v>1768687.0</v>
      </c>
      <c r="F152" s="457">
        <f>($E$152-$E$134)/15</f>
        <v>2357.733333</v>
      </c>
      <c r="G152" s="100">
        <v>1146.0</v>
      </c>
      <c r="H152" s="101">
        <v>847.0</v>
      </c>
      <c r="I152" s="102">
        <f>407.8--500</f>
        <v>907.8</v>
      </c>
      <c r="J152" s="102">
        <f t="shared" ref="J152:J157" si="42">H152-I152</f>
        <v>-60.8</v>
      </c>
      <c r="K152" s="103">
        <f t="shared" ref="K152:K157" si="43">I152/F152*100</f>
        <v>38.50308206</v>
      </c>
      <c r="L152" s="54"/>
      <c r="M152" s="205" t="str">
        <f>"тотал"&amp;" "&amp;B151&amp;" "&amp;RIGHT(YEAR(B152),2)</f>
        <v>тотал СЕНТЯБРЬ 25</v>
      </c>
      <c r="N152" s="75"/>
      <c r="O152" s="75"/>
      <c r="P152" s="75"/>
      <c r="Q152" s="76"/>
    </row>
    <row r="153">
      <c r="A153" s="54"/>
      <c r="B153" s="110">
        <v>45906.0</v>
      </c>
      <c r="C153" s="100" t="s">
        <v>276</v>
      </c>
      <c r="D153" s="100" t="s">
        <v>271</v>
      </c>
      <c r="E153" s="100">
        <v>1771706.0</v>
      </c>
      <c r="F153" s="99">
        <f t="shared" ref="F153:F157" si="44">E153-E152</f>
        <v>3019</v>
      </c>
      <c r="G153" s="100">
        <v>1111.0</v>
      </c>
      <c r="H153" s="101">
        <v>745.0</v>
      </c>
      <c r="I153" s="102">
        <f>450--345</f>
        <v>795</v>
      </c>
      <c r="J153" s="102">
        <f t="shared" si="42"/>
        <v>-50</v>
      </c>
      <c r="K153" s="103">
        <f t="shared" si="43"/>
        <v>26.33322292</v>
      </c>
      <c r="L153" s="54"/>
      <c r="M153" s="83" t="s">
        <v>70</v>
      </c>
      <c r="N153" s="83" t="s">
        <v>71</v>
      </c>
      <c r="O153" s="83" t="s">
        <v>27</v>
      </c>
      <c r="P153" s="77" t="s">
        <v>28</v>
      </c>
      <c r="Q153" s="12" t="s">
        <v>78</v>
      </c>
    </row>
    <row r="154">
      <c r="A154" s="54"/>
      <c r="B154" s="110">
        <v>45911.0</v>
      </c>
      <c r="C154" s="100" t="s">
        <v>276</v>
      </c>
      <c r="D154" s="100" t="s">
        <v>271</v>
      </c>
      <c r="E154" s="100">
        <v>1774357.0</v>
      </c>
      <c r="F154" s="99">
        <f t="shared" si="44"/>
        <v>2651</v>
      </c>
      <c r="G154" s="100">
        <v>1138.0</v>
      </c>
      <c r="H154" s="101">
        <v>678.0</v>
      </c>
      <c r="I154" s="101">
        <f>419.03--300.26</f>
        <v>719.29</v>
      </c>
      <c r="J154" s="102">
        <f t="shared" si="42"/>
        <v>-41.29</v>
      </c>
      <c r="K154" s="103">
        <f t="shared" si="43"/>
        <v>27.13278008</v>
      </c>
      <c r="L154" s="54"/>
      <c r="M154" s="85">
        <f>SUM(F152:F157)</f>
        <v>17032.73333</v>
      </c>
      <c r="N154" s="84">
        <f>SUM(I152:I157)</f>
        <v>4843.86</v>
      </c>
      <c r="O154" s="85">
        <f>N154/M154*100</f>
        <v>28.438536</v>
      </c>
      <c r="P154" s="214">
        <f>(M154/100)*(O154-Q154)</f>
        <v>74.69466667</v>
      </c>
      <c r="Q154" s="78">
        <v>28.0</v>
      </c>
    </row>
    <row r="155">
      <c r="A155" s="54"/>
      <c r="B155" s="110">
        <v>45922.0</v>
      </c>
      <c r="C155" s="100" t="s">
        <v>276</v>
      </c>
      <c r="D155" s="100" t="s">
        <v>271</v>
      </c>
      <c r="E155" s="100">
        <v>1776951.0</v>
      </c>
      <c r="F155" s="99">
        <f t="shared" si="44"/>
        <v>2594</v>
      </c>
      <c r="G155" s="100">
        <v>1142.0</v>
      </c>
      <c r="H155" s="101">
        <v>656.0</v>
      </c>
      <c r="I155" s="101">
        <v>694.01</v>
      </c>
      <c r="J155" s="102">
        <f t="shared" si="42"/>
        <v>-38.01</v>
      </c>
      <c r="K155" s="103">
        <f t="shared" si="43"/>
        <v>26.75443331</v>
      </c>
      <c r="L155" s="54"/>
      <c r="M155" s="54"/>
      <c r="P155" s="44"/>
    </row>
    <row r="156">
      <c r="A156" s="54"/>
      <c r="B156" s="110">
        <v>45925.0</v>
      </c>
      <c r="C156" s="100" t="s">
        <v>276</v>
      </c>
      <c r="D156" s="100" t="s">
        <v>271</v>
      </c>
      <c r="E156" s="100">
        <v>1780184.0</v>
      </c>
      <c r="F156" s="99">
        <f t="shared" si="44"/>
        <v>3233</v>
      </c>
      <c r="G156" s="100">
        <v>1140.0</v>
      </c>
      <c r="H156" s="101">
        <v>813.0</v>
      </c>
      <c r="I156" s="101">
        <v>861.57</v>
      </c>
      <c r="J156" s="102">
        <f t="shared" si="42"/>
        <v>-48.57</v>
      </c>
      <c r="K156" s="103">
        <f t="shared" si="43"/>
        <v>26.64924219</v>
      </c>
      <c r="L156" s="54"/>
      <c r="M156" s="54"/>
      <c r="P156" s="44"/>
    </row>
    <row r="157">
      <c r="A157" s="54"/>
      <c r="B157" s="110">
        <v>45928.0</v>
      </c>
      <c r="C157" s="100" t="s">
        <v>276</v>
      </c>
      <c r="D157" s="100" t="s">
        <v>271</v>
      </c>
      <c r="E157" s="100">
        <v>1783362.0</v>
      </c>
      <c r="F157" s="99">
        <f t="shared" si="44"/>
        <v>3178</v>
      </c>
      <c r="G157" s="100">
        <v>1126.0</v>
      </c>
      <c r="H157" s="101">
        <v>813.0</v>
      </c>
      <c r="I157" s="101">
        <v>866.19</v>
      </c>
      <c r="J157" s="102">
        <f t="shared" si="42"/>
        <v>-53.19</v>
      </c>
      <c r="K157" s="103">
        <f t="shared" si="43"/>
        <v>27.25582127</v>
      </c>
      <c r="L157" s="54"/>
      <c r="M157" s="54"/>
      <c r="P157" s="44"/>
    </row>
    <row r="158">
      <c r="A158" s="68"/>
      <c r="B158" s="203" t="str">
        <f>IF(L158=4,"АПРЕЛЬ",IF(L158=5,"МАЙ",IF(L158=1,"ЯНВАРЬ",IF(L158=2,"ФЕВРАЛЬ",IF(L158=3,"МАРТ",IF(L158=6,"ИЮНЬ",IF(L158=7,"ИЮЛЬ",IF(L158=8,"АВГУСТ",IF(L158=9,"СЕНТЯБРЬ",IF(L158=10,"ОКТЯБРЬ",IF(L158=11,"НОЯБРЬ",IF(L158=12,"ДЕКАБРЬ"))))))))))))</f>
        <v>ОКТЯБРЬ</v>
      </c>
      <c r="J158" s="88"/>
      <c r="K158" s="204"/>
      <c r="L158" s="91">
        <f>MONTH(B159)</f>
        <v>10</v>
      </c>
      <c r="M158" s="66"/>
      <c r="N158" s="66"/>
      <c r="O158" s="66"/>
      <c r="P158" s="66"/>
      <c r="Q158" s="66"/>
    </row>
    <row r="159">
      <c r="A159" s="54"/>
      <c r="B159" s="110">
        <v>45931.0</v>
      </c>
      <c r="C159" s="100" t="s">
        <v>276</v>
      </c>
      <c r="D159" s="100" t="s">
        <v>271</v>
      </c>
      <c r="E159" s="100">
        <v>1786597.0</v>
      </c>
      <c r="F159" s="99">
        <f>E159-E157</f>
        <v>3235</v>
      </c>
      <c r="G159" s="100">
        <v>1101.0</v>
      </c>
      <c r="H159" s="101">
        <v>807.0</v>
      </c>
      <c r="I159" s="102">
        <f>500--376.56</f>
        <v>876.56</v>
      </c>
      <c r="J159" s="102">
        <f t="shared" ref="J159:J162" si="45">H159-I159</f>
        <v>-69.56</v>
      </c>
      <c r="K159" s="103">
        <f t="shared" ref="K159:K162" si="46">I159/F159*100</f>
        <v>27.09613601</v>
      </c>
      <c r="L159" s="54"/>
      <c r="M159" s="205" t="str">
        <f>"тотал"&amp;" "&amp;B158&amp;" "&amp;RIGHT(YEAR(B159),2)</f>
        <v>тотал ОКТЯБРЬ 25</v>
      </c>
      <c r="N159" s="75"/>
      <c r="O159" s="75"/>
      <c r="P159" s="75"/>
      <c r="Q159" s="76"/>
    </row>
    <row r="160">
      <c r="A160" s="54"/>
      <c r="B160" s="110">
        <v>45934.0</v>
      </c>
      <c r="C160" s="100" t="s">
        <v>276</v>
      </c>
      <c r="D160" s="100" t="s">
        <v>271</v>
      </c>
      <c r="E160" s="100">
        <v>1789374.0</v>
      </c>
      <c r="F160" s="99">
        <f t="shared" ref="F160:F162" si="47">E160-E159</f>
        <v>2777</v>
      </c>
      <c r="G160" s="100">
        <v>1119.0</v>
      </c>
      <c r="H160" s="101">
        <v>726.0</v>
      </c>
      <c r="I160" s="101">
        <v>778.1</v>
      </c>
      <c r="J160" s="102">
        <f t="shared" si="45"/>
        <v>-52.1</v>
      </c>
      <c r="K160" s="103">
        <f t="shared" si="46"/>
        <v>28.01944544</v>
      </c>
      <c r="L160" s="54"/>
      <c r="M160" s="83" t="s">
        <v>70</v>
      </c>
      <c r="N160" s="83" t="s">
        <v>71</v>
      </c>
      <c r="O160" s="83" t="s">
        <v>27</v>
      </c>
      <c r="P160" s="77" t="s">
        <v>28</v>
      </c>
      <c r="Q160" s="12" t="s">
        <v>78</v>
      </c>
    </row>
    <row r="161">
      <c r="A161" s="54"/>
      <c r="B161" s="110">
        <v>45937.0</v>
      </c>
      <c r="C161" s="100" t="s">
        <v>276</v>
      </c>
      <c r="D161" s="100" t="s">
        <v>271</v>
      </c>
      <c r="E161" s="100">
        <v>1792248.0</v>
      </c>
      <c r="F161" s="99">
        <f t="shared" si="47"/>
        <v>2874</v>
      </c>
      <c r="G161" s="100">
        <v>1144.0</v>
      </c>
      <c r="H161" s="101">
        <v>747.0</v>
      </c>
      <c r="I161" s="102">
        <f>335.02--450</f>
        <v>785.02</v>
      </c>
      <c r="J161" s="102">
        <f t="shared" si="45"/>
        <v>-38.02</v>
      </c>
      <c r="K161" s="103">
        <f t="shared" si="46"/>
        <v>27.31454419</v>
      </c>
      <c r="L161" s="54"/>
      <c r="M161" s="84">
        <f>SUM(F159:F164)</f>
        <v>11974</v>
      </c>
      <c r="N161" s="84">
        <f>SUM(I159:I164)</f>
        <v>3273.79</v>
      </c>
      <c r="O161" s="85">
        <f>N161/M161*100</f>
        <v>27.34082178</v>
      </c>
      <c r="P161" s="214">
        <f>(M161/100)*(O161-Q161)</f>
        <v>-78.93</v>
      </c>
      <c r="Q161" s="78">
        <v>28.0</v>
      </c>
    </row>
    <row r="162">
      <c r="A162" s="54"/>
      <c r="B162" s="110">
        <v>45940.0</v>
      </c>
      <c r="C162" s="100" t="s">
        <v>276</v>
      </c>
      <c r="D162" s="100" t="s">
        <v>271</v>
      </c>
      <c r="E162" s="100">
        <v>1795336.0</v>
      </c>
      <c r="F162" s="99">
        <f t="shared" si="47"/>
        <v>3088</v>
      </c>
      <c r="G162" s="100">
        <v>1136.0</v>
      </c>
      <c r="H162" s="101">
        <v>783.0</v>
      </c>
      <c r="I162" s="101">
        <v>834.11</v>
      </c>
      <c r="J162" s="102">
        <f t="shared" si="45"/>
        <v>-51.11</v>
      </c>
      <c r="K162" s="103">
        <f t="shared" si="46"/>
        <v>27.0113342</v>
      </c>
      <c r="L162" s="54"/>
      <c r="M162" s="54"/>
      <c r="P162" s="44"/>
    </row>
    <row r="163">
      <c r="A163" s="54"/>
      <c r="B163" s="99"/>
      <c r="C163" s="99"/>
      <c r="D163" s="99"/>
      <c r="E163" s="99"/>
      <c r="F163" s="99"/>
      <c r="G163" s="99"/>
      <c r="H163" s="102"/>
      <c r="I163" s="102"/>
      <c r="J163" s="102"/>
      <c r="K163" s="102"/>
      <c r="L163" s="54"/>
      <c r="M163" s="54"/>
      <c r="P163" s="44"/>
    </row>
    <row r="164">
      <c r="A164" s="54"/>
      <c r="B164" s="99"/>
      <c r="C164" s="99"/>
      <c r="D164" s="99"/>
      <c r="E164" s="99"/>
      <c r="F164" s="99"/>
      <c r="G164" s="99"/>
      <c r="H164" s="102"/>
      <c r="I164" s="102"/>
      <c r="J164" s="102"/>
      <c r="K164" s="102"/>
      <c r="L164" s="54"/>
      <c r="M164" s="54"/>
      <c r="P164" s="44"/>
    </row>
    <row r="165">
      <c r="A165" s="54"/>
      <c r="B165" s="99"/>
      <c r="C165" s="99"/>
      <c r="D165" s="99"/>
      <c r="E165" s="99"/>
      <c r="F165" s="99"/>
      <c r="G165" s="99"/>
      <c r="H165" s="102"/>
      <c r="I165" s="102"/>
      <c r="J165" s="102"/>
      <c r="K165" s="102"/>
      <c r="L165" s="54"/>
      <c r="M165" s="54"/>
      <c r="P165" s="44"/>
    </row>
    <row r="166">
      <c r="A166" s="54"/>
      <c r="B166" s="99"/>
      <c r="C166" s="99"/>
      <c r="D166" s="99"/>
      <c r="E166" s="99"/>
      <c r="F166" s="99"/>
      <c r="G166" s="99"/>
      <c r="H166" s="102"/>
      <c r="I166" s="102"/>
      <c r="J166" s="102"/>
      <c r="K166" s="102"/>
      <c r="L166" s="54"/>
      <c r="M166" s="54"/>
      <c r="P166" s="44"/>
    </row>
    <row r="167">
      <c r="A167" s="54"/>
      <c r="B167" s="99"/>
      <c r="C167" s="99"/>
      <c r="D167" s="99"/>
      <c r="E167" s="99"/>
      <c r="F167" s="99"/>
      <c r="G167" s="99"/>
      <c r="H167" s="102"/>
      <c r="I167" s="102"/>
      <c r="J167" s="102"/>
      <c r="K167" s="102"/>
      <c r="L167" s="54"/>
      <c r="M167" s="54"/>
      <c r="P167" s="44"/>
    </row>
    <row r="168">
      <c r="A168" s="54"/>
      <c r="B168" s="99"/>
      <c r="C168" s="99"/>
      <c r="D168" s="99"/>
      <c r="E168" s="99"/>
      <c r="F168" s="99"/>
      <c r="G168" s="99"/>
      <c r="H168" s="102"/>
      <c r="I168" s="102"/>
      <c r="J168" s="102"/>
      <c r="K168" s="102"/>
      <c r="L168" s="54"/>
      <c r="M168" s="54"/>
      <c r="P168" s="44"/>
    </row>
    <row r="169">
      <c r="A169" s="54"/>
      <c r="B169" s="99"/>
      <c r="C169" s="99"/>
      <c r="D169" s="99"/>
      <c r="E169" s="99"/>
      <c r="F169" s="99"/>
      <c r="G169" s="99"/>
      <c r="H169" s="102"/>
      <c r="I169" s="102"/>
      <c r="J169" s="102"/>
      <c r="K169" s="102"/>
      <c r="L169" s="54"/>
      <c r="M169" s="54"/>
      <c r="P169" s="44"/>
    </row>
    <row r="170">
      <c r="A170" s="54"/>
      <c r="B170" s="99"/>
      <c r="C170" s="99"/>
      <c r="D170" s="99"/>
      <c r="E170" s="99"/>
      <c r="F170" s="99"/>
      <c r="G170" s="99"/>
      <c r="H170" s="102"/>
      <c r="I170" s="102"/>
      <c r="J170" s="102"/>
      <c r="K170" s="102"/>
      <c r="L170" s="54"/>
      <c r="M170" s="54"/>
      <c r="P170" s="44"/>
    </row>
    <row r="171">
      <c r="A171" s="54"/>
      <c r="B171" s="99"/>
      <c r="C171" s="99"/>
      <c r="D171" s="99"/>
      <c r="E171" s="99"/>
      <c r="F171" s="99"/>
      <c r="G171" s="99"/>
      <c r="H171" s="102"/>
      <c r="I171" s="102"/>
      <c r="J171" s="102"/>
      <c r="K171" s="102"/>
      <c r="L171" s="54"/>
      <c r="M171" s="54"/>
      <c r="P171" s="44"/>
    </row>
    <row r="172">
      <c r="A172" s="54"/>
      <c r="B172" s="99"/>
      <c r="C172" s="99"/>
      <c r="D172" s="99"/>
      <c r="E172" s="99"/>
      <c r="F172" s="99"/>
      <c r="G172" s="99"/>
      <c r="H172" s="102"/>
      <c r="I172" s="102"/>
      <c r="J172" s="102"/>
      <c r="K172" s="102"/>
      <c r="L172" s="54"/>
      <c r="M172" s="54"/>
      <c r="P172" s="44"/>
    </row>
    <row r="173">
      <c r="A173" s="54"/>
      <c r="B173" s="99"/>
      <c r="C173" s="99"/>
      <c r="D173" s="99"/>
      <c r="E173" s="99"/>
      <c r="F173" s="99"/>
      <c r="G173" s="99"/>
      <c r="H173" s="102"/>
      <c r="I173" s="102"/>
      <c r="J173" s="102"/>
      <c r="K173" s="102"/>
      <c r="L173" s="54"/>
      <c r="M173" s="54"/>
      <c r="P173" s="44"/>
    </row>
    <row r="174">
      <c r="A174" s="54"/>
      <c r="B174" s="99"/>
      <c r="C174" s="99"/>
      <c r="D174" s="99"/>
      <c r="E174" s="99"/>
      <c r="F174" s="99"/>
      <c r="G174" s="99"/>
      <c r="H174" s="102"/>
      <c r="I174" s="102"/>
      <c r="J174" s="102"/>
      <c r="K174" s="102"/>
      <c r="L174" s="54"/>
      <c r="M174" s="54"/>
      <c r="P174" s="44"/>
    </row>
    <row r="175">
      <c r="A175" s="54"/>
      <c r="B175" s="99"/>
      <c r="C175" s="99"/>
      <c r="D175" s="99"/>
      <c r="E175" s="99"/>
      <c r="F175" s="99"/>
      <c r="G175" s="99"/>
      <c r="H175" s="102"/>
      <c r="I175" s="102"/>
      <c r="J175" s="102"/>
      <c r="K175" s="102"/>
      <c r="L175" s="54"/>
      <c r="M175" s="54"/>
      <c r="P175" s="44"/>
    </row>
    <row r="176">
      <c r="A176" s="54"/>
      <c r="B176" s="99"/>
      <c r="C176" s="99"/>
      <c r="D176" s="99"/>
      <c r="E176" s="99"/>
      <c r="F176" s="99"/>
      <c r="G176" s="99"/>
      <c r="H176" s="102"/>
      <c r="I176" s="102"/>
      <c r="J176" s="102"/>
      <c r="K176" s="102"/>
      <c r="L176" s="54"/>
      <c r="M176" s="54"/>
      <c r="P176" s="44"/>
    </row>
    <row r="177">
      <c r="A177" s="54"/>
      <c r="B177" s="114"/>
      <c r="C177" s="114"/>
      <c r="D177" s="114"/>
      <c r="E177" s="114"/>
      <c r="F177" s="114"/>
      <c r="G177" s="114"/>
      <c r="H177" s="54"/>
      <c r="I177" s="54"/>
      <c r="J177" s="54"/>
      <c r="K177" s="54"/>
      <c r="L177" s="54"/>
      <c r="M177" s="54"/>
      <c r="P177" s="44"/>
    </row>
    <row r="178">
      <c r="A178" s="54"/>
      <c r="B178" s="114"/>
      <c r="C178" s="114"/>
      <c r="D178" s="114"/>
      <c r="E178" s="114"/>
      <c r="F178" s="114"/>
      <c r="G178" s="114"/>
      <c r="H178" s="54"/>
      <c r="I178" s="54"/>
      <c r="J178" s="54"/>
      <c r="K178" s="54"/>
      <c r="L178" s="54"/>
      <c r="M178" s="54"/>
      <c r="P178" s="44"/>
    </row>
    <row r="179">
      <c r="A179" s="54"/>
      <c r="B179" s="114"/>
      <c r="C179" s="114"/>
      <c r="D179" s="114"/>
      <c r="E179" s="114"/>
      <c r="F179" s="114"/>
      <c r="G179" s="114"/>
      <c r="H179" s="54"/>
      <c r="I179" s="54"/>
      <c r="J179" s="54"/>
      <c r="K179" s="54"/>
      <c r="L179" s="54"/>
      <c r="M179" s="54"/>
      <c r="P179" s="44"/>
    </row>
    <row r="180">
      <c r="A180" s="54"/>
      <c r="B180" s="114"/>
      <c r="C180" s="114"/>
      <c r="D180" s="114"/>
      <c r="E180" s="114"/>
      <c r="F180" s="114"/>
      <c r="G180" s="114"/>
      <c r="H180" s="54"/>
      <c r="I180" s="54"/>
      <c r="J180" s="54"/>
      <c r="K180" s="54"/>
      <c r="L180" s="54"/>
      <c r="M180" s="54"/>
      <c r="P180" s="44"/>
    </row>
    <row r="181">
      <c r="A181" s="54"/>
      <c r="B181" s="114"/>
      <c r="C181" s="114"/>
      <c r="D181" s="114"/>
      <c r="E181" s="114"/>
      <c r="F181" s="114"/>
      <c r="G181" s="114"/>
      <c r="H181" s="54"/>
      <c r="I181" s="54"/>
      <c r="J181" s="54"/>
      <c r="K181" s="54"/>
      <c r="L181" s="54"/>
      <c r="M181" s="54"/>
      <c r="P181" s="44"/>
    </row>
    <row r="182">
      <c r="A182" s="54"/>
      <c r="B182" s="114"/>
      <c r="C182" s="114"/>
      <c r="D182" s="114"/>
      <c r="E182" s="114"/>
      <c r="F182" s="114"/>
      <c r="G182" s="114"/>
      <c r="H182" s="54"/>
      <c r="I182" s="54"/>
      <c r="J182" s="54"/>
      <c r="K182" s="54"/>
      <c r="L182" s="54"/>
      <c r="M182" s="54"/>
      <c r="P182" s="44"/>
    </row>
    <row r="183">
      <c r="A183" s="54"/>
      <c r="B183" s="114"/>
      <c r="C183" s="114"/>
      <c r="D183" s="114"/>
      <c r="E183" s="114"/>
      <c r="F183" s="114"/>
      <c r="G183" s="114"/>
      <c r="H183" s="54"/>
      <c r="I183" s="54"/>
      <c r="J183" s="54"/>
      <c r="K183" s="54"/>
      <c r="L183" s="54"/>
      <c r="M183" s="54"/>
      <c r="P183" s="44"/>
    </row>
    <row r="184">
      <c r="A184" s="54"/>
      <c r="B184" s="114"/>
      <c r="C184" s="114"/>
      <c r="D184" s="114"/>
      <c r="E184" s="114"/>
      <c r="F184" s="114"/>
      <c r="G184" s="114"/>
      <c r="H184" s="54"/>
      <c r="I184" s="54"/>
      <c r="J184" s="54"/>
      <c r="K184" s="54"/>
      <c r="L184" s="54"/>
      <c r="M184" s="54"/>
      <c r="P184" s="44"/>
    </row>
    <row r="185">
      <c r="A185" s="54"/>
      <c r="B185" s="114"/>
      <c r="C185" s="114"/>
      <c r="D185" s="114"/>
      <c r="E185" s="114"/>
      <c r="F185" s="114"/>
      <c r="G185" s="114"/>
      <c r="H185" s="54"/>
      <c r="I185" s="54"/>
      <c r="J185" s="54"/>
      <c r="K185" s="54"/>
      <c r="L185" s="54"/>
      <c r="M185" s="54"/>
      <c r="P185" s="44"/>
    </row>
    <row r="186">
      <c r="A186" s="54"/>
      <c r="B186" s="114"/>
      <c r="C186" s="114"/>
      <c r="D186" s="114"/>
      <c r="E186" s="114"/>
      <c r="F186" s="114"/>
      <c r="G186" s="114"/>
      <c r="H186" s="54"/>
      <c r="I186" s="54"/>
      <c r="J186" s="54"/>
      <c r="K186" s="54"/>
      <c r="L186" s="54"/>
      <c r="M186" s="54"/>
      <c r="P186" s="44"/>
    </row>
    <row r="187">
      <c r="A187" s="54"/>
      <c r="B187" s="114"/>
      <c r="C187" s="114"/>
      <c r="D187" s="114"/>
      <c r="E187" s="114"/>
      <c r="F187" s="114"/>
      <c r="G187" s="114"/>
      <c r="H187" s="54"/>
      <c r="I187" s="54"/>
      <c r="J187" s="54"/>
      <c r="K187" s="54"/>
      <c r="L187" s="54"/>
      <c r="M187" s="54"/>
      <c r="P187" s="44"/>
    </row>
    <row r="188">
      <c r="A188" s="54"/>
      <c r="B188" s="114"/>
      <c r="C188" s="114"/>
      <c r="D188" s="114"/>
      <c r="E188" s="114"/>
      <c r="F188" s="114"/>
      <c r="G188" s="114"/>
      <c r="H188" s="54"/>
      <c r="I188" s="54"/>
      <c r="J188" s="54"/>
      <c r="K188" s="54"/>
      <c r="L188" s="54"/>
      <c r="M188" s="54"/>
      <c r="P188" s="44"/>
    </row>
    <row r="189">
      <c r="A189" s="54"/>
      <c r="B189" s="114"/>
      <c r="C189" s="114"/>
      <c r="D189" s="114"/>
      <c r="E189" s="114"/>
      <c r="F189" s="114"/>
      <c r="G189" s="114"/>
      <c r="H189" s="54"/>
      <c r="I189" s="54"/>
      <c r="J189" s="54"/>
      <c r="K189" s="54"/>
      <c r="L189" s="54"/>
      <c r="M189" s="54"/>
      <c r="P189" s="44"/>
    </row>
    <row r="190">
      <c r="A190" s="54"/>
      <c r="B190" s="114"/>
      <c r="C190" s="114"/>
      <c r="D190" s="114"/>
      <c r="E190" s="114"/>
      <c r="F190" s="114"/>
      <c r="G190" s="114"/>
      <c r="H190" s="54"/>
      <c r="I190" s="54"/>
      <c r="J190" s="54"/>
      <c r="K190" s="54"/>
      <c r="L190" s="54"/>
      <c r="M190" s="54"/>
      <c r="P190" s="44"/>
    </row>
    <row r="191">
      <c r="A191" s="54"/>
      <c r="B191" s="114"/>
      <c r="C191" s="114"/>
      <c r="D191" s="114"/>
      <c r="E191" s="114"/>
      <c r="F191" s="114"/>
      <c r="G191" s="114"/>
      <c r="H191" s="54"/>
      <c r="I191" s="54"/>
      <c r="J191" s="54"/>
      <c r="K191" s="54"/>
      <c r="L191" s="54"/>
      <c r="M191" s="54"/>
      <c r="P191" s="44"/>
    </row>
    <row r="192">
      <c r="A192" s="54"/>
      <c r="B192" s="114"/>
      <c r="C192" s="114"/>
      <c r="D192" s="114"/>
      <c r="E192" s="114"/>
      <c r="F192" s="114"/>
      <c r="G192" s="114"/>
      <c r="H192" s="54"/>
      <c r="I192" s="54"/>
      <c r="J192" s="54"/>
      <c r="K192" s="54"/>
      <c r="L192" s="54"/>
      <c r="M192" s="54"/>
      <c r="P192" s="44"/>
    </row>
    <row r="193">
      <c r="A193" s="54"/>
      <c r="B193" s="114"/>
      <c r="C193" s="114"/>
      <c r="D193" s="114"/>
      <c r="E193" s="114"/>
      <c r="F193" s="114"/>
      <c r="G193" s="114"/>
      <c r="H193" s="54"/>
      <c r="I193" s="54"/>
      <c r="J193" s="54"/>
      <c r="K193" s="54"/>
      <c r="L193" s="54"/>
      <c r="M193" s="54"/>
      <c r="P193" s="44"/>
    </row>
    <row r="194">
      <c r="A194" s="54"/>
      <c r="B194" s="114"/>
      <c r="C194" s="114"/>
      <c r="D194" s="114"/>
      <c r="E194" s="114"/>
      <c r="F194" s="114"/>
      <c r="G194" s="114"/>
      <c r="H194" s="54"/>
      <c r="I194" s="54"/>
      <c r="J194" s="54"/>
      <c r="K194" s="54"/>
      <c r="L194" s="54"/>
      <c r="M194" s="54"/>
      <c r="P194" s="44"/>
    </row>
    <row r="195">
      <c r="A195" s="54"/>
      <c r="B195" s="114"/>
      <c r="C195" s="114"/>
      <c r="D195" s="114"/>
      <c r="E195" s="114"/>
      <c r="F195" s="114"/>
      <c r="G195" s="114"/>
      <c r="H195" s="54"/>
      <c r="I195" s="54"/>
      <c r="J195" s="54"/>
      <c r="K195" s="54"/>
      <c r="L195" s="54"/>
      <c r="M195" s="54"/>
      <c r="P195" s="44"/>
    </row>
    <row r="196">
      <c r="A196" s="54"/>
      <c r="B196" s="114"/>
      <c r="C196" s="114"/>
      <c r="D196" s="114"/>
      <c r="E196" s="114"/>
      <c r="F196" s="114"/>
      <c r="G196" s="114"/>
      <c r="H196" s="54"/>
      <c r="I196" s="54"/>
      <c r="J196" s="54"/>
      <c r="K196" s="54"/>
      <c r="L196" s="54"/>
      <c r="M196" s="54"/>
      <c r="P196" s="44"/>
    </row>
    <row r="197">
      <c r="A197" s="54"/>
      <c r="B197" s="114"/>
      <c r="C197" s="114"/>
      <c r="D197" s="114"/>
      <c r="E197" s="114"/>
      <c r="F197" s="114"/>
      <c r="G197" s="114"/>
      <c r="H197" s="54"/>
      <c r="I197" s="54"/>
      <c r="J197" s="54"/>
      <c r="K197" s="54"/>
      <c r="L197" s="54"/>
      <c r="M197" s="54"/>
      <c r="P197" s="44"/>
    </row>
    <row r="198">
      <c r="A198" s="54"/>
      <c r="B198" s="114"/>
      <c r="C198" s="114"/>
      <c r="D198" s="114"/>
      <c r="E198" s="114"/>
      <c r="F198" s="114"/>
      <c r="G198" s="114"/>
      <c r="H198" s="54"/>
      <c r="I198" s="54"/>
      <c r="J198" s="54"/>
      <c r="K198" s="54"/>
      <c r="L198" s="54"/>
      <c r="M198" s="54"/>
      <c r="P198" s="44"/>
    </row>
    <row r="199">
      <c r="A199" s="54"/>
      <c r="B199" s="114"/>
      <c r="C199" s="114"/>
      <c r="D199" s="114"/>
      <c r="E199" s="114"/>
      <c r="F199" s="114"/>
      <c r="G199" s="114"/>
      <c r="H199" s="54"/>
      <c r="I199" s="54"/>
      <c r="J199" s="54"/>
      <c r="K199" s="54"/>
      <c r="L199" s="54"/>
      <c r="M199" s="54"/>
      <c r="P199" s="44"/>
    </row>
    <row r="200">
      <c r="A200" s="54"/>
      <c r="B200" s="114"/>
      <c r="C200" s="114"/>
      <c r="D200" s="114"/>
      <c r="E200" s="114"/>
      <c r="F200" s="114"/>
      <c r="G200" s="114"/>
      <c r="H200" s="54"/>
      <c r="I200" s="54"/>
      <c r="J200" s="54"/>
      <c r="K200" s="54"/>
      <c r="L200" s="54"/>
      <c r="M200" s="54"/>
      <c r="P200" s="44"/>
    </row>
    <row r="201">
      <c r="A201" s="54"/>
      <c r="B201" s="114"/>
      <c r="C201" s="114"/>
      <c r="D201" s="114"/>
      <c r="E201" s="114"/>
      <c r="F201" s="114"/>
      <c r="G201" s="114"/>
      <c r="H201" s="54"/>
      <c r="I201" s="54"/>
      <c r="J201" s="54"/>
      <c r="K201" s="54"/>
      <c r="L201" s="54"/>
      <c r="M201" s="54"/>
      <c r="P201" s="44"/>
    </row>
    <row r="202">
      <c r="A202" s="54"/>
      <c r="B202" s="114"/>
      <c r="C202" s="114"/>
      <c r="D202" s="114"/>
      <c r="E202" s="114"/>
      <c r="F202" s="114"/>
      <c r="G202" s="114"/>
      <c r="H202" s="54"/>
      <c r="I202" s="54"/>
      <c r="J202" s="54"/>
      <c r="K202" s="54"/>
      <c r="L202" s="54"/>
      <c r="M202" s="54"/>
      <c r="P202" s="44"/>
    </row>
    <row r="203">
      <c r="A203" s="54"/>
      <c r="B203" s="114"/>
      <c r="C203" s="114"/>
      <c r="D203" s="114"/>
      <c r="E203" s="114"/>
      <c r="F203" s="114"/>
      <c r="G203" s="114"/>
      <c r="H203" s="54"/>
      <c r="I203" s="54"/>
      <c r="J203" s="54"/>
      <c r="K203" s="54"/>
      <c r="L203" s="54"/>
      <c r="M203" s="54"/>
      <c r="P203" s="44"/>
    </row>
    <row r="204">
      <c r="A204" s="54"/>
      <c r="B204" s="114"/>
      <c r="C204" s="114"/>
      <c r="D204" s="114"/>
      <c r="E204" s="114"/>
      <c r="F204" s="114"/>
      <c r="G204" s="114"/>
      <c r="H204" s="54"/>
      <c r="I204" s="54"/>
      <c r="J204" s="54"/>
      <c r="K204" s="54"/>
      <c r="L204" s="54"/>
      <c r="M204" s="54"/>
      <c r="P204" s="44"/>
    </row>
    <row r="205">
      <c r="A205" s="54"/>
      <c r="B205" s="114"/>
      <c r="C205" s="114"/>
      <c r="D205" s="114"/>
      <c r="E205" s="114"/>
      <c r="F205" s="114"/>
      <c r="G205" s="114"/>
      <c r="H205" s="54"/>
      <c r="I205" s="54"/>
      <c r="J205" s="54"/>
      <c r="K205" s="54"/>
      <c r="L205" s="54"/>
      <c r="M205" s="54"/>
      <c r="P205" s="44"/>
    </row>
    <row r="206">
      <c r="A206" s="54"/>
      <c r="B206" s="114"/>
      <c r="C206" s="114"/>
      <c r="D206" s="114"/>
      <c r="E206" s="114"/>
      <c r="F206" s="114"/>
      <c r="G206" s="114"/>
      <c r="H206" s="54"/>
      <c r="I206" s="54"/>
      <c r="J206" s="54"/>
      <c r="K206" s="54"/>
      <c r="L206" s="54"/>
      <c r="M206" s="54"/>
      <c r="P206" s="44"/>
    </row>
    <row r="207">
      <c r="A207" s="54"/>
      <c r="B207" s="114"/>
      <c r="C207" s="114"/>
      <c r="D207" s="114"/>
      <c r="E207" s="114"/>
      <c r="F207" s="114"/>
      <c r="G207" s="114"/>
      <c r="H207" s="54"/>
      <c r="I207" s="54"/>
      <c r="J207" s="54"/>
      <c r="K207" s="54"/>
      <c r="L207" s="54"/>
      <c r="M207" s="54"/>
      <c r="P207" s="44"/>
    </row>
    <row r="208">
      <c r="A208" s="54"/>
      <c r="B208" s="114"/>
      <c r="C208" s="114"/>
      <c r="D208" s="114"/>
      <c r="E208" s="114"/>
      <c r="F208" s="114"/>
      <c r="G208" s="114"/>
      <c r="H208" s="54"/>
      <c r="I208" s="54"/>
      <c r="J208" s="54"/>
      <c r="K208" s="54"/>
      <c r="L208" s="54"/>
      <c r="M208" s="54"/>
      <c r="P208" s="44"/>
    </row>
    <row r="209">
      <c r="A209" s="54"/>
      <c r="B209" s="114"/>
      <c r="C209" s="114"/>
      <c r="D209" s="114"/>
      <c r="E209" s="114"/>
      <c r="F209" s="114"/>
      <c r="G209" s="114"/>
      <c r="H209" s="54"/>
      <c r="I209" s="54"/>
      <c r="J209" s="54"/>
      <c r="K209" s="54"/>
      <c r="L209" s="54"/>
      <c r="M209" s="54"/>
      <c r="P209" s="44"/>
    </row>
    <row r="210">
      <c r="A210" s="54"/>
      <c r="B210" s="114"/>
      <c r="C210" s="114"/>
      <c r="D210" s="114"/>
      <c r="E210" s="114"/>
      <c r="F210" s="114"/>
      <c r="G210" s="114"/>
      <c r="H210" s="54"/>
      <c r="I210" s="54"/>
      <c r="J210" s="54"/>
      <c r="K210" s="54"/>
      <c r="L210" s="54"/>
      <c r="M210" s="54"/>
      <c r="P210" s="44"/>
    </row>
    <row r="211">
      <c r="A211" s="54"/>
      <c r="B211" s="114"/>
      <c r="C211" s="114"/>
      <c r="D211" s="114"/>
      <c r="E211" s="114"/>
      <c r="F211" s="114"/>
      <c r="G211" s="114"/>
      <c r="H211" s="54"/>
      <c r="I211" s="54"/>
      <c r="J211" s="54"/>
      <c r="K211" s="54"/>
      <c r="L211" s="54"/>
      <c r="M211" s="54"/>
      <c r="P211" s="44"/>
    </row>
    <row r="212">
      <c r="A212" s="54"/>
      <c r="B212" s="114"/>
      <c r="C212" s="114"/>
      <c r="D212" s="114"/>
      <c r="E212" s="114"/>
      <c r="F212" s="114"/>
      <c r="G212" s="114"/>
      <c r="H212" s="54"/>
      <c r="I212" s="54"/>
      <c r="J212" s="54"/>
      <c r="K212" s="54"/>
      <c r="L212" s="54"/>
      <c r="M212" s="54"/>
      <c r="P212" s="44"/>
    </row>
    <row r="213">
      <c r="A213" s="54"/>
      <c r="B213" s="114"/>
      <c r="C213" s="114"/>
      <c r="D213" s="114"/>
      <c r="E213" s="114"/>
      <c r="F213" s="114"/>
      <c r="G213" s="114"/>
      <c r="H213" s="54"/>
      <c r="I213" s="54"/>
      <c r="J213" s="54"/>
      <c r="K213" s="54"/>
      <c r="L213" s="54"/>
      <c r="M213" s="54"/>
      <c r="P213" s="44"/>
    </row>
    <row r="214">
      <c r="A214" s="54"/>
      <c r="B214" s="114"/>
      <c r="C214" s="114"/>
      <c r="D214" s="114"/>
      <c r="E214" s="114"/>
      <c r="F214" s="114"/>
      <c r="G214" s="114"/>
      <c r="H214" s="54"/>
      <c r="I214" s="54"/>
      <c r="J214" s="54"/>
      <c r="K214" s="54"/>
      <c r="L214" s="54"/>
      <c r="M214" s="54"/>
      <c r="P214" s="44"/>
    </row>
    <row r="215">
      <c r="A215" s="54"/>
      <c r="B215" s="114"/>
      <c r="C215" s="114"/>
      <c r="D215" s="114"/>
      <c r="E215" s="114"/>
      <c r="F215" s="114"/>
      <c r="G215" s="114"/>
      <c r="H215" s="54"/>
      <c r="I215" s="54"/>
      <c r="J215" s="54"/>
      <c r="K215" s="54"/>
      <c r="L215" s="54"/>
      <c r="M215" s="54"/>
      <c r="P215" s="44"/>
    </row>
    <row r="216">
      <c r="A216" s="54"/>
      <c r="B216" s="114"/>
      <c r="C216" s="114"/>
      <c r="D216" s="114"/>
      <c r="E216" s="114"/>
      <c r="F216" s="114"/>
      <c r="G216" s="114"/>
      <c r="H216" s="54"/>
      <c r="I216" s="54"/>
      <c r="J216" s="54"/>
      <c r="K216" s="54"/>
      <c r="L216" s="54"/>
      <c r="M216" s="54"/>
      <c r="P216" s="44"/>
    </row>
    <row r="217">
      <c r="A217" s="54"/>
      <c r="B217" s="114"/>
      <c r="C217" s="114"/>
      <c r="D217" s="114"/>
      <c r="E217" s="114"/>
      <c r="F217" s="114"/>
      <c r="G217" s="114"/>
      <c r="H217" s="54"/>
      <c r="I217" s="54"/>
      <c r="J217" s="54"/>
      <c r="K217" s="54"/>
      <c r="L217" s="54"/>
      <c r="M217" s="54"/>
      <c r="P217" s="44"/>
    </row>
    <row r="218">
      <c r="A218" s="54"/>
      <c r="B218" s="114"/>
      <c r="C218" s="114"/>
      <c r="D218" s="114"/>
      <c r="E218" s="114"/>
      <c r="F218" s="114"/>
      <c r="G218" s="114"/>
      <c r="H218" s="54"/>
      <c r="I218" s="54"/>
      <c r="J218" s="54"/>
      <c r="K218" s="54"/>
      <c r="L218" s="54"/>
      <c r="M218" s="54"/>
      <c r="P218" s="44"/>
    </row>
    <row r="219">
      <c r="A219" s="54"/>
      <c r="B219" s="114"/>
      <c r="C219" s="114"/>
      <c r="D219" s="114"/>
      <c r="E219" s="114"/>
      <c r="F219" s="114"/>
      <c r="G219" s="114"/>
      <c r="H219" s="54"/>
      <c r="I219" s="54"/>
      <c r="J219" s="54"/>
      <c r="K219" s="54"/>
      <c r="L219" s="54"/>
      <c r="M219" s="54"/>
      <c r="P219" s="44"/>
    </row>
    <row r="220">
      <c r="A220" s="54"/>
      <c r="B220" s="114"/>
      <c r="C220" s="114"/>
      <c r="D220" s="114"/>
      <c r="E220" s="114"/>
      <c r="F220" s="114"/>
      <c r="G220" s="114"/>
      <c r="H220" s="54"/>
      <c r="I220" s="54"/>
      <c r="J220" s="54"/>
      <c r="K220" s="54"/>
      <c r="L220" s="54"/>
      <c r="M220" s="54"/>
      <c r="P220" s="44"/>
    </row>
    <row r="221">
      <c r="A221" s="54"/>
      <c r="B221" s="114"/>
      <c r="C221" s="114"/>
      <c r="D221" s="114"/>
      <c r="E221" s="114"/>
      <c r="F221" s="114"/>
      <c r="G221" s="114"/>
      <c r="H221" s="54"/>
      <c r="I221" s="54"/>
      <c r="J221" s="54"/>
      <c r="K221" s="54"/>
      <c r="L221" s="54"/>
      <c r="M221" s="54"/>
      <c r="P221" s="44"/>
    </row>
    <row r="222">
      <c r="A222" s="54"/>
      <c r="B222" s="114"/>
      <c r="C222" s="114"/>
      <c r="D222" s="114"/>
      <c r="E222" s="114"/>
      <c r="F222" s="114"/>
      <c r="G222" s="114"/>
      <c r="H222" s="54"/>
      <c r="I222" s="54"/>
      <c r="J222" s="54"/>
      <c r="K222" s="54"/>
      <c r="L222" s="54"/>
      <c r="M222" s="54"/>
      <c r="P222" s="44"/>
    </row>
    <row r="223">
      <c r="A223" s="54"/>
      <c r="B223" s="114"/>
      <c r="C223" s="114"/>
      <c r="D223" s="114"/>
      <c r="E223" s="114"/>
      <c r="F223" s="114"/>
      <c r="G223" s="114"/>
      <c r="H223" s="54"/>
      <c r="I223" s="54"/>
      <c r="J223" s="54"/>
      <c r="K223" s="54"/>
      <c r="L223" s="54"/>
      <c r="M223" s="54"/>
      <c r="P223" s="44"/>
    </row>
    <row r="224">
      <c r="A224" s="54"/>
      <c r="B224" s="114"/>
      <c r="C224" s="114"/>
      <c r="D224" s="114"/>
      <c r="E224" s="114"/>
      <c r="F224" s="114"/>
      <c r="G224" s="114"/>
      <c r="H224" s="54"/>
      <c r="I224" s="54"/>
      <c r="J224" s="54"/>
      <c r="K224" s="54"/>
      <c r="L224" s="54"/>
      <c r="M224" s="54"/>
      <c r="P224" s="44"/>
    </row>
    <row r="225">
      <c r="A225" s="54"/>
      <c r="B225" s="114"/>
      <c r="C225" s="114"/>
      <c r="D225" s="114"/>
      <c r="E225" s="114"/>
      <c r="F225" s="114"/>
      <c r="G225" s="114"/>
      <c r="H225" s="54"/>
      <c r="I225" s="54"/>
      <c r="J225" s="54"/>
      <c r="K225" s="54"/>
      <c r="L225" s="54"/>
      <c r="M225" s="54"/>
      <c r="P225" s="44"/>
    </row>
    <row r="226">
      <c r="A226" s="54"/>
      <c r="B226" s="114"/>
      <c r="C226" s="114"/>
      <c r="D226" s="114"/>
      <c r="E226" s="114"/>
      <c r="F226" s="114"/>
      <c r="G226" s="114"/>
      <c r="H226" s="54"/>
      <c r="I226" s="54"/>
      <c r="J226" s="54"/>
      <c r="K226" s="54"/>
      <c r="L226" s="54"/>
      <c r="M226" s="54"/>
      <c r="P226" s="44"/>
    </row>
    <row r="227">
      <c r="A227" s="54"/>
      <c r="B227" s="114"/>
      <c r="C227" s="114"/>
      <c r="D227" s="114"/>
      <c r="E227" s="114"/>
      <c r="F227" s="114"/>
      <c r="G227" s="114"/>
      <c r="H227" s="54"/>
      <c r="I227" s="54"/>
      <c r="J227" s="54"/>
      <c r="K227" s="54"/>
      <c r="L227" s="54"/>
      <c r="M227" s="54"/>
      <c r="P227" s="44"/>
    </row>
    <row r="228">
      <c r="A228" s="54"/>
      <c r="B228" s="114"/>
      <c r="C228" s="114"/>
      <c r="D228" s="114"/>
      <c r="E228" s="114"/>
      <c r="F228" s="114"/>
      <c r="G228" s="114"/>
      <c r="H228" s="54"/>
      <c r="I228" s="54"/>
      <c r="J228" s="54"/>
      <c r="K228" s="54"/>
      <c r="L228" s="54"/>
      <c r="M228" s="54"/>
      <c r="P228" s="44"/>
    </row>
    <row r="229">
      <c r="A229" s="54"/>
      <c r="B229" s="114"/>
      <c r="C229" s="114"/>
      <c r="D229" s="114"/>
      <c r="E229" s="114"/>
      <c r="F229" s="114"/>
      <c r="G229" s="114"/>
      <c r="H229" s="54"/>
      <c r="I229" s="54"/>
      <c r="J229" s="54"/>
      <c r="K229" s="54"/>
      <c r="L229" s="54"/>
      <c r="M229" s="54"/>
      <c r="P229" s="44"/>
    </row>
    <row r="230">
      <c r="A230" s="54"/>
      <c r="B230" s="114"/>
      <c r="C230" s="114"/>
      <c r="D230" s="114"/>
      <c r="E230" s="114"/>
      <c r="F230" s="114"/>
      <c r="G230" s="114"/>
      <c r="H230" s="54"/>
      <c r="I230" s="54"/>
      <c r="J230" s="54"/>
      <c r="K230" s="54"/>
      <c r="L230" s="54"/>
      <c r="M230" s="54"/>
      <c r="P230" s="44"/>
    </row>
    <row r="231">
      <c r="A231" s="54"/>
      <c r="B231" s="114"/>
      <c r="C231" s="114"/>
      <c r="D231" s="114"/>
      <c r="E231" s="114"/>
      <c r="F231" s="114"/>
      <c r="G231" s="114"/>
      <c r="H231" s="54"/>
      <c r="I231" s="54"/>
      <c r="J231" s="54"/>
      <c r="K231" s="54"/>
      <c r="L231" s="54"/>
      <c r="M231" s="54"/>
      <c r="P231" s="44"/>
    </row>
    <row r="232">
      <c r="A232" s="54"/>
      <c r="B232" s="114"/>
      <c r="C232" s="114"/>
      <c r="D232" s="114"/>
      <c r="E232" s="114"/>
      <c r="F232" s="114"/>
      <c r="G232" s="114"/>
      <c r="H232" s="54"/>
      <c r="I232" s="54"/>
      <c r="J232" s="54"/>
      <c r="K232" s="54"/>
      <c r="L232" s="54"/>
      <c r="M232" s="54"/>
      <c r="P232" s="44"/>
    </row>
    <row r="233">
      <c r="A233" s="54"/>
      <c r="B233" s="114"/>
      <c r="C233" s="114"/>
      <c r="D233" s="114"/>
      <c r="E233" s="114"/>
      <c r="F233" s="114"/>
      <c r="G233" s="114"/>
      <c r="H233" s="54"/>
      <c r="I233" s="54"/>
      <c r="J233" s="54"/>
      <c r="K233" s="54"/>
      <c r="L233" s="54"/>
      <c r="M233" s="54"/>
      <c r="P233" s="44"/>
    </row>
    <row r="234">
      <c r="A234" s="54"/>
      <c r="B234" s="114"/>
      <c r="C234" s="114"/>
      <c r="D234" s="114"/>
      <c r="E234" s="114"/>
      <c r="F234" s="114"/>
      <c r="G234" s="114"/>
      <c r="H234" s="54"/>
      <c r="I234" s="54"/>
      <c r="J234" s="54"/>
      <c r="K234" s="54"/>
      <c r="L234" s="54"/>
      <c r="M234" s="54"/>
      <c r="P234" s="44"/>
    </row>
    <row r="235">
      <c r="A235" s="54"/>
      <c r="B235" s="114"/>
      <c r="C235" s="114"/>
      <c r="D235" s="114"/>
      <c r="E235" s="114"/>
      <c r="F235" s="114"/>
      <c r="G235" s="114"/>
      <c r="H235" s="54"/>
      <c r="I235" s="54"/>
      <c r="J235" s="54"/>
      <c r="K235" s="54"/>
      <c r="L235" s="54"/>
      <c r="M235" s="54"/>
      <c r="P235" s="44"/>
    </row>
    <row r="236">
      <c r="A236" s="54"/>
      <c r="B236" s="114"/>
      <c r="C236" s="114"/>
      <c r="D236" s="114"/>
      <c r="E236" s="114"/>
      <c r="F236" s="114"/>
      <c r="G236" s="114"/>
      <c r="H236" s="54"/>
      <c r="I236" s="54"/>
      <c r="J236" s="54"/>
      <c r="K236" s="54"/>
      <c r="L236" s="54"/>
      <c r="M236" s="54"/>
      <c r="P236" s="44"/>
    </row>
    <row r="237">
      <c r="A237" s="54"/>
      <c r="B237" s="114"/>
      <c r="C237" s="114"/>
      <c r="D237" s="114"/>
      <c r="E237" s="114"/>
      <c r="F237" s="114"/>
      <c r="G237" s="114"/>
      <c r="H237" s="54"/>
      <c r="I237" s="54"/>
      <c r="J237" s="54"/>
      <c r="K237" s="54"/>
      <c r="L237" s="54"/>
      <c r="M237" s="54"/>
      <c r="P237" s="44"/>
    </row>
    <row r="238">
      <c r="A238" s="54"/>
      <c r="B238" s="114"/>
      <c r="C238" s="114"/>
      <c r="D238" s="114"/>
      <c r="E238" s="114"/>
      <c r="F238" s="114"/>
      <c r="G238" s="114"/>
      <c r="H238" s="54"/>
      <c r="I238" s="54"/>
      <c r="J238" s="54"/>
      <c r="K238" s="54"/>
      <c r="L238" s="54"/>
      <c r="M238" s="54"/>
      <c r="P238" s="44"/>
    </row>
    <row r="239">
      <c r="A239" s="54"/>
      <c r="B239" s="114"/>
      <c r="C239" s="114"/>
      <c r="D239" s="114"/>
      <c r="E239" s="114"/>
      <c r="F239" s="114"/>
      <c r="G239" s="114"/>
      <c r="H239" s="54"/>
      <c r="I239" s="54"/>
      <c r="J239" s="54"/>
      <c r="K239" s="54"/>
      <c r="L239" s="54"/>
      <c r="M239" s="54"/>
      <c r="P239" s="44"/>
    </row>
    <row r="240">
      <c r="A240" s="54"/>
      <c r="B240" s="114"/>
      <c r="C240" s="114"/>
      <c r="D240" s="114"/>
      <c r="E240" s="114"/>
      <c r="F240" s="114"/>
      <c r="G240" s="114"/>
      <c r="H240" s="54"/>
      <c r="I240" s="54"/>
      <c r="J240" s="54"/>
      <c r="K240" s="54"/>
      <c r="L240" s="54"/>
      <c r="M240" s="54"/>
      <c r="P240" s="44"/>
    </row>
    <row r="241">
      <c r="A241" s="54"/>
      <c r="B241" s="114"/>
      <c r="C241" s="114"/>
      <c r="D241" s="114"/>
      <c r="E241" s="114"/>
      <c r="F241" s="114"/>
      <c r="G241" s="114"/>
      <c r="H241" s="54"/>
      <c r="I241" s="54"/>
      <c r="J241" s="54"/>
      <c r="K241" s="54"/>
      <c r="L241" s="54"/>
      <c r="M241" s="54"/>
      <c r="P241" s="44"/>
    </row>
    <row r="242">
      <c r="A242" s="54"/>
      <c r="B242" s="114"/>
      <c r="C242" s="114"/>
      <c r="D242" s="114"/>
      <c r="E242" s="114"/>
      <c r="F242" s="114"/>
      <c r="G242" s="114"/>
      <c r="H242" s="54"/>
      <c r="I242" s="54"/>
      <c r="J242" s="54"/>
      <c r="K242" s="54"/>
      <c r="L242" s="54"/>
      <c r="M242" s="54"/>
      <c r="P242" s="44"/>
    </row>
    <row r="243">
      <c r="A243" s="54"/>
      <c r="B243" s="114"/>
      <c r="C243" s="114"/>
      <c r="D243" s="114"/>
      <c r="E243" s="114"/>
      <c r="F243" s="114"/>
      <c r="G243" s="114"/>
      <c r="H243" s="54"/>
      <c r="I243" s="54"/>
      <c r="J243" s="54"/>
      <c r="K243" s="54"/>
      <c r="L243" s="54"/>
      <c r="M243" s="54"/>
      <c r="P243" s="44"/>
    </row>
    <row r="244">
      <c r="A244" s="54"/>
      <c r="B244" s="114"/>
      <c r="C244" s="114"/>
      <c r="D244" s="114"/>
      <c r="E244" s="114"/>
      <c r="F244" s="114"/>
      <c r="G244" s="114"/>
      <c r="H244" s="54"/>
      <c r="I244" s="54"/>
      <c r="J244" s="54"/>
      <c r="K244" s="54"/>
      <c r="L244" s="54"/>
      <c r="M244" s="54"/>
      <c r="P244" s="44"/>
    </row>
    <row r="245">
      <c r="A245" s="54"/>
      <c r="B245" s="114"/>
      <c r="C245" s="114"/>
      <c r="D245" s="114"/>
      <c r="E245" s="114"/>
      <c r="F245" s="114"/>
      <c r="G245" s="114"/>
      <c r="H245" s="54"/>
      <c r="I245" s="54"/>
      <c r="J245" s="54"/>
      <c r="K245" s="54"/>
      <c r="L245" s="54"/>
      <c r="M245" s="54"/>
      <c r="P245" s="44"/>
    </row>
    <row r="246">
      <c r="A246" s="54"/>
      <c r="B246" s="114"/>
      <c r="C246" s="114"/>
      <c r="D246" s="114"/>
      <c r="E246" s="114"/>
      <c r="F246" s="114"/>
      <c r="G246" s="114"/>
      <c r="H246" s="54"/>
      <c r="I246" s="54"/>
      <c r="J246" s="54"/>
      <c r="K246" s="54"/>
      <c r="L246" s="54"/>
      <c r="M246" s="54"/>
      <c r="P246" s="44"/>
    </row>
    <row r="247">
      <c r="A247" s="54"/>
      <c r="B247" s="114"/>
      <c r="C247" s="114"/>
      <c r="D247" s="114"/>
      <c r="E247" s="114"/>
      <c r="F247" s="114"/>
      <c r="G247" s="114"/>
      <c r="H247" s="54"/>
      <c r="I247" s="54"/>
      <c r="J247" s="54"/>
      <c r="K247" s="54"/>
      <c r="L247" s="54"/>
      <c r="M247" s="54"/>
      <c r="P247" s="44"/>
    </row>
    <row r="248">
      <c r="A248" s="54"/>
      <c r="B248" s="114"/>
      <c r="C248" s="114"/>
      <c r="D248" s="114"/>
      <c r="E248" s="114"/>
      <c r="F248" s="114"/>
      <c r="G248" s="114"/>
      <c r="H248" s="54"/>
      <c r="I248" s="54"/>
      <c r="J248" s="54"/>
      <c r="K248" s="54"/>
      <c r="L248" s="54"/>
      <c r="M248" s="54"/>
      <c r="P248" s="44"/>
    </row>
    <row r="249">
      <c r="A249" s="54"/>
      <c r="B249" s="114"/>
      <c r="C249" s="114"/>
      <c r="D249" s="114"/>
      <c r="E249" s="114"/>
      <c r="F249" s="114"/>
      <c r="G249" s="114"/>
      <c r="H249" s="54"/>
      <c r="I249" s="54"/>
      <c r="J249" s="54"/>
      <c r="K249" s="54"/>
      <c r="L249" s="54"/>
      <c r="M249" s="54"/>
      <c r="P249" s="44"/>
    </row>
    <row r="250">
      <c r="A250" s="54"/>
      <c r="B250" s="114"/>
      <c r="C250" s="114"/>
      <c r="D250" s="114"/>
      <c r="E250" s="114"/>
      <c r="F250" s="114"/>
      <c r="G250" s="114"/>
      <c r="H250" s="54"/>
      <c r="I250" s="54"/>
      <c r="J250" s="54"/>
      <c r="K250" s="54"/>
      <c r="L250" s="54"/>
      <c r="M250" s="54"/>
      <c r="P250" s="44"/>
    </row>
    <row r="251">
      <c r="A251" s="54"/>
      <c r="B251" s="114"/>
      <c r="C251" s="114"/>
      <c r="D251" s="114"/>
      <c r="E251" s="114"/>
      <c r="F251" s="114"/>
      <c r="G251" s="114"/>
      <c r="H251" s="54"/>
      <c r="I251" s="54"/>
      <c r="J251" s="54"/>
      <c r="K251" s="54"/>
      <c r="L251" s="54"/>
      <c r="M251" s="54"/>
      <c r="P251" s="44"/>
    </row>
    <row r="252">
      <c r="A252" s="54"/>
      <c r="B252" s="114"/>
      <c r="C252" s="114"/>
      <c r="D252" s="114"/>
      <c r="E252" s="114"/>
      <c r="F252" s="114"/>
      <c r="G252" s="114"/>
      <c r="H252" s="54"/>
      <c r="I252" s="54"/>
      <c r="J252" s="54"/>
      <c r="K252" s="54"/>
      <c r="L252" s="54"/>
      <c r="M252" s="54"/>
      <c r="P252" s="44"/>
    </row>
    <row r="253">
      <c r="A253" s="54"/>
      <c r="B253" s="114"/>
      <c r="C253" s="114"/>
      <c r="D253" s="114"/>
      <c r="E253" s="114"/>
      <c r="F253" s="114"/>
      <c r="G253" s="114"/>
      <c r="H253" s="54"/>
      <c r="I253" s="54"/>
      <c r="J253" s="54"/>
      <c r="K253" s="54"/>
      <c r="L253" s="54"/>
      <c r="M253" s="54"/>
      <c r="P253" s="44"/>
    </row>
    <row r="254">
      <c r="A254" s="54"/>
      <c r="B254" s="114"/>
      <c r="C254" s="114"/>
      <c r="D254" s="114"/>
      <c r="E254" s="114"/>
      <c r="F254" s="114"/>
      <c r="G254" s="114"/>
      <c r="H254" s="54"/>
      <c r="I254" s="54"/>
      <c r="J254" s="54"/>
      <c r="K254" s="54"/>
      <c r="L254" s="54"/>
      <c r="M254" s="54"/>
      <c r="P254" s="44"/>
    </row>
    <row r="255">
      <c r="A255" s="54"/>
      <c r="B255" s="114"/>
      <c r="C255" s="114"/>
      <c r="D255" s="114"/>
      <c r="E255" s="114"/>
      <c r="F255" s="114"/>
      <c r="G255" s="114"/>
      <c r="H255" s="54"/>
      <c r="I255" s="54"/>
      <c r="J255" s="54"/>
      <c r="K255" s="54"/>
      <c r="L255" s="54"/>
      <c r="M255" s="54"/>
      <c r="P255" s="44"/>
    </row>
    <row r="256">
      <c r="A256" s="54"/>
      <c r="B256" s="114"/>
      <c r="C256" s="114"/>
      <c r="D256" s="114"/>
      <c r="E256" s="114"/>
      <c r="F256" s="114"/>
      <c r="G256" s="114"/>
      <c r="H256" s="54"/>
      <c r="I256" s="54"/>
      <c r="J256" s="54"/>
      <c r="K256" s="54"/>
      <c r="L256" s="54"/>
      <c r="M256" s="54"/>
      <c r="P256" s="44"/>
    </row>
    <row r="257">
      <c r="A257" s="54"/>
      <c r="B257" s="114"/>
      <c r="C257" s="114"/>
      <c r="D257" s="114"/>
      <c r="E257" s="114"/>
      <c r="F257" s="114"/>
      <c r="G257" s="114"/>
      <c r="H257" s="54"/>
      <c r="I257" s="54"/>
      <c r="J257" s="54"/>
      <c r="K257" s="54"/>
      <c r="L257" s="54"/>
      <c r="M257" s="54"/>
      <c r="P257" s="44"/>
    </row>
    <row r="258">
      <c r="A258" s="54"/>
      <c r="B258" s="114"/>
      <c r="C258" s="114"/>
      <c r="D258" s="114"/>
      <c r="E258" s="114"/>
      <c r="F258" s="114"/>
      <c r="G258" s="114"/>
      <c r="H258" s="54"/>
      <c r="I258" s="54"/>
      <c r="J258" s="54"/>
      <c r="K258" s="54"/>
      <c r="L258" s="54"/>
      <c r="M258" s="54"/>
      <c r="P258" s="44"/>
    </row>
    <row r="259">
      <c r="A259" s="54"/>
      <c r="B259" s="114"/>
      <c r="C259" s="114"/>
      <c r="D259" s="114"/>
      <c r="E259" s="114"/>
      <c r="F259" s="114"/>
      <c r="G259" s="114"/>
      <c r="H259" s="54"/>
      <c r="I259" s="54"/>
      <c r="J259" s="54"/>
      <c r="K259" s="54"/>
      <c r="L259" s="54"/>
      <c r="M259" s="54"/>
      <c r="P259" s="44"/>
    </row>
    <row r="260">
      <c r="A260" s="54"/>
      <c r="B260" s="114"/>
      <c r="C260" s="114"/>
      <c r="D260" s="114"/>
      <c r="E260" s="114"/>
      <c r="F260" s="114"/>
      <c r="G260" s="114"/>
      <c r="H260" s="54"/>
      <c r="I260" s="54"/>
      <c r="J260" s="54"/>
      <c r="K260" s="54"/>
      <c r="L260" s="54"/>
      <c r="M260" s="54"/>
      <c r="P260" s="44"/>
    </row>
    <row r="261">
      <c r="A261" s="54"/>
      <c r="B261" s="114"/>
      <c r="C261" s="114"/>
      <c r="D261" s="114"/>
      <c r="E261" s="114"/>
      <c r="F261" s="114"/>
      <c r="G261" s="114"/>
      <c r="H261" s="54"/>
      <c r="I261" s="54"/>
      <c r="J261" s="54"/>
      <c r="K261" s="54"/>
      <c r="L261" s="54"/>
      <c r="M261" s="54"/>
      <c r="P261" s="44"/>
    </row>
    <row r="262">
      <c r="A262" s="54"/>
      <c r="B262" s="114"/>
      <c r="C262" s="114"/>
      <c r="D262" s="114"/>
      <c r="E262" s="114"/>
      <c r="F262" s="114"/>
      <c r="G262" s="114"/>
      <c r="H262" s="54"/>
      <c r="I262" s="54"/>
      <c r="J262" s="54"/>
      <c r="K262" s="54"/>
      <c r="L262" s="54"/>
      <c r="M262" s="54"/>
      <c r="P262" s="44"/>
    </row>
    <row r="263">
      <c r="A263" s="54"/>
      <c r="B263" s="114"/>
      <c r="C263" s="114"/>
      <c r="D263" s="114"/>
      <c r="E263" s="114"/>
      <c r="F263" s="114"/>
      <c r="G263" s="114"/>
      <c r="H263" s="54"/>
      <c r="I263" s="54"/>
      <c r="J263" s="54"/>
      <c r="K263" s="54"/>
      <c r="L263" s="54"/>
      <c r="M263" s="54"/>
      <c r="P263" s="44"/>
    </row>
    <row r="264">
      <c r="A264" s="54"/>
      <c r="B264" s="114"/>
      <c r="C264" s="114"/>
      <c r="D264" s="114"/>
      <c r="E264" s="114"/>
      <c r="F264" s="114"/>
      <c r="G264" s="114"/>
      <c r="H264" s="54"/>
      <c r="I264" s="54"/>
      <c r="J264" s="54"/>
      <c r="K264" s="54"/>
      <c r="L264" s="54"/>
      <c r="M264" s="54"/>
      <c r="P264" s="44"/>
    </row>
    <row r="265">
      <c r="A265" s="54"/>
      <c r="B265" s="114"/>
      <c r="C265" s="114"/>
      <c r="D265" s="114"/>
      <c r="E265" s="114"/>
      <c r="F265" s="114"/>
      <c r="G265" s="114"/>
      <c r="H265" s="54"/>
      <c r="I265" s="54"/>
      <c r="J265" s="54"/>
      <c r="K265" s="54"/>
      <c r="L265" s="54"/>
      <c r="M265" s="54"/>
      <c r="P265" s="44"/>
    </row>
    <row r="266">
      <c r="A266" s="54"/>
      <c r="B266" s="114"/>
      <c r="C266" s="114"/>
      <c r="D266" s="114"/>
      <c r="E266" s="114"/>
      <c r="F266" s="114"/>
      <c r="G266" s="114"/>
      <c r="H266" s="54"/>
      <c r="I266" s="54"/>
      <c r="J266" s="54"/>
      <c r="K266" s="54"/>
      <c r="L266" s="54"/>
      <c r="M266" s="54"/>
      <c r="P266" s="44"/>
    </row>
    <row r="267">
      <c r="A267" s="54"/>
      <c r="B267" s="114"/>
      <c r="C267" s="114"/>
      <c r="D267" s="114"/>
      <c r="E267" s="114"/>
      <c r="F267" s="114"/>
      <c r="G267" s="114"/>
      <c r="H267" s="54"/>
      <c r="I267" s="54"/>
      <c r="J267" s="54"/>
      <c r="K267" s="54"/>
      <c r="L267" s="54"/>
      <c r="M267" s="54"/>
      <c r="P267" s="44"/>
    </row>
    <row r="268">
      <c r="A268" s="54"/>
      <c r="B268" s="114"/>
      <c r="C268" s="114"/>
      <c r="D268" s="114"/>
      <c r="E268" s="114"/>
      <c r="F268" s="114"/>
      <c r="G268" s="114"/>
      <c r="H268" s="54"/>
      <c r="I268" s="54"/>
      <c r="J268" s="54"/>
      <c r="K268" s="54"/>
      <c r="L268" s="54"/>
      <c r="M268" s="54"/>
      <c r="P268" s="44"/>
    </row>
    <row r="269">
      <c r="A269" s="54"/>
      <c r="B269" s="114"/>
      <c r="C269" s="114"/>
      <c r="D269" s="114"/>
      <c r="E269" s="114"/>
      <c r="F269" s="114"/>
      <c r="G269" s="114"/>
      <c r="H269" s="54"/>
      <c r="I269" s="54"/>
      <c r="J269" s="54"/>
      <c r="K269" s="54"/>
      <c r="L269" s="54"/>
      <c r="M269" s="54"/>
      <c r="P269" s="44"/>
    </row>
    <row r="270">
      <c r="A270" s="54"/>
      <c r="B270" s="114"/>
      <c r="C270" s="114"/>
      <c r="D270" s="114"/>
      <c r="E270" s="114"/>
      <c r="F270" s="114"/>
      <c r="G270" s="114"/>
      <c r="H270" s="54"/>
      <c r="I270" s="54"/>
      <c r="J270" s="54"/>
      <c r="K270" s="54"/>
      <c r="L270" s="54"/>
      <c r="M270" s="54"/>
      <c r="P270" s="44"/>
    </row>
    <row r="271">
      <c r="A271" s="54"/>
      <c r="B271" s="114"/>
      <c r="C271" s="114"/>
      <c r="D271" s="114"/>
      <c r="E271" s="114"/>
      <c r="F271" s="114"/>
      <c r="G271" s="114"/>
      <c r="H271" s="54"/>
      <c r="I271" s="54"/>
      <c r="J271" s="54"/>
      <c r="K271" s="54"/>
      <c r="L271" s="54"/>
      <c r="M271" s="54"/>
      <c r="P271" s="44"/>
    </row>
    <row r="272">
      <c r="A272" s="54"/>
      <c r="B272" s="114"/>
      <c r="C272" s="114"/>
      <c r="D272" s="114"/>
      <c r="E272" s="114"/>
      <c r="F272" s="114"/>
      <c r="G272" s="114"/>
      <c r="H272" s="54"/>
      <c r="I272" s="54"/>
      <c r="J272" s="54"/>
      <c r="K272" s="54"/>
      <c r="L272" s="54"/>
      <c r="M272" s="54"/>
      <c r="P272" s="44"/>
    </row>
    <row r="273">
      <c r="A273" s="54"/>
      <c r="B273" s="114"/>
      <c r="C273" s="114"/>
      <c r="D273" s="114"/>
      <c r="E273" s="114"/>
      <c r="F273" s="114"/>
      <c r="G273" s="114"/>
      <c r="H273" s="54"/>
      <c r="I273" s="54"/>
      <c r="J273" s="54"/>
      <c r="K273" s="54"/>
      <c r="L273" s="54"/>
      <c r="M273" s="54"/>
      <c r="P273" s="44"/>
    </row>
    <row r="274">
      <c r="A274" s="54"/>
      <c r="B274" s="114"/>
      <c r="C274" s="114"/>
      <c r="D274" s="114"/>
      <c r="E274" s="114"/>
      <c r="F274" s="114"/>
      <c r="G274" s="114"/>
      <c r="H274" s="54"/>
      <c r="I274" s="54"/>
      <c r="J274" s="54"/>
      <c r="K274" s="54"/>
      <c r="L274" s="54"/>
      <c r="M274" s="54"/>
      <c r="P274" s="44"/>
    </row>
    <row r="275">
      <c r="A275" s="54"/>
      <c r="B275" s="114"/>
      <c r="C275" s="114"/>
      <c r="D275" s="114"/>
      <c r="E275" s="114"/>
      <c r="F275" s="114"/>
      <c r="G275" s="114"/>
      <c r="H275" s="54"/>
      <c r="I275" s="54"/>
      <c r="J275" s="54"/>
      <c r="K275" s="54"/>
      <c r="L275" s="54"/>
      <c r="M275" s="54"/>
      <c r="P275" s="44"/>
    </row>
    <row r="276">
      <c r="A276" s="54"/>
      <c r="B276" s="114"/>
      <c r="C276" s="114"/>
      <c r="D276" s="114"/>
      <c r="E276" s="114"/>
      <c r="F276" s="114"/>
      <c r="G276" s="114"/>
      <c r="H276" s="54"/>
      <c r="I276" s="54"/>
      <c r="J276" s="54"/>
      <c r="K276" s="54"/>
      <c r="L276" s="54"/>
      <c r="M276" s="54"/>
      <c r="P276" s="44"/>
    </row>
    <row r="277">
      <c r="A277" s="54"/>
      <c r="B277" s="114"/>
      <c r="C277" s="114"/>
      <c r="D277" s="114"/>
      <c r="E277" s="114"/>
      <c r="F277" s="114"/>
      <c r="G277" s="114"/>
      <c r="H277" s="54"/>
      <c r="I277" s="54"/>
      <c r="J277" s="54"/>
      <c r="K277" s="54"/>
      <c r="L277" s="54"/>
      <c r="M277" s="54"/>
      <c r="P277" s="44"/>
    </row>
    <row r="278">
      <c r="A278" s="54"/>
      <c r="B278" s="114"/>
      <c r="C278" s="114"/>
      <c r="D278" s="114"/>
      <c r="E278" s="114"/>
      <c r="F278" s="114"/>
      <c r="G278" s="114"/>
      <c r="H278" s="54"/>
      <c r="I278" s="54"/>
      <c r="J278" s="54"/>
      <c r="K278" s="54"/>
      <c r="L278" s="54"/>
      <c r="M278" s="54"/>
      <c r="P278" s="44"/>
    </row>
    <row r="279">
      <c r="A279" s="54"/>
      <c r="B279" s="114"/>
      <c r="C279" s="114"/>
      <c r="D279" s="114"/>
      <c r="E279" s="114"/>
      <c r="F279" s="114"/>
      <c r="G279" s="114"/>
      <c r="H279" s="54"/>
      <c r="I279" s="54"/>
      <c r="J279" s="54"/>
      <c r="K279" s="54"/>
      <c r="L279" s="54"/>
      <c r="M279" s="54"/>
      <c r="P279" s="44"/>
    </row>
    <row r="280">
      <c r="A280" s="54"/>
      <c r="B280" s="114"/>
      <c r="C280" s="114"/>
      <c r="D280" s="114"/>
      <c r="E280" s="114"/>
      <c r="F280" s="114"/>
      <c r="G280" s="114"/>
      <c r="H280" s="54"/>
      <c r="I280" s="54"/>
      <c r="J280" s="54"/>
      <c r="K280" s="54"/>
      <c r="L280" s="54"/>
      <c r="M280" s="54"/>
      <c r="P280" s="44"/>
    </row>
    <row r="281">
      <c r="A281" s="54"/>
      <c r="B281" s="114"/>
      <c r="C281" s="114"/>
      <c r="D281" s="114"/>
      <c r="E281" s="114"/>
      <c r="F281" s="114"/>
      <c r="G281" s="114"/>
      <c r="H281" s="54"/>
      <c r="I281" s="54"/>
      <c r="J281" s="54"/>
      <c r="K281" s="54"/>
      <c r="L281" s="54"/>
      <c r="M281" s="54"/>
      <c r="P281" s="44"/>
    </row>
    <row r="282">
      <c r="A282" s="54"/>
      <c r="B282" s="114"/>
      <c r="C282" s="114"/>
      <c r="D282" s="114"/>
      <c r="E282" s="114"/>
      <c r="F282" s="114"/>
      <c r="G282" s="114"/>
      <c r="H282" s="54"/>
      <c r="I282" s="54"/>
      <c r="J282" s="54"/>
      <c r="K282" s="54"/>
      <c r="L282" s="54"/>
      <c r="M282" s="54"/>
      <c r="P282" s="44"/>
    </row>
    <row r="283">
      <c r="A283" s="54"/>
      <c r="B283" s="114"/>
      <c r="C283" s="114"/>
      <c r="D283" s="114"/>
      <c r="E283" s="114"/>
      <c r="F283" s="114"/>
      <c r="G283" s="114"/>
      <c r="H283" s="54"/>
      <c r="I283" s="54"/>
      <c r="J283" s="54"/>
      <c r="K283" s="54"/>
      <c r="L283" s="54"/>
      <c r="M283" s="54"/>
      <c r="P283" s="44"/>
    </row>
    <row r="284">
      <c r="A284" s="54"/>
      <c r="B284" s="114"/>
      <c r="C284" s="114"/>
      <c r="D284" s="114"/>
      <c r="E284" s="114"/>
      <c r="F284" s="114"/>
      <c r="G284" s="114"/>
      <c r="H284" s="54"/>
      <c r="I284" s="54"/>
      <c r="J284" s="54"/>
      <c r="K284" s="54"/>
      <c r="L284" s="54"/>
      <c r="M284" s="54"/>
      <c r="P284" s="44"/>
    </row>
    <row r="285">
      <c r="A285" s="54"/>
      <c r="B285" s="114"/>
      <c r="C285" s="114"/>
      <c r="D285" s="114"/>
      <c r="E285" s="114"/>
      <c r="F285" s="114"/>
      <c r="G285" s="114"/>
      <c r="H285" s="54"/>
      <c r="I285" s="54"/>
      <c r="J285" s="54"/>
      <c r="K285" s="54"/>
      <c r="L285" s="54"/>
      <c r="M285" s="54"/>
      <c r="P285" s="44"/>
    </row>
    <row r="286">
      <c r="A286" s="54"/>
      <c r="B286" s="114"/>
      <c r="C286" s="114"/>
      <c r="D286" s="114"/>
      <c r="E286" s="114"/>
      <c r="F286" s="114"/>
      <c r="G286" s="114"/>
      <c r="H286" s="54"/>
      <c r="I286" s="54"/>
      <c r="J286" s="54"/>
      <c r="K286" s="54"/>
      <c r="L286" s="54"/>
      <c r="M286" s="54"/>
      <c r="P286" s="44"/>
    </row>
    <row r="287">
      <c r="A287" s="54"/>
      <c r="B287" s="114"/>
      <c r="C287" s="114"/>
      <c r="D287" s="114"/>
      <c r="E287" s="114"/>
      <c r="F287" s="114"/>
      <c r="G287" s="114"/>
      <c r="H287" s="54"/>
      <c r="I287" s="54"/>
      <c r="J287" s="54"/>
      <c r="K287" s="54"/>
      <c r="L287" s="54"/>
      <c r="M287" s="54"/>
      <c r="P287" s="44"/>
    </row>
    <row r="288">
      <c r="A288" s="54"/>
      <c r="B288" s="114"/>
      <c r="C288" s="114"/>
      <c r="D288" s="114"/>
      <c r="E288" s="114"/>
      <c r="F288" s="114"/>
      <c r="G288" s="114"/>
      <c r="H288" s="54"/>
      <c r="I288" s="54"/>
      <c r="J288" s="54"/>
      <c r="K288" s="54"/>
      <c r="L288" s="54"/>
      <c r="M288" s="54"/>
      <c r="P288" s="44"/>
    </row>
    <row r="289">
      <c r="A289" s="54"/>
      <c r="B289" s="114"/>
      <c r="C289" s="114"/>
      <c r="D289" s="114"/>
      <c r="E289" s="114"/>
      <c r="F289" s="114"/>
      <c r="G289" s="114"/>
      <c r="H289" s="54"/>
      <c r="I289" s="54"/>
      <c r="J289" s="54"/>
      <c r="K289" s="54"/>
      <c r="L289" s="54"/>
      <c r="M289" s="54"/>
      <c r="P289" s="44"/>
    </row>
    <row r="290">
      <c r="A290" s="54"/>
      <c r="B290" s="114"/>
      <c r="C290" s="114"/>
      <c r="D290" s="114"/>
      <c r="E290" s="114"/>
      <c r="F290" s="114"/>
      <c r="G290" s="114"/>
      <c r="H290" s="54"/>
      <c r="I290" s="54"/>
      <c r="J290" s="54"/>
      <c r="K290" s="54"/>
      <c r="L290" s="54"/>
      <c r="M290" s="54"/>
      <c r="P290" s="44"/>
    </row>
    <row r="291">
      <c r="A291" s="54"/>
      <c r="B291" s="114"/>
      <c r="C291" s="114"/>
      <c r="D291" s="114"/>
      <c r="E291" s="114"/>
      <c r="F291" s="114"/>
      <c r="G291" s="114"/>
      <c r="H291" s="54"/>
      <c r="I291" s="54"/>
      <c r="J291" s="54"/>
      <c r="K291" s="54"/>
      <c r="L291" s="54"/>
      <c r="M291" s="54"/>
      <c r="P291" s="44"/>
    </row>
    <row r="292">
      <c r="A292" s="54"/>
      <c r="B292" s="114"/>
      <c r="C292" s="114"/>
      <c r="D292" s="114"/>
      <c r="E292" s="114"/>
      <c r="F292" s="114"/>
      <c r="G292" s="114"/>
      <c r="H292" s="54"/>
      <c r="I292" s="54"/>
      <c r="J292" s="54"/>
      <c r="K292" s="54"/>
      <c r="L292" s="54"/>
      <c r="M292" s="54"/>
      <c r="P292" s="44"/>
    </row>
    <row r="293">
      <c r="A293" s="54"/>
      <c r="B293" s="114"/>
      <c r="C293" s="114"/>
      <c r="D293" s="114"/>
      <c r="E293" s="114"/>
      <c r="F293" s="114"/>
      <c r="G293" s="114"/>
      <c r="H293" s="54"/>
      <c r="I293" s="54"/>
      <c r="J293" s="54"/>
      <c r="K293" s="54"/>
      <c r="L293" s="54"/>
      <c r="M293" s="54"/>
      <c r="P293" s="44"/>
    </row>
    <row r="294">
      <c r="A294" s="54"/>
      <c r="B294" s="114"/>
      <c r="C294" s="114"/>
      <c r="D294" s="114"/>
      <c r="E294" s="114"/>
      <c r="F294" s="114"/>
      <c r="G294" s="114"/>
      <c r="H294" s="54"/>
      <c r="I294" s="54"/>
      <c r="J294" s="54"/>
      <c r="K294" s="54"/>
      <c r="L294" s="54"/>
      <c r="M294" s="54"/>
      <c r="P294" s="44"/>
    </row>
    <row r="295">
      <c r="A295" s="54"/>
      <c r="B295" s="114"/>
      <c r="C295" s="114"/>
      <c r="D295" s="114"/>
      <c r="E295" s="114"/>
      <c r="F295" s="114"/>
      <c r="G295" s="114"/>
      <c r="H295" s="54"/>
      <c r="I295" s="54"/>
      <c r="J295" s="54"/>
      <c r="K295" s="54"/>
      <c r="L295" s="54"/>
      <c r="M295" s="54"/>
      <c r="P295" s="44"/>
    </row>
    <row r="296">
      <c r="A296" s="54"/>
      <c r="B296" s="114"/>
      <c r="C296" s="114"/>
      <c r="D296" s="114"/>
      <c r="E296" s="114"/>
      <c r="F296" s="114"/>
      <c r="G296" s="114"/>
      <c r="H296" s="54"/>
      <c r="I296" s="54"/>
      <c r="J296" s="54"/>
      <c r="K296" s="54"/>
      <c r="L296" s="54"/>
      <c r="M296" s="54"/>
      <c r="P296" s="44"/>
    </row>
    <row r="297">
      <c r="A297" s="54"/>
      <c r="B297" s="114"/>
      <c r="C297" s="114"/>
      <c r="D297" s="114"/>
      <c r="E297" s="114"/>
      <c r="F297" s="114"/>
      <c r="G297" s="114"/>
      <c r="H297" s="54"/>
      <c r="I297" s="54"/>
      <c r="J297" s="54"/>
      <c r="K297" s="54"/>
      <c r="L297" s="54"/>
      <c r="M297" s="54"/>
      <c r="P297" s="44"/>
    </row>
    <row r="298">
      <c r="A298" s="54"/>
      <c r="B298" s="114"/>
      <c r="C298" s="114"/>
      <c r="D298" s="114"/>
      <c r="E298" s="114"/>
      <c r="F298" s="114"/>
      <c r="G298" s="114"/>
      <c r="H298" s="54"/>
      <c r="I298" s="54"/>
      <c r="J298" s="54"/>
      <c r="K298" s="54"/>
      <c r="L298" s="54"/>
      <c r="M298" s="54"/>
      <c r="P298" s="44"/>
    </row>
    <row r="299">
      <c r="A299" s="54"/>
      <c r="B299" s="114"/>
      <c r="C299" s="114"/>
      <c r="D299" s="114"/>
      <c r="E299" s="114"/>
      <c r="F299" s="114"/>
      <c r="G299" s="114"/>
      <c r="H299" s="54"/>
      <c r="I299" s="54"/>
      <c r="J299" s="54"/>
      <c r="K299" s="54"/>
      <c r="L299" s="54"/>
      <c r="M299" s="54"/>
      <c r="P299" s="44"/>
    </row>
    <row r="300">
      <c r="A300" s="54"/>
      <c r="B300" s="114"/>
      <c r="C300" s="114"/>
      <c r="D300" s="114"/>
      <c r="E300" s="114"/>
      <c r="F300" s="114"/>
      <c r="G300" s="114"/>
      <c r="H300" s="54"/>
      <c r="I300" s="54"/>
      <c r="J300" s="54"/>
      <c r="K300" s="54"/>
      <c r="L300" s="54"/>
      <c r="M300" s="54"/>
      <c r="P300" s="44"/>
    </row>
    <row r="301">
      <c r="A301" s="54"/>
      <c r="B301" s="114"/>
      <c r="C301" s="114"/>
      <c r="D301" s="114"/>
      <c r="E301" s="114"/>
      <c r="F301" s="114"/>
      <c r="G301" s="114"/>
      <c r="H301" s="54"/>
      <c r="I301" s="54"/>
      <c r="J301" s="54"/>
      <c r="K301" s="54"/>
      <c r="L301" s="54"/>
      <c r="M301" s="54"/>
      <c r="P301" s="44"/>
    </row>
    <row r="302">
      <c r="A302" s="54"/>
      <c r="B302" s="114"/>
      <c r="C302" s="114"/>
      <c r="D302" s="114"/>
      <c r="E302" s="114"/>
      <c r="F302" s="114"/>
      <c r="G302" s="114"/>
      <c r="H302" s="54"/>
      <c r="I302" s="54"/>
      <c r="J302" s="54"/>
      <c r="K302" s="54"/>
      <c r="L302" s="54"/>
      <c r="M302" s="54"/>
      <c r="P302" s="44"/>
    </row>
    <row r="303">
      <c r="A303" s="54"/>
      <c r="B303" s="114"/>
      <c r="C303" s="114"/>
      <c r="D303" s="114"/>
      <c r="E303" s="114"/>
      <c r="F303" s="114"/>
      <c r="G303" s="114"/>
      <c r="H303" s="54"/>
      <c r="I303" s="54"/>
      <c r="J303" s="54"/>
      <c r="K303" s="54"/>
      <c r="L303" s="54"/>
      <c r="M303" s="54"/>
      <c r="P303" s="44"/>
    </row>
    <row r="304">
      <c r="A304" s="54"/>
      <c r="B304" s="114"/>
      <c r="C304" s="114"/>
      <c r="D304" s="114"/>
      <c r="E304" s="114"/>
      <c r="F304" s="114"/>
      <c r="G304" s="114"/>
      <c r="H304" s="54"/>
      <c r="I304" s="54"/>
      <c r="J304" s="54"/>
      <c r="K304" s="54"/>
      <c r="L304" s="54"/>
      <c r="M304" s="54"/>
      <c r="P304" s="44"/>
    </row>
    <row r="305">
      <c r="A305" s="54"/>
      <c r="B305" s="114"/>
      <c r="C305" s="114"/>
      <c r="D305" s="114"/>
      <c r="E305" s="114"/>
      <c r="F305" s="114"/>
      <c r="G305" s="114"/>
      <c r="H305" s="54"/>
      <c r="I305" s="54"/>
      <c r="J305" s="54"/>
      <c r="K305" s="54"/>
      <c r="L305" s="54"/>
      <c r="M305" s="54"/>
      <c r="P305" s="44"/>
    </row>
    <row r="306">
      <c r="A306" s="54"/>
      <c r="B306" s="114"/>
      <c r="C306" s="114"/>
      <c r="D306" s="114"/>
      <c r="E306" s="114"/>
      <c r="F306" s="114"/>
      <c r="G306" s="114"/>
      <c r="H306" s="54"/>
      <c r="I306" s="54"/>
      <c r="J306" s="54"/>
      <c r="K306" s="54"/>
      <c r="L306" s="54"/>
      <c r="M306" s="54"/>
      <c r="P306" s="44"/>
    </row>
    <row r="307">
      <c r="A307" s="54"/>
      <c r="B307" s="114"/>
      <c r="C307" s="114"/>
      <c r="D307" s="114"/>
      <c r="E307" s="114"/>
      <c r="F307" s="114"/>
      <c r="G307" s="114"/>
      <c r="H307" s="54"/>
      <c r="I307" s="54"/>
      <c r="J307" s="54"/>
      <c r="K307" s="54"/>
      <c r="L307" s="54"/>
      <c r="M307" s="54"/>
      <c r="P307" s="44"/>
    </row>
    <row r="308">
      <c r="A308" s="54"/>
      <c r="B308" s="114"/>
      <c r="C308" s="114"/>
      <c r="D308" s="114"/>
      <c r="E308" s="114"/>
      <c r="F308" s="114"/>
      <c r="G308" s="114"/>
      <c r="H308" s="54"/>
      <c r="I308" s="54"/>
      <c r="J308" s="54"/>
      <c r="K308" s="54"/>
      <c r="L308" s="54"/>
      <c r="M308" s="54"/>
      <c r="P308" s="44"/>
    </row>
    <row r="309">
      <c r="A309" s="54"/>
      <c r="B309" s="114"/>
      <c r="C309" s="114"/>
      <c r="D309" s="114"/>
      <c r="E309" s="114"/>
      <c r="F309" s="114"/>
      <c r="G309" s="114"/>
      <c r="H309" s="54"/>
      <c r="I309" s="54"/>
      <c r="J309" s="54"/>
      <c r="K309" s="54"/>
      <c r="L309" s="54"/>
      <c r="M309" s="54"/>
      <c r="P309" s="44"/>
    </row>
    <row r="310">
      <c r="A310" s="54"/>
      <c r="B310" s="114"/>
      <c r="C310" s="114"/>
      <c r="D310" s="114"/>
      <c r="E310" s="114"/>
      <c r="F310" s="114"/>
      <c r="G310" s="114"/>
      <c r="H310" s="54"/>
      <c r="I310" s="54"/>
      <c r="J310" s="54"/>
      <c r="K310" s="54"/>
      <c r="L310" s="54"/>
      <c r="M310" s="54"/>
      <c r="P310" s="44"/>
    </row>
    <row r="311">
      <c r="A311" s="54"/>
      <c r="B311" s="114"/>
      <c r="C311" s="114"/>
      <c r="D311" s="114"/>
      <c r="E311" s="114"/>
      <c r="F311" s="114"/>
      <c r="G311" s="114"/>
      <c r="H311" s="54"/>
      <c r="I311" s="54"/>
      <c r="J311" s="54"/>
      <c r="K311" s="54"/>
      <c r="L311" s="54"/>
      <c r="M311" s="54"/>
      <c r="P311" s="44"/>
    </row>
    <row r="312">
      <c r="A312" s="54"/>
      <c r="B312" s="114"/>
      <c r="C312" s="114"/>
      <c r="D312" s="114"/>
      <c r="E312" s="114"/>
      <c r="F312" s="114"/>
      <c r="G312" s="114"/>
      <c r="H312" s="54"/>
      <c r="I312" s="54"/>
      <c r="J312" s="54"/>
      <c r="K312" s="54"/>
      <c r="L312" s="54"/>
      <c r="M312" s="54"/>
      <c r="P312" s="44"/>
    </row>
    <row r="313">
      <c r="A313" s="54"/>
      <c r="B313" s="114"/>
      <c r="C313" s="114"/>
      <c r="D313" s="114"/>
      <c r="E313" s="114"/>
      <c r="F313" s="114"/>
      <c r="G313" s="114"/>
      <c r="H313" s="54"/>
      <c r="I313" s="54"/>
      <c r="J313" s="54"/>
      <c r="K313" s="54"/>
      <c r="L313" s="54"/>
      <c r="M313" s="54"/>
      <c r="P313" s="44"/>
    </row>
    <row r="314">
      <c r="A314" s="54"/>
      <c r="B314" s="114"/>
      <c r="C314" s="114"/>
      <c r="D314" s="114"/>
      <c r="E314" s="114"/>
      <c r="F314" s="114"/>
      <c r="G314" s="114"/>
      <c r="H314" s="54"/>
      <c r="I314" s="54"/>
      <c r="J314" s="54"/>
      <c r="K314" s="54"/>
      <c r="L314" s="54"/>
      <c r="M314" s="54"/>
      <c r="P314" s="44"/>
    </row>
    <row r="315">
      <c r="A315" s="54"/>
      <c r="B315" s="114"/>
      <c r="C315" s="114"/>
      <c r="D315" s="114"/>
      <c r="E315" s="114"/>
      <c r="F315" s="114"/>
      <c r="G315" s="114"/>
      <c r="H315" s="54"/>
      <c r="I315" s="54"/>
      <c r="J315" s="54"/>
      <c r="K315" s="54"/>
      <c r="L315" s="54"/>
      <c r="M315" s="54"/>
      <c r="P315" s="44"/>
    </row>
    <row r="316">
      <c r="A316" s="54"/>
      <c r="B316" s="114"/>
      <c r="C316" s="114"/>
      <c r="D316" s="114"/>
      <c r="E316" s="114"/>
      <c r="F316" s="114"/>
      <c r="G316" s="114"/>
      <c r="H316" s="54"/>
      <c r="I316" s="54"/>
      <c r="J316" s="54"/>
      <c r="K316" s="54"/>
      <c r="L316" s="54"/>
      <c r="M316" s="54"/>
      <c r="P316" s="44"/>
    </row>
    <row r="317">
      <c r="A317" s="54"/>
      <c r="B317" s="114"/>
      <c r="C317" s="114"/>
      <c r="D317" s="114"/>
      <c r="E317" s="114"/>
      <c r="F317" s="114"/>
      <c r="G317" s="114"/>
      <c r="H317" s="54"/>
      <c r="I317" s="54"/>
      <c r="J317" s="54"/>
      <c r="K317" s="54"/>
      <c r="L317" s="54"/>
      <c r="M317" s="54"/>
      <c r="P317" s="44"/>
    </row>
    <row r="318">
      <c r="A318" s="54"/>
      <c r="B318" s="114"/>
      <c r="C318" s="114"/>
      <c r="D318" s="114"/>
      <c r="E318" s="114"/>
      <c r="F318" s="114"/>
      <c r="G318" s="114"/>
      <c r="H318" s="54"/>
      <c r="I318" s="54"/>
      <c r="J318" s="54"/>
      <c r="K318" s="54"/>
      <c r="L318" s="54"/>
      <c r="M318" s="54"/>
      <c r="P318" s="44"/>
    </row>
    <row r="319">
      <c r="A319" s="54"/>
      <c r="B319" s="114"/>
      <c r="C319" s="114"/>
      <c r="D319" s="114"/>
      <c r="E319" s="114"/>
      <c r="F319" s="114"/>
      <c r="G319" s="114"/>
      <c r="H319" s="54"/>
      <c r="I319" s="54"/>
      <c r="J319" s="54"/>
      <c r="K319" s="54"/>
      <c r="L319" s="54"/>
      <c r="M319" s="54"/>
      <c r="P319" s="44"/>
    </row>
    <row r="320">
      <c r="A320" s="54"/>
      <c r="B320" s="114"/>
      <c r="C320" s="114"/>
      <c r="D320" s="114"/>
      <c r="E320" s="114"/>
      <c r="F320" s="114"/>
      <c r="G320" s="114"/>
      <c r="H320" s="54"/>
      <c r="I320" s="54"/>
      <c r="J320" s="54"/>
      <c r="K320" s="54"/>
      <c r="L320" s="54"/>
      <c r="M320" s="54"/>
      <c r="P320" s="44"/>
    </row>
    <row r="321">
      <c r="A321" s="54"/>
      <c r="B321" s="114"/>
      <c r="C321" s="114"/>
      <c r="D321" s="114"/>
      <c r="E321" s="114"/>
      <c r="F321" s="114"/>
      <c r="G321" s="114"/>
      <c r="H321" s="54"/>
      <c r="I321" s="54"/>
      <c r="J321" s="54"/>
      <c r="K321" s="54"/>
      <c r="L321" s="54"/>
      <c r="M321" s="54"/>
      <c r="P321" s="44"/>
    </row>
    <row r="322">
      <c r="A322" s="54"/>
      <c r="B322" s="114"/>
      <c r="C322" s="114"/>
      <c r="D322" s="114"/>
      <c r="E322" s="114"/>
      <c r="F322" s="114"/>
      <c r="G322" s="114"/>
      <c r="H322" s="54"/>
      <c r="I322" s="54"/>
      <c r="J322" s="54"/>
      <c r="K322" s="54"/>
      <c r="L322" s="54"/>
      <c r="M322" s="54"/>
      <c r="P322" s="44"/>
    </row>
    <row r="323">
      <c r="A323" s="54"/>
      <c r="B323" s="114"/>
      <c r="C323" s="114"/>
      <c r="D323" s="114"/>
      <c r="E323" s="114"/>
      <c r="F323" s="114"/>
      <c r="G323" s="114"/>
      <c r="H323" s="54"/>
      <c r="I323" s="54"/>
      <c r="J323" s="54"/>
      <c r="K323" s="54"/>
      <c r="L323" s="54"/>
      <c r="M323" s="54"/>
      <c r="P323" s="44"/>
    </row>
    <row r="324">
      <c r="A324" s="54"/>
      <c r="B324" s="114"/>
      <c r="C324" s="114"/>
      <c r="D324" s="114"/>
      <c r="E324" s="114"/>
      <c r="F324" s="114"/>
      <c r="G324" s="114"/>
      <c r="H324" s="54"/>
      <c r="I324" s="54"/>
      <c r="J324" s="54"/>
      <c r="K324" s="54"/>
      <c r="L324" s="54"/>
      <c r="M324" s="54"/>
      <c r="P324" s="44"/>
    </row>
    <row r="325">
      <c r="A325" s="54"/>
      <c r="B325" s="114"/>
      <c r="C325" s="114"/>
      <c r="D325" s="114"/>
      <c r="E325" s="114"/>
      <c r="F325" s="114"/>
      <c r="G325" s="114"/>
      <c r="H325" s="54"/>
      <c r="I325" s="54"/>
      <c r="J325" s="54"/>
      <c r="K325" s="54"/>
      <c r="L325" s="54"/>
      <c r="M325" s="54"/>
      <c r="P325" s="44"/>
    </row>
    <row r="326">
      <c r="A326" s="54"/>
      <c r="B326" s="114"/>
      <c r="C326" s="114"/>
      <c r="D326" s="114"/>
      <c r="E326" s="114"/>
      <c r="F326" s="114"/>
      <c r="G326" s="114"/>
      <c r="H326" s="54"/>
      <c r="I326" s="54"/>
      <c r="J326" s="54"/>
      <c r="K326" s="54"/>
      <c r="L326" s="54"/>
      <c r="M326" s="54"/>
      <c r="P326" s="44"/>
    </row>
    <row r="327">
      <c r="A327" s="54"/>
      <c r="B327" s="114"/>
      <c r="C327" s="114"/>
      <c r="D327" s="114"/>
      <c r="E327" s="114"/>
      <c r="F327" s="114"/>
      <c r="G327" s="114"/>
      <c r="H327" s="54"/>
      <c r="I327" s="54"/>
      <c r="J327" s="54"/>
      <c r="K327" s="54"/>
      <c r="L327" s="54"/>
      <c r="M327" s="54"/>
      <c r="P327" s="44"/>
    </row>
    <row r="328">
      <c r="A328" s="54"/>
      <c r="B328" s="114"/>
      <c r="C328" s="114"/>
      <c r="D328" s="114"/>
      <c r="E328" s="114"/>
      <c r="F328" s="114"/>
      <c r="G328" s="114"/>
      <c r="H328" s="54"/>
      <c r="I328" s="54"/>
      <c r="J328" s="54"/>
      <c r="K328" s="54"/>
      <c r="L328" s="54"/>
      <c r="M328" s="54"/>
      <c r="P328" s="44"/>
    </row>
    <row r="329">
      <c r="A329" s="54"/>
      <c r="B329" s="114"/>
      <c r="C329" s="114"/>
      <c r="D329" s="114"/>
      <c r="E329" s="114"/>
      <c r="F329" s="114"/>
      <c r="G329" s="114"/>
      <c r="H329" s="54"/>
      <c r="I329" s="54"/>
      <c r="J329" s="54"/>
      <c r="K329" s="54"/>
      <c r="L329" s="54"/>
      <c r="M329" s="54"/>
      <c r="P329" s="44"/>
    </row>
    <row r="330">
      <c r="A330" s="54"/>
      <c r="B330" s="114"/>
      <c r="C330" s="114"/>
      <c r="D330" s="114"/>
      <c r="E330" s="114"/>
      <c r="F330" s="114"/>
      <c r="G330" s="114"/>
      <c r="H330" s="54"/>
      <c r="I330" s="54"/>
      <c r="J330" s="54"/>
      <c r="K330" s="54"/>
      <c r="L330" s="54"/>
      <c r="M330" s="54"/>
      <c r="P330" s="44"/>
    </row>
    <row r="331">
      <c r="A331" s="54"/>
      <c r="B331" s="114"/>
      <c r="C331" s="114"/>
      <c r="D331" s="114"/>
      <c r="E331" s="114"/>
      <c r="F331" s="114"/>
      <c r="G331" s="114"/>
      <c r="H331" s="54"/>
      <c r="I331" s="54"/>
      <c r="J331" s="54"/>
      <c r="K331" s="54"/>
      <c r="L331" s="54"/>
      <c r="M331" s="54"/>
      <c r="P331" s="44"/>
    </row>
    <row r="332">
      <c r="A332" s="54"/>
      <c r="B332" s="114"/>
      <c r="C332" s="114"/>
      <c r="D332" s="114"/>
      <c r="E332" s="114"/>
      <c r="F332" s="114"/>
      <c r="G332" s="114"/>
      <c r="H332" s="54"/>
      <c r="I332" s="54"/>
      <c r="J332" s="54"/>
      <c r="K332" s="54"/>
      <c r="L332" s="54"/>
      <c r="M332" s="54"/>
      <c r="P332" s="44"/>
    </row>
    <row r="333">
      <c r="A333" s="54"/>
      <c r="B333" s="114"/>
      <c r="C333" s="114"/>
      <c r="D333" s="114"/>
      <c r="E333" s="114"/>
      <c r="F333" s="114"/>
      <c r="G333" s="114"/>
      <c r="H333" s="54"/>
      <c r="I333" s="54"/>
      <c r="J333" s="54"/>
      <c r="K333" s="54"/>
      <c r="L333" s="54"/>
      <c r="M333" s="54"/>
      <c r="P333" s="44"/>
    </row>
    <row r="334">
      <c r="A334" s="54"/>
      <c r="B334" s="114"/>
      <c r="C334" s="114"/>
      <c r="D334" s="114"/>
      <c r="E334" s="114"/>
      <c r="F334" s="114"/>
      <c r="G334" s="114"/>
      <c r="H334" s="54"/>
      <c r="I334" s="54"/>
      <c r="J334" s="54"/>
      <c r="K334" s="54"/>
      <c r="L334" s="54"/>
      <c r="M334" s="54"/>
      <c r="P334" s="44"/>
    </row>
    <row r="335">
      <c r="A335" s="54"/>
      <c r="B335" s="114"/>
      <c r="C335" s="114"/>
      <c r="D335" s="114"/>
      <c r="E335" s="114"/>
      <c r="F335" s="114"/>
      <c r="G335" s="114"/>
      <c r="H335" s="54"/>
      <c r="I335" s="54"/>
      <c r="J335" s="54"/>
      <c r="K335" s="54"/>
      <c r="L335" s="54"/>
      <c r="M335" s="54"/>
      <c r="P335" s="44"/>
    </row>
    <row r="336">
      <c r="A336" s="54"/>
      <c r="B336" s="114"/>
      <c r="C336" s="114"/>
      <c r="D336" s="114"/>
      <c r="E336" s="114"/>
      <c r="F336" s="114"/>
      <c r="G336" s="114"/>
      <c r="H336" s="54"/>
      <c r="I336" s="54"/>
      <c r="J336" s="54"/>
      <c r="K336" s="54"/>
      <c r="L336" s="54"/>
      <c r="M336" s="54"/>
      <c r="P336" s="44"/>
    </row>
    <row r="337">
      <c r="A337" s="54"/>
      <c r="B337" s="114"/>
      <c r="C337" s="114"/>
      <c r="D337" s="114"/>
      <c r="E337" s="114"/>
      <c r="F337" s="114"/>
      <c r="G337" s="114"/>
      <c r="H337" s="54"/>
      <c r="I337" s="54"/>
      <c r="J337" s="54"/>
      <c r="K337" s="54"/>
      <c r="L337" s="54"/>
      <c r="M337" s="54"/>
      <c r="P337" s="44"/>
    </row>
    <row r="338">
      <c r="A338" s="54"/>
      <c r="B338" s="114"/>
      <c r="C338" s="114"/>
      <c r="D338" s="114"/>
      <c r="E338" s="114"/>
      <c r="F338" s="114"/>
      <c r="G338" s="114"/>
      <c r="H338" s="54"/>
      <c r="I338" s="54"/>
      <c r="J338" s="54"/>
      <c r="K338" s="54"/>
      <c r="L338" s="54"/>
      <c r="M338" s="54"/>
      <c r="P338" s="44"/>
    </row>
    <row r="339">
      <c r="A339" s="54"/>
      <c r="B339" s="114"/>
      <c r="C339" s="114"/>
      <c r="D339" s="114"/>
      <c r="E339" s="114"/>
      <c r="F339" s="114"/>
      <c r="G339" s="114"/>
      <c r="H339" s="54"/>
      <c r="I339" s="54"/>
      <c r="J339" s="54"/>
      <c r="K339" s="54"/>
      <c r="L339" s="54"/>
      <c r="M339" s="54"/>
      <c r="P339" s="44"/>
    </row>
    <row r="340">
      <c r="A340" s="54"/>
      <c r="B340" s="114"/>
      <c r="C340" s="114"/>
      <c r="D340" s="114"/>
      <c r="E340" s="114"/>
      <c r="F340" s="114"/>
      <c r="G340" s="114"/>
      <c r="H340" s="54"/>
      <c r="I340" s="54"/>
      <c r="J340" s="54"/>
      <c r="K340" s="54"/>
      <c r="L340" s="54"/>
      <c r="M340" s="54"/>
      <c r="P340" s="44"/>
    </row>
    <row r="341">
      <c r="A341" s="54"/>
      <c r="B341" s="114"/>
      <c r="C341" s="114"/>
      <c r="D341" s="114"/>
      <c r="E341" s="114"/>
      <c r="F341" s="114"/>
      <c r="G341" s="114"/>
      <c r="H341" s="54"/>
      <c r="I341" s="54"/>
      <c r="J341" s="54"/>
      <c r="K341" s="54"/>
      <c r="L341" s="54"/>
      <c r="M341" s="54"/>
      <c r="P341" s="44"/>
    </row>
    <row r="342">
      <c r="A342" s="54"/>
      <c r="B342" s="114"/>
      <c r="C342" s="114"/>
      <c r="D342" s="114"/>
      <c r="E342" s="114"/>
      <c r="F342" s="114"/>
      <c r="G342" s="114"/>
      <c r="H342" s="54"/>
      <c r="I342" s="54"/>
      <c r="J342" s="54"/>
      <c r="K342" s="54"/>
      <c r="L342" s="54"/>
      <c r="M342" s="54"/>
      <c r="P342" s="44"/>
    </row>
    <row r="343">
      <c r="A343" s="54"/>
      <c r="B343" s="114"/>
      <c r="C343" s="114"/>
      <c r="D343" s="114"/>
      <c r="E343" s="114"/>
      <c r="F343" s="114"/>
      <c r="G343" s="114"/>
      <c r="H343" s="54"/>
      <c r="I343" s="54"/>
      <c r="J343" s="54"/>
      <c r="K343" s="54"/>
      <c r="L343" s="54"/>
      <c r="M343" s="54"/>
      <c r="P343" s="44"/>
    </row>
    <row r="344">
      <c r="A344" s="54"/>
      <c r="B344" s="114"/>
      <c r="C344" s="114"/>
      <c r="D344" s="114"/>
      <c r="E344" s="114"/>
      <c r="F344" s="114"/>
      <c r="G344" s="114"/>
      <c r="H344" s="54"/>
      <c r="I344" s="54"/>
      <c r="J344" s="54"/>
      <c r="K344" s="54"/>
      <c r="L344" s="54"/>
      <c r="M344" s="54"/>
      <c r="P344" s="44"/>
    </row>
    <row r="345">
      <c r="A345" s="54"/>
      <c r="B345" s="114"/>
      <c r="C345" s="114"/>
      <c r="D345" s="114"/>
      <c r="E345" s="114"/>
      <c r="F345" s="114"/>
      <c r="G345" s="114"/>
      <c r="H345" s="54"/>
      <c r="I345" s="54"/>
      <c r="J345" s="54"/>
      <c r="K345" s="54"/>
      <c r="L345" s="54"/>
      <c r="M345" s="54"/>
      <c r="P345" s="44"/>
    </row>
    <row r="346">
      <c r="A346" s="54"/>
      <c r="B346" s="114"/>
      <c r="C346" s="114"/>
      <c r="D346" s="114"/>
      <c r="E346" s="114"/>
      <c r="F346" s="114"/>
      <c r="G346" s="114"/>
      <c r="H346" s="54"/>
      <c r="I346" s="54"/>
      <c r="J346" s="54"/>
      <c r="K346" s="54"/>
      <c r="L346" s="54"/>
      <c r="M346" s="54"/>
      <c r="P346" s="44"/>
    </row>
    <row r="347">
      <c r="A347" s="54"/>
      <c r="B347" s="114"/>
      <c r="C347" s="114"/>
      <c r="D347" s="114"/>
      <c r="E347" s="114"/>
      <c r="F347" s="114"/>
      <c r="G347" s="114"/>
      <c r="H347" s="54"/>
      <c r="I347" s="54"/>
      <c r="J347" s="54"/>
      <c r="K347" s="54"/>
      <c r="L347" s="54"/>
      <c r="M347" s="54"/>
      <c r="P347" s="44"/>
    </row>
    <row r="348">
      <c r="A348" s="54"/>
      <c r="B348" s="114"/>
      <c r="C348" s="114"/>
      <c r="D348" s="114"/>
      <c r="E348" s="114"/>
      <c r="F348" s="114"/>
      <c r="G348" s="114"/>
      <c r="H348" s="54"/>
      <c r="I348" s="54"/>
      <c r="J348" s="54"/>
      <c r="K348" s="54"/>
      <c r="L348" s="54"/>
      <c r="M348" s="54"/>
      <c r="P348" s="44"/>
    </row>
    <row r="349">
      <c r="A349" s="54"/>
      <c r="B349" s="114"/>
      <c r="C349" s="114"/>
      <c r="D349" s="114"/>
      <c r="E349" s="114"/>
      <c r="F349" s="114"/>
      <c r="G349" s="114"/>
      <c r="H349" s="54"/>
      <c r="I349" s="54"/>
      <c r="J349" s="54"/>
      <c r="K349" s="54"/>
      <c r="L349" s="54"/>
      <c r="M349" s="54"/>
      <c r="P349" s="44"/>
    </row>
    <row r="350">
      <c r="A350" s="54"/>
      <c r="B350" s="114"/>
      <c r="C350" s="114"/>
      <c r="D350" s="114"/>
      <c r="E350" s="114"/>
      <c r="F350" s="114"/>
      <c r="G350" s="114"/>
      <c r="H350" s="54"/>
      <c r="I350" s="54"/>
      <c r="J350" s="54"/>
      <c r="K350" s="54"/>
      <c r="L350" s="54"/>
      <c r="M350" s="54"/>
      <c r="P350" s="44"/>
    </row>
    <row r="351">
      <c r="A351" s="54"/>
      <c r="B351" s="114"/>
      <c r="C351" s="114"/>
      <c r="D351" s="114"/>
      <c r="E351" s="114"/>
      <c r="F351" s="114"/>
      <c r="G351" s="114"/>
      <c r="H351" s="54"/>
      <c r="I351" s="54"/>
      <c r="J351" s="54"/>
      <c r="K351" s="54"/>
      <c r="L351" s="54"/>
      <c r="M351" s="54"/>
      <c r="P351" s="44"/>
    </row>
    <row r="352">
      <c r="A352" s="54"/>
      <c r="B352" s="114"/>
      <c r="C352" s="114"/>
      <c r="D352" s="114"/>
      <c r="E352" s="114"/>
      <c r="F352" s="114"/>
      <c r="G352" s="114"/>
      <c r="H352" s="54"/>
      <c r="I352" s="54"/>
      <c r="J352" s="54"/>
      <c r="K352" s="54"/>
      <c r="L352" s="54"/>
      <c r="M352" s="54"/>
      <c r="P352" s="44"/>
    </row>
    <row r="353">
      <c r="A353" s="54"/>
      <c r="B353" s="114"/>
      <c r="C353" s="114"/>
      <c r="D353" s="114"/>
      <c r="E353" s="114"/>
      <c r="F353" s="114"/>
      <c r="G353" s="114"/>
      <c r="H353" s="54"/>
      <c r="I353" s="54"/>
      <c r="J353" s="54"/>
      <c r="K353" s="54"/>
      <c r="L353" s="54"/>
      <c r="M353" s="54"/>
      <c r="P353" s="44"/>
    </row>
    <row r="354">
      <c r="A354" s="54"/>
      <c r="B354" s="114"/>
      <c r="C354" s="114"/>
      <c r="D354" s="114"/>
      <c r="E354" s="114"/>
      <c r="F354" s="114"/>
      <c r="G354" s="114"/>
      <c r="H354" s="54"/>
      <c r="I354" s="54"/>
      <c r="J354" s="54"/>
      <c r="K354" s="54"/>
      <c r="L354" s="54"/>
      <c r="M354" s="54"/>
      <c r="P354" s="44"/>
    </row>
    <row r="355">
      <c r="A355" s="54"/>
      <c r="B355" s="114"/>
      <c r="C355" s="114"/>
      <c r="D355" s="114"/>
      <c r="E355" s="114"/>
      <c r="F355" s="114"/>
      <c r="G355" s="114"/>
      <c r="H355" s="54"/>
      <c r="I355" s="54"/>
      <c r="J355" s="54"/>
      <c r="K355" s="54"/>
      <c r="L355" s="54"/>
      <c r="M355" s="54"/>
      <c r="P355" s="44"/>
    </row>
    <row r="356">
      <c r="A356" s="54"/>
      <c r="B356" s="114"/>
      <c r="C356" s="114"/>
      <c r="D356" s="114"/>
      <c r="E356" s="114"/>
      <c r="F356" s="114"/>
      <c r="G356" s="114"/>
      <c r="H356" s="54"/>
      <c r="I356" s="54"/>
      <c r="J356" s="54"/>
      <c r="K356" s="54"/>
      <c r="L356" s="54"/>
      <c r="M356" s="54"/>
      <c r="P356" s="44"/>
    </row>
    <row r="357">
      <c r="A357" s="54"/>
      <c r="B357" s="114"/>
      <c r="C357" s="114"/>
      <c r="D357" s="114"/>
      <c r="E357" s="114"/>
      <c r="F357" s="114"/>
      <c r="G357" s="114"/>
      <c r="H357" s="54"/>
      <c r="I357" s="54"/>
      <c r="J357" s="54"/>
      <c r="K357" s="54"/>
      <c r="L357" s="54"/>
      <c r="M357" s="54"/>
      <c r="P357" s="44"/>
    </row>
    <row r="358">
      <c r="A358" s="54"/>
      <c r="B358" s="114"/>
      <c r="C358" s="114"/>
      <c r="D358" s="114"/>
      <c r="E358" s="114"/>
      <c r="F358" s="114"/>
      <c r="G358" s="114"/>
      <c r="H358" s="54"/>
      <c r="I358" s="54"/>
      <c r="J358" s="54"/>
      <c r="K358" s="54"/>
      <c r="L358" s="54"/>
      <c r="M358" s="54"/>
      <c r="P358" s="44"/>
    </row>
    <row r="359">
      <c r="A359" s="54"/>
      <c r="B359" s="114"/>
      <c r="C359" s="114"/>
      <c r="D359" s="114"/>
      <c r="E359" s="114"/>
      <c r="F359" s="114"/>
      <c r="G359" s="114"/>
      <c r="H359" s="54"/>
      <c r="I359" s="54"/>
      <c r="J359" s="54"/>
      <c r="K359" s="54"/>
      <c r="L359" s="54"/>
      <c r="M359" s="54"/>
      <c r="P359" s="44"/>
    </row>
    <row r="360">
      <c r="A360" s="54"/>
      <c r="B360" s="114"/>
      <c r="C360" s="114"/>
      <c r="D360" s="114"/>
      <c r="E360" s="114"/>
      <c r="F360" s="114"/>
      <c r="G360" s="114"/>
      <c r="H360" s="54"/>
      <c r="I360" s="54"/>
      <c r="J360" s="54"/>
      <c r="K360" s="54"/>
      <c r="L360" s="54"/>
      <c r="M360" s="54"/>
      <c r="P360" s="44"/>
    </row>
    <row r="361">
      <c r="A361" s="54"/>
      <c r="B361" s="114"/>
      <c r="C361" s="114"/>
      <c r="D361" s="114"/>
      <c r="E361" s="114"/>
      <c r="F361" s="114"/>
      <c r="G361" s="114"/>
      <c r="H361" s="54"/>
      <c r="I361" s="54"/>
      <c r="J361" s="54"/>
      <c r="K361" s="54"/>
      <c r="L361" s="54"/>
      <c r="M361" s="54"/>
      <c r="P361" s="44"/>
    </row>
    <row r="362">
      <c r="A362" s="54"/>
      <c r="B362" s="114"/>
      <c r="C362" s="114"/>
      <c r="D362" s="114"/>
      <c r="E362" s="114"/>
      <c r="F362" s="114"/>
      <c r="G362" s="114"/>
      <c r="H362" s="54"/>
      <c r="I362" s="54"/>
      <c r="J362" s="54"/>
      <c r="K362" s="54"/>
      <c r="L362" s="54"/>
      <c r="M362" s="54"/>
      <c r="P362" s="44"/>
    </row>
    <row r="363">
      <c r="A363" s="54"/>
      <c r="B363" s="114"/>
      <c r="C363" s="114"/>
      <c r="D363" s="114"/>
      <c r="E363" s="114"/>
      <c r="F363" s="114"/>
      <c r="G363" s="114"/>
      <c r="H363" s="54"/>
      <c r="I363" s="54"/>
      <c r="J363" s="54"/>
      <c r="K363" s="54"/>
      <c r="L363" s="54"/>
      <c r="M363" s="54"/>
      <c r="P363" s="44"/>
    </row>
    <row r="364">
      <c r="A364" s="54"/>
      <c r="B364" s="114"/>
      <c r="C364" s="114"/>
      <c r="D364" s="114"/>
      <c r="E364" s="114"/>
      <c r="F364" s="114"/>
      <c r="G364" s="114"/>
      <c r="H364" s="54"/>
      <c r="I364" s="54"/>
      <c r="J364" s="54"/>
      <c r="K364" s="54"/>
      <c r="L364" s="54"/>
      <c r="M364" s="54"/>
      <c r="P364" s="44"/>
    </row>
    <row r="365">
      <c r="A365" s="54"/>
      <c r="B365" s="114"/>
      <c r="C365" s="114"/>
      <c r="D365" s="114"/>
      <c r="E365" s="114"/>
      <c r="F365" s="114"/>
      <c r="G365" s="114"/>
      <c r="H365" s="54"/>
      <c r="I365" s="54"/>
      <c r="J365" s="54"/>
      <c r="K365" s="54"/>
      <c r="L365" s="54"/>
      <c r="M365" s="54"/>
      <c r="P365" s="44"/>
    </row>
    <row r="366">
      <c r="A366" s="54"/>
      <c r="B366" s="114"/>
      <c r="C366" s="114"/>
      <c r="D366" s="114"/>
      <c r="E366" s="114"/>
      <c r="F366" s="114"/>
      <c r="G366" s="114"/>
      <c r="H366" s="54"/>
      <c r="I366" s="54"/>
      <c r="J366" s="54"/>
      <c r="K366" s="54"/>
      <c r="L366" s="54"/>
      <c r="M366" s="54"/>
      <c r="P366" s="44"/>
    </row>
    <row r="367">
      <c r="A367" s="54"/>
      <c r="B367" s="114"/>
      <c r="C367" s="114"/>
      <c r="D367" s="114"/>
      <c r="E367" s="114"/>
      <c r="F367" s="114"/>
      <c r="G367" s="114"/>
      <c r="H367" s="54"/>
      <c r="I367" s="54"/>
      <c r="J367" s="54"/>
      <c r="K367" s="54"/>
      <c r="L367" s="54"/>
      <c r="M367" s="54"/>
      <c r="P367" s="44"/>
    </row>
    <row r="368">
      <c r="A368" s="54"/>
      <c r="B368" s="114"/>
      <c r="C368" s="114"/>
      <c r="D368" s="114"/>
      <c r="E368" s="114"/>
      <c r="F368" s="114"/>
      <c r="G368" s="114"/>
      <c r="H368" s="54"/>
      <c r="I368" s="54"/>
      <c r="J368" s="54"/>
      <c r="K368" s="54"/>
      <c r="L368" s="54"/>
      <c r="M368" s="54"/>
      <c r="P368" s="44"/>
    </row>
    <row r="369">
      <c r="A369" s="54"/>
      <c r="B369" s="114"/>
      <c r="C369" s="114"/>
      <c r="D369" s="114"/>
      <c r="E369" s="114"/>
      <c r="F369" s="114"/>
      <c r="G369" s="114"/>
      <c r="H369" s="54"/>
      <c r="I369" s="54"/>
      <c r="J369" s="54"/>
      <c r="K369" s="54"/>
      <c r="L369" s="54"/>
      <c r="M369" s="54"/>
      <c r="P369" s="44"/>
    </row>
    <row r="370">
      <c r="A370" s="54"/>
      <c r="B370" s="114"/>
      <c r="C370" s="114"/>
      <c r="D370" s="114"/>
      <c r="E370" s="114"/>
      <c r="F370" s="114"/>
      <c r="G370" s="114"/>
      <c r="H370" s="54"/>
      <c r="I370" s="54"/>
      <c r="J370" s="54"/>
      <c r="K370" s="54"/>
      <c r="L370" s="54"/>
      <c r="M370" s="54"/>
      <c r="P370" s="44"/>
    </row>
    <row r="371">
      <c r="A371" s="54"/>
      <c r="B371" s="114"/>
      <c r="C371" s="114"/>
      <c r="D371" s="114"/>
      <c r="E371" s="114"/>
      <c r="F371" s="114"/>
      <c r="G371" s="114"/>
      <c r="H371" s="54"/>
      <c r="I371" s="54"/>
      <c r="J371" s="54"/>
      <c r="K371" s="54"/>
      <c r="L371" s="54"/>
      <c r="M371" s="54"/>
      <c r="P371" s="44"/>
    </row>
    <row r="372">
      <c r="A372" s="54"/>
      <c r="B372" s="114"/>
      <c r="C372" s="114"/>
      <c r="D372" s="114"/>
      <c r="E372" s="114"/>
      <c r="F372" s="114"/>
      <c r="G372" s="114"/>
      <c r="H372" s="54"/>
      <c r="I372" s="54"/>
      <c r="J372" s="54"/>
      <c r="K372" s="54"/>
      <c r="L372" s="54"/>
      <c r="M372" s="54"/>
      <c r="P372" s="44"/>
    </row>
    <row r="373">
      <c r="A373" s="54"/>
      <c r="B373" s="114"/>
      <c r="C373" s="114"/>
      <c r="D373" s="114"/>
      <c r="E373" s="114"/>
      <c r="F373" s="114"/>
      <c r="G373" s="114"/>
      <c r="H373" s="54"/>
      <c r="I373" s="54"/>
      <c r="J373" s="54"/>
      <c r="K373" s="54"/>
      <c r="L373" s="54"/>
      <c r="M373" s="54"/>
      <c r="P373" s="44"/>
    </row>
    <row r="374">
      <c r="A374" s="54"/>
      <c r="B374" s="114"/>
      <c r="C374" s="114"/>
      <c r="D374" s="114"/>
      <c r="E374" s="114"/>
      <c r="F374" s="114"/>
      <c r="G374" s="114"/>
      <c r="H374" s="54"/>
      <c r="I374" s="54"/>
      <c r="J374" s="54"/>
      <c r="K374" s="54"/>
      <c r="L374" s="54"/>
      <c r="M374" s="54"/>
      <c r="P374" s="44"/>
    </row>
    <row r="375">
      <c r="A375" s="54"/>
      <c r="B375" s="114"/>
      <c r="C375" s="114"/>
      <c r="D375" s="114"/>
      <c r="E375" s="114"/>
      <c r="F375" s="114"/>
      <c r="G375" s="114"/>
      <c r="H375" s="54"/>
      <c r="I375" s="54"/>
      <c r="J375" s="54"/>
      <c r="K375" s="54"/>
      <c r="L375" s="54"/>
      <c r="M375" s="54"/>
      <c r="P375" s="44"/>
    </row>
    <row r="376">
      <c r="A376" s="54"/>
      <c r="B376" s="114"/>
      <c r="C376" s="114"/>
      <c r="D376" s="114"/>
      <c r="E376" s="114"/>
      <c r="F376" s="114"/>
      <c r="G376" s="114"/>
      <c r="H376" s="54"/>
      <c r="I376" s="54"/>
      <c r="J376" s="54"/>
      <c r="K376" s="54"/>
      <c r="L376" s="54"/>
      <c r="M376" s="54"/>
      <c r="P376" s="44"/>
    </row>
    <row r="377">
      <c r="A377" s="54"/>
      <c r="B377" s="114"/>
      <c r="C377" s="114"/>
      <c r="D377" s="114"/>
      <c r="E377" s="114"/>
      <c r="F377" s="114"/>
      <c r="G377" s="114"/>
      <c r="H377" s="54"/>
      <c r="I377" s="54"/>
      <c r="J377" s="54"/>
      <c r="K377" s="54"/>
      <c r="L377" s="54"/>
      <c r="M377" s="54"/>
      <c r="P377" s="44"/>
    </row>
    <row r="378">
      <c r="A378" s="54"/>
      <c r="B378" s="114"/>
      <c r="C378" s="114"/>
      <c r="D378" s="114"/>
      <c r="E378" s="114"/>
      <c r="F378" s="114"/>
      <c r="G378" s="114"/>
      <c r="H378" s="54"/>
      <c r="I378" s="54"/>
      <c r="J378" s="54"/>
      <c r="K378" s="54"/>
      <c r="L378" s="54"/>
      <c r="M378" s="54"/>
      <c r="P378" s="44"/>
    </row>
    <row r="379">
      <c r="A379" s="54"/>
      <c r="B379" s="114"/>
      <c r="C379" s="114"/>
      <c r="D379" s="114"/>
      <c r="E379" s="114"/>
      <c r="F379" s="114"/>
      <c r="G379" s="114"/>
      <c r="H379" s="54"/>
      <c r="I379" s="54"/>
      <c r="J379" s="54"/>
      <c r="K379" s="54"/>
      <c r="L379" s="54"/>
      <c r="M379" s="54"/>
      <c r="P379" s="44"/>
    </row>
    <row r="380">
      <c r="A380" s="54"/>
      <c r="B380" s="114"/>
      <c r="C380" s="114"/>
      <c r="D380" s="114"/>
      <c r="E380" s="114"/>
      <c r="F380" s="114"/>
      <c r="G380" s="114"/>
      <c r="H380" s="54"/>
      <c r="I380" s="54"/>
      <c r="J380" s="54"/>
      <c r="K380" s="54"/>
      <c r="L380" s="54"/>
      <c r="M380" s="54"/>
      <c r="P380" s="44"/>
    </row>
    <row r="381">
      <c r="A381" s="54"/>
      <c r="B381" s="114"/>
      <c r="C381" s="114"/>
      <c r="D381" s="114"/>
      <c r="E381" s="114"/>
      <c r="F381" s="114"/>
      <c r="G381" s="114"/>
      <c r="H381" s="54"/>
      <c r="I381" s="54"/>
      <c r="J381" s="54"/>
      <c r="K381" s="54"/>
      <c r="L381" s="54"/>
      <c r="M381" s="54"/>
      <c r="P381" s="44"/>
    </row>
    <row r="382">
      <c r="A382" s="54"/>
      <c r="B382" s="114"/>
      <c r="C382" s="114"/>
      <c r="D382" s="114"/>
      <c r="E382" s="114"/>
      <c r="F382" s="114"/>
      <c r="G382" s="114"/>
      <c r="H382" s="54"/>
      <c r="I382" s="54"/>
      <c r="J382" s="54"/>
      <c r="K382" s="54"/>
      <c r="L382" s="54"/>
      <c r="M382" s="54"/>
      <c r="P382" s="44"/>
    </row>
    <row r="383">
      <c r="A383" s="54"/>
      <c r="B383" s="114"/>
      <c r="C383" s="114"/>
      <c r="D383" s="114"/>
      <c r="E383" s="114"/>
      <c r="F383" s="114"/>
      <c r="G383" s="114"/>
      <c r="H383" s="54"/>
      <c r="I383" s="54"/>
      <c r="J383" s="54"/>
      <c r="K383" s="54"/>
      <c r="L383" s="54"/>
      <c r="M383" s="54"/>
      <c r="P383" s="44"/>
    </row>
    <row r="384">
      <c r="A384" s="54"/>
      <c r="B384" s="114"/>
      <c r="C384" s="114"/>
      <c r="D384" s="114"/>
      <c r="E384" s="114"/>
      <c r="F384" s="114"/>
      <c r="G384" s="114"/>
      <c r="H384" s="54"/>
      <c r="I384" s="54"/>
      <c r="J384" s="54"/>
      <c r="K384" s="54"/>
      <c r="L384" s="54"/>
      <c r="M384" s="54"/>
      <c r="P384" s="44"/>
    </row>
    <row r="385">
      <c r="A385" s="54"/>
      <c r="B385" s="114"/>
      <c r="C385" s="114"/>
      <c r="D385" s="114"/>
      <c r="E385" s="114"/>
      <c r="F385" s="114"/>
      <c r="G385" s="114"/>
      <c r="H385" s="54"/>
      <c r="I385" s="54"/>
      <c r="J385" s="54"/>
      <c r="K385" s="54"/>
      <c r="L385" s="54"/>
      <c r="M385" s="54"/>
      <c r="P385" s="44"/>
    </row>
    <row r="386">
      <c r="A386" s="54"/>
      <c r="B386" s="114"/>
      <c r="C386" s="114"/>
      <c r="D386" s="114"/>
      <c r="E386" s="114"/>
      <c r="F386" s="114"/>
      <c r="G386" s="114"/>
      <c r="H386" s="54"/>
      <c r="I386" s="54"/>
      <c r="J386" s="54"/>
      <c r="K386" s="54"/>
      <c r="L386" s="54"/>
      <c r="M386" s="54"/>
      <c r="P386" s="44"/>
    </row>
    <row r="387">
      <c r="A387" s="54"/>
      <c r="B387" s="114"/>
      <c r="C387" s="114"/>
      <c r="D387" s="114"/>
      <c r="E387" s="114"/>
      <c r="F387" s="114"/>
      <c r="G387" s="114"/>
      <c r="H387" s="54"/>
      <c r="I387" s="54"/>
      <c r="J387" s="54"/>
      <c r="K387" s="54"/>
      <c r="L387" s="54"/>
      <c r="M387" s="54"/>
      <c r="P387" s="44"/>
    </row>
    <row r="388">
      <c r="A388" s="54"/>
      <c r="B388" s="114"/>
      <c r="C388" s="114"/>
      <c r="D388" s="114"/>
      <c r="E388" s="114"/>
      <c r="F388" s="114"/>
      <c r="G388" s="114"/>
      <c r="H388" s="54"/>
      <c r="I388" s="54"/>
      <c r="J388" s="54"/>
      <c r="K388" s="54"/>
      <c r="L388" s="54"/>
      <c r="M388" s="54"/>
      <c r="P388" s="44"/>
    </row>
    <row r="389">
      <c r="A389" s="54"/>
      <c r="B389" s="114"/>
      <c r="C389" s="114"/>
      <c r="D389" s="114"/>
      <c r="E389" s="114"/>
      <c r="F389" s="114"/>
      <c r="G389" s="114"/>
      <c r="H389" s="54"/>
      <c r="I389" s="54"/>
      <c r="J389" s="54"/>
      <c r="K389" s="54"/>
      <c r="L389" s="54"/>
      <c r="M389" s="54"/>
      <c r="P389" s="44"/>
    </row>
    <row r="390">
      <c r="A390" s="54"/>
      <c r="B390" s="114"/>
      <c r="C390" s="114"/>
      <c r="D390" s="114"/>
      <c r="E390" s="114"/>
      <c r="F390" s="114"/>
      <c r="G390" s="114"/>
      <c r="H390" s="54"/>
      <c r="I390" s="54"/>
      <c r="J390" s="54"/>
      <c r="K390" s="54"/>
      <c r="L390" s="54"/>
      <c r="M390" s="54"/>
      <c r="P390" s="44"/>
    </row>
    <row r="391">
      <c r="A391" s="54"/>
      <c r="B391" s="114"/>
      <c r="C391" s="114"/>
      <c r="D391" s="114"/>
      <c r="E391" s="114"/>
      <c r="F391" s="114"/>
      <c r="G391" s="114"/>
      <c r="H391" s="54"/>
      <c r="I391" s="54"/>
      <c r="J391" s="54"/>
      <c r="K391" s="54"/>
      <c r="L391" s="54"/>
      <c r="M391" s="54"/>
      <c r="P391" s="44"/>
    </row>
    <row r="392">
      <c r="A392" s="54"/>
      <c r="B392" s="114"/>
      <c r="C392" s="114"/>
      <c r="D392" s="114"/>
      <c r="E392" s="114"/>
      <c r="F392" s="114"/>
      <c r="G392" s="114"/>
      <c r="H392" s="54"/>
      <c r="I392" s="54"/>
      <c r="J392" s="54"/>
      <c r="K392" s="54"/>
      <c r="L392" s="54"/>
      <c r="M392" s="54"/>
      <c r="P392" s="44"/>
    </row>
    <row r="393">
      <c r="A393" s="54"/>
      <c r="B393" s="114"/>
      <c r="C393" s="114"/>
      <c r="D393" s="114"/>
      <c r="E393" s="114"/>
      <c r="F393" s="114"/>
      <c r="G393" s="114"/>
      <c r="H393" s="54"/>
      <c r="I393" s="54"/>
      <c r="J393" s="54"/>
      <c r="K393" s="54"/>
      <c r="L393" s="54"/>
      <c r="M393" s="54"/>
      <c r="P393" s="44"/>
    </row>
    <row r="394">
      <c r="A394" s="54"/>
      <c r="B394" s="114"/>
      <c r="C394" s="114"/>
      <c r="D394" s="114"/>
      <c r="E394" s="114"/>
      <c r="F394" s="114"/>
      <c r="G394" s="114"/>
      <c r="H394" s="54"/>
      <c r="I394" s="54"/>
      <c r="J394" s="54"/>
      <c r="K394" s="54"/>
      <c r="L394" s="54"/>
      <c r="M394" s="54"/>
      <c r="P394" s="44"/>
    </row>
    <row r="395">
      <c r="A395" s="54"/>
      <c r="B395" s="114"/>
      <c r="C395" s="114"/>
      <c r="D395" s="114"/>
      <c r="E395" s="114"/>
      <c r="F395" s="114"/>
      <c r="G395" s="114"/>
      <c r="H395" s="54"/>
      <c r="I395" s="54"/>
      <c r="J395" s="54"/>
      <c r="K395" s="54"/>
      <c r="L395" s="54"/>
      <c r="M395" s="54"/>
      <c r="P395" s="44"/>
    </row>
    <row r="396">
      <c r="A396" s="54"/>
      <c r="B396" s="114"/>
      <c r="C396" s="114"/>
      <c r="D396" s="114"/>
      <c r="E396" s="114"/>
      <c r="F396" s="114"/>
      <c r="G396" s="114"/>
      <c r="H396" s="54"/>
      <c r="I396" s="54"/>
      <c r="J396" s="54"/>
      <c r="K396" s="54"/>
      <c r="L396" s="54"/>
      <c r="M396" s="54"/>
      <c r="P396" s="44"/>
    </row>
    <row r="397">
      <c r="A397" s="54"/>
      <c r="B397" s="114"/>
      <c r="C397" s="114"/>
      <c r="D397" s="114"/>
      <c r="E397" s="114"/>
      <c r="F397" s="114"/>
      <c r="G397" s="114"/>
      <c r="H397" s="54"/>
      <c r="I397" s="54"/>
      <c r="J397" s="54"/>
      <c r="K397" s="54"/>
      <c r="L397" s="54"/>
      <c r="M397" s="54"/>
      <c r="P397" s="44"/>
    </row>
    <row r="398">
      <c r="A398" s="54"/>
      <c r="B398" s="114"/>
      <c r="C398" s="114"/>
      <c r="D398" s="114"/>
      <c r="E398" s="114"/>
      <c r="F398" s="114"/>
      <c r="G398" s="114"/>
      <c r="H398" s="54"/>
      <c r="I398" s="54"/>
      <c r="J398" s="54"/>
      <c r="K398" s="54"/>
      <c r="L398" s="54"/>
      <c r="M398" s="54"/>
      <c r="P398" s="44"/>
    </row>
    <row r="399">
      <c r="A399" s="54"/>
      <c r="B399" s="114"/>
      <c r="C399" s="114"/>
      <c r="D399" s="114"/>
      <c r="E399" s="114"/>
      <c r="F399" s="114"/>
      <c r="G399" s="114"/>
      <c r="H399" s="54"/>
      <c r="I399" s="54"/>
      <c r="J399" s="54"/>
      <c r="K399" s="54"/>
      <c r="L399" s="54"/>
      <c r="M399" s="54"/>
      <c r="P399" s="44"/>
    </row>
    <row r="400">
      <c r="A400" s="54"/>
      <c r="B400" s="114"/>
      <c r="C400" s="114"/>
      <c r="D400" s="114"/>
      <c r="E400" s="114"/>
      <c r="F400" s="114"/>
      <c r="G400" s="114"/>
      <c r="H400" s="54"/>
      <c r="I400" s="54"/>
      <c r="J400" s="54"/>
      <c r="K400" s="54"/>
      <c r="L400" s="54"/>
      <c r="M400" s="54"/>
      <c r="P400" s="44"/>
    </row>
    <row r="401">
      <c r="A401" s="54"/>
      <c r="B401" s="114"/>
      <c r="C401" s="114"/>
      <c r="D401" s="114"/>
      <c r="E401" s="114"/>
      <c r="F401" s="114"/>
      <c r="G401" s="114"/>
      <c r="H401" s="54"/>
      <c r="I401" s="54"/>
      <c r="J401" s="54"/>
      <c r="K401" s="54"/>
      <c r="L401" s="54"/>
      <c r="M401" s="54"/>
      <c r="P401" s="44"/>
    </row>
    <row r="402">
      <c r="A402" s="54"/>
      <c r="B402" s="114"/>
      <c r="C402" s="114"/>
      <c r="D402" s="114"/>
      <c r="E402" s="114"/>
      <c r="F402" s="114"/>
      <c r="G402" s="114"/>
      <c r="H402" s="54"/>
      <c r="I402" s="54"/>
      <c r="J402" s="54"/>
      <c r="K402" s="54"/>
      <c r="L402" s="54"/>
      <c r="M402" s="54"/>
      <c r="P402" s="44"/>
    </row>
    <row r="403">
      <c r="A403" s="54"/>
      <c r="B403" s="114"/>
      <c r="C403" s="114"/>
      <c r="D403" s="114"/>
      <c r="E403" s="114"/>
      <c r="F403" s="114"/>
      <c r="G403" s="114"/>
      <c r="H403" s="54"/>
      <c r="I403" s="54"/>
      <c r="J403" s="54"/>
      <c r="K403" s="54"/>
      <c r="L403" s="54"/>
      <c r="M403" s="54"/>
      <c r="P403" s="44"/>
    </row>
    <row r="404">
      <c r="A404" s="54"/>
      <c r="B404" s="114"/>
      <c r="C404" s="114"/>
      <c r="D404" s="114"/>
      <c r="E404" s="114"/>
      <c r="F404" s="114"/>
      <c r="G404" s="114"/>
      <c r="H404" s="54"/>
      <c r="I404" s="54"/>
      <c r="J404" s="54"/>
      <c r="K404" s="54"/>
      <c r="L404" s="54"/>
      <c r="M404" s="54"/>
      <c r="P404" s="44"/>
    </row>
    <row r="405">
      <c r="A405" s="54"/>
      <c r="B405" s="114"/>
      <c r="C405" s="114"/>
      <c r="D405" s="114"/>
      <c r="E405" s="114"/>
      <c r="F405" s="114"/>
      <c r="G405" s="114"/>
      <c r="H405" s="54"/>
      <c r="I405" s="54"/>
      <c r="J405" s="54"/>
      <c r="K405" s="54"/>
      <c r="L405" s="54"/>
      <c r="M405" s="54"/>
      <c r="P405" s="44"/>
    </row>
    <row r="406">
      <c r="A406" s="54"/>
      <c r="B406" s="114"/>
      <c r="C406" s="114"/>
      <c r="D406" s="114"/>
      <c r="E406" s="114"/>
      <c r="F406" s="114"/>
      <c r="G406" s="114"/>
      <c r="H406" s="54"/>
      <c r="I406" s="54"/>
      <c r="J406" s="54"/>
      <c r="K406" s="54"/>
      <c r="L406" s="54"/>
      <c r="M406" s="54"/>
      <c r="P406" s="44"/>
    </row>
    <row r="407">
      <c r="A407" s="54"/>
      <c r="B407" s="114"/>
      <c r="C407" s="114"/>
      <c r="D407" s="114"/>
      <c r="E407" s="114"/>
      <c r="F407" s="114"/>
      <c r="G407" s="114"/>
      <c r="H407" s="54"/>
      <c r="I407" s="54"/>
      <c r="J407" s="54"/>
      <c r="K407" s="54"/>
      <c r="L407" s="54"/>
      <c r="M407" s="54"/>
      <c r="P407" s="44"/>
    </row>
    <row r="408">
      <c r="A408" s="54"/>
      <c r="B408" s="114"/>
      <c r="C408" s="114"/>
      <c r="D408" s="114"/>
      <c r="E408" s="114"/>
      <c r="F408" s="114"/>
      <c r="G408" s="114"/>
      <c r="H408" s="54"/>
      <c r="I408" s="54"/>
      <c r="J408" s="54"/>
      <c r="K408" s="54"/>
      <c r="L408" s="54"/>
      <c r="M408" s="54"/>
      <c r="P408" s="44"/>
    </row>
    <row r="409">
      <c r="A409" s="54"/>
      <c r="B409" s="114"/>
      <c r="C409" s="114"/>
      <c r="D409" s="114"/>
      <c r="E409" s="114"/>
      <c r="F409" s="114"/>
      <c r="G409" s="114"/>
      <c r="H409" s="54"/>
      <c r="I409" s="54"/>
      <c r="J409" s="54"/>
      <c r="K409" s="54"/>
      <c r="L409" s="54"/>
      <c r="M409" s="54"/>
      <c r="P409" s="44"/>
    </row>
    <row r="410">
      <c r="A410" s="54"/>
      <c r="B410" s="114"/>
      <c r="C410" s="114"/>
      <c r="D410" s="114"/>
      <c r="E410" s="114"/>
      <c r="F410" s="114"/>
      <c r="G410" s="114"/>
      <c r="H410" s="54"/>
      <c r="I410" s="54"/>
      <c r="J410" s="54"/>
      <c r="K410" s="54"/>
      <c r="L410" s="54"/>
      <c r="M410" s="54"/>
      <c r="P410" s="44"/>
    </row>
    <row r="411">
      <c r="A411" s="54"/>
      <c r="B411" s="114"/>
      <c r="C411" s="114"/>
      <c r="D411" s="114"/>
      <c r="E411" s="114"/>
      <c r="F411" s="114"/>
      <c r="G411" s="114"/>
      <c r="H411" s="54"/>
      <c r="I411" s="54"/>
      <c r="J411" s="54"/>
      <c r="K411" s="54"/>
      <c r="L411" s="54"/>
      <c r="M411" s="54"/>
      <c r="P411" s="44"/>
    </row>
    <row r="412">
      <c r="A412" s="54"/>
      <c r="B412" s="114"/>
      <c r="C412" s="114"/>
      <c r="D412" s="114"/>
      <c r="E412" s="114"/>
      <c r="F412" s="114"/>
      <c r="G412" s="114"/>
      <c r="H412" s="54"/>
      <c r="I412" s="54"/>
      <c r="J412" s="54"/>
      <c r="K412" s="54"/>
      <c r="L412" s="54"/>
      <c r="M412" s="54"/>
      <c r="P412" s="44"/>
    </row>
    <row r="413">
      <c r="A413" s="54"/>
      <c r="B413" s="114"/>
      <c r="C413" s="114"/>
      <c r="D413" s="114"/>
      <c r="E413" s="114"/>
      <c r="F413" s="114"/>
      <c r="G413" s="114"/>
      <c r="H413" s="54"/>
      <c r="I413" s="54"/>
      <c r="J413" s="54"/>
      <c r="K413" s="54"/>
      <c r="L413" s="54"/>
      <c r="M413" s="54"/>
      <c r="P413" s="44"/>
    </row>
    <row r="414">
      <c r="A414" s="54"/>
      <c r="B414" s="114"/>
      <c r="C414" s="114"/>
      <c r="D414" s="114"/>
      <c r="E414" s="114"/>
      <c r="F414" s="114"/>
      <c r="G414" s="114"/>
      <c r="H414" s="54"/>
      <c r="I414" s="54"/>
      <c r="J414" s="54"/>
      <c r="K414" s="54"/>
      <c r="L414" s="54"/>
      <c r="M414" s="54"/>
      <c r="P414" s="44"/>
    </row>
    <row r="415">
      <c r="A415" s="54"/>
      <c r="B415" s="114"/>
      <c r="C415" s="114"/>
      <c r="D415" s="114"/>
      <c r="E415" s="114"/>
      <c r="F415" s="114"/>
      <c r="G415" s="114"/>
      <c r="H415" s="54"/>
      <c r="I415" s="54"/>
      <c r="J415" s="54"/>
      <c r="K415" s="54"/>
      <c r="L415" s="54"/>
      <c r="M415" s="54"/>
      <c r="P415" s="44"/>
    </row>
    <row r="416">
      <c r="A416" s="54"/>
      <c r="B416" s="114"/>
      <c r="C416" s="114"/>
      <c r="D416" s="114"/>
      <c r="E416" s="114"/>
      <c r="F416" s="114"/>
      <c r="G416" s="114"/>
      <c r="H416" s="54"/>
      <c r="I416" s="54"/>
      <c r="J416" s="54"/>
      <c r="K416" s="54"/>
      <c r="L416" s="54"/>
      <c r="M416" s="54"/>
      <c r="P416" s="44"/>
    </row>
    <row r="417">
      <c r="A417" s="54"/>
      <c r="B417" s="114"/>
      <c r="C417" s="114"/>
      <c r="D417" s="114"/>
      <c r="E417" s="114"/>
      <c r="F417" s="114"/>
      <c r="G417" s="114"/>
      <c r="H417" s="54"/>
      <c r="I417" s="54"/>
      <c r="J417" s="54"/>
      <c r="K417" s="54"/>
      <c r="L417" s="54"/>
      <c r="M417" s="54"/>
      <c r="P417" s="44"/>
    </row>
    <row r="418">
      <c r="A418" s="54"/>
      <c r="B418" s="114"/>
      <c r="C418" s="114"/>
      <c r="D418" s="114"/>
      <c r="E418" s="114"/>
      <c r="F418" s="114"/>
      <c r="G418" s="114"/>
      <c r="H418" s="54"/>
      <c r="I418" s="54"/>
      <c r="J418" s="54"/>
      <c r="K418" s="54"/>
      <c r="L418" s="54"/>
      <c r="M418" s="54"/>
      <c r="P418" s="44"/>
    </row>
    <row r="419">
      <c r="A419" s="54"/>
      <c r="B419" s="114"/>
      <c r="C419" s="114"/>
      <c r="D419" s="114"/>
      <c r="E419" s="114"/>
      <c r="F419" s="114"/>
      <c r="G419" s="114"/>
      <c r="H419" s="54"/>
      <c r="I419" s="54"/>
      <c r="J419" s="54"/>
      <c r="K419" s="54"/>
      <c r="L419" s="54"/>
      <c r="M419" s="54"/>
      <c r="P419" s="44"/>
    </row>
    <row r="420">
      <c r="A420" s="54"/>
      <c r="B420" s="114"/>
      <c r="C420" s="114"/>
      <c r="D420" s="114"/>
      <c r="E420" s="114"/>
      <c r="F420" s="114"/>
      <c r="G420" s="114"/>
      <c r="H420" s="54"/>
      <c r="I420" s="54"/>
      <c r="J420" s="54"/>
      <c r="K420" s="54"/>
      <c r="L420" s="54"/>
      <c r="M420" s="54"/>
      <c r="P420" s="44"/>
    </row>
    <row r="421">
      <c r="A421" s="54"/>
      <c r="B421" s="114"/>
      <c r="C421" s="114"/>
      <c r="D421" s="114"/>
      <c r="E421" s="114"/>
      <c r="F421" s="114"/>
      <c r="G421" s="114"/>
      <c r="H421" s="54"/>
      <c r="I421" s="54"/>
      <c r="J421" s="54"/>
      <c r="K421" s="54"/>
      <c r="L421" s="54"/>
      <c r="M421" s="54"/>
      <c r="P421" s="44"/>
    </row>
    <row r="422">
      <c r="A422" s="54"/>
      <c r="B422" s="114"/>
      <c r="C422" s="114"/>
      <c r="D422" s="114"/>
      <c r="E422" s="114"/>
      <c r="F422" s="114"/>
      <c r="G422" s="114"/>
      <c r="H422" s="54"/>
      <c r="I422" s="54"/>
      <c r="J422" s="54"/>
      <c r="K422" s="54"/>
      <c r="L422" s="54"/>
      <c r="M422" s="54"/>
      <c r="P422" s="44"/>
    </row>
    <row r="423">
      <c r="A423" s="54"/>
      <c r="B423" s="114"/>
      <c r="C423" s="114"/>
      <c r="D423" s="114"/>
      <c r="E423" s="114"/>
      <c r="F423" s="114"/>
      <c r="G423" s="114"/>
      <c r="H423" s="54"/>
      <c r="I423" s="54"/>
      <c r="J423" s="54"/>
      <c r="K423" s="54"/>
      <c r="L423" s="54"/>
      <c r="M423" s="54"/>
      <c r="P423" s="4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P424" s="4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P425" s="4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P426" s="4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P427" s="4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P428" s="4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P429" s="4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P430" s="4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P431" s="4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P432" s="4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P433" s="4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P434" s="4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P435" s="4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P436" s="4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P437" s="4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P438" s="4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P439" s="4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P440" s="4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P441" s="4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P442" s="4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P443" s="4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P444" s="4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P445" s="4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P446" s="4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P447" s="4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P448" s="4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P449" s="4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P450" s="4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P451" s="4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P452" s="4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P453" s="4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P454" s="4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P455" s="4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P456" s="4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P457" s="4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P458" s="4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P459" s="4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P460" s="4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P461" s="4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P462" s="4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P463" s="4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P464" s="4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P465" s="4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P466" s="4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P467" s="4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P468" s="4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P469" s="4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P470" s="4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P471" s="4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P472" s="4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P473" s="4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P474" s="4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P475" s="4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P476" s="4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P477" s="4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P478" s="4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P479" s="4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P480" s="4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P481" s="4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P482" s="4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P483" s="4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P484" s="4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P485" s="4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P486" s="4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P487" s="4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P488" s="4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P489" s="4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P490" s="4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P491" s="4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P492" s="4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P493" s="4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P494" s="4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P495" s="4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P496" s="4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P497" s="4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P498" s="4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P499" s="4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P500" s="4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P501" s="4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P502" s="4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P503" s="4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P504" s="4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P505" s="4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P506" s="4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P507" s="4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P508" s="4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P509" s="4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P510" s="4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P511" s="4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P512" s="4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P513" s="4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P514" s="4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P515" s="4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P516" s="4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P517" s="4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P518" s="4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P519" s="4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P520" s="4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P521" s="4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P522" s="4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P523" s="4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P524" s="4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P525" s="4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P526" s="4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P527" s="4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P528" s="4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P529" s="4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P530" s="4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P531" s="4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P532" s="4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P533" s="4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P534" s="4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P535" s="4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P536" s="4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P537" s="4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P538" s="4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P539" s="4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P540" s="4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P541" s="4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P542" s="4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P543" s="4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P544" s="4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P545" s="4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P546" s="4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P547" s="4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P548" s="4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P549" s="4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P550" s="4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P551" s="4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P552" s="4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P553" s="4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P554" s="4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P555" s="4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P556" s="4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P557" s="4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P558" s="4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P559" s="4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P560" s="4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P561" s="4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P562" s="4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P563" s="4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P564" s="4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P565" s="4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P566" s="4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P567" s="4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P568" s="4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P569" s="4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P570" s="4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P571" s="4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P572" s="4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P573" s="4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P574" s="4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P575" s="4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P576" s="4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P577" s="4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P578" s="4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P579" s="4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P580" s="4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P581" s="4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P582" s="4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P583" s="4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P584" s="4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P585" s="4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P586" s="4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P587" s="4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P588" s="4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P589" s="4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P590" s="4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P591" s="4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P592" s="4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P593" s="4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P594" s="4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P595" s="4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P596" s="4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P597" s="4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P598" s="4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P599" s="4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P600" s="4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P601" s="4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P602" s="4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P603" s="4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P604" s="4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P605" s="4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P606" s="4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P607" s="4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P608" s="4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P609" s="4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P610" s="4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P611" s="4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P612" s="4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P613" s="4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P614" s="4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P615" s="4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P616" s="4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P617" s="4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P618" s="4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P619" s="4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P620" s="4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P621" s="4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P622" s="4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P623" s="4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P624" s="4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P625" s="4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P626" s="4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P627" s="4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P628" s="4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P629" s="4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P630" s="4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P631" s="4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P632" s="4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P633" s="4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P634" s="4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P635" s="4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P636" s="4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P637" s="4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P638" s="4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P639" s="4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P640" s="4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P641" s="4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P642" s="4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P643" s="4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P644" s="4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P645" s="4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P646" s="4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P647" s="4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P648" s="4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P649" s="4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P650" s="4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P651" s="4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P652" s="4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P653" s="4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P654" s="4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P655" s="4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P656" s="4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P657" s="4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P658" s="4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P659" s="4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P660" s="4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P661" s="4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P662" s="4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P663" s="4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P664" s="4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P665" s="4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P666" s="4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P667" s="4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P668" s="4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P669" s="4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P670" s="4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P671" s="4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P672" s="4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P673" s="4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P674" s="4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P675" s="4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P676" s="4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P677" s="4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P678" s="4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P679" s="4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P680" s="4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P681" s="4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P682" s="4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P683" s="4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P684" s="4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P685" s="4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P686" s="4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P687" s="4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P688" s="4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P689" s="4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P690" s="4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P691" s="4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P692" s="4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P693" s="4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P694" s="4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P695" s="4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P696" s="4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P697" s="4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P698" s="4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P699" s="4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P700" s="4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P701" s="4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P702" s="4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P703" s="4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P704" s="4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P705" s="4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P706" s="4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P707" s="4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P708" s="4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P709" s="4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P710" s="4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P711" s="4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P712" s="4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P713" s="4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P714" s="4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P715" s="4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P716" s="4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P717" s="4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P718" s="4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P719" s="4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P720" s="4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P721" s="4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P722" s="4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P723" s="4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P724" s="4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P725" s="4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P726" s="4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P727" s="4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P728" s="4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P729" s="4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P730" s="4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P731" s="4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P732" s="4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P733" s="4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P734" s="4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P735" s="4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P736" s="4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P737" s="4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P738" s="4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P739" s="4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P740" s="4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P741" s="4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P742" s="4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P743" s="4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P744" s="4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P745" s="4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P746" s="4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P747" s="4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P748" s="4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P749" s="4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P750" s="4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P751" s="4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P752" s="4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P753" s="4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P754" s="4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P755" s="4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P756" s="4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P757" s="4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P758" s="4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P759" s="4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P760" s="4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P761" s="4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P762" s="4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P763" s="4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P764" s="4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P765" s="4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P766" s="4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P767" s="4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P768" s="4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P769" s="4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P770" s="4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P771" s="4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P772" s="4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P773" s="4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P774" s="4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P775" s="4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P776" s="4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P777" s="4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P778" s="4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P779" s="4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P780" s="4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P781" s="4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P782" s="4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P783" s="4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P784" s="4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P785" s="4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P786" s="4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P787" s="4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P788" s="4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P789" s="4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P790" s="4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P791" s="4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P792" s="4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P793" s="4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P794" s="4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P795" s="4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P796" s="4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P797" s="4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P798" s="4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P799" s="4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P800" s="4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P801" s="4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P802" s="4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P803" s="4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P804" s="4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P805" s="4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P806" s="4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P807" s="4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P808" s="4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P809" s="4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P810" s="4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P811" s="4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P812" s="4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P813" s="4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P814" s="4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P815" s="4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P816" s="4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P817" s="4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P818" s="4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P819" s="4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P820" s="4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P821" s="4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P822" s="4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P823" s="4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P824" s="4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P825" s="4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P826" s="4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P827" s="4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P828" s="4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P829" s="4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P830" s="4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P831" s="4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P832" s="4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P833" s="4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P834" s="4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P835" s="4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P836" s="4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P837" s="4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P838" s="4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P839" s="4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P840" s="4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P841" s="4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P842" s="4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P843" s="4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P844" s="4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P845" s="4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P846" s="4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P847" s="4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P848" s="4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P849" s="4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P850" s="4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P851" s="4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P852" s="4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P853" s="4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P854" s="4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P855" s="4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P856" s="4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P857" s="4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P858" s="4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P859" s="4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P860" s="4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P861" s="4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P862" s="4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P863" s="4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P864" s="4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P865" s="4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P866" s="4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P867" s="4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P868" s="4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P869" s="4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P870" s="4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P871" s="4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P872" s="4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P873" s="4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P874" s="4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P875" s="4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P876" s="4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P877" s="4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P878" s="4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P879" s="4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P880" s="4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P881" s="4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P882" s="4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P883" s="4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P884" s="4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P885" s="4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P886" s="4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P887" s="4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P888" s="4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P889" s="4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P890" s="4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P891" s="4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P892" s="4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P893" s="4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P894" s="4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P895" s="4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P896" s="4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P897" s="4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P898" s="4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P899" s="4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P900" s="4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P901" s="4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P902" s="4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P903" s="4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P904" s="4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P905" s="4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P906" s="4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P907" s="4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P908" s="4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P909" s="4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P910" s="4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P911" s="4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P912" s="4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P913" s="4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P914" s="4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P915" s="4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P916" s="4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P917" s="4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P918" s="4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P919" s="4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P920" s="4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P921" s="4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P922" s="4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P923" s="4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P924" s="4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P925" s="4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P926" s="4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P927" s="4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P928" s="4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P929" s="4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P930" s="4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P931" s="4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P932" s="4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P933" s="4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P934" s="4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P935" s="4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P936" s="4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P937" s="4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P938" s="4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P939" s="4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P940" s="4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P941" s="4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P942" s="4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P943" s="4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P944" s="4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P945" s="4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P946" s="4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P947" s="4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P948" s="4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P949" s="4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P950" s="4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P951" s="4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P952" s="4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P953" s="4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P954" s="4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P955" s="4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P956" s="4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P957" s="4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P958" s="4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P959" s="4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P960" s="4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P961" s="4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P962" s="4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P963" s="4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P964" s="4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P965" s="4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P966" s="4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P967" s="4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P968" s="4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P969" s="4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P970" s="4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P971" s="4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P972" s="4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P973" s="4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P974" s="4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P975" s="4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P976" s="4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P977" s="4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P978" s="4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P979" s="4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P980" s="4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P981" s="4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P982" s="4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P983" s="4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P984" s="4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P985" s="4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P986" s="4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P987" s="4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P988" s="4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P989" s="4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P990" s="4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P991" s="4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P992" s="4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P993" s="4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P994" s="4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P995" s="4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P996" s="4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P997" s="44"/>
    </row>
  </sheetData>
  <mergeCells count="46">
    <mergeCell ref="B3:I3"/>
    <mergeCell ref="B13:I13"/>
    <mergeCell ref="M15:O15"/>
    <mergeCell ref="B21:I21"/>
    <mergeCell ref="M23:O23"/>
    <mergeCell ref="M26:Q26"/>
    <mergeCell ref="M29:O29"/>
    <mergeCell ref="B28:I28"/>
    <mergeCell ref="B39:I39"/>
    <mergeCell ref="M40:O40"/>
    <mergeCell ref="B47:I47"/>
    <mergeCell ref="M48:O48"/>
    <mergeCell ref="M52:O52"/>
    <mergeCell ref="M56:O56"/>
    <mergeCell ref="B54:I54"/>
    <mergeCell ref="B61:I61"/>
    <mergeCell ref="M62:O62"/>
    <mergeCell ref="B65:I65"/>
    <mergeCell ref="M66:O66"/>
    <mergeCell ref="B71:I71"/>
    <mergeCell ref="B75:I75"/>
    <mergeCell ref="M124:Q124"/>
    <mergeCell ref="M130:Q130"/>
    <mergeCell ref="M136:Q136"/>
    <mergeCell ref="M148:Q148"/>
    <mergeCell ref="M152:Q152"/>
    <mergeCell ref="M159:Q159"/>
    <mergeCell ref="M72:Q72"/>
    <mergeCell ref="M76:Q76"/>
    <mergeCell ref="M85:Q85"/>
    <mergeCell ref="M97:Q97"/>
    <mergeCell ref="M103:Q103"/>
    <mergeCell ref="M110:Q110"/>
    <mergeCell ref="M115:Q115"/>
    <mergeCell ref="B129:I129"/>
    <mergeCell ref="B135:I135"/>
    <mergeCell ref="B147:I147"/>
    <mergeCell ref="B151:I151"/>
    <mergeCell ref="B158:I158"/>
    <mergeCell ref="B84:I84"/>
    <mergeCell ref="B95:I95"/>
    <mergeCell ref="B96:I96"/>
    <mergeCell ref="B102:I102"/>
    <mergeCell ref="B109:I109"/>
    <mergeCell ref="B114:I114"/>
    <mergeCell ref="B123:I123"/>
  </mergeCells>
  <conditionalFormatting sqref="K65 K71 K75 K84 K95:K96 K102 K109 K114 K123 K129 K135 K147 K151 K158">
    <cfRule type="cellIs" dxfId="3" priority="1" operator="greaterThanOrEqual">
      <formula>28</formula>
    </cfRule>
  </conditionalFormatting>
  <conditionalFormatting sqref="K65 K71 K75 K84 K95:K96 K102 K109 K114 K123 K129 K135 K147 K151 K158">
    <cfRule type="cellIs" dxfId="4" priority="2" operator="greaterThanOrEqual">
      <formula>24</formula>
    </cfRule>
  </conditionalFormatting>
  <conditionalFormatting sqref="J2">
    <cfRule type="expression" dxfId="0" priority="3">
      <formula>ABS(J2:J998)&gt;5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33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997">
    <cfRule type="cellIs" dxfId="3" priority="9" operator="greaterThanOrEqual">
      <formula>30</formula>
    </cfRule>
  </conditionalFormatting>
  <conditionalFormatting sqref="K1:K997">
    <cfRule type="cellIs" dxfId="4" priority="10" operator="greaterThanOrEqual">
      <formula>28</formula>
    </cfRule>
  </conditionalFormatting>
  <conditionalFormatting sqref="J1:J997">
    <cfRule type="expression" dxfId="0" priority="11">
      <formula>ABS(J:J)&gt;5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9.38"/>
  </cols>
  <sheetData>
    <row r="1">
      <c r="A1" s="58" t="s">
        <v>54</v>
      </c>
      <c r="B1" s="59" t="s">
        <v>55</v>
      </c>
      <c r="C1" s="59"/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54"/>
    </row>
    <row r="2">
      <c r="A2" s="216" t="s">
        <v>423</v>
      </c>
      <c r="B2" s="54"/>
      <c r="C2" s="54"/>
      <c r="D2" s="60" t="s">
        <v>424</v>
      </c>
      <c r="E2" s="54"/>
      <c r="F2" s="54">
        <f>SUM(F4:F1003)</f>
        <v>327531.99</v>
      </c>
      <c r="G2" s="54">
        <f>MAX(G4:G1003)</f>
        <v>1047</v>
      </c>
      <c r="H2" s="54">
        <f t="shared" ref="H2:I2" si="1">SUM(H4:H1003)</f>
        <v>77502</v>
      </c>
      <c r="I2" s="54">
        <f t="shared" si="1"/>
        <v>95410.95</v>
      </c>
      <c r="J2" s="54">
        <f>H2-I2</f>
        <v>-17908.95</v>
      </c>
      <c r="K2" s="63">
        <f>I2/F2*100</f>
        <v>29.13026908</v>
      </c>
      <c r="L2" s="64" t="s">
        <v>65</v>
      </c>
      <c r="M2" s="65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442">
        <v>45300.0</v>
      </c>
      <c r="C4" s="443"/>
      <c r="D4" s="405" t="s">
        <v>290</v>
      </c>
      <c r="E4" s="405">
        <v>2347190.0</v>
      </c>
      <c r="F4" s="405">
        <v>3571.0</v>
      </c>
      <c r="G4" s="405">
        <v>978.0</v>
      </c>
      <c r="H4" s="406">
        <v>591.0</v>
      </c>
      <c r="I4" s="406">
        <v>659.82</v>
      </c>
      <c r="J4" s="406">
        <v>-68.82</v>
      </c>
      <c r="K4" s="290">
        <v>18.48</v>
      </c>
      <c r="L4" s="54"/>
      <c r="M4" s="54"/>
    </row>
    <row r="5">
      <c r="A5" s="54"/>
      <c r="B5" s="444">
        <v>45302.0</v>
      </c>
      <c r="C5" s="445"/>
      <c r="D5" s="412" t="s">
        <v>290</v>
      </c>
      <c r="E5" s="412">
        <v>2348860.0</v>
      </c>
      <c r="F5" s="412">
        <v>1670.0</v>
      </c>
      <c r="G5" s="412">
        <v>176.0</v>
      </c>
      <c r="H5" s="413">
        <v>357.0</v>
      </c>
      <c r="I5" s="413">
        <v>397.43</v>
      </c>
      <c r="J5" s="413">
        <v>-40.43</v>
      </c>
      <c r="K5" s="290">
        <v>23.8</v>
      </c>
      <c r="L5" s="54"/>
      <c r="M5" s="54"/>
    </row>
    <row r="6">
      <c r="A6" s="54"/>
      <c r="B6" s="444">
        <v>45303.0</v>
      </c>
      <c r="C6" s="445"/>
      <c r="D6" s="412" t="s">
        <v>290</v>
      </c>
      <c r="E6" s="412">
        <v>2349813.0</v>
      </c>
      <c r="F6" s="412">
        <v>953.0</v>
      </c>
      <c r="G6" s="412">
        <v>882.0</v>
      </c>
      <c r="H6" s="413">
        <v>399.0</v>
      </c>
      <c r="I6" s="413">
        <v>407.53</v>
      </c>
      <c r="J6" s="413">
        <v>-8.53</v>
      </c>
      <c r="K6" s="290">
        <v>42.76</v>
      </c>
      <c r="L6" s="54"/>
      <c r="M6" s="54" t="str">
        <f>SEARCH(G2,G4:G1000)</f>
        <v>#VALUE!</v>
      </c>
    </row>
    <row r="7">
      <c r="A7" s="54"/>
      <c r="B7" s="444">
        <v>45303.0</v>
      </c>
      <c r="C7" s="445"/>
      <c r="D7" s="412" t="s">
        <v>290</v>
      </c>
      <c r="E7" s="412">
        <v>2349813.0</v>
      </c>
      <c r="F7" s="412">
        <v>0.0</v>
      </c>
      <c r="G7" s="412" t="s">
        <v>401</v>
      </c>
      <c r="H7" s="415"/>
      <c r="I7" s="413"/>
      <c r="J7" s="413">
        <v>-30.0</v>
      </c>
      <c r="K7" s="290"/>
      <c r="L7" s="54"/>
      <c r="M7" s="54"/>
    </row>
    <row r="8">
      <c r="A8" s="54"/>
      <c r="B8" s="444">
        <v>45305.0</v>
      </c>
      <c r="C8" s="445"/>
      <c r="D8" s="412" t="s">
        <v>290</v>
      </c>
      <c r="E8" s="412">
        <v>2350574.0</v>
      </c>
      <c r="F8" s="412">
        <v>761.0</v>
      </c>
      <c r="G8" s="412">
        <v>970.0</v>
      </c>
      <c r="H8" s="413">
        <v>347.0</v>
      </c>
      <c r="I8" s="413">
        <v>380.73</v>
      </c>
      <c r="J8" s="413">
        <v>-33.73</v>
      </c>
      <c r="K8" s="290">
        <v>50.03</v>
      </c>
      <c r="L8" s="54"/>
      <c r="M8" s="54"/>
    </row>
    <row r="9">
      <c r="A9" s="54"/>
      <c r="B9" s="444">
        <v>45307.0</v>
      </c>
      <c r="C9" s="445"/>
      <c r="D9" s="412" t="s">
        <v>290</v>
      </c>
      <c r="E9" s="412">
        <v>2352244.0</v>
      </c>
      <c r="F9" s="412">
        <v>1670.0</v>
      </c>
      <c r="G9" s="412">
        <v>982.0</v>
      </c>
      <c r="H9" s="413">
        <v>543.0</v>
      </c>
      <c r="I9" s="413">
        <v>601.8</v>
      </c>
      <c r="J9" s="413">
        <v>-58.8</v>
      </c>
      <c r="K9" s="290">
        <v>36.04</v>
      </c>
      <c r="L9" s="54"/>
      <c r="M9" s="54"/>
    </row>
    <row r="10">
      <c r="A10" s="54"/>
      <c r="B10" s="444">
        <v>45309.0</v>
      </c>
      <c r="C10" s="445"/>
      <c r="D10" s="412" t="s">
        <v>290</v>
      </c>
      <c r="E10" s="412">
        <v>2353912.0</v>
      </c>
      <c r="F10" s="412">
        <v>1668.0</v>
      </c>
      <c r="G10" s="412">
        <v>982.0</v>
      </c>
      <c r="H10" s="413">
        <v>531.0</v>
      </c>
      <c r="I10" s="413">
        <v>592.71</v>
      </c>
      <c r="J10" s="413">
        <v>-61.71</v>
      </c>
      <c r="K10" s="290">
        <v>35.53</v>
      </c>
      <c r="L10" s="54"/>
      <c r="M10" s="54"/>
    </row>
    <row r="11">
      <c r="A11" s="66"/>
      <c r="B11" s="67" t="s">
        <v>68</v>
      </c>
      <c r="J11" s="66"/>
      <c r="K11" s="66"/>
      <c r="L11" s="66"/>
      <c r="M11" s="66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</row>
    <row r="12">
      <c r="A12" s="54"/>
      <c r="B12" s="442">
        <v>45326.0</v>
      </c>
      <c r="C12" s="443"/>
      <c r="D12" s="446"/>
      <c r="E12" s="405">
        <v>2355796.0</v>
      </c>
      <c r="F12" s="405">
        <v>1884.0</v>
      </c>
      <c r="G12" s="405">
        <v>963.0</v>
      </c>
      <c r="H12" s="406">
        <v>664.0</v>
      </c>
      <c r="I12" s="406">
        <v>755.91</v>
      </c>
      <c r="J12" s="406">
        <v>-91.91</v>
      </c>
      <c r="K12" s="290">
        <v>40.12</v>
      </c>
      <c r="L12" s="54"/>
      <c r="M12" s="54"/>
    </row>
    <row r="13">
      <c r="A13" s="66"/>
      <c r="B13" s="67" t="s">
        <v>72</v>
      </c>
      <c r="J13" s="66"/>
      <c r="K13" s="66"/>
      <c r="L13" s="66"/>
      <c r="M13" s="66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>
      <c r="A14" s="54"/>
      <c r="B14" s="164" t="s">
        <v>109</v>
      </c>
      <c r="C14" s="75"/>
      <c r="D14" s="75"/>
      <c r="E14" s="75"/>
      <c r="F14" s="75"/>
      <c r="G14" s="75"/>
      <c r="H14" s="75"/>
      <c r="I14" s="76"/>
      <c r="J14" s="54"/>
      <c r="K14" s="54"/>
      <c r="L14" s="54"/>
      <c r="M14" s="54"/>
    </row>
    <row r="15">
      <c r="A15" s="66"/>
      <c r="B15" s="67" t="s">
        <v>74</v>
      </c>
      <c r="J15" s="66"/>
      <c r="K15" s="66"/>
      <c r="L15" s="66"/>
      <c r="M15" s="66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</row>
    <row r="16">
      <c r="A16" s="54"/>
      <c r="B16" s="164" t="s">
        <v>109</v>
      </c>
      <c r="C16" s="75"/>
      <c r="D16" s="75"/>
      <c r="E16" s="75"/>
      <c r="F16" s="75"/>
      <c r="G16" s="75"/>
      <c r="H16" s="75"/>
      <c r="I16" s="76"/>
      <c r="J16" s="54"/>
      <c r="K16" s="54"/>
      <c r="L16" s="54"/>
      <c r="M16" s="54"/>
    </row>
    <row r="17">
      <c r="A17" s="66"/>
      <c r="B17" s="67" t="s">
        <v>75</v>
      </c>
      <c r="J17" s="66"/>
      <c r="K17" s="66"/>
      <c r="L17" s="66"/>
      <c r="M17" s="66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54"/>
      <c r="B18" s="404" t="s">
        <v>408</v>
      </c>
      <c r="C18" s="405"/>
      <c r="D18" s="446"/>
      <c r="E18" s="405">
        <v>2357634.0</v>
      </c>
      <c r="F18" s="405">
        <v>1838.0</v>
      </c>
      <c r="G18" s="405">
        <v>894.0</v>
      </c>
      <c r="H18" s="406">
        <v>454.0</v>
      </c>
      <c r="I18" s="406">
        <v>500.0</v>
      </c>
      <c r="J18" s="406">
        <v>-46.0</v>
      </c>
      <c r="K18" s="290">
        <v>27.2</v>
      </c>
      <c r="L18" s="54"/>
      <c r="M18" s="132" t="str">
        <f>"тотал"&amp;" "&amp;B17</f>
        <v>тотал МАЙ</v>
      </c>
      <c r="N18" s="75"/>
      <c r="O18" s="76"/>
    </row>
    <row r="19">
      <c r="A19" s="54"/>
      <c r="B19" s="411" t="s">
        <v>137</v>
      </c>
      <c r="C19" s="412"/>
      <c r="D19" s="431"/>
      <c r="E19" s="412">
        <v>2360027.0</v>
      </c>
      <c r="F19" s="412">
        <v>2393.0</v>
      </c>
      <c r="G19" s="412">
        <v>718.0</v>
      </c>
      <c r="H19" s="413">
        <v>459.0</v>
      </c>
      <c r="I19" s="413">
        <v>500.01</v>
      </c>
      <c r="J19" s="413">
        <v>-41.01</v>
      </c>
      <c r="K19" s="290">
        <v>20.89</v>
      </c>
      <c r="L19" s="54"/>
      <c r="M19" s="84" t="s">
        <v>70</v>
      </c>
      <c r="N19" s="84" t="s">
        <v>71</v>
      </c>
      <c r="O19" s="84" t="s">
        <v>27</v>
      </c>
    </row>
    <row r="20">
      <c r="A20" s="54"/>
      <c r="B20" s="411" t="s">
        <v>138</v>
      </c>
      <c r="C20" s="412"/>
      <c r="D20" s="431"/>
      <c r="E20" s="412">
        <v>2361516.0</v>
      </c>
      <c r="F20" s="412">
        <v>1489.0</v>
      </c>
      <c r="G20" s="412">
        <v>873.0</v>
      </c>
      <c r="H20" s="413">
        <v>554.0</v>
      </c>
      <c r="I20" s="413">
        <v>599.91</v>
      </c>
      <c r="J20" s="413">
        <v>-45.91</v>
      </c>
      <c r="K20" s="290">
        <v>40.29</v>
      </c>
      <c r="L20" s="54"/>
      <c r="M20" s="84">
        <f>SUM(F18:F23)</f>
        <v>8958</v>
      </c>
      <c r="N20" s="84">
        <f>SUM(I18:I23)</f>
        <v>2573.36</v>
      </c>
      <c r="O20" s="85">
        <f>N20/M20*100</f>
        <v>28.72694798</v>
      </c>
    </row>
    <row r="21">
      <c r="A21" s="54"/>
      <c r="B21" s="411" t="s">
        <v>139</v>
      </c>
      <c r="C21" s="412"/>
      <c r="D21" s="431"/>
      <c r="E21" s="412">
        <v>2363083.0</v>
      </c>
      <c r="F21" s="412">
        <v>1567.0</v>
      </c>
      <c r="G21" s="412">
        <v>709.0</v>
      </c>
      <c r="H21" s="413">
        <v>258.0</v>
      </c>
      <c r="I21" s="413">
        <v>280.11</v>
      </c>
      <c r="J21" s="413">
        <v>-22.11</v>
      </c>
      <c r="K21" s="290">
        <v>17.88</v>
      </c>
      <c r="L21" s="54"/>
      <c r="M21" s="54"/>
    </row>
    <row r="22">
      <c r="A22" s="54"/>
      <c r="B22" s="411" t="s">
        <v>139</v>
      </c>
      <c r="C22" s="412"/>
      <c r="D22" s="431"/>
      <c r="E22" s="412">
        <v>2363333.0</v>
      </c>
      <c r="F22" s="412">
        <v>250.0</v>
      </c>
      <c r="G22" s="412">
        <v>813.0</v>
      </c>
      <c r="H22" s="413">
        <v>181.0</v>
      </c>
      <c r="I22" s="413">
        <v>198.05</v>
      </c>
      <c r="J22" s="413">
        <v>-17.05</v>
      </c>
      <c r="K22" s="290">
        <v>79.22</v>
      </c>
      <c r="L22" s="54"/>
      <c r="M22" s="54"/>
    </row>
    <row r="23">
      <c r="A23" s="54"/>
      <c r="B23" s="444">
        <v>45436.0</v>
      </c>
      <c r="C23" s="445"/>
      <c r="D23" s="431"/>
      <c r="E23" s="412">
        <v>2364754.0</v>
      </c>
      <c r="F23" s="412">
        <v>1421.0</v>
      </c>
      <c r="G23" s="412">
        <v>875.0</v>
      </c>
      <c r="H23" s="413">
        <v>457.0</v>
      </c>
      <c r="I23" s="413">
        <v>495.28</v>
      </c>
      <c r="J23" s="413">
        <v>-38.28</v>
      </c>
      <c r="K23" s="290">
        <v>34.85</v>
      </c>
      <c r="L23" s="54"/>
      <c r="M23" s="54"/>
    </row>
    <row r="24">
      <c r="A24" s="113"/>
      <c r="B24" s="67" t="s">
        <v>90</v>
      </c>
      <c r="J24" s="113"/>
      <c r="K24" s="113"/>
      <c r="L24" s="113"/>
      <c r="M24" s="113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</row>
    <row r="25">
      <c r="A25" s="54"/>
      <c r="B25" s="442">
        <v>45447.0</v>
      </c>
      <c r="C25" s="443"/>
      <c r="D25" s="446"/>
      <c r="E25" s="405">
        <v>2366178.0</v>
      </c>
      <c r="F25" s="405">
        <v>1424.0</v>
      </c>
      <c r="G25" s="405">
        <v>717.0</v>
      </c>
      <c r="H25" s="406">
        <v>243.0</v>
      </c>
      <c r="I25" s="406">
        <v>264.33</v>
      </c>
      <c r="J25" s="406">
        <v>-21.33</v>
      </c>
      <c r="K25" s="290">
        <v>18.56</v>
      </c>
      <c r="L25" s="54"/>
      <c r="M25" s="54"/>
    </row>
    <row r="26">
      <c r="A26" s="54"/>
      <c r="B26" s="444">
        <v>45451.0</v>
      </c>
      <c r="C26" s="445"/>
      <c r="D26" s="431"/>
      <c r="E26" s="412">
        <v>2367658.0</v>
      </c>
      <c r="F26" s="412">
        <v>1480.0</v>
      </c>
      <c r="G26" s="412">
        <v>802.0</v>
      </c>
      <c r="H26" s="413">
        <v>459.0</v>
      </c>
      <c r="I26" s="413">
        <v>499.88</v>
      </c>
      <c r="J26" s="413">
        <v>-40.88</v>
      </c>
      <c r="K26" s="290">
        <v>33.78</v>
      </c>
      <c r="L26" s="54"/>
      <c r="M26" s="54"/>
    </row>
    <row r="27">
      <c r="A27" s="54"/>
      <c r="B27" s="444">
        <v>45454.0</v>
      </c>
      <c r="C27" s="445"/>
      <c r="D27" s="431"/>
      <c r="E27" s="412">
        <v>2368589.0</v>
      </c>
      <c r="F27" s="412">
        <v>931.0</v>
      </c>
      <c r="G27" s="412">
        <v>1013.0</v>
      </c>
      <c r="H27" s="413">
        <v>415.0</v>
      </c>
      <c r="I27" s="413">
        <v>446.78</v>
      </c>
      <c r="J27" s="413">
        <v>-31.78</v>
      </c>
      <c r="K27" s="290">
        <v>47.99</v>
      </c>
      <c r="L27" s="54"/>
      <c r="M27" s="74" t="s">
        <v>425</v>
      </c>
      <c r="N27" s="75"/>
      <c r="O27" s="76"/>
    </row>
    <row r="28">
      <c r="A28" s="54"/>
      <c r="B28" s="444">
        <v>45456.0</v>
      </c>
      <c r="C28" s="445"/>
      <c r="D28" s="431"/>
      <c r="E28" s="412">
        <v>2370264.0</v>
      </c>
      <c r="F28" s="412">
        <v>1675.0</v>
      </c>
      <c r="G28" s="412">
        <v>1016.0</v>
      </c>
      <c r="H28" s="413">
        <v>410.0</v>
      </c>
      <c r="I28" s="413">
        <v>439.9</v>
      </c>
      <c r="J28" s="413">
        <v>-29.9</v>
      </c>
      <c r="K28" s="290">
        <v>26.26</v>
      </c>
      <c r="L28" s="54"/>
      <c r="M28" s="77" t="s">
        <v>70</v>
      </c>
      <c r="N28" s="78" t="s">
        <v>71</v>
      </c>
      <c r="O28" s="78" t="s">
        <v>27</v>
      </c>
    </row>
    <row r="29">
      <c r="A29" s="54"/>
      <c r="B29" s="444">
        <v>45460.0</v>
      </c>
      <c r="C29" s="445"/>
      <c r="D29" s="431"/>
      <c r="E29" s="412">
        <v>2373076.0</v>
      </c>
      <c r="F29" s="412">
        <v>2812.0</v>
      </c>
      <c r="G29" s="412">
        <v>793.0</v>
      </c>
      <c r="H29" s="413">
        <v>459.0</v>
      </c>
      <c r="I29" s="413">
        <v>500.0</v>
      </c>
      <c r="J29" s="413">
        <v>-41.0</v>
      </c>
      <c r="K29" s="290">
        <v>17.78</v>
      </c>
      <c r="L29" s="54"/>
      <c r="M29" s="79">
        <f>SUM(F25:F34)</f>
        <v>17460</v>
      </c>
      <c r="N29" s="80">
        <f>SUM(I25:I34)</f>
        <v>4650.78</v>
      </c>
      <c r="O29" s="81">
        <f>N29/M29*100</f>
        <v>26.63676976</v>
      </c>
    </row>
    <row r="30">
      <c r="A30" s="54"/>
      <c r="B30" s="444">
        <v>45462.0</v>
      </c>
      <c r="C30" s="445"/>
      <c r="D30" s="431"/>
      <c r="E30" s="412">
        <v>2374693.0</v>
      </c>
      <c r="F30" s="412">
        <v>1617.0</v>
      </c>
      <c r="G30" s="412">
        <v>860.0</v>
      </c>
      <c r="H30" s="413">
        <v>462.0</v>
      </c>
      <c r="I30" s="413">
        <v>500.0</v>
      </c>
      <c r="J30" s="413">
        <v>-38.0</v>
      </c>
      <c r="K30" s="290">
        <v>30.92</v>
      </c>
      <c r="L30" s="54"/>
      <c r="M30" s="54"/>
    </row>
    <row r="31">
      <c r="A31" s="54"/>
      <c r="B31" s="444">
        <v>45465.0</v>
      </c>
      <c r="C31" s="445"/>
      <c r="D31" s="431"/>
      <c r="E31" s="412">
        <v>2376897.0</v>
      </c>
      <c r="F31" s="412">
        <v>2204.0</v>
      </c>
      <c r="G31" s="412">
        <v>770.0</v>
      </c>
      <c r="H31" s="413">
        <v>456.0</v>
      </c>
      <c r="I31" s="413">
        <v>500.0</v>
      </c>
      <c r="J31" s="413">
        <v>-44.0</v>
      </c>
      <c r="K31" s="290">
        <v>22.69</v>
      </c>
      <c r="L31" s="54"/>
      <c r="M31" s="54"/>
    </row>
    <row r="32">
      <c r="A32" s="54"/>
      <c r="B32" s="444">
        <v>45467.0</v>
      </c>
      <c r="C32" s="445"/>
      <c r="D32" s="431"/>
      <c r="E32" s="412">
        <v>2378674.0</v>
      </c>
      <c r="F32" s="412">
        <v>1777.0</v>
      </c>
      <c r="G32" s="412">
        <v>804.0</v>
      </c>
      <c r="H32" s="413">
        <v>459.0</v>
      </c>
      <c r="I32" s="413">
        <v>499.89</v>
      </c>
      <c r="J32" s="413">
        <v>-40.89</v>
      </c>
      <c r="K32" s="290">
        <v>28.13</v>
      </c>
      <c r="L32" s="54"/>
      <c r="M32" s="54"/>
    </row>
    <row r="33">
      <c r="A33" s="54"/>
      <c r="B33" s="444">
        <v>45470.0</v>
      </c>
      <c r="C33" s="445"/>
      <c r="D33" s="431"/>
      <c r="E33" s="412">
        <v>2380716.0</v>
      </c>
      <c r="F33" s="412">
        <v>2042.0</v>
      </c>
      <c r="G33" s="412">
        <v>747.0</v>
      </c>
      <c r="H33" s="413">
        <v>460.0</v>
      </c>
      <c r="I33" s="413">
        <v>500.0</v>
      </c>
      <c r="J33" s="413">
        <v>-40.0</v>
      </c>
      <c r="K33" s="290">
        <v>24.49</v>
      </c>
      <c r="L33" s="54"/>
      <c r="M33" s="54"/>
    </row>
    <row r="34">
      <c r="A34" s="54"/>
      <c r="B34" s="444">
        <v>45472.0</v>
      </c>
      <c r="C34" s="445"/>
      <c r="D34" s="431"/>
      <c r="E34" s="412">
        <v>2382214.0</v>
      </c>
      <c r="F34" s="412">
        <v>1498.0</v>
      </c>
      <c r="G34" s="412">
        <v>815.0</v>
      </c>
      <c r="H34" s="413">
        <v>456.0</v>
      </c>
      <c r="I34" s="413">
        <v>500.0</v>
      </c>
      <c r="J34" s="413">
        <v>-44.0</v>
      </c>
      <c r="K34" s="290">
        <v>33.38</v>
      </c>
      <c r="L34" s="54"/>
      <c r="M34" s="54"/>
    </row>
    <row r="35">
      <c r="A35" s="333"/>
      <c r="B35" s="67" t="s">
        <v>92</v>
      </c>
      <c r="J35" s="333"/>
      <c r="K35" s="333"/>
      <c r="L35" s="333"/>
      <c r="M35" s="333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</row>
    <row r="36">
      <c r="A36" s="54"/>
      <c r="B36" s="71" t="s">
        <v>421</v>
      </c>
      <c r="C36" s="71"/>
      <c r="D36" s="73"/>
      <c r="E36" s="425">
        <v>2383991.0</v>
      </c>
      <c r="F36" s="71">
        <v>1777.0</v>
      </c>
      <c r="G36" s="71">
        <v>804.0</v>
      </c>
      <c r="H36" s="72">
        <v>455.0</v>
      </c>
      <c r="I36" s="72">
        <v>500.0</v>
      </c>
      <c r="J36" s="72">
        <v>-45.0</v>
      </c>
      <c r="K36" s="72">
        <v>28.14</v>
      </c>
      <c r="L36" s="54"/>
      <c r="M36" s="54"/>
    </row>
    <row r="37">
      <c r="A37" s="54"/>
      <c r="B37" s="71" t="s">
        <v>426</v>
      </c>
      <c r="C37" s="71"/>
      <c r="D37" s="73"/>
      <c r="E37" s="425">
        <v>2385694.0</v>
      </c>
      <c r="F37" s="71">
        <v>1703.0</v>
      </c>
      <c r="G37" s="71">
        <v>817.0</v>
      </c>
      <c r="H37" s="72">
        <v>456.0</v>
      </c>
      <c r="I37" s="72">
        <v>500.0</v>
      </c>
      <c r="J37" s="72">
        <v>-44.0</v>
      </c>
      <c r="K37" s="72">
        <v>29.36</v>
      </c>
      <c r="L37" s="54"/>
      <c r="M37" s="74" t="s">
        <v>427</v>
      </c>
      <c r="N37" s="75"/>
      <c r="O37" s="76"/>
    </row>
    <row r="38">
      <c r="A38" s="54"/>
      <c r="B38" s="71" t="s">
        <v>93</v>
      </c>
      <c r="C38" s="71"/>
      <c r="D38" s="73"/>
      <c r="E38" s="425">
        <v>2387324.0</v>
      </c>
      <c r="F38" s="71">
        <v>1630.0</v>
      </c>
      <c r="G38" s="71">
        <v>860.0</v>
      </c>
      <c r="H38" s="72">
        <v>457.0</v>
      </c>
      <c r="I38" s="72">
        <v>500.0</v>
      </c>
      <c r="J38" s="72">
        <v>-43.0</v>
      </c>
      <c r="K38" s="72">
        <v>30.67</v>
      </c>
      <c r="L38" s="54"/>
      <c r="M38" s="77" t="s">
        <v>70</v>
      </c>
      <c r="N38" s="78" t="s">
        <v>119</v>
      </c>
      <c r="O38" s="78" t="s">
        <v>27</v>
      </c>
    </row>
    <row r="39">
      <c r="A39" s="54"/>
      <c r="B39" s="71" t="s">
        <v>396</v>
      </c>
      <c r="C39" s="71"/>
      <c r="D39" s="73"/>
      <c r="E39" s="425">
        <v>2389096.0</v>
      </c>
      <c r="F39" s="71">
        <v>1772.0</v>
      </c>
      <c r="G39" s="71">
        <v>887.0</v>
      </c>
      <c r="H39" s="72">
        <v>449.0</v>
      </c>
      <c r="I39" s="72">
        <v>500.0</v>
      </c>
      <c r="J39" s="72">
        <v>-51.0</v>
      </c>
      <c r="K39" s="72">
        <v>28.22</v>
      </c>
      <c r="L39" s="54"/>
      <c r="M39" s="79">
        <f>SUM(F36:F48)</f>
        <v>22270</v>
      </c>
      <c r="N39" s="80">
        <f>SUM(I36:I48)</f>
        <v>6386.58</v>
      </c>
      <c r="O39" s="81">
        <f>N39/M39*100</f>
        <v>28.6779524</v>
      </c>
    </row>
    <row r="40">
      <c r="A40" s="54"/>
      <c r="B40" s="98">
        <v>45484.0</v>
      </c>
      <c r="C40" s="98"/>
      <c r="D40" s="99"/>
      <c r="E40" s="130">
        <v>2390830.0</v>
      </c>
      <c r="F40" s="99">
        <f t="shared" ref="F40:F48" si="2">E40-E39</f>
        <v>1734</v>
      </c>
      <c r="G40" s="100">
        <v>906.0</v>
      </c>
      <c r="H40" s="101">
        <v>456.0</v>
      </c>
      <c r="I40" s="101">
        <v>500.0</v>
      </c>
      <c r="J40" s="102">
        <f t="shared" ref="J40:J48" si="3">H40-I40</f>
        <v>-44</v>
      </c>
      <c r="K40" s="103">
        <f t="shared" ref="K40:K48" si="4">I40/F40*100</f>
        <v>28.83506344</v>
      </c>
      <c r="L40" s="54"/>
      <c r="M40" s="54"/>
    </row>
    <row r="41">
      <c r="A41" s="54"/>
      <c r="B41" s="98">
        <v>45486.0</v>
      </c>
      <c r="C41" s="98"/>
      <c r="D41" s="99"/>
      <c r="E41" s="280">
        <v>2392462.0</v>
      </c>
      <c r="F41" s="99">
        <f t="shared" si="2"/>
        <v>1632</v>
      </c>
      <c r="G41" s="100">
        <v>950.0</v>
      </c>
      <c r="H41" s="101">
        <v>459.0</v>
      </c>
      <c r="I41" s="101">
        <v>500.0</v>
      </c>
      <c r="J41" s="102">
        <f t="shared" si="3"/>
        <v>-41</v>
      </c>
      <c r="K41" s="103">
        <f t="shared" si="4"/>
        <v>30.6372549</v>
      </c>
      <c r="L41" s="54"/>
      <c r="M41" s="54"/>
    </row>
    <row r="42">
      <c r="A42" s="54"/>
      <c r="B42" s="98">
        <v>45488.0</v>
      </c>
      <c r="C42" s="98"/>
      <c r="D42" s="99"/>
      <c r="E42" s="100">
        <v>2394235.0</v>
      </c>
      <c r="F42" s="99">
        <f t="shared" si="2"/>
        <v>1773</v>
      </c>
      <c r="G42" s="100">
        <v>966.0</v>
      </c>
      <c r="H42" s="101">
        <v>457.0</v>
      </c>
      <c r="I42" s="101">
        <v>500.0</v>
      </c>
      <c r="J42" s="102">
        <f t="shared" si="3"/>
        <v>-43</v>
      </c>
      <c r="K42" s="103">
        <f t="shared" si="4"/>
        <v>28.20078962</v>
      </c>
      <c r="L42" s="54"/>
      <c r="M42" s="54"/>
    </row>
    <row r="43">
      <c r="A43" s="54"/>
      <c r="B43" s="98">
        <v>45491.0</v>
      </c>
      <c r="C43" s="98"/>
      <c r="D43" s="102"/>
      <c r="E43" s="130">
        <v>2395916.0</v>
      </c>
      <c r="F43" s="99">
        <f t="shared" si="2"/>
        <v>1681</v>
      </c>
      <c r="G43" s="100">
        <v>989.0</v>
      </c>
      <c r="H43" s="101">
        <v>461.0</v>
      </c>
      <c r="I43" s="101">
        <v>500.0</v>
      </c>
      <c r="J43" s="102">
        <f t="shared" si="3"/>
        <v>-39</v>
      </c>
      <c r="K43" s="103">
        <f t="shared" si="4"/>
        <v>29.74419988</v>
      </c>
      <c r="L43" s="54"/>
      <c r="M43" s="54"/>
    </row>
    <row r="44">
      <c r="A44" s="54"/>
      <c r="B44" s="98">
        <v>45493.0</v>
      </c>
      <c r="C44" s="98"/>
      <c r="D44" s="102"/>
      <c r="E44" s="130">
        <v>2397548.0</v>
      </c>
      <c r="F44" s="99">
        <f t="shared" si="2"/>
        <v>1632</v>
      </c>
      <c r="G44" s="100">
        <v>1022.0</v>
      </c>
      <c r="H44" s="101">
        <v>464.0</v>
      </c>
      <c r="I44" s="101">
        <v>500.0</v>
      </c>
      <c r="J44" s="102">
        <f t="shared" si="3"/>
        <v>-36</v>
      </c>
      <c r="K44" s="103">
        <f t="shared" si="4"/>
        <v>30.6372549</v>
      </c>
      <c r="L44" s="54"/>
      <c r="M44" s="54"/>
    </row>
    <row r="45">
      <c r="A45" s="54"/>
      <c r="B45" s="98">
        <v>45497.0</v>
      </c>
      <c r="C45" s="98"/>
      <c r="D45" s="99"/>
      <c r="E45" s="100">
        <v>2400465.0</v>
      </c>
      <c r="F45" s="99">
        <f t="shared" si="2"/>
        <v>2917</v>
      </c>
      <c r="G45" s="100">
        <v>736.0</v>
      </c>
      <c r="H45" s="101">
        <v>456.0</v>
      </c>
      <c r="I45" s="101">
        <v>499.02</v>
      </c>
      <c r="J45" s="102">
        <f t="shared" si="3"/>
        <v>-43.02</v>
      </c>
      <c r="K45" s="103">
        <f t="shared" si="4"/>
        <v>17.10730202</v>
      </c>
      <c r="L45" s="54"/>
      <c r="M45" s="54"/>
    </row>
    <row r="46">
      <c r="A46" s="54"/>
      <c r="B46" s="98">
        <v>45500.0</v>
      </c>
      <c r="C46" s="98"/>
      <c r="D46" s="99"/>
      <c r="E46" s="280">
        <v>2402343.0</v>
      </c>
      <c r="F46" s="99">
        <f t="shared" si="2"/>
        <v>1878</v>
      </c>
      <c r="G46" s="100">
        <v>715.0</v>
      </c>
      <c r="H46" s="12">
        <v>456.0</v>
      </c>
      <c r="I46" s="101">
        <v>500.0</v>
      </c>
      <c r="J46" s="102">
        <f t="shared" si="3"/>
        <v>-44</v>
      </c>
      <c r="K46" s="103">
        <f t="shared" si="4"/>
        <v>26.62406816</v>
      </c>
      <c r="L46" s="54"/>
      <c r="M46" s="54"/>
    </row>
    <row r="47">
      <c r="A47" s="54"/>
      <c r="B47" s="98">
        <v>45502.0</v>
      </c>
      <c r="C47" s="98"/>
      <c r="D47" s="99"/>
      <c r="E47" s="280">
        <v>2403979.0</v>
      </c>
      <c r="F47" s="99">
        <f t="shared" si="2"/>
        <v>1636</v>
      </c>
      <c r="G47" s="100">
        <v>774.0</v>
      </c>
      <c r="H47" s="12">
        <v>456.0</v>
      </c>
      <c r="I47" s="101">
        <v>500.0</v>
      </c>
      <c r="J47" s="102">
        <f t="shared" si="3"/>
        <v>-44</v>
      </c>
      <c r="K47" s="103">
        <f t="shared" si="4"/>
        <v>30.56234719</v>
      </c>
      <c r="L47" s="54"/>
      <c r="M47" s="54"/>
    </row>
    <row r="48">
      <c r="A48" s="54"/>
      <c r="B48" s="458">
        <v>45502.0</v>
      </c>
      <c r="C48" s="458"/>
      <c r="D48" s="459" t="s">
        <v>117</v>
      </c>
      <c r="E48" s="459">
        <v>2404484.0</v>
      </c>
      <c r="F48" s="460">
        <f t="shared" si="2"/>
        <v>505</v>
      </c>
      <c r="G48" s="459">
        <v>1019.0</v>
      </c>
      <c r="H48" s="461">
        <v>367.0</v>
      </c>
      <c r="I48" s="461">
        <v>387.56</v>
      </c>
      <c r="J48" s="462">
        <f t="shared" si="3"/>
        <v>-20.56</v>
      </c>
      <c r="K48" s="463">
        <f t="shared" si="4"/>
        <v>76.74455446</v>
      </c>
      <c r="L48" s="54"/>
      <c r="M48" s="54"/>
    </row>
    <row r="49">
      <c r="A49" s="333"/>
      <c r="B49" s="67" t="s">
        <v>95</v>
      </c>
      <c r="J49" s="333"/>
      <c r="K49" s="333"/>
      <c r="L49" s="333"/>
      <c r="M49" s="333"/>
      <c r="N49" s="334"/>
      <c r="O49" s="334"/>
      <c r="P49" s="334"/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</row>
    <row r="50">
      <c r="A50" s="54"/>
      <c r="B50" s="98">
        <v>45505.0</v>
      </c>
      <c r="C50" s="98"/>
      <c r="D50" s="99"/>
      <c r="E50" s="104">
        <v>2406319.0</v>
      </c>
      <c r="F50" s="99">
        <f>E50-E48</f>
        <v>1835</v>
      </c>
      <c r="G50" s="100">
        <v>1003.0</v>
      </c>
      <c r="H50" s="101">
        <v>462.0</v>
      </c>
      <c r="I50" s="101">
        <v>500.0</v>
      </c>
      <c r="J50" s="102">
        <f t="shared" ref="J50:J59" si="5">H50-I50</f>
        <v>-38</v>
      </c>
      <c r="K50" s="103">
        <f t="shared" ref="K50:K59" si="6">I50/F50*100</f>
        <v>27.2479564</v>
      </c>
      <c r="L50" s="54"/>
      <c r="M50" s="132" t="str">
        <f>"тотал"&amp;" "&amp;B49</f>
        <v>тотал АВГУСТ</v>
      </c>
      <c r="N50" s="75"/>
      <c r="O50" s="76"/>
    </row>
    <row r="51">
      <c r="A51" s="54"/>
      <c r="B51" s="98">
        <v>45509.0</v>
      </c>
      <c r="C51" s="98"/>
      <c r="D51" s="99"/>
      <c r="E51" s="104">
        <v>2409127.0</v>
      </c>
      <c r="F51" s="99">
        <f t="shared" ref="F51:F59" si="7">E51-E50</f>
        <v>2808</v>
      </c>
      <c r="G51" s="100">
        <v>728.0</v>
      </c>
      <c r="H51" s="101">
        <v>458.0</v>
      </c>
      <c r="I51" s="101">
        <v>500.0</v>
      </c>
      <c r="J51" s="102">
        <f t="shared" si="5"/>
        <v>-42</v>
      </c>
      <c r="K51" s="103">
        <f t="shared" si="6"/>
        <v>17.80626781</v>
      </c>
      <c r="L51" s="54"/>
      <c r="M51" s="84" t="s">
        <v>70</v>
      </c>
      <c r="N51" s="84" t="s">
        <v>71</v>
      </c>
      <c r="O51" s="84" t="s">
        <v>27</v>
      </c>
    </row>
    <row r="52">
      <c r="A52" s="54"/>
      <c r="B52" s="98">
        <v>45512.0</v>
      </c>
      <c r="C52" s="98"/>
      <c r="D52" s="99"/>
      <c r="E52" s="104">
        <v>2410950.0</v>
      </c>
      <c r="F52" s="99">
        <f t="shared" si="7"/>
        <v>1823</v>
      </c>
      <c r="G52" s="100">
        <v>1005.0</v>
      </c>
      <c r="H52" s="101">
        <v>740.0</v>
      </c>
      <c r="I52" s="101">
        <v>800.0</v>
      </c>
      <c r="J52" s="102">
        <f t="shared" si="5"/>
        <v>-60</v>
      </c>
      <c r="K52" s="103">
        <f t="shared" si="6"/>
        <v>43.88370817</v>
      </c>
      <c r="L52" s="54"/>
      <c r="M52" s="84">
        <f>SUM(F50:F59)</f>
        <v>24188</v>
      </c>
      <c r="N52" s="84">
        <f>SUM(I50:I59)</f>
        <v>6783.97</v>
      </c>
      <c r="O52" s="85">
        <f>N52/M52*100</f>
        <v>28.04684141</v>
      </c>
    </row>
    <row r="53">
      <c r="A53" s="54"/>
      <c r="B53" s="98">
        <v>45514.0</v>
      </c>
      <c r="C53" s="98"/>
      <c r="D53" s="99"/>
      <c r="E53" s="104">
        <v>2413050.0</v>
      </c>
      <c r="F53" s="99">
        <f t="shared" si="7"/>
        <v>2100</v>
      </c>
      <c r="G53" s="100">
        <v>1018.0</v>
      </c>
      <c r="H53" s="101">
        <v>560.0</v>
      </c>
      <c r="I53" s="101">
        <v>606.1</v>
      </c>
      <c r="J53" s="102">
        <f t="shared" si="5"/>
        <v>-46.1</v>
      </c>
      <c r="K53" s="103">
        <f t="shared" si="6"/>
        <v>28.86190476</v>
      </c>
      <c r="L53" s="54"/>
      <c r="M53" s="54"/>
    </row>
    <row r="54">
      <c r="A54" s="54"/>
      <c r="B54" s="98">
        <v>45518.0</v>
      </c>
      <c r="C54" s="98"/>
      <c r="D54" s="99"/>
      <c r="E54" s="131">
        <v>2415814.0</v>
      </c>
      <c r="F54" s="99">
        <f t="shared" si="7"/>
        <v>2764</v>
      </c>
      <c r="G54" s="100">
        <v>1034.0</v>
      </c>
      <c r="H54" s="101">
        <v>736.0</v>
      </c>
      <c r="I54" s="101">
        <v>796.5</v>
      </c>
      <c r="J54" s="102">
        <f t="shared" si="5"/>
        <v>-60.5</v>
      </c>
      <c r="K54" s="103">
        <f t="shared" si="6"/>
        <v>28.81693198</v>
      </c>
      <c r="L54" s="54"/>
      <c r="M54" s="54"/>
    </row>
    <row r="55">
      <c r="A55" s="54"/>
      <c r="B55" s="98">
        <v>45521.0</v>
      </c>
      <c r="C55" s="98"/>
      <c r="D55" s="102"/>
      <c r="E55" s="100">
        <v>2418167.0</v>
      </c>
      <c r="F55" s="99">
        <f t="shared" si="7"/>
        <v>2353</v>
      </c>
      <c r="G55" s="100">
        <v>981.0</v>
      </c>
      <c r="H55" s="101">
        <v>553.0</v>
      </c>
      <c r="I55" s="101">
        <v>600.0</v>
      </c>
      <c r="J55" s="102">
        <f t="shared" si="5"/>
        <v>-47</v>
      </c>
      <c r="K55" s="103">
        <f t="shared" si="6"/>
        <v>25.49936252</v>
      </c>
      <c r="L55" s="54"/>
      <c r="M55" s="54"/>
    </row>
    <row r="56">
      <c r="A56" s="54"/>
      <c r="B56" s="98">
        <v>45525.0</v>
      </c>
      <c r="C56" s="98"/>
      <c r="D56" s="99"/>
      <c r="E56" s="131">
        <v>2421024.0</v>
      </c>
      <c r="F56" s="99">
        <f t="shared" si="7"/>
        <v>2857</v>
      </c>
      <c r="G56" s="100">
        <v>1031.0</v>
      </c>
      <c r="H56" s="101">
        <v>785.0</v>
      </c>
      <c r="I56" s="101">
        <v>843.34</v>
      </c>
      <c r="J56" s="102">
        <f t="shared" si="5"/>
        <v>-58.34</v>
      </c>
      <c r="K56" s="103">
        <f t="shared" si="6"/>
        <v>29.51837592</v>
      </c>
      <c r="L56" s="54"/>
      <c r="M56" s="54"/>
    </row>
    <row r="57">
      <c r="A57" s="54"/>
      <c r="B57" s="98">
        <v>45528.0</v>
      </c>
      <c r="C57" s="98"/>
      <c r="D57" s="99"/>
      <c r="E57" s="100">
        <v>2423430.0</v>
      </c>
      <c r="F57" s="99">
        <f t="shared" si="7"/>
        <v>2406</v>
      </c>
      <c r="G57" s="100">
        <v>1029.0</v>
      </c>
      <c r="H57" s="101">
        <v>605.0</v>
      </c>
      <c r="I57" s="101">
        <v>651.47</v>
      </c>
      <c r="J57" s="102">
        <f t="shared" si="5"/>
        <v>-46.47</v>
      </c>
      <c r="K57" s="103">
        <f t="shared" si="6"/>
        <v>27.07689111</v>
      </c>
      <c r="L57" s="54"/>
      <c r="M57" s="54"/>
    </row>
    <row r="58">
      <c r="A58" s="54"/>
      <c r="B58" s="98">
        <v>45532.0</v>
      </c>
      <c r="C58" s="98"/>
      <c r="D58" s="99"/>
      <c r="E58" s="131">
        <v>2426261.0</v>
      </c>
      <c r="F58" s="99">
        <f t="shared" si="7"/>
        <v>2831</v>
      </c>
      <c r="G58" s="100">
        <v>1025.0</v>
      </c>
      <c r="H58" s="101">
        <v>729.0</v>
      </c>
      <c r="I58" s="101">
        <v>786.56</v>
      </c>
      <c r="J58" s="102">
        <f t="shared" si="5"/>
        <v>-57.56</v>
      </c>
      <c r="K58" s="103">
        <f t="shared" si="6"/>
        <v>27.78382197</v>
      </c>
      <c r="L58" s="54"/>
      <c r="M58" s="54"/>
    </row>
    <row r="59">
      <c r="A59" s="54"/>
      <c r="B59" s="98">
        <v>45535.0</v>
      </c>
      <c r="C59" s="98"/>
      <c r="D59" s="99"/>
      <c r="E59" s="100">
        <v>2428672.0</v>
      </c>
      <c r="F59" s="99">
        <f t="shared" si="7"/>
        <v>2411</v>
      </c>
      <c r="G59" s="100">
        <v>1031.0</v>
      </c>
      <c r="H59" s="101">
        <v>649.0</v>
      </c>
      <c r="I59" s="101">
        <v>700.0</v>
      </c>
      <c r="J59" s="102">
        <f t="shared" si="5"/>
        <v>-51</v>
      </c>
      <c r="K59" s="103">
        <f t="shared" si="6"/>
        <v>29.03359602</v>
      </c>
      <c r="L59" s="54"/>
      <c r="M59" s="54"/>
    </row>
    <row r="60">
      <c r="A60" s="333"/>
      <c r="B60" s="67" t="s">
        <v>104</v>
      </c>
      <c r="J60" s="333"/>
      <c r="K60" s="333"/>
      <c r="L60" s="333"/>
      <c r="M60" s="333"/>
      <c r="N60" s="334"/>
      <c r="O60" s="334"/>
      <c r="P60" s="334"/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</row>
    <row r="61">
      <c r="A61" s="54"/>
      <c r="B61" s="98">
        <v>45546.0</v>
      </c>
      <c r="C61" s="98"/>
      <c r="D61" s="99"/>
      <c r="E61" s="130">
        <v>2431531.0</v>
      </c>
      <c r="F61" s="99">
        <f>E61-E59</f>
        <v>2859</v>
      </c>
      <c r="G61" s="100">
        <v>1030.0</v>
      </c>
      <c r="H61" s="101">
        <v>744.0</v>
      </c>
      <c r="I61" s="101">
        <v>802.47</v>
      </c>
      <c r="J61" s="102">
        <f t="shared" ref="J61:J66" si="8">H61-I61</f>
        <v>-58.47</v>
      </c>
      <c r="K61" s="103">
        <f t="shared" ref="K61:K66" si="9">I61/F61*100</f>
        <v>28.06820567</v>
      </c>
      <c r="L61" s="54"/>
      <c r="M61" s="132" t="str">
        <f>"тотал"&amp;" "&amp;B60</f>
        <v>тотал СЕНТЯБРЬ</v>
      </c>
      <c r="N61" s="75"/>
      <c r="O61" s="76"/>
    </row>
    <row r="62">
      <c r="A62" s="54"/>
      <c r="B62" s="98">
        <v>45549.0</v>
      </c>
      <c r="C62" s="98"/>
      <c r="D62" s="99"/>
      <c r="E62" s="100">
        <v>2433938.0</v>
      </c>
      <c r="F62" s="99">
        <f t="shared" ref="F62:F66" si="10">E62-E61</f>
        <v>2407</v>
      </c>
      <c r="G62" s="100">
        <v>969.0</v>
      </c>
      <c r="H62" s="101">
        <v>564.0</v>
      </c>
      <c r="I62" s="101">
        <v>692.12</v>
      </c>
      <c r="J62" s="102">
        <f t="shared" si="8"/>
        <v>-128.12</v>
      </c>
      <c r="K62" s="103">
        <f t="shared" si="9"/>
        <v>28.75446614</v>
      </c>
      <c r="L62" s="54"/>
      <c r="M62" s="84" t="s">
        <v>70</v>
      </c>
      <c r="N62" s="84" t="s">
        <v>71</v>
      </c>
      <c r="O62" s="84" t="s">
        <v>27</v>
      </c>
    </row>
    <row r="63">
      <c r="A63" s="54"/>
      <c r="B63" s="98">
        <v>45553.0</v>
      </c>
      <c r="C63" s="98"/>
      <c r="D63" s="99"/>
      <c r="E63" s="453">
        <v>2435863.0</v>
      </c>
      <c r="F63" s="99">
        <f t="shared" si="10"/>
        <v>1925</v>
      </c>
      <c r="G63" s="100">
        <v>1018.0</v>
      </c>
      <c r="H63" s="101">
        <v>519.0</v>
      </c>
      <c r="I63" s="101">
        <v>567.07</v>
      </c>
      <c r="J63" s="102">
        <f t="shared" si="8"/>
        <v>-48.07</v>
      </c>
      <c r="K63" s="103">
        <f t="shared" si="9"/>
        <v>29.45818182</v>
      </c>
      <c r="L63" s="54"/>
      <c r="M63" s="84">
        <f>SUM(F61:F66)</f>
        <v>15357</v>
      </c>
      <c r="N63" s="84">
        <f>SUM(I61:I66)</f>
        <v>4371.06</v>
      </c>
      <c r="O63" s="85">
        <f>N63/M63*100</f>
        <v>28.46298105</v>
      </c>
    </row>
    <row r="64">
      <c r="A64" s="54"/>
      <c r="B64" s="98">
        <v>45557.0</v>
      </c>
      <c r="C64" s="98"/>
      <c r="D64" s="99"/>
      <c r="E64" s="100">
        <v>2438733.0</v>
      </c>
      <c r="F64" s="99">
        <f t="shared" si="10"/>
        <v>2870</v>
      </c>
      <c r="G64" s="100">
        <v>1024.0</v>
      </c>
      <c r="H64" s="101">
        <v>757.0</v>
      </c>
      <c r="I64" s="101">
        <v>812.37</v>
      </c>
      <c r="J64" s="102">
        <f t="shared" si="8"/>
        <v>-55.37</v>
      </c>
      <c r="K64" s="103">
        <f t="shared" si="9"/>
        <v>28.30557491</v>
      </c>
      <c r="L64" s="54"/>
      <c r="M64" s="54"/>
    </row>
    <row r="65">
      <c r="A65" s="54"/>
      <c r="B65" s="98">
        <v>45560.0</v>
      </c>
      <c r="C65" s="98"/>
      <c r="D65" s="99"/>
      <c r="E65" s="100">
        <v>2441139.0</v>
      </c>
      <c r="F65" s="99">
        <f t="shared" si="10"/>
        <v>2406</v>
      </c>
      <c r="G65" s="100">
        <v>1023.0</v>
      </c>
      <c r="H65" s="101">
        <v>605.0</v>
      </c>
      <c r="I65" s="101">
        <v>653.2</v>
      </c>
      <c r="J65" s="102">
        <f t="shared" si="8"/>
        <v>-48.2</v>
      </c>
      <c r="K65" s="103">
        <f t="shared" si="9"/>
        <v>27.14879468</v>
      </c>
      <c r="L65" s="54"/>
      <c r="M65" s="54"/>
    </row>
    <row r="66">
      <c r="A66" s="54"/>
      <c r="B66" s="98">
        <v>45563.0</v>
      </c>
      <c r="C66" s="98"/>
      <c r="D66" s="99"/>
      <c r="E66" s="100">
        <v>2444029.0</v>
      </c>
      <c r="F66" s="99">
        <f t="shared" si="10"/>
        <v>2890</v>
      </c>
      <c r="G66" s="100">
        <v>1026.0</v>
      </c>
      <c r="H66" s="101">
        <v>785.0</v>
      </c>
      <c r="I66" s="101">
        <v>843.83</v>
      </c>
      <c r="J66" s="102">
        <f t="shared" si="8"/>
        <v>-58.83</v>
      </c>
      <c r="K66" s="103">
        <f t="shared" si="9"/>
        <v>29.1982699</v>
      </c>
      <c r="L66" s="54"/>
      <c r="M66" s="54"/>
    </row>
    <row r="67">
      <c r="A67" s="333"/>
      <c r="B67" s="67" t="s">
        <v>96</v>
      </c>
      <c r="J67" s="333"/>
      <c r="K67" s="333"/>
      <c r="L67" s="333"/>
      <c r="M67" s="333"/>
      <c r="N67" s="334"/>
      <c r="O67" s="334"/>
      <c r="P67" s="334"/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</row>
    <row r="68">
      <c r="A68" s="54"/>
      <c r="B68" s="98">
        <v>45567.0</v>
      </c>
      <c r="C68" s="98"/>
      <c r="D68" s="99"/>
      <c r="E68" s="100">
        <v>2446374.0</v>
      </c>
      <c r="F68" s="99">
        <f>E68-E66</f>
        <v>2345</v>
      </c>
      <c r="G68" s="100">
        <v>1028.0</v>
      </c>
      <c r="H68" s="101">
        <v>618.0</v>
      </c>
      <c r="I68" s="101">
        <v>670.18</v>
      </c>
      <c r="J68" s="102">
        <f t="shared" ref="J68:J74" si="11">H68-I68</f>
        <v>-52.18</v>
      </c>
      <c r="K68" s="103">
        <f t="shared" ref="K68:K74" si="12">I68/F68*100</f>
        <v>28.57910448</v>
      </c>
      <c r="L68" s="54"/>
      <c r="M68" s="205" t="str">
        <f>"тотал"&amp;" "&amp;B67&amp;" "&amp;RIGHT(YEAR(B68),2)</f>
        <v>тотал ОКТЯБРЬ 24</v>
      </c>
      <c r="N68" s="75"/>
      <c r="O68" s="75"/>
      <c r="P68" s="75"/>
      <c r="Q68" s="76"/>
    </row>
    <row r="69">
      <c r="A69" s="54"/>
      <c r="B69" s="98">
        <v>45570.0</v>
      </c>
      <c r="C69" s="98"/>
      <c r="D69" s="99"/>
      <c r="E69" s="100">
        <v>2449266.0</v>
      </c>
      <c r="F69" s="99">
        <f t="shared" ref="F69:F74" si="13">E69-E68</f>
        <v>2892</v>
      </c>
      <c r="G69" s="100">
        <v>1039.0</v>
      </c>
      <c r="H69" s="101">
        <v>810.0</v>
      </c>
      <c r="I69" s="101">
        <v>857.16</v>
      </c>
      <c r="J69" s="102">
        <f t="shared" si="11"/>
        <v>-47.16</v>
      </c>
      <c r="K69" s="103">
        <f t="shared" si="12"/>
        <v>29.63900415</v>
      </c>
      <c r="L69" s="54"/>
      <c r="M69" s="84" t="s">
        <v>70</v>
      </c>
      <c r="N69" s="84" t="s">
        <v>71</v>
      </c>
      <c r="O69" s="84" t="s">
        <v>27</v>
      </c>
      <c r="P69" s="83" t="s">
        <v>28</v>
      </c>
      <c r="Q69" s="321" t="s">
        <v>78</v>
      </c>
    </row>
    <row r="70">
      <c r="A70" s="54"/>
      <c r="B70" s="98">
        <v>45575.0</v>
      </c>
      <c r="C70" s="98"/>
      <c r="D70" s="98"/>
      <c r="E70" s="100">
        <v>2451589.0</v>
      </c>
      <c r="F70" s="99">
        <f t="shared" si="13"/>
        <v>2323</v>
      </c>
      <c r="G70" s="100">
        <v>1034.0</v>
      </c>
      <c r="H70" s="101">
        <v>631.0</v>
      </c>
      <c r="I70" s="101">
        <v>680.24</v>
      </c>
      <c r="J70" s="102">
        <f t="shared" si="11"/>
        <v>-49.24</v>
      </c>
      <c r="K70" s="103">
        <f t="shared" si="12"/>
        <v>29.28282393</v>
      </c>
      <c r="L70" s="54"/>
      <c r="M70" s="84">
        <f>SUM(F68:F74)</f>
        <v>18143</v>
      </c>
      <c r="N70" s="84">
        <f>SUM(I68:I74)</f>
        <v>5273.99</v>
      </c>
      <c r="O70" s="85">
        <f>N70/M70*100</f>
        <v>29.06900733</v>
      </c>
      <c r="P70" s="84">
        <f>(M70/100)*(O70-Q70)</f>
        <v>193.95</v>
      </c>
      <c r="Q70" s="464">
        <v>28.0</v>
      </c>
    </row>
    <row r="71">
      <c r="A71" s="54"/>
      <c r="B71" s="98">
        <v>45583.0</v>
      </c>
      <c r="C71" s="98"/>
      <c r="D71" s="99"/>
      <c r="E71" s="100">
        <v>2454396.0</v>
      </c>
      <c r="F71" s="99">
        <f t="shared" si="13"/>
        <v>2807</v>
      </c>
      <c r="G71" s="100">
        <v>1047.0</v>
      </c>
      <c r="H71" s="101">
        <v>791.0</v>
      </c>
      <c r="I71" s="101">
        <v>844.66</v>
      </c>
      <c r="J71" s="102">
        <f t="shared" si="11"/>
        <v>-53.66</v>
      </c>
      <c r="K71" s="103">
        <f t="shared" si="12"/>
        <v>30.09120057</v>
      </c>
      <c r="L71" s="54"/>
      <c r="M71" s="54"/>
    </row>
    <row r="72">
      <c r="A72" s="54"/>
      <c r="B72" s="98">
        <v>45587.0</v>
      </c>
      <c r="C72" s="98"/>
      <c r="D72" s="99"/>
      <c r="E72" s="100">
        <v>2456954.0</v>
      </c>
      <c r="F72" s="99">
        <f t="shared" si="13"/>
        <v>2558</v>
      </c>
      <c r="G72" s="100">
        <v>1029.0</v>
      </c>
      <c r="H72" s="101">
        <v>651.0</v>
      </c>
      <c r="I72" s="101">
        <v>700.73</v>
      </c>
      <c r="J72" s="102">
        <f t="shared" si="11"/>
        <v>-49.73</v>
      </c>
      <c r="K72" s="103">
        <f t="shared" si="12"/>
        <v>27.39366693</v>
      </c>
      <c r="L72" s="54"/>
      <c r="M72" s="54"/>
    </row>
    <row r="73">
      <c r="A73" s="54"/>
      <c r="B73" s="98">
        <v>45591.0</v>
      </c>
      <c r="C73" s="98"/>
      <c r="D73" s="99"/>
      <c r="E73" s="100">
        <v>2459794.0</v>
      </c>
      <c r="F73" s="99">
        <f t="shared" si="13"/>
        <v>2840</v>
      </c>
      <c r="G73" s="100">
        <v>1038.0</v>
      </c>
      <c r="H73" s="101">
        <v>795.0</v>
      </c>
      <c r="I73" s="101">
        <v>845.09</v>
      </c>
      <c r="J73" s="102">
        <f t="shared" si="11"/>
        <v>-50.09</v>
      </c>
      <c r="K73" s="103">
        <f t="shared" si="12"/>
        <v>29.75669014</v>
      </c>
      <c r="L73" s="54"/>
      <c r="M73" s="54"/>
    </row>
    <row r="74">
      <c r="A74" s="54"/>
      <c r="B74" s="98">
        <v>45596.0</v>
      </c>
      <c r="C74" s="98"/>
      <c r="D74" s="99"/>
      <c r="E74" s="100">
        <v>2462172.0</v>
      </c>
      <c r="F74" s="99">
        <f t="shared" si="13"/>
        <v>2378</v>
      </c>
      <c r="G74" s="100">
        <v>1028.0</v>
      </c>
      <c r="H74" s="101">
        <v>620.0</v>
      </c>
      <c r="I74" s="101">
        <v>675.93</v>
      </c>
      <c r="J74" s="308">
        <f t="shared" si="11"/>
        <v>-55.93</v>
      </c>
      <c r="K74" s="169">
        <f t="shared" si="12"/>
        <v>28.42430614</v>
      </c>
      <c r="L74" s="54"/>
      <c r="M74" s="54"/>
    </row>
    <row r="75">
      <c r="A75" s="333"/>
      <c r="B75" s="67" t="s">
        <v>97</v>
      </c>
      <c r="J75" s="437"/>
      <c r="K75" s="438"/>
      <c r="L75" s="333"/>
      <c r="M75" s="333"/>
      <c r="N75" s="334"/>
      <c r="O75" s="334"/>
      <c r="P75" s="334"/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</row>
    <row r="76">
      <c r="A76" s="54"/>
      <c r="B76" s="98">
        <v>45598.0</v>
      </c>
      <c r="C76" s="98"/>
      <c r="D76" s="99"/>
      <c r="E76" s="100">
        <v>2463822.0</v>
      </c>
      <c r="F76" s="99">
        <f>E76-E74</f>
        <v>1650</v>
      </c>
      <c r="G76" s="100">
        <v>1037.0</v>
      </c>
      <c r="H76" s="101">
        <v>463.0</v>
      </c>
      <c r="I76" s="101">
        <v>500.0</v>
      </c>
      <c r="J76" s="168">
        <f t="shared" ref="J76:J85" si="14">H76-I76</f>
        <v>-37</v>
      </c>
      <c r="K76" s="170">
        <f t="shared" ref="K76:K85" si="15">I76/F76*100</f>
        <v>30.3030303</v>
      </c>
      <c r="L76" s="54"/>
      <c r="M76" s="205" t="str">
        <f>"тотал"&amp;" "&amp;B75&amp;" "&amp;RIGHT(YEAR(B76),2)</f>
        <v>тотал НОЯБРЬ 24</v>
      </c>
      <c r="N76" s="75"/>
      <c r="O76" s="75"/>
      <c r="P76" s="75"/>
      <c r="Q76" s="76"/>
    </row>
    <row r="77">
      <c r="A77" s="54"/>
      <c r="B77" s="98">
        <v>45602.0</v>
      </c>
      <c r="C77" s="98"/>
      <c r="D77" s="99"/>
      <c r="E77" s="100">
        <v>2466613.0</v>
      </c>
      <c r="F77" s="99">
        <f t="shared" ref="F77:F85" si="16">E77-E76</f>
        <v>2791</v>
      </c>
      <c r="G77" s="100">
        <v>1024.0</v>
      </c>
      <c r="H77" s="101">
        <v>681.0</v>
      </c>
      <c r="I77" s="101">
        <v>796.13</v>
      </c>
      <c r="J77" s="168">
        <f t="shared" si="14"/>
        <v>-115.13</v>
      </c>
      <c r="K77" s="170">
        <f t="shared" si="15"/>
        <v>28.52490147</v>
      </c>
      <c r="L77" s="54"/>
      <c r="M77" s="84" t="s">
        <v>70</v>
      </c>
      <c r="N77" s="84" t="s">
        <v>71</v>
      </c>
      <c r="O77" s="84" t="s">
        <v>27</v>
      </c>
      <c r="P77" s="83" t="s">
        <v>28</v>
      </c>
      <c r="Q77" s="321" t="s">
        <v>78</v>
      </c>
    </row>
    <row r="78">
      <c r="A78" s="54"/>
      <c r="B78" s="98">
        <v>45605.0</v>
      </c>
      <c r="C78" s="98"/>
      <c r="D78" s="99"/>
      <c r="E78" s="100">
        <v>2468973.0</v>
      </c>
      <c r="F78" s="99">
        <f t="shared" si="16"/>
        <v>2360</v>
      </c>
      <c r="G78" s="100">
        <v>1039.0</v>
      </c>
      <c r="H78" s="101">
        <v>674.0</v>
      </c>
      <c r="I78" s="101">
        <v>720.48</v>
      </c>
      <c r="J78" s="168">
        <f t="shared" si="14"/>
        <v>-46.48</v>
      </c>
      <c r="K78" s="170">
        <f t="shared" si="15"/>
        <v>30.52881356</v>
      </c>
      <c r="L78" s="54"/>
      <c r="M78" s="84">
        <f>SUM(F76:F85)</f>
        <v>19546</v>
      </c>
      <c r="N78" s="84">
        <f>SUM(I76:I85)</f>
        <v>6033.03</v>
      </c>
      <c r="O78" s="85">
        <f>N78/M78*100</f>
        <v>30.86580375</v>
      </c>
      <c r="P78" s="84">
        <f>(M78/100)*(O78-Q78)</f>
        <v>560.15</v>
      </c>
      <c r="Q78" s="464">
        <v>28.0</v>
      </c>
    </row>
    <row r="79">
      <c r="A79" s="54"/>
      <c r="B79" s="98">
        <v>45609.0</v>
      </c>
      <c r="C79" s="98"/>
      <c r="D79" s="99"/>
      <c r="E79" s="100">
        <v>2470827.0</v>
      </c>
      <c r="F79" s="99">
        <f t="shared" si="16"/>
        <v>1854</v>
      </c>
      <c r="G79" s="100">
        <v>768.0</v>
      </c>
      <c r="H79" s="101">
        <v>224.0</v>
      </c>
      <c r="I79" s="465">
        <v>224.0</v>
      </c>
      <c r="J79" s="168">
        <f t="shared" si="14"/>
        <v>0</v>
      </c>
      <c r="K79" s="170">
        <f t="shared" si="15"/>
        <v>12.0819849</v>
      </c>
      <c r="L79" s="54"/>
      <c r="M79" s="194"/>
      <c r="N79" s="194"/>
      <c r="O79" s="267"/>
    </row>
    <row r="80">
      <c r="A80" s="54"/>
      <c r="B80" s="98">
        <v>45610.0</v>
      </c>
      <c r="C80" s="98"/>
      <c r="D80" s="99"/>
      <c r="E80" s="100">
        <v>2471664.0</v>
      </c>
      <c r="F80" s="99">
        <f t="shared" si="16"/>
        <v>837</v>
      </c>
      <c r="G80" s="100">
        <v>764.0</v>
      </c>
      <c r="H80" s="101">
        <v>236.0</v>
      </c>
      <c r="I80" s="465">
        <v>236.0</v>
      </c>
      <c r="J80" s="168">
        <f t="shared" si="14"/>
        <v>0</v>
      </c>
      <c r="K80" s="170">
        <f t="shared" si="15"/>
        <v>28.19593787</v>
      </c>
      <c r="L80" s="54"/>
      <c r="M80" s="194"/>
      <c r="N80" s="194"/>
      <c r="O80" s="267"/>
    </row>
    <row r="81">
      <c r="A81" s="54"/>
      <c r="B81" s="98">
        <v>45612.0</v>
      </c>
      <c r="C81" s="98"/>
      <c r="D81" s="99"/>
      <c r="E81" s="100">
        <v>2472440.0</v>
      </c>
      <c r="F81" s="99">
        <f t="shared" si="16"/>
        <v>776</v>
      </c>
      <c r="G81" s="100">
        <v>1029.0</v>
      </c>
      <c r="H81" s="101">
        <v>480.0</v>
      </c>
      <c r="I81" s="101">
        <v>524.41</v>
      </c>
      <c r="J81" s="168">
        <f t="shared" si="14"/>
        <v>-44.41</v>
      </c>
      <c r="K81" s="170">
        <f t="shared" si="15"/>
        <v>67.57860825</v>
      </c>
      <c r="L81" s="54"/>
      <c r="M81" s="54"/>
    </row>
    <row r="82">
      <c r="A82" s="54"/>
      <c r="B82" s="98">
        <v>45615.0</v>
      </c>
      <c r="C82" s="98"/>
      <c r="D82" s="99"/>
      <c r="E82" s="100">
        <v>2474265.0</v>
      </c>
      <c r="F82" s="99">
        <f t="shared" si="16"/>
        <v>1825</v>
      </c>
      <c r="G82" s="100">
        <v>1029.0</v>
      </c>
      <c r="H82" s="101">
        <v>448.0</v>
      </c>
      <c r="I82" s="101">
        <v>496.22</v>
      </c>
      <c r="J82" s="168">
        <f t="shared" si="14"/>
        <v>-48.22</v>
      </c>
      <c r="K82" s="170">
        <f t="shared" si="15"/>
        <v>27.19013699</v>
      </c>
      <c r="L82" s="54"/>
      <c r="M82" s="54"/>
    </row>
    <row r="83">
      <c r="A83" s="54"/>
      <c r="B83" s="98">
        <v>45618.0</v>
      </c>
      <c r="C83" s="98"/>
      <c r="D83" s="99"/>
      <c r="E83" s="100">
        <v>2476818.0</v>
      </c>
      <c r="F83" s="99">
        <f t="shared" si="16"/>
        <v>2553</v>
      </c>
      <c r="G83" s="100">
        <v>1026.0</v>
      </c>
      <c r="H83" s="101">
        <v>813.0</v>
      </c>
      <c r="I83" s="101">
        <v>877.17</v>
      </c>
      <c r="J83" s="168">
        <f t="shared" si="14"/>
        <v>-64.17</v>
      </c>
      <c r="K83" s="170">
        <f t="shared" si="15"/>
        <v>34.35840188</v>
      </c>
      <c r="L83" s="54"/>
      <c r="M83" s="54"/>
    </row>
    <row r="84">
      <c r="A84" s="54"/>
      <c r="B84" s="98">
        <v>45622.0</v>
      </c>
      <c r="C84" s="98"/>
      <c r="D84" s="99"/>
      <c r="E84" s="100">
        <v>2479348.0</v>
      </c>
      <c r="F84" s="99">
        <f t="shared" si="16"/>
        <v>2530</v>
      </c>
      <c r="G84" s="100">
        <v>1013.0</v>
      </c>
      <c r="H84" s="101">
        <v>701.0</v>
      </c>
      <c r="I84" s="101">
        <v>772.8</v>
      </c>
      <c r="J84" s="168">
        <f t="shared" si="14"/>
        <v>-71.8</v>
      </c>
      <c r="K84" s="170">
        <f t="shared" si="15"/>
        <v>30.54545455</v>
      </c>
      <c r="L84" s="54"/>
      <c r="M84" s="54"/>
    </row>
    <row r="85">
      <c r="A85" s="54"/>
      <c r="B85" s="98">
        <v>45626.0</v>
      </c>
      <c r="C85" s="98"/>
      <c r="D85" s="99"/>
      <c r="E85" s="100">
        <v>2481718.0</v>
      </c>
      <c r="F85" s="99">
        <f t="shared" si="16"/>
        <v>2370</v>
      </c>
      <c r="G85" s="100">
        <v>882.0</v>
      </c>
      <c r="H85" s="101">
        <v>544.0</v>
      </c>
      <c r="I85" s="101">
        <v>885.82</v>
      </c>
      <c r="J85" s="168">
        <f t="shared" si="14"/>
        <v>-341.82</v>
      </c>
      <c r="K85" s="170">
        <f t="shared" si="15"/>
        <v>37.37637131</v>
      </c>
      <c r="L85" s="54"/>
      <c r="M85" s="54"/>
    </row>
    <row r="86">
      <c r="A86" s="333"/>
      <c r="B86" s="67" t="s">
        <v>98</v>
      </c>
      <c r="J86" s="437"/>
      <c r="K86" s="438"/>
      <c r="L86" s="333"/>
      <c r="M86" s="333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</row>
    <row r="87">
      <c r="A87" s="54"/>
      <c r="B87" s="98">
        <v>45627.0</v>
      </c>
      <c r="C87" s="98"/>
      <c r="D87" s="99"/>
      <c r="E87" s="100">
        <v>2483441.0</v>
      </c>
      <c r="F87" s="99">
        <f>E87-E85</f>
        <v>1723</v>
      </c>
      <c r="G87" s="100">
        <v>954.0</v>
      </c>
      <c r="H87" s="101">
        <v>324.0</v>
      </c>
      <c r="I87" s="101">
        <v>350.1</v>
      </c>
      <c r="J87" s="102">
        <f t="shared" ref="J87:J95" si="17">H87-I87</f>
        <v>-26.1</v>
      </c>
      <c r="K87" s="170">
        <f t="shared" ref="K87:K95" si="18">I87/F87*100</f>
        <v>20.31921068</v>
      </c>
      <c r="L87" s="54"/>
      <c r="M87" s="205" t="str">
        <f>"тотал"&amp;" "&amp;B86&amp;" "&amp;RIGHT(YEAR(B87),2)</f>
        <v>тотал ДЕКАБРЬ 24</v>
      </c>
      <c r="N87" s="75"/>
      <c r="O87" s="75"/>
      <c r="P87" s="75"/>
      <c r="Q87" s="76"/>
    </row>
    <row r="88">
      <c r="A88" s="54"/>
      <c r="B88" s="98">
        <v>45630.0</v>
      </c>
      <c r="C88" s="98"/>
      <c r="D88" s="99"/>
      <c r="E88" s="100">
        <v>2484592.0</v>
      </c>
      <c r="F88" s="99">
        <f t="shared" ref="F88:F95" si="19">E88-E87</f>
        <v>1151</v>
      </c>
      <c r="G88" s="466">
        <v>1028.0</v>
      </c>
      <c r="H88" s="101">
        <v>388.0</v>
      </c>
      <c r="I88" s="101">
        <v>415.42</v>
      </c>
      <c r="J88" s="102">
        <f t="shared" si="17"/>
        <v>-27.42</v>
      </c>
      <c r="K88" s="170">
        <f t="shared" si="18"/>
        <v>36.09209383</v>
      </c>
      <c r="L88" s="54"/>
      <c r="M88" s="84" t="s">
        <v>70</v>
      </c>
      <c r="N88" s="84" t="s">
        <v>71</v>
      </c>
      <c r="O88" s="84" t="s">
        <v>27</v>
      </c>
      <c r="P88" s="83" t="s">
        <v>28</v>
      </c>
      <c r="Q88" s="321" t="s">
        <v>78</v>
      </c>
    </row>
    <row r="89">
      <c r="A89" s="54"/>
      <c r="B89" s="98">
        <v>45633.0</v>
      </c>
      <c r="C89" s="98"/>
      <c r="D89" s="99"/>
      <c r="E89" s="100">
        <v>2487250.0</v>
      </c>
      <c r="F89" s="99">
        <f t="shared" si="19"/>
        <v>2658</v>
      </c>
      <c r="G89" s="100">
        <v>1014.0</v>
      </c>
      <c r="H89" s="101">
        <v>755.0</v>
      </c>
      <c r="I89" s="101">
        <v>833.49</v>
      </c>
      <c r="J89" s="102">
        <f t="shared" si="17"/>
        <v>-78.49</v>
      </c>
      <c r="K89" s="170">
        <f t="shared" si="18"/>
        <v>31.35778781</v>
      </c>
      <c r="L89" s="54"/>
      <c r="M89" s="84">
        <f>SUM(F87:F95)</f>
        <v>19240</v>
      </c>
      <c r="N89" s="84">
        <f>SUM(I87:I95)</f>
        <v>5679.5</v>
      </c>
      <c r="O89" s="85">
        <f>N89/M89*100</f>
        <v>29.51923077</v>
      </c>
      <c r="P89" s="84">
        <f>(M89/100)*(O89-Q89)</f>
        <v>292.3</v>
      </c>
      <c r="Q89" s="464">
        <v>28.0</v>
      </c>
    </row>
    <row r="90">
      <c r="A90" s="54"/>
      <c r="B90" s="98">
        <v>45636.0</v>
      </c>
      <c r="C90" s="98"/>
      <c r="D90" s="99"/>
      <c r="E90" s="100">
        <v>2489581.0</v>
      </c>
      <c r="F90" s="99">
        <f t="shared" si="19"/>
        <v>2331</v>
      </c>
      <c r="G90" s="100">
        <v>1001.0</v>
      </c>
      <c r="H90" s="101">
        <v>642.0</v>
      </c>
      <c r="I90" s="101">
        <v>724.56</v>
      </c>
      <c r="J90" s="102">
        <f t="shared" si="17"/>
        <v>-82.56</v>
      </c>
      <c r="K90" s="170">
        <f t="shared" si="18"/>
        <v>31.08365508</v>
      </c>
      <c r="L90" s="54"/>
      <c r="M90" s="54"/>
    </row>
    <row r="91">
      <c r="A91" s="54"/>
      <c r="B91" s="98">
        <v>45640.0</v>
      </c>
      <c r="C91" s="98"/>
      <c r="D91" s="99"/>
      <c r="E91" s="100">
        <v>2492280.0</v>
      </c>
      <c r="F91" s="99">
        <f t="shared" si="19"/>
        <v>2699</v>
      </c>
      <c r="G91" s="100">
        <v>1000.0</v>
      </c>
      <c r="H91" s="101">
        <v>762.0</v>
      </c>
      <c r="I91" s="102">
        <f>448.8+390.14</f>
        <v>838.94</v>
      </c>
      <c r="J91" s="102">
        <f t="shared" si="17"/>
        <v>-76.94</v>
      </c>
      <c r="K91" s="170">
        <f t="shared" si="18"/>
        <v>31.08336421</v>
      </c>
      <c r="L91" s="54"/>
      <c r="M91" s="54"/>
    </row>
    <row r="92">
      <c r="A92" s="54"/>
      <c r="B92" s="98">
        <v>45645.0</v>
      </c>
      <c r="C92" s="98"/>
      <c r="D92" s="99"/>
      <c r="E92" s="100">
        <v>2494682.0</v>
      </c>
      <c r="F92" s="99">
        <f t="shared" si="19"/>
        <v>2402</v>
      </c>
      <c r="G92" s="100">
        <v>1008.0</v>
      </c>
      <c r="H92" s="101">
        <v>684.0</v>
      </c>
      <c r="I92" s="101">
        <v>757.44</v>
      </c>
      <c r="J92" s="102">
        <f t="shared" si="17"/>
        <v>-73.44</v>
      </c>
      <c r="K92" s="170">
        <f t="shared" si="18"/>
        <v>31.5337219</v>
      </c>
      <c r="L92" s="54"/>
      <c r="M92" s="54"/>
    </row>
    <row r="93">
      <c r="A93" s="54"/>
      <c r="B93" s="98">
        <v>45647.0</v>
      </c>
      <c r="C93" s="98"/>
      <c r="D93" s="99"/>
      <c r="E93" s="100">
        <v>2496319.0</v>
      </c>
      <c r="F93" s="99">
        <f t="shared" si="19"/>
        <v>1637</v>
      </c>
      <c r="G93" s="100">
        <v>968.0</v>
      </c>
      <c r="H93" s="101">
        <v>446.0</v>
      </c>
      <c r="I93" s="101">
        <v>500.0</v>
      </c>
      <c r="J93" s="102">
        <f t="shared" si="17"/>
        <v>-54</v>
      </c>
      <c r="K93" s="170">
        <f t="shared" si="18"/>
        <v>30.54367746</v>
      </c>
      <c r="L93" s="54"/>
      <c r="M93" s="54"/>
    </row>
    <row r="94">
      <c r="A94" s="54"/>
      <c r="B94" s="98">
        <v>45650.0</v>
      </c>
      <c r="C94" s="98"/>
      <c r="D94" s="99"/>
      <c r="E94" s="100">
        <v>2498142.0</v>
      </c>
      <c r="F94" s="99">
        <f t="shared" si="19"/>
        <v>1823</v>
      </c>
      <c r="G94" s="100">
        <v>1003.0</v>
      </c>
      <c r="H94" s="101">
        <v>503.0</v>
      </c>
      <c r="I94" s="101">
        <v>559.55</v>
      </c>
      <c r="J94" s="102">
        <f t="shared" si="17"/>
        <v>-56.55</v>
      </c>
      <c r="K94" s="170">
        <f t="shared" si="18"/>
        <v>30.69391114</v>
      </c>
      <c r="L94" s="54"/>
      <c r="M94" s="54"/>
    </row>
    <row r="95">
      <c r="A95" s="54"/>
      <c r="B95" s="98">
        <v>45654.0</v>
      </c>
      <c r="C95" s="98"/>
      <c r="D95" s="99"/>
      <c r="E95" s="100">
        <v>2500958.0</v>
      </c>
      <c r="F95" s="99">
        <f t="shared" si="19"/>
        <v>2816</v>
      </c>
      <c r="G95" s="100">
        <v>867.0</v>
      </c>
      <c r="H95" s="101">
        <v>628.0</v>
      </c>
      <c r="I95" s="101">
        <v>700.0</v>
      </c>
      <c r="J95" s="102">
        <f t="shared" si="17"/>
        <v>-72</v>
      </c>
      <c r="K95" s="170">
        <f t="shared" si="18"/>
        <v>24.85795455</v>
      </c>
      <c r="L95" s="54"/>
      <c r="M95" s="54"/>
    </row>
    <row r="96">
      <c r="A96" s="333"/>
      <c r="B96" s="191">
        <v>2025.0</v>
      </c>
      <c r="J96" s="467"/>
      <c r="K96" s="468"/>
      <c r="L96" s="333"/>
      <c r="M96" s="333"/>
      <c r="N96" s="334"/>
      <c r="O96" s="334"/>
      <c r="P96" s="334"/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</row>
    <row r="97">
      <c r="A97" s="68"/>
      <c r="B97" s="203" t="str">
        <f>IF(L97=4,"АПРЕЛЬ",IF(L97=5,"МАЙ",IF(L97=1,"ЯНВАРЬ",IF(L97=2,"ФЕВРАЛЬ",IF(L97=3,"МАРТ",IF(L97=6,"ИЮНЬ",IF(L97=7,"ИЮЛЬ",IF(L97=8,"АВГУСТ",IF(L97=9,"СЕНТЯБРЬ",IF(L97=10,"ОКТЯБРЬ",IF(L97=11,"НОЯБРЬ",IF(L97=12,"ДЕКАБРЬ"))))))))))))</f>
        <v>ЯНВАРЬ</v>
      </c>
      <c r="J97" s="88"/>
      <c r="K97" s="204"/>
      <c r="L97" s="91">
        <f>MONTH(B98)</f>
        <v>1</v>
      </c>
      <c r="M97" s="66"/>
      <c r="N97" s="66"/>
      <c r="O97" s="66"/>
      <c r="P97" s="66"/>
      <c r="Q97" s="66"/>
    </row>
    <row r="98">
      <c r="A98" s="54"/>
      <c r="B98" s="98">
        <v>45660.0</v>
      </c>
      <c r="C98" s="98"/>
      <c r="D98" s="99"/>
      <c r="E98" s="100">
        <v>2503228.0</v>
      </c>
      <c r="F98" s="99">
        <f>E98-E95</f>
        <v>2270</v>
      </c>
      <c r="G98" s="100">
        <v>1003.0</v>
      </c>
      <c r="H98" s="101">
        <v>755.0</v>
      </c>
      <c r="I98" s="101">
        <v>841.64</v>
      </c>
      <c r="J98" s="168">
        <f t="shared" ref="J98:J109" si="20">H98-I98</f>
        <v>-86.64</v>
      </c>
      <c r="K98" s="170">
        <f t="shared" ref="K98:K109" si="21">I98/F98*100</f>
        <v>37.07665198</v>
      </c>
      <c r="L98" s="54"/>
      <c r="M98" s="205" t="str">
        <f>"тотал"&amp;" "&amp;B97&amp;" "&amp;RIGHT(YEAR(B98),2)</f>
        <v>тотал ЯНВАРЬ 25</v>
      </c>
      <c r="N98" s="75"/>
      <c r="O98" s="75"/>
      <c r="P98" s="75"/>
      <c r="Q98" s="76"/>
    </row>
    <row r="99">
      <c r="A99" s="54"/>
      <c r="B99" s="98">
        <v>45662.0</v>
      </c>
      <c r="C99" s="98"/>
      <c r="D99" s="99"/>
      <c r="E99" s="100">
        <v>2504863.0</v>
      </c>
      <c r="F99" s="99">
        <f t="shared" ref="F99:F109" si="22">E99-E98</f>
        <v>1635</v>
      </c>
      <c r="G99" s="100">
        <v>997.0</v>
      </c>
      <c r="H99" s="101">
        <v>449.0</v>
      </c>
      <c r="I99" s="101">
        <v>500.0</v>
      </c>
      <c r="J99" s="168">
        <f t="shared" si="20"/>
        <v>-51</v>
      </c>
      <c r="K99" s="170">
        <f t="shared" si="21"/>
        <v>30.58103976</v>
      </c>
      <c r="L99" s="54"/>
      <c r="M99" s="84" t="s">
        <v>70</v>
      </c>
      <c r="N99" s="84" t="s">
        <v>71</v>
      </c>
      <c r="O99" s="84" t="s">
        <v>27</v>
      </c>
      <c r="P99" s="83" t="s">
        <v>28</v>
      </c>
      <c r="Q99" s="321" t="s">
        <v>78</v>
      </c>
    </row>
    <row r="100">
      <c r="A100" s="54"/>
      <c r="B100" s="98">
        <v>45666.0</v>
      </c>
      <c r="C100" s="98"/>
      <c r="D100" s="99"/>
      <c r="E100" s="100">
        <v>2506690.0</v>
      </c>
      <c r="F100" s="99">
        <f t="shared" si="22"/>
        <v>1827</v>
      </c>
      <c r="G100" s="100">
        <v>998.0</v>
      </c>
      <c r="H100" s="101">
        <v>504.0</v>
      </c>
      <c r="I100" s="101">
        <v>560.51</v>
      </c>
      <c r="J100" s="168">
        <f t="shared" si="20"/>
        <v>-56.51</v>
      </c>
      <c r="K100" s="170">
        <f t="shared" si="21"/>
        <v>30.67925561</v>
      </c>
      <c r="L100" s="54"/>
      <c r="M100" s="84">
        <f>SUM(F98:F109)</f>
        <v>20895</v>
      </c>
      <c r="N100" s="84">
        <f>SUM(I98:I109)</f>
        <v>6731.14</v>
      </c>
      <c r="O100" s="85">
        <f>N100/M100*100</f>
        <v>32.21411821</v>
      </c>
      <c r="P100" s="84">
        <f>(M100/100)*(O100-Q100)</f>
        <v>880.54</v>
      </c>
      <c r="Q100" s="464">
        <v>28.0</v>
      </c>
    </row>
    <row r="101">
      <c r="A101" s="54"/>
      <c r="B101" s="98">
        <v>45668.0</v>
      </c>
      <c r="C101" s="98"/>
      <c r="D101" s="99"/>
      <c r="E101" s="111">
        <v>2508325.0</v>
      </c>
      <c r="F101" s="99">
        <f t="shared" si="22"/>
        <v>1635</v>
      </c>
      <c r="G101" s="100">
        <v>997.0</v>
      </c>
      <c r="H101" s="101">
        <v>465.0</v>
      </c>
      <c r="I101" s="101">
        <v>518.2</v>
      </c>
      <c r="J101" s="168">
        <f t="shared" si="20"/>
        <v>-53.2</v>
      </c>
      <c r="K101" s="170">
        <f t="shared" si="21"/>
        <v>31.6941896</v>
      </c>
      <c r="L101" s="54"/>
      <c r="M101" s="54"/>
    </row>
    <row r="102">
      <c r="A102" s="54"/>
      <c r="B102" s="98">
        <v>45671.0</v>
      </c>
      <c r="C102" s="98"/>
      <c r="D102" s="99"/>
      <c r="E102" s="100">
        <v>2510135.0</v>
      </c>
      <c r="F102" s="99">
        <f t="shared" si="22"/>
        <v>1810</v>
      </c>
      <c r="G102" s="100">
        <v>1003.0</v>
      </c>
      <c r="H102" s="101">
        <v>504.0</v>
      </c>
      <c r="I102" s="101">
        <v>561.47</v>
      </c>
      <c r="J102" s="168">
        <f t="shared" si="20"/>
        <v>-57.47</v>
      </c>
      <c r="K102" s="170">
        <f t="shared" si="21"/>
        <v>31.02044199</v>
      </c>
      <c r="L102" s="54"/>
      <c r="M102" s="54"/>
    </row>
    <row r="103">
      <c r="A103" s="54"/>
      <c r="B103" s="98">
        <v>45673.0</v>
      </c>
      <c r="C103" s="98"/>
      <c r="D103" s="99"/>
      <c r="E103" s="100">
        <v>2511758.0</v>
      </c>
      <c r="F103" s="99">
        <f t="shared" si="22"/>
        <v>1623</v>
      </c>
      <c r="G103" s="100">
        <v>986.0</v>
      </c>
      <c r="H103" s="101">
        <v>447.0</v>
      </c>
      <c r="I103" s="101">
        <v>500.0</v>
      </c>
      <c r="J103" s="168">
        <f t="shared" si="20"/>
        <v>-53</v>
      </c>
      <c r="K103" s="170">
        <f t="shared" si="21"/>
        <v>30.80714726</v>
      </c>
      <c r="L103" s="54"/>
      <c r="M103" s="54"/>
    </row>
    <row r="104">
      <c r="A104" s="54"/>
      <c r="B104" s="98">
        <v>45675.0</v>
      </c>
      <c r="C104" s="98"/>
      <c r="D104" s="99"/>
      <c r="E104" s="100">
        <v>2513383.0</v>
      </c>
      <c r="F104" s="99">
        <f t="shared" si="22"/>
        <v>1625</v>
      </c>
      <c r="G104" s="100">
        <v>962.0</v>
      </c>
      <c r="H104" s="101">
        <v>443.0</v>
      </c>
      <c r="I104" s="101">
        <v>500.0</v>
      </c>
      <c r="J104" s="168">
        <f t="shared" si="20"/>
        <v>-57</v>
      </c>
      <c r="K104" s="170">
        <f t="shared" si="21"/>
        <v>30.76923077</v>
      </c>
      <c r="L104" s="54"/>
      <c r="M104" s="54"/>
    </row>
    <row r="105">
      <c r="A105" s="54"/>
      <c r="B105" s="98">
        <v>45678.0</v>
      </c>
      <c r="C105" s="98"/>
      <c r="D105" s="99"/>
      <c r="E105" s="100">
        <v>2515195.0</v>
      </c>
      <c r="F105" s="99">
        <f t="shared" si="22"/>
        <v>1812</v>
      </c>
      <c r="G105" s="100">
        <v>982.0</v>
      </c>
      <c r="H105" s="101">
        <v>531.0</v>
      </c>
      <c r="I105" s="101">
        <v>600.0</v>
      </c>
      <c r="J105" s="168">
        <f t="shared" si="20"/>
        <v>-69</v>
      </c>
      <c r="K105" s="170">
        <f t="shared" si="21"/>
        <v>33.11258278</v>
      </c>
      <c r="L105" s="54"/>
      <c r="M105" s="54"/>
    </row>
    <row r="106">
      <c r="A106" s="54"/>
      <c r="B106" s="98">
        <v>45680.0</v>
      </c>
      <c r="C106" s="98"/>
      <c r="D106" s="99"/>
      <c r="E106" s="100">
        <v>2516819.0</v>
      </c>
      <c r="F106" s="99">
        <f t="shared" si="22"/>
        <v>1624</v>
      </c>
      <c r="G106" s="100">
        <v>942.0</v>
      </c>
      <c r="H106" s="101">
        <v>443.0</v>
      </c>
      <c r="I106" s="101">
        <v>500.0</v>
      </c>
      <c r="J106" s="168">
        <f t="shared" si="20"/>
        <v>-57</v>
      </c>
      <c r="K106" s="170">
        <f t="shared" si="21"/>
        <v>30.78817734</v>
      </c>
      <c r="L106" s="54"/>
      <c r="M106" s="54"/>
    </row>
    <row r="107">
      <c r="A107" s="54"/>
      <c r="B107" s="98">
        <v>45682.0</v>
      </c>
      <c r="C107" s="98"/>
      <c r="D107" s="99"/>
      <c r="E107" s="100">
        <v>2518443.0</v>
      </c>
      <c r="F107" s="99">
        <f t="shared" si="22"/>
        <v>1624</v>
      </c>
      <c r="G107" s="100">
        <v>1000.0</v>
      </c>
      <c r="H107" s="101">
        <v>531.0</v>
      </c>
      <c r="I107" s="101">
        <v>594.03</v>
      </c>
      <c r="J107" s="168">
        <f t="shared" si="20"/>
        <v>-63.03</v>
      </c>
      <c r="K107" s="170">
        <f t="shared" si="21"/>
        <v>36.57820197</v>
      </c>
      <c r="L107" s="54"/>
      <c r="M107" s="54"/>
    </row>
    <row r="108">
      <c r="A108" s="54"/>
      <c r="B108" s="98">
        <v>45685.0</v>
      </c>
      <c r="C108" s="98"/>
      <c r="D108" s="99"/>
      <c r="E108" s="100">
        <v>2520255.0</v>
      </c>
      <c r="F108" s="99">
        <f t="shared" si="22"/>
        <v>1812</v>
      </c>
      <c r="G108" s="100">
        <v>997.0</v>
      </c>
      <c r="H108" s="101">
        <v>468.0</v>
      </c>
      <c r="I108" s="101">
        <v>543.26</v>
      </c>
      <c r="J108" s="168">
        <f t="shared" si="20"/>
        <v>-75.26</v>
      </c>
      <c r="K108" s="170">
        <f t="shared" si="21"/>
        <v>29.9812362</v>
      </c>
      <c r="L108" s="54"/>
      <c r="M108" s="54"/>
    </row>
    <row r="109">
      <c r="A109" s="54"/>
      <c r="B109" s="98">
        <v>45687.0</v>
      </c>
      <c r="C109" s="98"/>
      <c r="D109" s="99"/>
      <c r="E109" s="100">
        <v>2521853.0</v>
      </c>
      <c r="F109" s="99">
        <f t="shared" si="22"/>
        <v>1598</v>
      </c>
      <c r="G109" s="100">
        <v>882.0</v>
      </c>
      <c r="H109" s="101">
        <v>337.0</v>
      </c>
      <c r="I109" s="101">
        <v>512.03</v>
      </c>
      <c r="J109" s="168">
        <f t="shared" si="20"/>
        <v>-175.03</v>
      </c>
      <c r="K109" s="170">
        <f t="shared" si="21"/>
        <v>32.04192741</v>
      </c>
      <c r="L109" s="54"/>
      <c r="M109" s="54"/>
    </row>
    <row r="110">
      <c r="A110" s="68"/>
      <c r="B110" s="203" t="str">
        <f>IF(L110=4,"АПРЕЛЬ",IF(L110=5,"МАЙ",IF(L110=1,"ЯНВАРЬ",IF(L110=2,"ФЕВРАЛЬ",IF(L110=3,"МАРТ",IF(L110=6,"ИЮНЬ",IF(L110=7,"ИЮЛЬ",IF(L110=8,"АВГУСТ",IF(L110=9,"СЕНТЯБРЬ",IF(L110=10,"ОКТЯБРЬ",IF(L110=11,"НОЯБРЬ",IF(L110=12,"ДЕКАБРЬ"))))))))))))</f>
        <v>ФЕВРАЛЬ</v>
      </c>
      <c r="J110" s="88"/>
      <c r="K110" s="204"/>
      <c r="L110" s="91">
        <f>MONTH(B111)</f>
        <v>2</v>
      </c>
      <c r="M110" s="66"/>
      <c r="N110" s="66"/>
      <c r="O110" s="66"/>
      <c r="P110" s="66"/>
      <c r="Q110" s="66"/>
    </row>
    <row r="111">
      <c r="A111" s="54"/>
      <c r="B111" s="98">
        <v>45699.0</v>
      </c>
      <c r="C111" s="98"/>
      <c r="D111" s="99"/>
      <c r="E111" s="100">
        <v>2523952.0</v>
      </c>
      <c r="F111" s="99">
        <f>E111-E109</f>
        <v>2099</v>
      </c>
      <c r="G111" s="100">
        <v>1006.0</v>
      </c>
      <c r="H111" s="101">
        <v>549.0</v>
      </c>
      <c r="I111" s="101">
        <v>606.95</v>
      </c>
      <c r="J111" s="102">
        <f t="shared" ref="J111:J119" si="23">H111-I111</f>
        <v>-57.95</v>
      </c>
      <c r="K111" s="103">
        <f t="shared" ref="K111:K119" si="24">I111/F111*100</f>
        <v>28.91615055</v>
      </c>
      <c r="L111" s="54"/>
      <c r="M111" s="205" t="str">
        <f>"тотал"&amp;" "&amp;B110&amp;" "&amp;RIGHT(YEAR(B111),2)</f>
        <v>тотал ФЕВРАЛЬ 25</v>
      </c>
      <c r="N111" s="75"/>
      <c r="O111" s="75"/>
      <c r="P111" s="75"/>
      <c r="Q111" s="76"/>
    </row>
    <row r="112">
      <c r="A112" s="54"/>
      <c r="B112" s="98">
        <v>45701.0</v>
      </c>
      <c r="C112" s="98"/>
      <c r="D112" s="99"/>
      <c r="E112" s="100">
        <v>2525577.0</v>
      </c>
      <c r="F112" s="99">
        <f t="shared" ref="F112:F119" si="25">E112-E111</f>
        <v>1625</v>
      </c>
      <c r="G112" s="100">
        <v>1017.0</v>
      </c>
      <c r="H112" s="101">
        <v>475.0</v>
      </c>
      <c r="I112" s="101">
        <v>517.73</v>
      </c>
      <c r="J112" s="102">
        <f t="shared" si="23"/>
        <v>-42.73</v>
      </c>
      <c r="K112" s="103">
        <f t="shared" si="24"/>
        <v>31.86030769</v>
      </c>
      <c r="L112" s="54"/>
      <c r="M112" s="84" t="s">
        <v>70</v>
      </c>
      <c r="N112" s="84" t="s">
        <v>71</v>
      </c>
      <c r="O112" s="84" t="s">
        <v>27</v>
      </c>
      <c r="P112" s="83" t="s">
        <v>28</v>
      </c>
      <c r="Q112" s="321" t="s">
        <v>78</v>
      </c>
    </row>
    <row r="113">
      <c r="A113" s="54"/>
      <c r="B113" s="98">
        <v>45703.0</v>
      </c>
      <c r="C113" s="98"/>
      <c r="D113" s="99"/>
      <c r="E113" s="100">
        <v>2527204.0</v>
      </c>
      <c r="F113" s="99">
        <f t="shared" si="25"/>
        <v>1627</v>
      </c>
      <c r="G113" s="100">
        <v>1021.0</v>
      </c>
      <c r="H113" s="101">
        <v>473.0</v>
      </c>
      <c r="I113" s="101">
        <v>516.68</v>
      </c>
      <c r="J113" s="102">
        <f t="shared" si="23"/>
        <v>-43.68</v>
      </c>
      <c r="K113" s="103">
        <f t="shared" si="24"/>
        <v>31.75660725</v>
      </c>
      <c r="L113" s="54"/>
      <c r="M113" s="84">
        <f>SUM(F111:F119)</f>
        <v>15391</v>
      </c>
      <c r="N113" s="84">
        <f>SUM(I111:I119)</f>
        <v>4557.55</v>
      </c>
      <c r="O113" s="85">
        <f>N113/M113*100</f>
        <v>29.61178611</v>
      </c>
      <c r="P113" s="84">
        <f>(M113/100)*(O113-Q113)</f>
        <v>248.07</v>
      </c>
      <c r="Q113" s="464">
        <v>28.0</v>
      </c>
    </row>
    <row r="114">
      <c r="A114" s="54"/>
      <c r="B114" s="98">
        <v>45705.0</v>
      </c>
      <c r="C114" s="98"/>
      <c r="D114" s="99"/>
      <c r="E114" s="100">
        <v>2528836.0</v>
      </c>
      <c r="F114" s="99">
        <f t="shared" si="25"/>
        <v>1632</v>
      </c>
      <c r="G114" s="100">
        <v>1019.0</v>
      </c>
      <c r="H114" s="101">
        <v>452.0</v>
      </c>
      <c r="I114" s="101">
        <v>493.92</v>
      </c>
      <c r="J114" s="102">
        <f t="shared" si="23"/>
        <v>-41.92</v>
      </c>
      <c r="K114" s="103">
        <f t="shared" si="24"/>
        <v>30.26470588</v>
      </c>
      <c r="L114" s="54"/>
      <c r="M114" s="194"/>
      <c r="N114" s="194"/>
      <c r="O114" s="267"/>
      <c r="P114" s="86"/>
    </row>
    <row r="115">
      <c r="A115" s="54"/>
      <c r="B115" s="98">
        <v>45707.0</v>
      </c>
      <c r="C115" s="98"/>
      <c r="D115" s="99"/>
      <c r="E115" s="100">
        <v>2530473.0</v>
      </c>
      <c r="F115" s="99">
        <f t="shared" si="25"/>
        <v>1637</v>
      </c>
      <c r="G115" s="100">
        <v>1012.0</v>
      </c>
      <c r="H115" s="101">
        <v>428.0</v>
      </c>
      <c r="I115" s="101">
        <v>471.4</v>
      </c>
      <c r="J115" s="102">
        <f t="shared" si="23"/>
        <v>-43.4</v>
      </c>
      <c r="K115" s="103">
        <f t="shared" si="24"/>
        <v>28.79657911</v>
      </c>
      <c r="L115" s="54"/>
      <c r="M115" s="54"/>
    </row>
    <row r="116">
      <c r="A116" s="54"/>
      <c r="B116" s="98">
        <v>45709.0</v>
      </c>
      <c r="C116" s="98"/>
      <c r="D116" s="99"/>
      <c r="E116" s="100">
        <v>2532114.0</v>
      </c>
      <c r="F116" s="99">
        <f t="shared" si="25"/>
        <v>1641</v>
      </c>
      <c r="G116" s="100">
        <v>1014.0</v>
      </c>
      <c r="H116" s="101">
        <v>423.0</v>
      </c>
      <c r="I116" s="101">
        <v>488.52</v>
      </c>
      <c r="J116" s="102">
        <f t="shared" si="23"/>
        <v>-65.52</v>
      </c>
      <c r="K116" s="103">
        <f t="shared" si="24"/>
        <v>29.76965265</v>
      </c>
      <c r="L116" s="54"/>
      <c r="M116" s="54"/>
    </row>
    <row r="117">
      <c r="A117" s="54"/>
      <c r="B117" s="98">
        <v>45712.0</v>
      </c>
      <c r="C117" s="98"/>
      <c r="D117" s="99"/>
      <c r="E117" s="100">
        <v>2533971.0</v>
      </c>
      <c r="F117" s="99">
        <f t="shared" si="25"/>
        <v>1857</v>
      </c>
      <c r="G117" s="100">
        <v>1014.0</v>
      </c>
      <c r="H117" s="101">
        <v>485.0</v>
      </c>
      <c r="I117" s="101">
        <v>532.75</v>
      </c>
      <c r="J117" s="102">
        <f t="shared" si="23"/>
        <v>-47.75</v>
      </c>
      <c r="K117" s="103">
        <f t="shared" si="24"/>
        <v>28.68874529</v>
      </c>
      <c r="L117" s="54"/>
      <c r="M117" s="54"/>
    </row>
    <row r="118">
      <c r="A118" s="54"/>
      <c r="B118" s="98">
        <v>45714.0</v>
      </c>
      <c r="C118" s="98"/>
      <c r="D118" s="99"/>
      <c r="E118" s="100">
        <v>2535608.0</v>
      </c>
      <c r="F118" s="99">
        <f t="shared" si="25"/>
        <v>1637</v>
      </c>
      <c r="G118" s="100">
        <v>968.0</v>
      </c>
      <c r="H118" s="101">
        <v>378.0</v>
      </c>
      <c r="I118" s="101">
        <v>471.37</v>
      </c>
      <c r="J118" s="102">
        <f t="shared" si="23"/>
        <v>-93.37</v>
      </c>
      <c r="K118" s="103">
        <f t="shared" si="24"/>
        <v>28.79474649</v>
      </c>
      <c r="L118" s="54"/>
      <c r="M118" s="54"/>
    </row>
    <row r="119">
      <c r="A119" s="54"/>
      <c r="B119" s="98">
        <v>45716.0</v>
      </c>
      <c r="C119" s="98"/>
      <c r="D119" s="99"/>
      <c r="E119" s="100">
        <v>2537244.0</v>
      </c>
      <c r="F119" s="99">
        <f t="shared" si="25"/>
        <v>1636</v>
      </c>
      <c r="G119" s="100">
        <v>1024.0</v>
      </c>
      <c r="H119" s="101">
        <v>425.0</v>
      </c>
      <c r="I119" s="101">
        <v>458.23</v>
      </c>
      <c r="J119" s="102">
        <f t="shared" si="23"/>
        <v>-33.23</v>
      </c>
      <c r="K119" s="103">
        <f t="shared" si="24"/>
        <v>28.0091687</v>
      </c>
      <c r="L119" s="54"/>
      <c r="M119" s="54"/>
    </row>
    <row r="120">
      <c r="A120" s="68"/>
      <c r="B120" s="203" t="str">
        <f>IF(L120=4,"АПРЕЛЬ",IF(L120=5,"МАЙ",IF(L120=1,"ЯНВАРЬ",IF(L120=2,"ФЕВРАЛЬ",IF(L120=3,"МАРТ",IF(L120=6,"ИЮНЬ",IF(L120=7,"ИЮЛЬ",IF(L120=8,"АВГУСТ",IF(L120=9,"СЕНТЯБРЬ",IF(L120=10,"ОКТЯБРЬ",IF(L120=11,"НОЯБРЬ",IF(L120=12,"ДЕКАБРЬ"))))))))))))</f>
        <v>МАРТ</v>
      </c>
      <c r="J120" s="88"/>
      <c r="K120" s="204"/>
      <c r="L120" s="91">
        <f>MONTH(B121)</f>
        <v>3</v>
      </c>
      <c r="M120" s="66"/>
      <c r="N120" s="66"/>
      <c r="O120" s="66"/>
      <c r="P120" s="66"/>
      <c r="Q120" s="66"/>
    </row>
    <row r="121">
      <c r="A121" s="54"/>
      <c r="B121" s="98">
        <v>45723.0</v>
      </c>
      <c r="C121" s="98"/>
      <c r="D121" s="99"/>
      <c r="E121" s="99"/>
      <c r="F121" s="135">
        <v>1779.5</v>
      </c>
      <c r="G121" s="99"/>
      <c r="H121" s="102"/>
      <c r="I121" s="101">
        <v>499.1</v>
      </c>
      <c r="J121" s="102"/>
      <c r="K121" s="103">
        <f t="shared" ref="K121:K129" si="26">I121/F121*100</f>
        <v>28.04720427</v>
      </c>
      <c r="L121" s="54"/>
      <c r="M121" s="205" t="str">
        <f>"тотал"&amp;" "&amp;B120&amp;" "&amp;RIGHT(YEAR(B121),2)</f>
        <v>тотал МАРТ 25</v>
      </c>
      <c r="N121" s="75"/>
      <c r="O121" s="75"/>
      <c r="P121" s="75"/>
      <c r="Q121" s="76"/>
    </row>
    <row r="122">
      <c r="A122" s="54"/>
      <c r="B122" s="98">
        <v>45726.0</v>
      </c>
      <c r="C122" s="98"/>
      <c r="D122" s="99"/>
      <c r="E122" s="99"/>
      <c r="F122" s="135">
        <v>1779.5</v>
      </c>
      <c r="G122" s="99"/>
      <c r="H122" s="102"/>
      <c r="I122" s="101">
        <v>536.0</v>
      </c>
      <c r="J122" s="102"/>
      <c r="K122" s="103">
        <f t="shared" si="26"/>
        <v>30.12082046</v>
      </c>
      <c r="L122" s="54"/>
      <c r="M122" s="84" t="s">
        <v>70</v>
      </c>
      <c r="N122" s="84" t="s">
        <v>71</v>
      </c>
      <c r="O122" s="84" t="s">
        <v>27</v>
      </c>
      <c r="P122" s="83" t="s">
        <v>28</v>
      </c>
      <c r="Q122" s="321" t="s">
        <v>78</v>
      </c>
    </row>
    <row r="123">
      <c r="A123" s="54"/>
      <c r="B123" s="98">
        <v>45728.0</v>
      </c>
      <c r="C123" s="98"/>
      <c r="D123" s="99"/>
      <c r="E123" s="99"/>
      <c r="F123" s="135">
        <v>1779.5</v>
      </c>
      <c r="G123" s="99"/>
      <c r="H123" s="102"/>
      <c r="I123" s="101">
        <v>474.74</v>
      </c>
      <c r="J123" s="102"/>
      <c r="K123" s="103">
        <f t="shared" si="26"/>
        <v>26.67828042</v>
      </c>
      <c r="L123" s="54"/>
      <c r="M123" s="84">
        <f>SUM(F121:F129)</f>
        <v>15627.99</v>
      </c>
      <c r="N123" s="84">
        <f>SUM(I121:I129)</f>
        <v>4480.33</v>
      </c>
      <c r="O123" s="85">
        <f>N123/M123*100</f>
        <v>28.66862597</v>
      </c>
      <c r="P123" s="84">
        <f>(M123/100)*(O123-Q123)</f>
        <v>104.4928</v>
      </c>
      <c r="Q123" s="464">
        <v>28.0</v>
      </c>
    </row>
    <row r="124">
      <c r="A124" s="54"/>
      <c r="B124" s="98">
        <v>45733.0</v>
      </c>
      <c r="C124" s="98"/>
      <c r="D124" s="99"/>
      <c r="E124" s="100">
        <v>2544362.0</v>
      </c>
      <c r="F124" s="135">
        <v>1779.5</v>
      </c>
      <c r="G124" s="100">
        <v>1031.0</v>
      </c>
      <c r="H124" s="101">
        <v>514.0</v>
      </c>
      <c r="I124" s="101">
        <v>556.96</v>
      </c>
      <c r="J124" s="102">
        <f t="shared" ref="J124:J125" si="27">H124-I124</f>
        <v>-42.96</v>
      </c>
      <c r="K124" s="103">
        <f t="shared" si="26"/>
        <v>31.2986794</v>
      </c>
      <c r="L124" s="54"/>
      <c r="M124" s="54"/>
    </row>
    <row r="125">
      <c r="A125" s="54"/>
      <c r="B125" s="98">
        <v>45735.0</v>
      </c>
      <c r="C125" s="98"/>
      <c r="D125" s="99"/>
      <c r="E125" s="100">
        <v>2545931.0</v>
      </c>
      <c r="F125" s="99">
        <f>E125-E124</f>
        <v>1569</v>
      </c>
      <c r="G125" s="100">
        <v>835.0</v>
      </c>
      <c r="H125" s="101">
        <v>226.0</v>
      </c>
      <c r="I125" s="101">
        <v>459.7</v>
      </c>
      <c r="J125" s="102">
        <f t="shared" si="27"/>
        <v>-233.7</v>
      </c>
      <c r="K125" s="103">
        <f t="shared" si="26"/>
        <v>29.29891651</v>
      </c>
      <c r="L125" s="54"/>
      <c r="M125" s="54"/>
    </row>
    <row r="126">
      <c r="A126" s="54"/>
      <c r="B126" s="469">
        <v>45737.0</v>
      </c>
      <c r="C126" s="469"/>
      <c r="D126" s="99"/>
      <c r="E126" s="99"/>
      <c r="F126" s="135">
        <v>1784.33</v>
      </c>
      <c r="G126" s="99"/>
      <c r="H126" s="102"/>
      <c r="I126" s="101">
        <v>464.36</v>
      </c>
      <c r="J126" s="102"/>
      <c r="K126" s="103">
        <f t="shared" si="26"/>
        <v>26.02433406</v>
      </c>
      <c r="L126" s="54"/>
      <c r="M126" s="54"/>
    </row>
    <row r="127">
      <c r="A127" s="54"/>
      <c r="B127" s="98">
        <v>45743.0</v>
      </c>
      <c r="C127" s="98"/>
      <c r="D127" s="99"/>
      <c r="E127" s="99"/>
      <c r="F127" s="135">
        <v>1784.33</v>
      </c>
      <c r="G127" s="99"/>
      <c r="H127" s="102"/>
      <c r="I127" s="101">
        <v>530.82</v>
      </c>
      <c r="J127" s="102"/>
      <c r="K127" s="103">
        <f t="shared" si="26"/>
        <v>29.74898141</v>
      </c>
      <c r="L127" s="54"/>
      <c r="M127" s="54"/>
    </row>
    <row r="128">
      <c r="A128" s="54"/>
      <c r="B128" s="98">
        <v>45745.0</v>
      </c>
      <c r="C128" s="98"/>
      <c r="D128" s="99"/>
      <c r="E128" s="100">
        <v>2551284.0</v>
      </c>
      <c r="F128" s="135">
        <v>1784.33</v>
      </c>
      <c r="G128" s="100">
        <v>999.0</v>
      </c>
      <c r="H128" s="101">
        <v>461.0</v>
      </c>
      <c r="I128" s="101">
        <v>500.0</v>
      </c>
      <c r="J128" s="102">
        <f t="shared" ref="J128:J129" si="28">H128-I128</f>
        <v>-39</v>
      </c>
      <c r="K128" s="103">
        <f t="shared" si="26"/>
        <v>28.02172244</v>
      </c>
      <c r="L128" s="54"/>
      <c r="M128" s="54"/>
    </row>
    <row r="129">
      <c r="A129" s="54"/>
      <c r="B129" s="98">
        <v>45747.0</v>
      </c>
      <c r="C129" s="98"/>
      <c r="D129" s="99"/>
      <c r="E129" s="100">
        <v>2552872.0</v>
      </c>
      <c r="F129" s="99">
        <f>E129-E128</f>
        <v>1588</v>
      </c>
      <c r="G129" s="100">
        <v>1022.0</v>
      </c>
      <c r="H129" s="101">
        <v>427.0</v>
      </c>
      <c r="I129" s="101">
        <v>458.65</v>
      </c>
      <c r="J129" s="102">
        <f t="shared" si="28"/>
        <v>-31.65</v>
      </c>
      <c r="K129" s="103">
        <f t="shared" si="26"/>
        <v>28.88224181</v>
      </c>
      <c r="L129" s="54"/>
      <c r="M129" s="54"/>
    </row>
    <row r="130">
      <c r="A130" s="68"/>
      <c r="B130" s="203" t="str">
        <f>IF(L130=4,"АПРЕЛЬ",IF(L130=5,"МАЙ",IF(L130=1,"ЯНВАРЬ",IF(L130=2,"ФЕВРАЛЬ",IF(L130=3,"МАРТ",IF(L130=6,"ИЮНЬ",IF(L130=7,"ИЮЛЬ",IF(L130=8,"АВГУСТ",IF(L130=9,"СЕНТЯБРЬ",IF(L130=10,"ОКТЯБРЬ",IF(L130=11,"НОЯБРЬ",IF(L130=12,"ДЕКАБРЬ"))))))))))))</f>
        <v>АПРЕЛЬ</v>
      </c>
      <c r="J130" s="88"/>
      <c r="K130" s="204"/>
      <c r="L130" s="91">
        <f>MONTH(B131)</f>
        <v>4</v>
      </c>
      <c r="M130" s="66"/>
      <c r="N130" s="66"/>
      <c r="O130" s="66"/>
      <c r="P130" s="66"/>
      <c r="Q130" s="66"/>
    </row>
    <row r="131">
      <c r="A131" s="54"/>
      <c r="B131" s="98">
        <v>45749.0</v>
      </c>
      <c r="C131" s="98"/>
      <c r="D131" s="99"/>
      <c r="E131" s="100">
        <v>2554495.0</v>
      </c>
      <c r="F131" s="99">
        <f>E131-E129</f>
        <v>1623</v>
      </c>
      <c r="G131" s="100">
        <v>1029.0</v>
      </c>
      <c r="H131" s="101">
        <v>416.0</v>
      </c>
      <c r="I131" s="101">
        <v>444.65</v>
      </c>
      <c r="J131" s="102">
        <f t="shared" ref="J131:J142" si="29">H131-I131</f>
        <v>-28.65</v>
      </c>
      <c r="K131" s="103">
        <f t="shared" ref="K131:K142" si="30">I131/F131*100</f>
        <v>27.39679606</v>
      </c>
      <c r="L131" s="54"/>
      <c r="M131" s="205" t="str">
        <f>"тотал"&amp;" "&amp;B130&amp;" "&amp;RIGHT(YEAR(B131),2)</f>
        <v>тотал АПРЕЛЬ 25</v>
      </c>
      <c r="N131" s="75"/>
      <c r="O131" s="75"/>
      <c r="P131" s="75"/>
      <c r="Q131" s="76"/>
    </row>
    <row r="132">
      <c r="A132" s="54"/>
      <c r="B132" s="98">
        <v>45751.0</v>
      </c>
      <c r="C132" s="98"/>
      <c r="D132" s="99"/>
      <c r="E132" s="100">
        <v>2556133.0</v>
      </c>
      <c r="F132" s="99">
        <f t="shared" ref="F132:F142" si="31">E132-E131</f>
        <v>1638</v>
      </c>
      <c r="G132" s="100">
        <v>1028.0</v>
      </c>
      <c r="H132" s="101">
        <v>412.0</v>
      </c>
      <c r="I132" s="101">
        <v>441.67</v>
      </c>
      <c r="J132" s="102">
        <f t="shared" si="29"/>
        <v>-29.67</v>
      </c>
      <c r="K132" s="103">
        <f t="shared" si="30"/>
        <v>26.96398046</v>
      </c>
      <c r="L132" s="54"/>
      <c r="M132" s="84" t="s">
        <v>70</v>
      </c>
      <c r="N132" s="84" t="s">
        <v>71</v>
      </c>
      <c r="O132" s="84" t="s">
        <v>27</v>
      </c>
      <c r="P132" s="83" t="s">
        <v>28</v>
      </c>
      <c r="Q132" s="321" t="s">
        <v>78</v>
      </c>
    </row>
    <row r="133">
      <c r="A133" s="54"/>
      <c r="B133" s="98">
        <v>45754.0</v>
      </c>
      <c r="C133" s="98"/>
      <c r="D133" s="99"/>
      <c r="E133" s="100">
        <v>2557968.0</v>
      </c>
      <c r="F133" s="99">
        <f t="shared" si="31"/>
        <v>1835</v>
      </c>
      <c r="G133" s="100">
        <v>1038.0</v>
      </c>
      <c r="H133" s="101">
        <v>503.0</v>
      </c>
      <c r="I133" s="101">
        <v>542.21</v>
      </c>
      <c r="J133" s="102">
        <f t="shared" si="29"/>
        <v>-39.21</v>
      </c>
      <c r="K133" s="103">
        <f t="shared" si="30"/>
        <v>29.54822888</v>
      </c>
      <c r="L133" s="54"/>
      <c r="M133" s="84">
        <f>SUM(F131:F142)</f>
        <v>20431</v>
      </c>
      <c r="N133" s="84">
        <f>SUM(I131:I142)</f>
        <v>5802.1</v>
      </c>
      <c r="O133" s="85">
        <f>N133/M133*100</f>
        <v>28.39851206</v>
      </c>
      <c r="P133" s="84">
        <f>(M133/100)*(O133-Q133)</f>
        <v>81.42</v>
      </c>
      <c r="Q133" s="464">
        <v>28.0</v>
      </c>
    </row>
    <row r="134">
      <c r="A134" s="54"/>
      <c r="B134" s="98">
        <v>45756.0</v>
      </c>
      <c r="C134" s="98"/>
      <c r="D134" s="99"/>
      <c r="E134" s="100">
        <v>2559609.0</v>
      </c>
      <c r="F134" s="99">
        <f t="shared" si="31"/>
        <v>1641</v>
      </c>
      <c r="G134" s="100">
        <v>1038.0</v>
      </c>
      <c r="H134" s="101">
        <v>444.0</v>
      </c>
      <c r="I134" s="101">
        <v>475.26</v>
      </c>
      <c r="J134" s="102">
        <f t="shared" si="29"/>
        <v>-31.26</v>
      </c>
      <c r="K134" s="103">
        <f t="shared" si="30"/>
        <v>28.96160878</v>
      </c>
      <c r="L134" s="54"/>
      <c r="M134" s="54"/>
    </row>
    <row r="135">
      <c r="A135" s="54"/>
      <c r="B135" s="98">
        <v>45758.0</v>
      </c>
      <c r="C135" s="98"/>
      <c r="D135" s="99"/>
      <c r="E135" s="100">
        <v>2561248.0</v>
      </c>
      <c r="F135" s="99">
        <f t="shared" si="31"/>
        <v>1639</v>
      </c>
      <c r="G135" s="100">
        <v>1036.0</v>
      </c>
      <c r="H135" s="101">
        <v>433.0</v>
      </c>
      <c r="I135" s="101">
        <v>462.15</v>
      </c>
      <c r="J135" s="102">
        <f t="shared" si="29"/>
        <v>-29.15</v>
      </c>
      <c r="K135" s="103">
        <f t="shared" si="30"/>
        <v>28.19707138</v>
      </c>
      <c r="L135" s="54"/>
      <c r="M135" s="54"/>
    </row>
    <row r="136">
      <c r="A136" s="54"/>
      <c r="B136" s="98">
        <v>45761.0</v>
      </c>
      <c r="C136" s="98"/>
      <c r="D136" s="99"/>
      <c r="E136" s="100">
        <v>2563084.0</v>
      </c>
      <c r="F136" s="99">
        <f t="shared" si="31"/>
        <v>1836</v>
      </c>
      <c r="G136" s="100">
        <v>1034.0</v>
      </c>
      <c r="H136" s="101">
        <v>488.0</v>
      </c>
      <c r="I136" s="101">
        <v>524.51</v>
      </c>
      <c r="J136" s="102">
        <f t="shared" si="29"/>
        <v>-36.51</v>
      </c>
      <c r="K136" s="103">
        <f t="shared" si="30"/>
        <v>28.56808279</v>
      </c>
      <c r="L136" s="54"/>
      <c r="M136" s="54"/>
    </row>
    <row r="137">
      <c r="A137" s="54"/>
      <c r="B137" s="98">
        <v>45763.0</v>
      </c>
      <c r="C137" s="98"/>
      <c r="D137" s="99"/>
      <c r="E137" s="100">
        <v>2564721.0</v>
      </c>
      <c r="F137" s="99">
        <f t="shared" si="31"/>
        <v>1637</v>
      </c>
      <c r="G137" s="100">
        <v>1027.0</v>
      </c>
      <c r="H137" s="101">
        <v>419.0</v>
      </c>
      <c r="I137" s="101">
        <v>448.91</v>
      </c>
      <c r="J137" s="102">
        <f t="shared" si="29"/>
        <v>-29.91</v>
      </c>
      <c r="K137" s="103">
        <f t="shared" si="30"/>
        <v>27.4227245</v>
      </c>
      <c r="L137" s="54"/>
      <c r="M137" s="54"/>
    </row>
    <row r="138">
      <c r="A138" s="54"/>
      <c r="B138" s="98">
        <v>45765.0</v>
      </c>
      <c r="C138" s="98"/>
      <c r="D138" s="99"/>
      <c r="E138" s="100">
        <v>2566358.0</v>
      </c>
      <c r="F138" s="99">
        <f t="shared" si="31"/>
        <v>1637</v>
      </c>
      <c r="G138" s="100">
        <v>1028.0</v>
      </c>
      <c r="H138" s="101">
        <v>452.0</v>
      </c>
      <c r="I138" s="101">
        <v>486.8</v>
      </c>
      <c r="J138" s="102">
        <f t="shared" si="29"/>
        <v>-34.8</v>
      </c>
      <c r="K138" s="103">
        <f t="shared" si="30"/>
        <v>29.73732437</v>
      </c>
      <c r="L138" s="54"/>
      <c r="M138" s="54"/>
    </row>
    <row r="139">
      <c r="A139" s="54"/>
      <c r="B139" s="98">
        <v>45768.0</v>
      </c>
      <c r="C139" s="98"/>
      <c r="D139" s="99"/>
      <c r="E139" s="100">
        <v>2568191.0</v>
      </c>
      <c r="F139" s="99">
        <f t="shared" si="31"/>
        <v>1833</v>
      </c>
      <c r="G139" s="100">
        <v>1023.0</v>
      </c>
      <c r="H139" s="101">
        <v>475.0</v>
      </c>
      <c r="I139" s="101">
        <v>511.2</v>
      </c>
      <c r="J139" s="102">
        <f t="shared" si="29"/>
        <v>-36.2</v>
      </c>
      <c r="K139" s="103">
        <f t="shared" si="30"/>
        <v>27.88870704</v>
      </c>
      <c r="L139" s="54"/>
      <c r="M139" s="54"/>
    </row>
    <row r="140">
      <c r="A140" s="54"/>
      <c r="B140" s="98">
        <v>45770.0</v>
      </c>
      <c r="C140" s="98"/>
      <c r="D140" s="99"/>
      <c r="E140" s="100">
        <v>2569828.0</v>
      </c>
      <c r="F140" s="99">
        <f t="shared" si="31"/>
        <v>1637</v>
      </c>
      <c r="G140" s="100">
        <v>1025.0</v>
      </c>
      <c r="H140" s="101">
        <v>427.0</v>
      </c>
      <c r="I140" s="101">
        <v>457.07</v>
      </c>
      <c r="J140" s="102">
        <f t="shared" si="29"/>
        <v>-30.07</v>
      </c>
      <c r="K140" s="103">
        <f t="shared" si="30"/>
        <v>27.92119731</v>
      </c>
      <c r="L140" s="54"/>
      <c r="M140" s="54"/>
    </row>
    <row r="141">
      <c r="A141" s="54"/>
      <c r="B141" s="98">
        <v>45772.0</v>
      </c>
      <c r="C141" s="98"/>
      <c r="D141" s="99"/>
      <c r="E141" s="100">
        <v>2571466.0</v>
      </c>
      <c r="F141" s="99">
        <f t="shared" si="31"/>
        <v>1638</v>
      </c>
      <c r="G141" s="100">
        <v>1025.0</v>
      </c>
      <c r="H141" s="101">
        <v>427.0</v>
      </c>
      <c r="I141" s="101">
        <v>476.13</v>
      </c>
      <c r="J141" s="102">
        <f t="shared" si="29"/>
        <v>-49.13</v>
      </c>
      <c r="K141" s="103">
        <f t="shared" si="30"/>
        <v>29.06776557</v>
      </c>
      <c r="L141" s="54"/>
      <c r="M141" s="54"/>
    </row>
    <row r="142">
      <c r="A142" s="54"/>
      <c r="B142" s="98">
        <v>45775.0</v>
      </c>
      <c r="C142" s="98"/>
      <c r="D142" s="99"/>
      <c r="E142" s="100">
        <v>2573303.0</v>
      </c>
      <c r="F142" s="99">
        <f t="shared" si="31"/>
        <v>1837</v>
      </c>
      <c r="G142" s="100">
        <v>1033.0</v>
      </c>
      <c r="H142" s="101">
        <v>496.0</v>
      </c>
      <c r="I142" s="101">
        <v>531.54</v>
      </c>
      <c r="J142" s="102">
        <f t="shared" si="29"/>
        <v>-35.54</v>
      </c>
      <c r="K142" s="103">
        <f t="shared" si="30"/>
        <v>28.93522047</v>
      </c>
      <c r="L142" s="54"/>
      <c r="M142" s="54"/>
    </row>
    <row r="143">
      <c r="A143" s="68"/>
      <c r="B143" s="203" t="str">
        <f>IF(L143=4,"АПРЕЛЬ",IF(L143=5,"МАЙ",IF(L143=1,"ЯНВАРЬ",IF(L143=2,"ФЕВРАЛЬ",IF(L143=3,"МАРТ",IF(L143=6,"ИЮНЬ",IF(L143=7,"ИЮЛЬ",IF(L143=8,"АВГУСТ",IF(L143=9,"СЕНТЯБРЬ",IF(L143=10,"ОКТЯБРЬ",IF(L143=11,"НОЯБРЬ",IF(L143=12,"ДЕКАБРЬ"))))))))))))</f>
        <v>МАЙ</v>
      </c>
      <c r="J143" s="88"/>
      <c r="K143" s="204"/>
      <c r="L143" s="91">
        <f>MONTH(B144)</f>
        <v>5</v>
      </c>
      <c r="M143" s="66"/>
      <c r="N143" s="66"/>
      <c r="O143" s="66"/>
      <c r="P143" s="66"/>
      <c r="Q143" s="66"/>
    </row>
    <row r="144">
      <c r="A144" s="54"/>
      <c r="B144" s="98">
        <v>45778.0</v>
      </c>
      <c r="C144" s="100" t="s">
        <v>127</v>
      </c>
      <c r="D144" s="100" t="s">
        <v>275</v>
      </c>
      <c r="E144" s="100">
        <v>2575374.0</v>
      </c>
      <c r="F144" s="99">
        <f>E144-E142</f>
        <v>2071</v>
      </c>
      <c r="G144" s="100">
        <v>921.0</v>
      </c>
      <c r="H144" s="101">
        <v>453.0</v>
      </c>
      <c r="I144" s="101">
        <v>493.56</v>
      </c>
      <c r="J144" s="102">
        <f t="shared" ref="J144:J153" si="32">H144-I144</f>
        <v>-40.56</v>
      </c>
      <c r="K144" s="103">
        <f t="shared" ref="K144:K153" si="33">I144/F144*100</f>
        <v>23.83196523</v>
      </c>
      <c r="L144" s="54"/>
      <c r="M144" s="205" t="str">
        <f>"тотал"&amp;" "&amp;B143&amp;" "&amp;RIGHT(YEAR(B144),2)</f>
        <v>тотал МАЙ 25</v>
      </c>
      <c r="N144" s="75"/>
      <c r="O144" s="75"/>
      <c r="P144" s="75"/>
      <c r="Q144" s="76"/>
    </row>
    <row r="145">
      <c r="A145" s="54"/>
      <c r="B145" s="98">
        <v>45782.0</v>
      </c>
      <c r="C145" s="100" t="s">
        <v>127</v>
      </c>
      <c r="D145" s="100" t="s">
        <v>275</v>
      </c>
      <c r="E145" s="100">
        <v>2576589.0</v>
      </c>
      <c r="F145" s="99">
        <f t="shared" ref="F145:F153" si="34">E145-E144</f>
        <v>1215</v>
      </c>
      <c r="G145" s="100">
        <v>1021.0</v>
      </c>
      <c r="H145" s="101">
        <v>432.0</v>
      </c>
      <c r="I145" s="101">
        <v>463.29</v>
      </c>
      <c r="J145" s="102">
        <f t="shared" si="32"/>
        <v>-31.29</v>
      </c>
      <c r="K145" s="103">
        <f t="shared" si="33"/>
        <v>38.1308642</v>
      </c>
      <c r="L145" s="54"/>
      <c r="M145" s="84" t="s">
        <v>70</v>
      </c>
      <c r="N145" s="84" t="s">
        <v>71</v>
      </c>
      <c r="O145" s="84" t="s">
        <v>27</v>
      </c>
      <c r="P145" s="83" t="s">
        <v>28</v>
      </c>
      <c r="Q145" s="321" t="s">
        <v>78</v>
      </c>
    </row>
    <row r="146">
      <c r="A146" s="54"/>
      <c r="B146" s="98">
        <v>45784.0</v>
      </c>
      <c r="C146" s="100" t="s">
        <v>127</v>
      </c>
      <c r="D146" s="100" t="s">
        <v>275</v>
      </c>
      <c r="E146" s="100">
        <v>2578228.0</v>
      </c>
      <c r="F146" s="99">
        <f t="shared" si="34"/>
        <v>1639</v>
      </c>
      <c r="G146" s="100">
        <v>1024.0</v>
      </c>
      <c r="H146" s="101">
        <v>439.0</v>
      </c>
      <c r="I146" s="101">
        <v>469.42</v>
      </c>
      <c r="J146" s="102">
        <f t="shared" si="32"/>
        <v>-30.42</v>
      </c>
      <c r="K146" s="103">
        <f t="shared" si="33"/>
        <v>28.64063453</v>
      </c>
      <c r="L146" s="54"/>
      <c r="M146" s="84">
        <f>SUM(F144:F153)</f>
        <v>16805</v>
      </c>
      <c r="N146" s="84">
        <f>SUM(I144:I153)</f>
        <v>4827.54</v>
      </c>
      <c r="O146" s="85">
        <f>N146/M146*100</f>
        <v>28.7268075</v>
      </c>
      <c r="P146" s="84">
        <f>(M146/100)*(O146-Q146)</f>
        <v>122.14</v>
      </c>
      <c r="Q146" s="84">
        <v>28.0</v>
      </c>
    </row>
    <row r="147">
      <c r="A147" s="54"/>
      <c r="B147" s="98">
        <v>45786.0</v>
      </c>
      <c r="C147" s="100" t="s">
        <v>127</v>
      </c>
      <c r="D147" s="100" t="s">
        <v>275</v>
      </c>
      <c r="E147" s="100">
        <v>2579868.0</v>
      </c>
      <c r="F147" s="99">
        <f t="shared" si="34"/>
        <v>1640</v>
      </c>
      <c r="G147" s="100">
        <v>1028.0</v>
      </c>
      <c r="H147" s="101">
        <v>449.0</v>
      </c>
      <c r="I147" s="101">
        <v>481.23</v>
      </c>
      <c r="J147" s="102">
        <f t="shared" si="32"/>
        <v>-32.23</v>
      </c>
      <c r="K147" s="103">
        <f t="shared" si="33"/>
        <v>29.34329268</v>
      </c>
      <c r="L147" s="54"/>
      <c r="M147" s="54"/>
    </row>
    <row r="148">
      <c r="A148" s="54"/>
      <c r="B148" s="98">
        <v>45789.0</v>
      </c>
      <c r="C148" s="100" t="s">
        <v>127</v>
      </c>
      <c r="D148" s="100" t="s">
        <v>275</v>
      </c>
      <c r="E148" s="100">
        <v>2581716.0</v>
      </c>
      <c r="F148" s="99">
        <f t="shared" si="34"/>
        <v>1848</v>
      </c>
      <c r="G148" s="100">
        <v>1010.0</v>
      </c>
      <c r="H148" s="101">
        <v>482.0</v>
      </c>
      <c r="I148" s="101">
        <v>542.84</v>
      </c>
      <c r="J148" s="102">
        <f t="shared" si="32"/>
        <v>-60.84</v>
      </c>
      <c r="K148" s="103">
        <f t="shared" si="33"/>
        <v>29.37445887</v>
      </c>
      <c r="L148" s="54"/>
      <c r="M148" s="54"/>
    </row>
    <row r="149">
      <c r="A149" s="54"/>
      <c r="B149" s="98">
        <v>45791.0</v>
      </c>
      <c r="C149" s="100" t="s">
        <v>127</v>
      </c>
      <c r="D149" s="100" t="s">
        <v>275</v>
      </c>
      <c r="E149" s="100">
        <v>2583356.0</v>
      </c>
      <c r="F149" s="99">
        <f t="shared" si="34"/>
        <v>1640</v>
      </c>
      <c r="G149" s="100">
        <v>1029.0</v>
      </c>
      <c r="H149" s="101">
        <v>430.0</v>
      </c>
      <c r="I149" s="101">
        <v>458.13</v>
      </c>
      <c r="J149" s="102">
        <f t="shared" si="32"/>
        <v>-28.13</v>
      </c>
      <c r="K149" s="103">
        <f t="shared" si="33"/>
        <v>27.9347561</v>
      </c>
      <c r="L149" s="54"/>
      <c r="M149" s="54"/>
    </row>
    <row r="150">
      <c r="A150" s="54"/>
      <c r="B150" s="98">
        <v>45793.0</v>
      </c>
      <c r="C150" s="100" t="s">
        <v>127</v>
      </c>
      <c r="D150" s="100" t="s">
        <v>275</v>
      </c>
      <c r="E150" s="100">
        <v>2584996.0</v>
      </c>
      <c r="F150" s="99">
        <f t="shared" si="34"/>
        <v>1640</v>
      </c>
      <c r="G150" s="100">
        <v>1028.0</v>
      </c>
      <c r="H150" s="101">
        <v>440.0</v>
      </c>
      <c r="I150" s="101">
        <v>472.07</v>
      </c>
      <c r="J150" s="102">
        <f t="shared" si="32"/>
        <v>-32.07</v>
      </c>
      <c r="K150" s="103">
        <f t="shared" si="33"/>
        <v>28.7847561</v>
      </c>
      <c r="L150" s="54"/>
      <c r="M150" s="54"/>
    </row>
    <row r="151">
      <c r="A151" s="54"/>
      <c r="B151" s="98">
        <v>45803.0</v>
      </c>
      <c r="C151" s="100" t="s">
        <v>127</v>
      </c>
      <c r="D151" s="100" t="s">
        <v>275</v>
      </c>
      <c r="E151" s="100">
        <v>2586830.0</v>
      </c>
      <c r="F151" s="99">
        <f t="shared" si="34"/>
        <v>1834</v>
      </c>
      <c r="G151" s="100">
        <v>998.0</v>
      </c>
      <c r="H151" s="101">
        <v>461.0</v>
      </c>
      <c r="I151" s="101">
        <v>500.0</v>
      </c>
      <c r="J151" s="102">
        <f t="shared" si="32"/>
        <v>-39</v>
      </c>
      <c r="K151" s="103">
        <f t="shared" si="33"/>
        <v>27.26281352</v>
      </c>
      <c r="L151" s="54"/>
      <c r="M151" s="54"/>
    </row>
    <row r="152">
      <c r="A152" s="54"/>
      <c r="B152" s="98">
        <v>45805.0</v>
      </c>
      <c r="C152" s="100" t="s">
        <v>127</v>
      </c>
      <c r="D152" s="100" t="s">
        <v>275</v>
      </c>
      <c r="E152" s="100">
        <v>2588470.0</v>
      </c>
      <c r="F152" s="99">
        <f t="shared" si="34"/>
        <v>1640</v>
      </c>
      <c r="G152" s="100">
        <v>1019.0</v>
      </c>
      <c r="H152" s="101">
        <v>440.0</v>
      </c>
      <c r="I152" s="101">
        <v>474.03</v>
      </c>
      <c r="J152" s="102">
        <f t="shared" si="32"/>
        <v>-34.03</v>
      </c>
      <c r="K152" s="103">
        <f t="shared" si="33"/>
        <v>28.90426829</v>
      </c>
      <c r="L152" s="54"/>
      <c r="M152" s="54"/>
    </row>
    <row r="153">
      <c r="A153" s="54"/>
      <c r="B153" s="98">
        <v>45807.0</v>
      </c>
      <c r="C153" s="100" t="s">
        <v>127</v>
      </c>
      <c r="D153" s="100" t="s">
        <v>275</v>
      </c>
      <c r="E153" s="100">
        <v>2590108.0</v>
      </c>
      <c r="F153" s="99">
        <f t="shared" si="34"/>
        <v>1638</v>
      </c>
      <c r="G153" s="100">
        <v>1023.0</v>
      </c>
      <c r="H153" s="101">
        <v>437.0</v>
      </c>
      <c r="I153" s="101">
        <v>472.97</v>
      </c>
      <c r="J153" s="102">
        <f t="shared" si="32"/>
        <v>-35.97</v>
      </c>
      <c r="K153" s="103">
        <f t="shared" si="33"/>
        <v>28.87484737</v>
      </c>
      <c r="L153" s="54"/>
      <c r="M153" s="54"/>
    </row>
    <row r="154">
      <c r="A154" s="68"/>
      <c r="B154" s="203" t="str">
        <f>IF(L154=4,"АПРЕЛЬ",IF(L154=5,"МАЙ",IF(L154=1,"ЯНВАРЬ",IF(L154=2,"ФЕВРАЛЬ",IF(L154=3,"МАРТ",IF(L154=6,"ИЮНЬ",IF(L154=7,"ИЮЛЬ",IF(L154=8,"АВГУСТ",IF(L154=9,"СЕНТЯБРЬ",IF(L154=10,"ОКТЯБРЬ",IF(L154=11,"НОЯБРЬ",IF(L154=12,"ДЕКАБРЬ"))))))))))))</f>
        <v>ИЮНЬ</v>
      </c>
      <c r="J154" s="88"/>
      <c r="K154" s="204"/>
      <c r="L154" s="91">
        <f>MONTH(B155)</f>
        <v>6</v>
      </c>
      <c r="M154" s="66"/>
      <c r="N154" s="66"/>
      <c r="O154" s="66"/>
      <c r="P154" s="66"/>
      <c r="Q154" s="66"/>
    </row>
    <row r="155">
      <c r="A155" s="54"/>
      <c r="B155" s="98">
        <v>45810.0</v>
      </c>
      <c r="C155" s="100" t="s">
        <v>127</v>
      </c>
      <c r="D155" s="100" t="s">
        <v>275</v>
      </c>
      <c r="E155" s="100">
        <v>2591978.0</v>
      </c>
      <c r="F155" s="99">
        <f>E155-E153</f>
        <v>1870</v>
      </c>
      <c r="G155" s="100">
        <v>1023.0</v>
      </c>
      <c r="H155" s="101">
        <v>481.0</v>
      </c>
      <c r="I155" s="101">
        <v>520.77</v>
      </c>
      <c r="J155" s="102">
        <f t="shared" ref="J155:J161" si="35">H155-I155</f>
        <v>-39.77</v>
      </c>
      <c r="K155" s="103">
        <f t="shared" ref="K155:K161" si="36">I155/F155*100</f>
        <v>27.8486631</v>
      </c>
      <c r="L155" s="54"/>
      <c r="M155" s="205" t="str">
        <f>"тотал"&amp;" "&amp;B154&amp;" "&amp;RIGHT(YEAR(B155),2)</f>
        <v>тотал ИЮНЬ 25</v>
      </c>
      <c r="N155" s="75"/>
      <c r="O155" s="75"/>
      <c r="P155" s="75"/>
      <c r="Q155" s="76"/>
    </row>
    <row r="156">
      <c r="A156" s="54"/>
      <c r="B156" s="98">
        <v>45812.0</v>
      </c>
      <c r="C156" s="100" t="s">
        <v>127</v>
      </c>
      <c r="D156" s="100" t="s">
        <v>275</v>
      </c>
      <c r="E156" s="100">
        <v>2593634.0</v>
      </c>
      <c r="F156" s="99">
        <f t="shared" ref="F156:F161" si="37">E156-E155</f>
        <v>1656</v>
      </c>
      <c r="G156" s="100">
        <v>1026.0</v>
      </c>
      <c r="H156" s="101">
        <v>414.0</v>
      </c>
      <c r="I156" s="101">
        <v>440.91</v>
      </c>
      <c r="J156" s="102">
        <f t="shared" si="35"/>
        <v>-26.91</v>
      </c>
      <c r="K156" s="103">
        <f t="shared" si="36"/>
        <v>26.625</v>
      </c>
      <c r="L156" s="54"/>
      <c r="M156" s="84" t="s">
        <v>70</v>
      </c>
      <c r="N156" s="84" t="s">
        <v>71</v>
      </c>
      <c r="O156" s="84" t="s">
        <v>27</v>
      </c>
      <c r="P156" s="77" t="s">
        <v>28</v>
      </c>
      <c r="Q156" s="12" t="s">
        <v>78</v>
      </c>
    </row>
    <row r="157">
      <c r="A157" s="54"/>
      <c r="B157" s="98">
        <v>45814.0</v>
      </c>
      <c r="C157" s="100" t="s">
        <v>127</v>
      </c>
      <c r="D157" s="100" t="s">
        <v>275</v>
      </c>
      <c r="E157" s="100">
        <v>2595291.0</v>
      </c>
      <c r="F157" s="99">
        <f t="shared" si="37"/>
        <v>1657</v>
      </c>
      <c r="G157" s="100">
        <v>995.0</v>
      </c>
      <c r="H157" s="101">
        <v>393.0</v>
      </c>
      <c r="I157" s="101">
        <v>459.74</v>
      </c>
      <c r="J157" s="102">
        <f t="shared" si="35"/>
        <v>-66.74</v>
      </c>
      <c r="K157" s="103">
        <f t="shared" si="36"/>
        <v>27.74532287</v>
      </c>
      <c r="L157" s="54"/>
      <c r="M157" s="84">
        <f>SUM(F155:F161)</f>
        <v>12161</v>
      </c>
      <c r="N157" s="84">
        <f>SUM(I155:I161)</f>
        <v>3405.35</v>
      </c>
      <c r="O157" s="85">
        <f>N157/M157*100</f>
        <v>28.00222021</v>
      </c>
      <c r="P157" s="79">
        <f>(M157/100)*(O157-Q157)</f>
        <v>0.27</v>
      </c>
      <c r="Q157" s="78">
        <v>28.0</v>
      </c>
    </row>
    <row r="158">
      <c r="A158" s="54"/>
      <c r="B158" s="98">
        <v>45817.0</v>
      </c>
      <c r="C158" s="100" t="s">
        <v>127</v>
      </c>
      <c r="D158" s="100" t="s">
        <v>275</v>
      </c>
      <c r="E158" s="100">
        <v>2597144.0</v>
      </c>
      <c r="F158" s="99">
        <f t="shared" si="37"/>
        <v>1853</v>
      </c>
      <c r="G158" s="100">
        <v>1023.0</v>
      </c>
      <c r="H158" s="101">
        <v>491.0</v>
      </c>
      <c r="I158" s="101">
        <v>530.72</v>
      </c>
      <c r="J158" s="102">
        <f t="shared" si="35"/>
        <v>-39.72</v>
      </c>
      <c r="K158" s="103">
        <f t="shared" si="36"/>
        <v>28.6411225</v>
      </c>
      <c r="L158" s="54"/>
      <c r="M158" s="54"/>
    </row>
    <row r="159">
      <c r="A159" s="54"/>
      <c r="B159" s="98">
        <v>45831.0</v>
      </c>
      <c r="C159" s="100" t="s">
        <v>127</v>
      </c>
      <c r="D159" s="100" t="s">
        <v>275</v>
      </c>
      <c r="E159" s="100">
        <v>2599004.0</v>
      </c>
      <c r="F159" s="99">
        <f t="shared" si="37"/>
        <v>1860</v>
      </c>
      <c r="G159" s="100">
        <v>1029.0</v>
      </c>
      <c r="H159" s="101">
        <v>511.0</v>
      </c>
      <c r="I159" s="101">
        <v>546.69</v>
      </c>
      <c r="J159" s="102">
        <f t="shared" si="35"/>
        <v>-35.69</v>
      </c>
      <c r="K159" s="103">
        <f t="shared" si="36"/>
        <v>29.39193548</v>
      </c>
      <c r="L159" s="54"/>
      <c r="M159" s="54"/>
    </row>
    <row r="160">
      <c r="A160" s="54"/>
      <c r="B160" s="98">
        <v>45833.0</v>
      </c>
      <c r="C160" s="100" t="s">
        <v>127</v>
      </c>
      <c r="D160" s="100" t="s">
        <v>275</v>
      </c>
      <c r="E160" s="100">
        <v>2600639.0</v>
      </c>
      <c r="F160" s="99">
        <f t="shared" si="37"/>
        <v>1635</v>
      </c>
      <c r="G160" s="100">
        <v>1024.0</v>
      </c>
      <c r="H160" s="101">
        <v>420.0</v>
      </c>
      <c r="I160" s="101">
        <v>447.49</v>
      </c>
      <c r="J160" s="102">
        <f t="shared" si="35"/>
        <v>-27.49</v>
      </c>
      <c r="K160" s="103">
        <f t="shared" si="36"/>
        <v>27.36941896</v>
      </c>
      <c r="L160" s="54"/>
      <c r="M160" s="54"/>
    </row>
    <row r="161">
      <c r="A161" s="54"/>
      <c r="B161" s="98">
        <v>45835.0</v>
      </c>
      <c r="C161" s="100" t="s">
        <v>127</v>
      </c>
      <c r="D161" s="100" t="s">
        <v>275</v>
      </c>
      <c r="E161" s="100">
        <v>2602269.0</v>
      </c>
      <c r="F161" s="99">
        <f t="shared" si="37"/>
        <v>1630</v>
      </c>
      <c r="G161" s="100">
        <v>1024.0</v>
      </c>
      <c r="H161" s="101">
        <v>429.0</v>
      </c>
      <c r="I161" s="101">
        <v>459.03</v>
      </c>
      <c r="J161" s="102">
        <f t="shared" si="35"/>
        <v>-30.03</v>
      </c>
      <c r="K161" s="103">
        <f t="shared" si="36"/>
        <v>28.16134969</v>
      </c>
      <c r="L161" s="54"/>
      <c r="M161" s="54"/>
    </row>
    <row r="162">
      <c r="A162" s="68"/>
      <c r="B162" s="203" t="str">
        <f>IF(L162=4,"АПРЕЛЬ",IF(L162=5,"МАЙ",IF(L162=1,"ЯНВАРЬ",IF(L162=2,"ФЕВРАЛЬ",IF(L162=3,"МАРТ",IF(L162=6,"ИЮНЬ",IF(L162=7,"ИЮЛЬ",IF(L162=8,"АВГУСТ",IF(L162=9,"СЕНТЯБРЬ",IF(L162=10,"ОКТЯБРЬ",IF(L162=11,"НОЯБРЬ",IF(L162=12,"ДЕКАБРЬ"))))))))))))</f>
        <v>ИЮЛЬ</v>
      </c>
      <c r="J162" s="88"/>
      <c r="K162" s="204"/>
      <c r="L162" s="91">
        <f>MONTH(B163)</f>
        <v>7</v>
      </c>
      <c r="M162" s="66"/>
      <c r="N162" s="66"/>
      <c r="O162" s="66"/>
      <c r="P162" s="66"/>
      <c r="Q162" s="66"/>
    </row>
    <row r="163">
      <c r="A163" s="54"/>
      <c r="B163" s="98">
        <v>45839.0</v>
      </c>
      <c r="C163" s="470" t="s">
        <v>127</v>
      </c>
      <c r="D163" s="321" t="s">
        <v>275</v>
      </c>
      <c r="E163" s="100">
        <v>2604095.0</v>
      </c>
      <c r="F163" s="99">
        <f>E163-E161</f>
        <v>1826</v>
      </c>
      <c r="G163" s="100">
        <v>1029.0</v>
      </c>
      <c r="H163" s="101">
        <v>473.0</v>
      </c>
      <c r="I163" s="101">
        <v>501.71</v>
      </c>
      <c r="J163" s="102">
        <f t="shared" ref="J163:J175" si="38">H163-I163</f>
        <v>-28.71</v>
      </c>
      <c r="K163" s="103">
        <f t="shared" ref="K163:K175" si="39">I163/F163*100</f>
        <v>27.47590361</v>
      </c>
      <c r="L163" s="54"/>
      <c r="M163" s="205" t="str">
        <f>"тотал"&amp;" "&amp;B162&amp;" "&amp;RIGHT(YEAR(B163),2)</f>
        <v>тотал ИЮЛЬ 25</v>
      </c>
      <c r="N163" s="75"/>
      <c r="O163" s="75"/>
      <c r="P163" s="75"/>
      <c r="Q163" s="76"/>
    </row>
    <row r="164">
      <c r="A164" s="54"/>
      <c r="B164" s="98">
        <v>45841.0</v>
      </c>
      <c r="C164" s="470" t="s">
        <v>127</v>
      </c>
      <c r="D164" s="321" t="s">
        <v>275</v>
      </c>
      <c r="E164" s="100">
        <v>2605728.0</v>
      </c>
      <c r="F164" s="99">
        <f t="shared" ref="F164:F175" si="40">E164-E163</f>
        <v>1633</v>
      </c>
      <c r="G164" s="100">
        <v>1027.0</v>
      </c>
      <c r="H164" s="101">
        <v>449.0</v>
      </c>
      <c r="I164" s="101">
        <v>483.33</v>
      </c>
      <c r="J164" s="102">
        <f t="shared" si="38"/>
        <v>-34.33</v>
      </c>
      <c r="K164" s="103">
        <f t="shared" si="39"/>
        <v>29.59767299</v>
      </c>
      <c r="L164" s="54"/>
      <c r="M164" s="84" t="s">
        <v>70</v>
      </c>
      <c r="N164" s="84" t="s">
        <v>71</v>
      </c>
      <c r="O164" s="84" t="s">
        <v>27</v>
      </c>
      <c r="P164" s="77" t="s">
        <v>28</v>
      </c>
      <c r="Q164" s="12" t="s">
        <v>78</v>
      </c>
    </row>
    <row r="165">
      <c r="A165" s="54"/>
      <c r="B165" s="98">
        <v>45845.0</v>
      </c>
      <c r="C165" s="470" t="s">
        <v>127</v>
      </c>
      <c r="D165" s="321" t="s">
        <v>275</v>
      </c>
      <c r="E165" s="100">
        <v>2607388.0</v>
      </c>
      <c r="F165" s="99">
        <f t="shared" si="40"/>
        <v>1660</v>
      </c>
      <c r="G165" s="100">
        <v>1023.0</v>
      </c>
      <c r="H165" s="101">
        <v>482.0</v>
      </c>
      <c r="I165" s="101">
        <v>517.16</v>
      </c>
      <c r="J165" s="102">
        <f t="shared" si="38"/>
        <v>-35.16</v>
      </c>
      <c r="K165" s="103">
        <f t="shared" si="39"/>
        <v>31.15421687</v>
      </c>
      <c r="L165" s="54"/>
      <c r="M165" s="84">
        <f>SUM(F163:F175)</f>
        <v>20179</v>
      </c>
      <c r="N165" s="84">
        <f>SUM(I163:I175)</f>
        <v>5778.76</v>
      </c>
      <c r="O165" s="85">
        <f>N165/M165*100</f>
        <v>28.63749442</v>
      </c>
      <c r="P165" s="79">
        <f>(M165/100)*(O165-Q165)</f>
        <v>128.64</v>
      </c>
      <c r="Q165" s="78">
        <v>28.0</v>
      </c>
    </row>
    <row r="166">
      <c r="A166" s="54"/>
      <c r="B166" s="98">
        <v>45847.0</v>
      </c>
      <c r="C166" s="470" t="s">
        <v>127</v>
      </c>
      <c r="D166" s="321" t="s">
        <v>275</v>
      </c>
      <c r="E166" s="100">
        <v>2609198.0</v>
      </c>
      <c r="F166" s="99">
        <f t="shared" si="40"/>
        <v>1810</v>
      </c>
      <c r="G166" s="100">
        <v>1025.0</v>
      </c>
      <c r="H166" s="101">
        <v>418.0</v>
      </c>
      <c r="I166" s="101">
        <v>446.44</v>
      </c>
      <c r="J166" s="102">
        <f t="shared" si="38"/>
        <v>-28.44</v>
      </c>
      <c r="K166" s="103">
        <f t="shared" si="39"/>
        <v>24.66519337</v>
      </c>
      <c r="L166" s="54"/>
      <c r="M166" s="54"/>
    </row>
    <row r="167">
      <c r="A167" s="54"/>
      <c r="B167" s="98">
        <v>45849.0</v>
      </c>
      <c r="C167" s="470" t="s">
        <v>127</v>
      </c>
      <c r="D167" s="321" t="s">
        <v>275</v>
      </c>
      <c r="E167" s="100">
        <v>2610826.0</v>
      </c>
      <c r="F167" s="99">
        <f t="shared" si="40"/>
        <v>1628</v>
      </c>
      <c r="G167" s="100">
        <v>1014.0</v>
      </c>
      <c r="H167" s="101">
        <v>465.0</v>
      </c>
      <c r="I167" s="101">
        <v>500.0</v>
      </c>
      <c r="J167" s="102">
        <f t="shared" si="38"/>
        <v>-35</v>
      </c>
      <c r="K167" s="103">
        <f t="shared" si="39"/>
        <v>30.71253071</v>
      </c>
      <c r="L167" s="54"/>
      <c r="M167" s="54"/>
    </row>
    <row r="168">
      <c r="A168" s="54"/>
      <c r="B168" s="98">
        <v>45852.0</v>
      </c>
      <c r="C168" s="470" t="s">
        <v>127</v>
      </c>
      <c r="D168" s="321" t="s">
        <v>275</v>
      </c>
      <c r="E168" s="100">
        <v>2612655.0</v>
      </c>
      <c r="F168" s="99">
        <f t="shared" si="40"/>
        <v>1829</v>
      </c>
      <c r="G168" s="100">
        <v>1024.0</v>
      </c>
      <c r="H168" s="101">
        <v>517.0</v>
      </c>
      <c r="I168" s="101">
        <v>558.79</v>
      </c>
      <c r="J168" s="102">
        <f t="shared" si="38"/>
        <v>-41.79</v>
      </c>
      <c r="K168" s="103">
        <f t="shared" si="39"/>
        <v>30.55166758</v>
      </c>
      <c r="L168" s="54"/>
      <c r="M168" s="54"/>
    </row>
    <row r="169">
      <c r="A169" s="54"/>
      <c r="B169" s="98">
        <v>45854.0</v>
      </c>
      <c r="C169" s="470" t="s">
        <v>127</v>
      </c>
      <c r="D169" s="321" t="s">
        <v>275</v>
      </c>
      <c r="E169" s="100">
        <v>2614289.0</v>
      </c>
      <c r="F169" s="99">
        <f t="shared" si="40"/>
        <v>1634</v>
      </c>
      <c r="G169" s="100">
        <v>1026.0</v>
      </c>
      <c r="H169" s="101">
        <v>430.0</v>
      </c>
      <c r="I169" s="101">
        <v>462.21</v>
      </c>
      <c r="J169" s="102">
        <f t="shared" si="38"/>
        <v>-32.21</v>
      </c>
      <c r="K169" s="103">
        <f t="shared" si="39"/>
        <v>28.2870257</v>
      </c>
      <c r="L169" s="54"/>
      <c r="M169" s="54"/>
    </row>
    <row r="170">
      <c r="A170" s="54"/>
      <c r="B170" s="98">
        <v>45856.0</v>
      </c>
      <c r="C170" s="470" t="s">
        <v>127</v>
      </c>
      <c r="D170" s="321" t="s">
        <v>275</v>
      </c>
      <c r="E170" s="100">
        <v>2615917.0</v>
      </c>
      <c r="F170" s="99">
        <f t="shared" si="40"/>
        <v>1628</v>
      </c>
      <c r="G170" s="100">
        <v>1025.0</v>
      </c>
      <c r="H170" s="101">
        <v>445.0</v>
      </c>
      <c r="I170" s="101">
        <v>477.97</v>
      </c>
      <c r="J170" s="102">
        <f t="shared" si="38"/>
        <v>-32.97</v>
      </c>
      <c r="K170" s="103">
        <f t="shared" si="39"/>
        <v>29.35933661</v>
      </c>
      <c r="L170" s="54"/>
      <c r="M170" s="54"/>
    </row>
    <row r="171">
      <c r="A171" s="54"/>
      <c r="B171" s="98">
        <v>45860.0</v>
      </c>
      <c r="C171" s="470" t="s">
        <v>127</v>
      </c>
      <c r="D171" s="321" t="s">
        <v>275</v>
      </c>
      <c r="E171" s="100">
        <v>2617915.0</v>
      </c>
      <c r="F171" s="99">
        <f t="shared" si="40"/>
        <v>1998</v>
      </c>
      <c r="G171" s="100">
        <v>956.0</v>
      </c>
      <c r="H171" s="101">
        <v>460.0</v>
      </c>
      <c r="I171" s="101">
        <v>500.0</v>
      </c>
      <c r="J171" s="102">
        <f t="shared" si="38"/>
        <v>-40</v>
      </c>
      <c r="K171" s="103">
        <f t="shared" si="39"/>
        <v>25.02502503</v>
      </c>
      <c r="L171" s="54"/>
      <c r="M171" s="54"/>
    </row>
    <row r="172">
      <c r="A172" s="54"/>
      <c r="B172" s="98">
        <v>45866.0</v>
      </c>
      <c r="C172" s="100" t="s">
        <v>123</v>
      </c>
      <c r="D172" s="100" t="s">
        <v>280</v>
      </c>
      <c r="E172" s="100">
        <v>2620260.0</v>
      </c>
      <c r="F172" s="99">
        <f t="shared" si="40"/>
        <v>2345</v>
      </c>
      <c r="G172" s="100">
        <v>451.0</v>
      </c>
      <c r="H172" s="470">
        <v>93.0</v>
      </c>
      <c r="I172" s="101">
        <v>120.0</v>
      </c>
      <c r="J172" s="102">
        <f t="shared" si="38"/>
        <v>-27</v>
      </c>
      <c r="K172" s="103">
        <f t="shared" si="39"/>
        <v>5.117270789</v>
      </c>
      <c r="L172" s="54"/>
      <c r="M172" s="54"/>
    </row>
    <row r="173">
      <c r="A173" s="54"/>
      <c r="B173" s="98">
        <v>45867.0</v>
      </c>
      <c r="C173" s="100" t="s">
        <v>123</v>
      </c>
      <c r="D173" s="100" t="s">
        <v>280</v>
      </c>
      <c r="E173" s="100">
        <v>2620445.0</v>
      </c>
      <c r="F173" s="99">
        <f t="shared" si="40"/>
        <v>185</v>
      </c>
      <c r="G173" s="100">
        <v>670.0</v>
      </c>
      <c r="H173" s="470">
        <v>256.0</v>
      </c>
      <c r="I173" s="101">
        <v>280.0</v>
      </c>
      <c r="J173" s="102">
        <f t="shared" si="38"/>
        <v>-24</v>
      </c>
      <c r="K173" s="103">
        <f t="shared" si="39"/>
        <v>151.3513514</v>
      </c>
      <c r="L173" s="54"/>
      <c r="M173" s="54"/>
    </row>
    <row r="174">
      <c r="A174" s="54"/>
      <c r="B174" s="98">
        <v>45867.0</v>
      </c>
      <c r="C174" s="100" t="s">
        <v>123</v>
      </c>
      <c r="D174" s="100" t="s">
        <v>280</v>
      </c>
      <c r="E174" s="100">
        <v>2620966.0</v>
      </c>
      <c r="F174" s="99">
        <f t="shared" si="40"/>
        <v>521</v>
      </c>
      <c r="G174" s="100">
        <v>895.0</v>
      </c>
      <c r="H174" s="470">
        <v>366.0</v>
      </c>
      <c r="I174" s="101">
        <v>400.0</v>
      </c>
      <c r="J174" s="102">
        <f t="shared" si="38"/>
        <v>-34</v>
      </c>
      <c r="K174" s="103">
        <f t="shared" si="39"/>
        <v>76.77543186</v>
      </c>
      <c r="L174" s="54"/>
      <c r="M174" s="54"/>
    </row>
    <row r="175">
      <c r="A175" s="54"/>
      <c r="B175" s="98">
        <v>45869.0</v>
      </c>
      <c r="C175" s="100" t="s">
        <v>123</v>
      </c>
      <c r="D175" s="100" t="s">
        <v>280</v>
      </c>
      <c r="E175" s="100">
        <v>2622448.0</v>
      </c>
      <c r="F175" s="99">
        <f t="shared" si="40"/>
        <v>1482</v>
      </c>
      <c r="G175" s="100">
        <v>1013.0</v>
      </c>
      <c r="H175" s="101">
        <v>493.0</v>
      </c>
      <c r="I175" s="101">
        <v>531.15</v>
      </c>
      <c r="J175" s="102">
        <f t="shared" si="38"/>
        <v>-38.15</v>
      </c>
      <c r="K175" s="103">
        <f t="shared" si="39"/>
        <v>35.84008097</v>
      </c>
      <c r="L175" s="54"/>
      <c r="M175" s="54"/>
    </row>
    <row r="176">
      <c r="A176" s="68"/>
      <c r="B176" s="203" t="str">
        <f>IF(L176=4,"АПРЕЛЬ",IF(L176=5,"МАЙ",IF(L176=1,"ЯНВАРЬ",IF(L176=2,"ФЕВРАЛЬ",IF(L176=3,"МАРТ",IF(L176=6,"ИЮНЬ",IF(L176=7,"ИЮЛЬ",IF(L176=8,"АВГУСТ",IF(L176=9,"СЕНТЯБРЬ",IF(L176=10,"ОКТЯБРЬ",IF(L176=11,"НОЯБРЬ",IF(L176=12,"ДЕКАБРЬ"))))))))))))</f>
        <v>АВГУСТ</v>
      </c>
      <c r="J176" s="88"/>
      <c r="K176" s="204"/>
      <c r="L176" s="91">
        <f>MONTH(B177)</f>
        <v>8</v>
      </c>
      <c r="M176" s="66"/>
      <c r="N176" s="66"/>
      <c r="O176" s="66"/>
      <c r="P176" s="66"/>
      <c r="Q176" s="66"/>
    </row>
    <row r="177">
      <c r="A177" s="54"/>
      <c r="B177" s="98">
        <v>45880.0</v>
      </c>
      <c r="C177" s="100" t="s">
        <v>276</v>
      </c>
      <c r="D177" s="100" t="s">
        <v>270</v>
      </c>
      <c r="E177" s="100">
        <v>2624589.0</v>
      </c>
      <c r="F177" s="99">
        <f>E177-E175</f>
        <v>2141</v>
      </c>
      <c r="G177" s="100">
        <v>997.0</v>
      </c>
      <c r="H177" s="101">
        <v>564.0</v>
      </c>
      <c r="I177" s="101">
        <v>620.0</v>
      </c>
      <c r="J177" s="102">
        <f t="shared" ref="J177:J185" si="41">H177-I177</f>
        <v>-56</v>
      </c>
      <c r="K177" s="103">
        <f t="shared" ref="K177:K185" si="42">I177/F177*100</f>
        <v>28.95843064</v>
      </c>
      <c r="L177" s="54"/>
      <c r="M177" s="205" t="str">
        <f>"тотал"&amp;" "&amp;B176&amp;" "&amp;RIGHT(YEAR(B177),2)</f>
        <v>тотал АВГУСТ 25</v>
      </c>
      <c r="N177" s="75"/>
      <c r="O177" s="75"/>
      <c r="P177" s="75"/>
      <c r="Q177" s="76"/>
    </row>
    <row r="178">
      <c r="A178" s="54"/>
      <c r="B178" s="98">
        <v>45882.0</v>
      </c>
      <c r="C178" s="100" t="s">
        <v>276</v>
      </c>
      <c r="D178" s="100" t="s">
        <v>270</v>
      </c>
      <c r="E178" s="100">
        <v>2626477.0</v>
      </c>
      <c r="F178" s="99">
        <f t="shared" ref="F178:F185" si="43">E178-E177</f>
        <v>1888</v>
      </c>
      <c r="G178" s="100">
        <v>1016.0</v>
      </c>
      <c r="H178" s="101">
        <v>521.0</v>
      </c>
      <c r="I178" s="101">
        <v>560.06</v>
      </c>
      <c r="J178" s="102">
        <f t="shared" si="41"/>
        <v>-39.06</v>
      </c>
      <c r="K178" s="103">
        <f t="shared" si="42"/>
        <v>29.66419492</v>
      </c>
      <c r="L178" s="54"/>
      <c r="M178" s="84" t="s">
        <v>70</v>
      </c>
      <c r="N178" s="84" t="s">
        <v>71</v>
      </c>
      <c r="O178" s="84" t="s">
        <v>27</v>
      </c>
      <c r="P178" s="77" t="s">
        <v>28</v>
      </c>
      <c r="Q178" s="12" t="s">
        <v>78</v>
      </c>
    </row>
    <row r="179">
      <c r="A179" s="54"/>
      <c r="B179" s="98">
        <v>45884.0</v>
      </c>
      <c r="C179" s="100" t="s">
        <v>276</v>
      </c>
      <c r="D179" s="100" t="s">
        <v>270</v>
      </c>
      <c r="E179" s="100">
        <v>2628356.0</v>
      </c>
      <c r="F179" s="99">
        <f t="shared" si="43"/>
        <v>1879</v>
      </c>
      <c r="G179" s="100">
        <v>1029.0</v>
      </c>
      <c r="H179" s="101">
        <v>556.0</v>
      </c>
      <c r="I179" s="101">
        <v>595.35</v>
      </c>
      <c r="J179" s="102">
        <f t="shared" si="41"/>
        <v>-39.35</v>
      </c>
      <c r="K179" s="103">
        <f t="shared" si="42"/>
        <v>31.6844066</v>
      </c>
      <c r="L179" s="54"/>
      <c r="M179" s="84">
        <f>SUM(F177:F185)</f>
        <v>17942</v>
      </c>
      <c r="N179" s="84">
        <f>SUM(I177:I185)</f>
        <v>5451.73</v>
      </c>
      <c r="O179" s="85">
        <f>N179/M179*100</f>
        <v>30.38529707</v>
      </c>
      <c r="P179" s="79">
        <f>(M179/100)*(O179-Q179)</f>
        <v>427.97</v>
      </c>
      <c r="Q179" s="78">
        <v>28.0</v>
      </c>
    </row>
    <row r="180">
      <c r="A180" s="54"/>
      <c r="B180" s="98">
        <v>45890.0</v>
      </c>
      <c r="C180" s="100" t="s">
        <v>276</v>
      </c>
      <c r="D180" s="100" t="s">
        <v>270</v>
      </c>
      <c r="E180" s="100">
        <v>2630993.0</v>
      </c>
      <c r="F180" s="99">
        <f t="shared" si="43"/>
        <v>2637</v>
      </c>
      <c r="G180" s="100">
        <v>1027.0</v>
      </c>
      <c r="H180" s="101">
        <v>744.0</v>
      </c>
      <c r="I180" s="101">
        <v>800.0</v>
      </c>
      <c r="J180" s="102">
        <f t="shared" si="41"/>
        <v>-56</v>
      </c>
      <c r="K180" s="103">
        <f t="shared" si="42"/>
        <v>30.33750474</v>
      </c>
      <c r="L180" s="54"/>
      <c r="M180" s="54"/>
    </row>
    <row r="181">
      <c r="A181" s="54"/>
      <c r="B181" s="98">
        <v>45892.0</v>
      </c>
      <c r="C181" s="100" t="s">
        <v>276</v>
      </c>
      <c r="D181" s="100" t="s">
        <v>270</v>
      </c>
      <c r="E181" s="100">
        <v>2632872.0</v>
      </c>
      <c r="F181" s="99">
        <f t="shared" si="43"/>
        <v>1879</v>
      </c>
      <c r="G181" s="100">
        <v>1012.0</v>
      </c>
      <c r="H181" s="101">
        <v>562.0</v>
      </c>
      <c r="I181" s="101">
        <v>600.0</v>
      </c>
      <c r="J181" s="102">
        <f t="shared" si="41"/>
        <v>-38</v>
      </c>
      <c r="K181" s="103">
        <f t="shared" si="42"/>
        <v>31.93187866</v>
      </c>
      <c r="L181" s="54"/>
      <c r="M181" s="54"/>
    </row>
    <row r="182">
      <c r="A182" s="54"/>
      <c r="B182" s="98">
        <v>45894.0</v>
      </c>
      <c r="C182" s="100" t="s">
        <v>276</v>
      </c>
      <c r="D182" s="100" t="s">
        <v>270</v>
      </c>
      <c r="E182" s="100">
        <v>2634751.0</v>
      </c>
      <c r="F182" s="99">
        <f t="shared" si="43"/>
        <v>1879</v>
      </c>
      <c r="G182" s="100">
        <v>1009.0</v>
      </c>
      <c r="H182" s="101">
        <v>557.0</v>
      </c>
      <c r="I182" s="101">
        <v>600.0</v>
      </c>
      <c r="J182" s="102">
        <f t="shared" si="41"/>
        <v>-43</v>
      </c>
      <c r="K182" s="103">
        <f t="shared" si="42"/>
        <v>31.93187866</v>
      </c>
      <c r="L182" s="54"/>
      <c r="M182" s="54"/>
    </row>
    <row r="183">
      <c r="A183" s="54"/>
      <c r="B183" s="98">
        <v>45896.0</v>
      </c>
      <c r="C183" s="100" t="s">
        <v>276</v>
      </c>
      <c r="D183" s="100" t="s">
        <v>270</v>
      </c>
      <c r="E183" s="100">
        <v>2636636.0</v>
      </c>
      <c r="F183" s="99">
        <f t="shared" si="43"/>
        <v>1885</v>
      </c>
      <c r="G183" s="100">
        <v>1038.0</v>
      </c>
      <c r="H183" s="101">
        <v>542.0</v>
      </c>
      <c r="I183" s="101">
        <v>576.32</v>
      </c>
      <c r="J183" s="102">
        <f t="shared" si="41"/>
        <v>-34.32</v>
      </c>
      <c r="K183" s="103">
        <f t="shared" si="42"/>
        <v>30.57400531</v>
      </c>
      <c r="L183" s="54"/>
      <c r="M183" s="54"/>
    </row>
    <row r="184">
      <c r="A184" s="54"/>
      <c r="B184" s="98">
        <v>45898.0</v>
      </c>
      <c r="C184" s="100" t="s">
        <v>276</v>
      </c>
      <c r="D184" s="100" t="s">
        <v>270</v>
      </c>
      <c r="E184" s="100">
        <v>2638514.0</v>
      </c>
      <c r="F184" s="99">
        <f t="shared" si="43"/>
        <v>1878</v>
      </c>
      <c r="G184" s="100">
        <v>1012.0</v>
      </c>
      <c r="H184" s="101">
        <v>514.0</v>
      </c>
      <c r="I184" s="101">
        <v>550.0</v>
      </c>
      <c r="J184" s="102">
        <f t="shared" si="41"/>
        <v>-36</v>
      </c>
      <c r="K184" s="103">
        <f t="shared" si="42"/>
        <v>29.28647497</v>
      </c>
      <c r="L184" s="54"/>
      <c r="M184" s="54"/>
    </row>
    <row r="185">
      <c r="A185" s="54"/>
      <c r="B185" s="98">
        <v>45900.0</v>
      </c>
      <c r="C185" s="100" t="s">
        <v>276</v>
      </c>
      <c r="D185" s="100" t="s">
        <v>270</v>
      </c>
      <c r="E185" s="100">
        <v>2640390.0</v>
      </c>
      <c r="F185" s="99">
        <f t="shared" si="43"/>
        <v>1876</v>
      </c>
      <c r="G185" s="100">
        <v>976.0</v>
      </c>
      <c r="H185" s="101">
        <v>507.0</v>
      </c>
      <c r="I185" s="101">
        <v>550.0</v>
      </c>
      <c r="J185" s="102">
        <f t="shared" si="41"/>
        <v>-43</v>
      </c>
      <c r="K185" s="103">
        <f t="shared" si="42"/>
        <v>29.31769723</v>
      </c>
      <c r="L185" s="54"/>
      <c r="M185" s="54"/>
    </row>
    <row r="186">
      <c r="A186" s="68"/>
      <c r="B186" s="203" t="str">
        <f>IF(L186=4,"АПРЕЛЬ",IF(L186=5,"МАЙ",IF(L186=1,"ЯНВАРЬ",IF(L186=2,"ФЕВРАЛЬ",IF(L186=3,"МАРТ",IF(L186=6,"ИЮНЬ",IF(L186=7,"ИЮЛЬ",IF(L186=8,"АВГУСТ",IF(L186=9,"СЕНТЯБРЬ",IF(L186=10,"ОКТЯБРЬ",IF(L186=11,"НОЯБРЬ",IF(L186=12,"ДЕКАБРЬ"))))))))))))</f>
        <v>СЕНТЯБРЬ</v>
      </c>
      <c r="J186" s="88"/>
      <c r="K186" s="204"/>
      <c r="L186" s="91">
        <f>MONTH(B187)</f>
        <v>9</v>
      </c>
      <c r="M186" s="66"/>
      <c r="N186" s="66"/>
      <c r="O186" s="66"/>
      <c r="P186" s="66"/>
      <c r="Q186" s="66"/>
    </row>
    <row r="187">
      <c r="A187" s="54"/>
      <c r="B187" s="98">
        <v>45902.0</v>
      </c>
      <c r="C187" s="100" t="s">
        <v>276</v>
      </c>
      <c r="D187" s="100" t="s">
        <v>270</v>
      </c>
      <c r="E187" s="100">
        <v>2642269.0</v>
      </c>
      <c r="F187" s="99">
        <f>E187-E185</f>
        <v>1879</v>
      </c>
      <c r="G187" s="100">
        <v>1009.0</v>
      </c>
      <c r="H187" s="101">
        <v>555.0</v>
      </c>
      <c r="I187" s="101">
        <v>600.0</v>
      </c>
      <c r="J187" s="102">
        <f t="shared" ref="J187:J188" si="44">H187-I187</f>
        <v>-45</v>
      </c>
      <c r="K187" s="103">
        <f t="shared" ref="K187:K197" si="45">I187/F187*100</f>
        <v>31.93187866</v>
      </c>
      <c r="L187" s="54"/>
      <c r="M187" s="205" t="str">
        <f>"тотал"&amp;" "&amp;B186&amp;" "&amp;RIGHT(YEAR(B187),2)</f>
        <v>тотал СЕНТЯБРЬ 25</v>
      </c>
      <c r="N187" s="75"/>
      <c r="O187" s="75"/>
      <c r="P187" s="75"/>
      <c r="Q187" s="76"/>
    </row>
    <row r="188">
      <c r="A188" s="54"/>
      <c r="B188" s="98">
        <v>45905.0</v>
      </c>
      <c r="C188" s="100" t="s">
        <v>276</v>
      </c>
      <c r="D188" s="100" t="s">
        <v>270</v>
      </c>
      <c r="E188" s="100">
        <v>2644375.0</v>
      </c>
      <c r="F188" s="99">
        <f t="shared" ref="F188:F197" si="46">E188-E187</f>
        <v>2106</v>
      </c>
      <c r="G188" s="100">
        <v>901.0</v>
      </c>
      <c r="H188" s="101">
        <v>460.0</v>
      </c>
      <c r="I188" s="101">
        <v>500.0</v>
      </c>
      <c r="J188" s="102">
        <f t="shared" si="44"/>
        <v>-40</v>
      </c>
      <c r="K188" s="103">
        <f t="shared" si="45"/>
        <v>23.74169041</v>
      </c>
      <c r="L188" s="54"/>
      <c r="M188" s="84" t="s">
        <v>70</v>
      </c>
      <c r="N188" s="84" t="s">
        <v>71</v>
      </c>
      <c r="O188" s="84" t="s">
        <v>27</v>
      </c>
      <c r="P188" s="77" t="s">
        <v>28</v>
      </c>
      <c r="Q188" s="12" t="s">
        <v>78</v>
      </c>
    </row>
    <row r="189">
      <c r="A189" s="471"/>
      <c r="B189" s="98">
        <v>45907.0</v>
      </c>
      <c r="C189" s="100" t="s">
        <v>276</v>
      </c>
      <c r="D189" s="100" t="s">
        <v>270</v>
      </c>
      <c r="E189" s="100">
        <v>2646263.0</v>
      </c>
      <c r="F189" s="99">
        <f t="shared" si="46"/>
        <v>1888</v>
      </c>
      <c r="G189" s="99"/>
      <c r="H189" s="102"/>
      <c r="I189" s="101">
        <v>600.0</v>
      </c>
      <c r="J189" s="102"/>
      <c r="K189" s="103">
        <f t="shared" si="45"/>
        <v>31.77966102</v>
      </c>
      <c r="L189" s="54"/>
      <c r="M189" s="84">
        <f>SUM(F187:F197)</f>
        <v>25893</v>
      </c>
      <c r="N189" s="84">
        <f>SUM(I187:I197)</f>
        <v>7396.8</v>
      </c>
      <c r="O189" s="85">
        <f>N189/M189*100</f>
        <v>28.56679411</v>
      </c>
      <c r="P189" s="79">
        <f>(M189/100)*(O189-Q189)</f>
        <v>146.76</v>
      </c>
      <c r="Q189" s="78">
        <v>28.0</v>
      </c>
    </row>
    <row r="190">
      <c r="A190" s="471"/>
      <c r="B190" s="98">
        <v>45909.0</v>
      </c>
      <c r="C190" s="100" t="s">
        <v>276</v>
      </c>
      <c r="D190" s="100" t="s">
        <v>270</v>
      </c>
      <c r="E190" s="100">
        <v>2648216.0</v>
      </c>
      <c r="F190" s="99">
        <f t="shared" si="46"/>
        <v>1953</v>
      </c>
      <c r="G190" s="99"/>
      <c r="H190" s="102"/>
      <c r="I190" s="101">
        <v>550.0</v>
      </c>
      <c r="J190" s="102"/>
      <c r="K190" s="103">
        <f t="shared" si="45"/>
        <v>28.16180236</v>
      </c>
      <c r="L190" s="54"/>
      <c r="M190" s="54"/>
    </row>
    <row r="191">
      <c r="A191" s="471"/>
      <c r="B191" s="98">
        <v>45911.0</v>
      </c>
      <c r="C191" s="100" t="s">
        <v>276</v>
      </c>
      <c r="D191" s="100" t="s">
        <v>270</v>
      </c>
      <c r="E191" s="100">
        <v>2650116.0</v>
      </c>
      <c r="F191" s="99">
        <f t="shared" si="46"/>
        <v>1900</v>
      </c>
      <c r="G191" s="99"/>
      <c r="H191" s="102"/>
      <c r="I191" s="101">
        <v>580.75</v>
      </c>
      <c r="J191" s="102"/>
      <c r="K191" s="103">
        <f t="shared" si="45"/>
        <v>30.56578947</v>
      </c>
      <c r="L191" s="54"/>
      <c r="M191" s="54"/>
    </row>
    <row r="192">
      <c r="A192" s="471"/>
      <c r="B192" s="98">
        <v>45913.0</v>
      </c>
      <c r="C192" s="100" t="s">
        <v>276</v>
      </c>
      <c r="D192" s="100" t="s">
        <v>270</v>
      </c>
      <c r="E192" s="100">
        <v>2652323.0</v>
      </c>
      <c r="F192" s="99">
        <f t="shared" si="46"/>
        <v>2207</v>
      </c>
      <c r="G192" s="99"/>
      <c r="H192" s="102"/>
      <c r="I192" s="102">
        <f>280.97--329.47--20.01</f>
        <v>630.45</v>
      </c>
      <c r="J192" s="102"/>
      <c r="K192" s="103">
        <f t="shared" si="45"/>
        <v>28.5659266</v>
      </c>
      <c r="L192" s="54"/>
      <c r="M192" s="54"/>
    </row>
    <row r="193">
      <c r="A193" s="471"/>
      <c r="B193" s="98">
        <v>45916.0</v>
      </c>
      <c r="C193" s="100" t="s">
        <v>276</v>
      </c>
      <c r="D193" s="100" t="s">
        <v>270</v>
      </c>
      <c r="E193" s="100">
        <v>2655404.0</v>
      </c>
      <c r="F193" s="99">
        <f t="shared" si="46"/>
        <v>3081</v>
      </c>
      <c r="G193" s="99"/>
      <c r="H193" s="102"/>
      <c r="I193" s="101">
        <v>828.02</v>
      </c>
      <c r="J193" s="102"/>
      <c r="K193" s="103">
        <f t="shared" si="45"/>
        <v>26.87504057</v>
      </c>
      <c r="L193" s="54"/>
      <c r="M193" s="54"/>
    </row>
    <row r="194">
      <c r="A194" s="471"/>
      <c r="B194" s="98">
        <v>45920.0</v>
      </c>
      <c r="C194" s="100" t="s">
        <v>276</v>
      </c>
      <c r="D194" s="100" t="s">
        <v>270</v>
      </c>
      <c r="E194" s="100">
        <v>2658218.0</v>
      </c>
      <c r="F194" s="99">
        <f t="shared" si="46"/>
        <v>2814</v>
      </c>
      <c r="G194" s="99"/>
      <c r="H194" s="102"/>
      <c r="I194" s="101">
        <v>821.59</v>
      </c>
      <c r="J194" s="102"/>
      <c r="K194" s="103">
        <f t="shared" si="45"/>
        <v>29.19651741</v>
      </c>
      <c r="L194" s="54"/>
      <c r="M194" s="54"/>
    </row>
    <row r="195">
      <c r="A195" s="336"/>
      <c r="B195" s="98">
        <v>45923.0</v>
      </c>
      <c r="C195" s="100" t="s">
        <v>276</v>
      </c>
      <c r="D195" s="100" t="s">
        <v>270</v>
      </c>
      <c r="E195" s="100">
        <v>2660996.0</v>
      </c>
      <c r="F195" s="99">
        <f t="shared" si="46"/>
        <v>2778</v>
      </c>
      <c r="G195" s="99"/>
      <c r="H195" s="102"/>
      <c r="I195" s="102">
        <f>340.06--430</f>
        <v>770.06</v>
      </c>
      <c r="J195" s="102"/>
      <c r="K195" s="103">
        <f t="shared" si="45"/>
        <v>27.7199424</v>
      </c>
      <c r="L195" s="54"/>
      <c r="M195" s="54"/>
    </row>
    <row r="196">
      <c r="A196" s="336"/>
      <c r="B196" s="98">
        <v>45925.0</v>
      </c>
      <c r="C196" s="100" t="s">
        <v>276</v>
      </c>
      <c r="D196" s="100" t="s">
        <v>270</v>
      </c>
      <c r="E196" s="100">
        <v>2663488.0</v>
      </c>
      <c r="F196" s="99">
        <f t="shared" si="46"/>
        <v>2492</v>
      </c>
      <c r="G196" s="99"/>
      <c r="H196" s="102"/>
      <c r="I196" s="102">
        <f>315.22--355.71</f>
        <v>670.93</v>
      </c>
      <c r="J196" s="102"/>
      <c r="K196" s="103">
        <f t="shared" si="45"/>
        <v>26.92335474</v>
      </c>
      <c r="L196" s="54"/>
      <c r="M196" s="54"/>
    </row>
    <row r="197">
      <c r="A197" s="336"/>
      <c r="B197" s="98">
        <v>45928.0</v>
      </c>
      <c r="C197" s="100" t="s">
        <v>276</v>
      </c>
      <c r="D197" s="100" t="s">
        <v>270</v>
      </c>
      <c r="E197" s="100">
        <v>2666283.0</v>
      </c>
      <c r="F197" s="99">
        <f t="shared" si="46"/>
        <v>2795</v>
      </c>
      <c r="G197" s="99"/>
      <c r="H197" s="102"/>
      <c r="I197" s="102">
        <f>395--450</f>
        <v>845</v>
      </c>
      <c r="J197" s="102"/>
      <c r="K197" s="103">
        <f t="shared" si="45"/>
        <v>30.23255814</v>
      </c>
      <c r="L197" s="54"/>
      <c r="M197" s="54"/>
    </row>
    <row r="198">
      <c r="A198" s="68"/>
      <c r="B198" s="203" t="str">
        <f>IF(L198=4,"АПРЕЛЬ",IF(L198=5,"МАЙ",IF(L198=1,"ЯНВАРЬ",IF(L198=2,"ФЕВРАЛЬ",IF(L198=3,"МАРТ",IF(L198=6,"ИЮНЬ",IF(L198=7,"ИЮЛЬ",IF(L198=8,"АВГУСТ",IF(L198=9,"СЕНТЯБРЬ",IF(L198=10,"ОКТЯБРЬ",IF(L198=11,"НОЯБРЬ",IF(L198=12,"ДЕКАБРЬ"))))))))))))</f>
        <v>ОКТЯБРЬ</v>
      </c>
      <c r="J198" s="88"/>
      <c r="K198" s="204"/>
      <c r="L198" s="91">
        <f>MONTH(B199)</f>
        <v>10</v>
      </c>
      <c r="M198" s="66"/>
      <c r="N198" s="66"/>
      <c r="O198" s="66"/>
      <c r="P198" s="66"/>
      <c r="Q198" s="66"/>
    </row>
    <row r="199">
      <c r="A199" s="54"/>
      <c r="B199" s="98">
        <v>45934.0</v>
      </c>
      <c r="C199" s="100" t="s">
        <v>276</v>
      </c>
      <c r="D199" s="100" t="s">
        <v>270</v>
      </c>
      <c r="E199" s="100">
        <v>2669231.0</v>
      </c>
      <c r="F199" s="99">
        <f>E199-E197</f>
        <v>2948</v>
      </c>
      <c r="G199" s="99"/>
      <c r="H199" s="102"/>
      <c r="I199" s="101">
        <v>887.72</v>
      </c>
      <c r="J199" s="102"/>
      <c r="K199" s="103">
        <f t="shared" ref="K199:K200" si="47">I199/F199*100</f>
        <v>30.11261872</v>
      </c>
      <c r="L199" s="54"/>
      <c r="M199" s="205" t="str">
        <f>"тотал"&amp;" "&amp;B198&amp;" "&amp;RIGHT(YEAR(B199),2)</f>
        <v>тотал ОКТЯБРЬ 25</v>
      </c>
      <c r="N199" s="75"/>
      <c r="O199" s="75"/>
      <c r="P199" s="75"/>
      <c r="Q199" s="76"/>
    </row>
    <row r="200">
      <c r="A200" s="54"/>
      <c r="B200" s="98">
        <v>45940.0</v>
      </c>
      <c r="C200" s="100" t="s">
        <v>79</v>
      </c>
      <c r="D200" s="100" t="s">
        <v>292</v>
      </c>
      <c r="E200" s="100">
        <v>2671151.0</v>
      </c>
      <c r="F200" s="99">
        <f>E200-E199</f>
        <v>1920</v>
      </c>
      <c r="G200" s="99"/>
      <c r="H200" s="102"/>
      <c r="I200" s="101">
        <v>543.73</v>
      </c>
      <c r="J200" s="102"/>
      <c r="K200" s="103">
        <f t="shared" si="47"/>
        <v>28.31927083</v>
      </c>
      <c r="L200" s="54"/>
      <c r="M200" s="84" t="s">
        <v>70</v>
      </c>
      <c r="N200" s="84" t="s">
        <v>71</v>
      </c>
      <c r="O200" s="84" t="s">
        <v>27</v>
      </c>
      <c r="P200" s="77" t="s">
        <v>28</v>
      </c>
      <c r="Q200" s="12" t="s">
        <v>78</v>
      </c>
    </row>
    <row r="201">
      <c r="A201" s="54"/>
      <c r="B201" s="99"/>
      <c r="C201" s="99"/>
      <c r="D201" s="99"/>
      <c r="E201" s="99"/>
      <c r="F201" s="99"/>
      <c r="G201" s="99"/>
      <c r="H201" s="102"/>
      <c r="I201" s="102"/>
      <c r="J201" s="102"/>
      <c r="K201" s="102"/>
      <c r="L201" s="54"/>
      <c r="M201" s="84">
        <f>SUM(F199:F209)</f>
        <v>4868</v>
      </c>
      <c r="N201" s="84">
        <f>SUM(I199:I209)</f>
        <v>1431.45</v>
      </c>
      <c r="O201" s="85">
        <f>N201/M201*100</f>
        <v>29.40529992</v>
      </c>
      <c r="P201" s="79">
        <f>(M201/100)*(O201-Q201)</f>
        <v>68.41</v>
      </c>
      <c r="Q201" s="78">
        <v>28.0</v>
      </c>
    </row>
    <row r="202">
      <c r="A202" s="54"/>
      <c r="B202" s="99"/>
      <c r="C202" s="99"/>
      <c r="D202" s="99"/>
      <c r="E202" s="99"/>
      <c r="F202" s="99"/>
      <c r="G202" s="99"/>
      <c r="H202" s="102"/>
      <c r="I202" s="102"/>
      <c r="J202" s="102"/>
      <c r="K202" s="102"/>
      <c r="L202" s="54"/>
      <c r="M202" s="54"/>
    </row>
    <row r="203">
      <c r="A203" s="54"/>
      <c r="B203" s="99"/>
      <c r="C203" s="99"/>
      <c r="D203" s="99"/>
      <c r="E203" s="99"/>
      <c r="F203" s="99"/>
      <c r="G203" s="99"/>
      <c r="H203" s="102"/>
      <c r="I203" s="102"/>
      <c r="J203" s="102"/>
      <c r="K203" s="102"/>
      <c r="L203" s="54"/>
      <c r="M203" s="54"/>
    </row>
    <row r="204">
      <c r="A204" s="54"/>
      <c r="B204" s="99"/>
      <c r="C204" s="99"/>
      <c r="D204" s="99"/>
      <c r="E204" s="99"/>
      <c r="F204" s="99"/>
      <c r="G204" s="99"/>
      <c r="H204" s="102"/>
      <c r="I204" s="102"/>
      <c r="J204" s="102"/>
      <c r="K204" s="102"/>
      <c r="L204" s="54"/>
      <c r="M204" s="54"/>
    </row>
    <row r="205">
      <c r="A205" s="54"/>
      <c r="B205" s="99"/>
      <c r="C205" s="99"/>
      <c r="D205" s="99"/>
      <c r="E205" s="99"/>
      <c r="F205" s="99"/>
      <c r="G205" s="99"/>
      <c r="H205" s="102"/>
      <c r="I205" s="102"/>
      <c r="J205" s="102"/>
      <c r="K205" s="102"/>
      <c r="L205" s="54"/>
      <c r="M205" s="54"/>
    </row>
    <row r="206">
      <c r="A206" s="54"/>
      <c r="B206" s="99"/>
      <c r="C206" s="99"/>
      <c r="D206" s="99"/>
      <c r="E206" s="99"/>
      <c r="F206" s="99"/>
      <c r="G206" s="99"/>
      <c r="H206" s="102"/>
      <c r="I206" s="102"/>
      <c r="J206" s="102"/>
      <c r="K206" s="102"/>
      <c r="L206" s="54"/>
      <c r="M206" s="54"/>
    </row>
    <row r="207">
      <c r="A207" s="54"/>
      <c r="B207" s="99"/>
      <c r="C207" s="99"/>
      <c r="D207" s="99"/>
      <c r="E207" s="99"/>
      <c r="F207" s="99"/>
      <c r="G207" s="99"/>
      <c r="H207" s="102"/>
      <c r="I207" s="102"/>
      <c r="J207" s="102"/>
      <c r="K207" s="102"/>
      <c r="L207" s="54"/>
      <c r="M207" s="54"/>
    </row>
    <row r="208">
      <c r="A208" s="54"/>
      <c r="B208" s="99"/>
      <c r="C208" s="99"/>
      <c r="D208" s="99"/>
      <c r="E208" s="99"/>
      <c r="F208" s="99"/>
      <c r="G208" s="99"/>
      <c r="H208" s="102"/>
      <c r="I208" s="102"/>
      <c r="J208" s="102"/>
      <c r="K208" s="102"/>
      <c r="L208" s="54"/>
      <c r="M208" s="54"/>
    </row>
    <row r="209">
      <c r="A209" s="54"/>
      <c r="B209" s="99"/>
      <c r="C209" s="99"/>
      <c r="D209" s="99"/>
      <c r="E209" s="99"/>
      <c r="F209" s="99"/>
      <c r="G209" s="99"/>
      <c r="H209" s="102"/>
      <c r="I209" s="102"/>
      <c r="J209" s="102"/>
      <c r="K209" s="102"/>
      <c r="L209" s="54"/>
      <c r="M209" s="54"/>
    </row>
    <row r="210">
      <c r="A210" s="54"/>
      <c r="B210" s="99"/>
      <c r="C210" s="99"/>
      <c r="D210" s="99"/>
      <c r="E210" s="99"/>
      <c r="F210" s="99"/>
      <c r="G210" s="99"/>
      <c r="H210" s="102"/>
      <c r="I210" s="102"/>
      <c r="J210" s="102"/>
      <c r="K210" s="102"/>
      <c r="L210" s="54"/>
      <c r="M210" s="54"/>
    </row>
    <row r="211">
      <c r="A211" s="54"/>
      <c r="B211" s="99"/>
      <c r="C211" s="99"/>
      <c r="D211" s="99"/>
      <c r="E211" s="99"/>
      <c r="F211" s="99"/>
      <c r="G211" s="99"/>
      <c r="H211" s="102"/>
      <c r="I211" s="102"/>
      <c r="J211" s="102"/>
      <c r="K211" s="102"/>
      <c r="L211" s="54"/>
      <c r="M211" s="54"/>
    </row>
    <row r="212">
      <c r="A212" s="54"/>
      <c r="B212" s="99"/>
      <c r="C212" s="99"/>
      <c r="D212" s="99"/>
      <c r="E212" s="99"/>
      <c r="F212" s="99"/>
      <c r="G212" s="99"/>
      <c r="H212" s="102"/>
      <c r="I212" s="102"/>
      <c r="J212" s="102"/>
      <c r="K212" s="102"/>
      <c r="L212" s="54"/>
      <c r="M212" s="54"/>
    </row>
    <row r="213">
      <c r="A213" s="54"/>
      <c r="B213" s="99"/>
      <c r="C213" s="99"/>
      <c r="D213" s="99"/>
      <c r="E213" s="99"/>
      <c r="F213" s="99"/>
      <c r="G213" s="99"/>
      <c r="H213" s="102"/>
      <c r="I213" s="102"/>
      <c r="J213" s="102"/>
      <c r="K213" s="102"/>
      <c r="L213" s="54"/>
      <c r="M213" s="54"/>
    </row>
    <row r="214">
      <c r="A214" s="54"/>
      <c r="B214" s="99"/>
      <c r="C214" s="99"/>
      <c r="D214" s="99"/>
      <c r="E214" s="99"/>
      <c r="F214" s="99"/>
      <c r="G214" s="99"/>
      <c r="H214" s="102"/>
      <c r="I214" s="102"/>
      <c r="J214" s="102"/>
      <c r="K214" s="102"/>
      <c r="L214" s="54"/>
      <c r="M214" s="54"/>
    </row>
    <row r="215">
      <c r="A215" s="54"/>
      <c r="B215" s="99"/>
      <c r="C215" s="99"/>
      <c r="D215" s="99"/>
      <c r="E215" s="99"/>
      <c r="F215" s="99"/>
      <c r="G215" s="99"/>
      <c r="H215" s="102"/>
      <c r="I215" s="102"/>
      <c r="J215" s="102"/>
      <c r="K215" s="102"/>
      <c r="L215" s="54"/>
      <c r="M215" s="54"/>
    </row>
    <row r="216">
      <c r="A216" s="54"/>
      <c r="B216" s="99"/>
      <c r="C216" s="99"/>
      <c r="D216" s="99"/>
      <c r="E216" s="99"/>
      <c r="F216" s="99"/>
      <c r="G216" s="99"/>
      <c r="H216" s="102"/>
      <c r="I216" s="102"/>
      <c r="J216" s="102"/>
      <c r="K216" s="102"/>
      <c r="L216" s="54"/>
      <c r="M216" s="54"/>
    </row>
    <row r="217">
      <c r="A217" s="54"/>
      <c r="B217" s="99"/>
      <c r="C217" s="99"/>
      <c r="D217" s="99"/>
      <c r="E217" s="99"/>
      <c r="F217" s="99"/>
      <c r="G217" s="99"/>
      <c r="H217" s="102"/>
      <c r="I217" s="102"/>
      <c r="J217" s="102"/>
      <c r="K217" s="102"/>
      <c r="L217" s="54"/>
      <c r="M217" s="54"/>
    </row>
    <row r="218">
      <c r="A218" s="54"/>
      <c r="B218" s="99"/>
      <c r="C218" s="99"/>
      <c r="D218" s="99"/>
      <c r="E218" s="99"/>
      <c r="F218" s="99"/>
      <c r="G218" s="99"/>
      <c r="H218" s="102"/>
      <c r="I218" s="102"/>
      <c r="J218" s="102"/>
      <c r="K218" s="102"/>
      <c r="L218" s="54"/>
      <c r="M218" s="54"/>
    </row>
    <row r="219">
      <c r="A219" s="54"/>
      <c r="B219" s="99"/>
      <c r="C219" s="99"/>
      <c r="D219" s="99"/>
      <c r="E219" s="99"/>
      <c r="F219" s="99"/>
      <c r="G219" s="99"/>
      <c r="H219" s="102"/>
      <c r="I219" s="102"/>
      <c r="J219" s="102"/>
      <c r="K219" s="102"/>
      <c r="L219" s="54"/>
      <c r="M219" s="54"/>
    </row>
    <row r="220">
      <c r="A220" s="54"/>
      <c r="B220" s="99"/>
      <c r="C220" s="99"/>
      <c r="D220" s="99"/>
      <c r="E220" s="99"/>
      <c r="F220" s="99"/>
      <c r="G220" s="99"/>
      <c r="H220" s="102"/>
      <c r="I220" s="102"/>
      <c r="J220" s="102"/>
      <c r="K220" s="102"/>
      <c r="L220" s="54"/>
      <c r="M220" s="54"/>
    </row>
    <row r="221">
      <c r="A221" s="54"/>
      <c r="B221" s="99"/>
      <c r="C221" s="99"/>
      <c r="D221" s="99"/>
      <c r="E221" s="99"/>
      <c r="F221" s="99"/>
      <c r="G221" s="99"/>
      <c r="H221" s="102"/>
      <c r="I221" s="102"/>
      <c r="J221" s="102"/>
      <c r="K221" s="102"/>
      <c r="L221" s="54"/>
      <c r="M221" s="54"/>
    </row>
    <row r="222">
      <c r="A222" s="54"/>
      <c r="B222" s="99"/>
      <c r="C222" s="99"/>
      <c r="D222" s="99"/>
      <c r="E222" s="99"/>
      <c r="F222" s="99"/>
      <c r="G222" s="99"/>
      <c r="H222" s="102"/>
      <c r="I222" s="102"/>
      <c r="J222" s="102"/>
      <c r="K222" s="102"/>
      <c r="L222" s="54"/>
      <c r="M222" s="54"/>
    </row>
    <row r="223">
      <c r="A223" s="54"/>
      <c r="B223" s="99"/>
      <c r="C223" s="99"/>
      <c r="D223" s="99"/>
      <c r="E223" s="99"/>
      <c r="F223" s="99"/>
      <c r="G223" s="99"/>
      <c r="H223" s="102"/>
      <c r="I223" s="102"/>
      <c r="J223" s="102"/>
      <c r="K223" s="102"/>
      <c r="L223" s="54"/>
      <c r="M223" s="54"/>
    </row>
    <row r="224">
      <c r="A224" s="54"/>
      <c r="B224" s="99"/>
      <c r="C224" s="99"/>
      <c r="D224" s="99"/>
      <c r="E224" s="99"/>
      <c r="F224" s="99"/>
      <c r="G224" s="99"/>
      <c r="H224" s="102"/>
      <c r="I224" s="102"/>
      <c r="J224" s="102"/>
      <c r="K224" s="102"/>
      <c r="L224" s="54"/>
      <c r="M224" s="54"/>
    </row>
    <row r="225">
      <c r="A225" s="54"/>
      <c r="B225" s="99"/>
      <c r="C225" s="99"/>
      <c r="D225" s="99"/>
      <c r="E225" s="99"/>
      <c r="F225" s="99"/>
      <c r="G225" s="99"/>
      <c r="H225" s="102"/>
      <c r="I225" s="102"/>
      <c r="J225" s="102"/>
      <c r="K225" s="102"/>
      <c r="L225" s="54"/>
      <c r="M225" s="54"/>
    </row>
    <row r="226">
      <c r="A226" s="54"/>
      <c r="B226" s="99"/>
      <c r="C226" s="99"/>
      <c r="D226" s="99"/>
      <c r="E226" s="99"/>
      <c r="F226" s="99"/>
      <c r="G226" s="99"/>
      <c r="H226" s="102"/>
      <c r="I226" s="102"/>
      <c r="J226" s="102"/>
      <c r="K226" s="102"/>
      <c r="L226" s="54"/>
      <c r="M226" s="54"/>
    </row>
    <row r="227">
      <c r="A227" s="54"/>
      <c r="B227" s="99"/>
      <c r="C227" s="99"/>
      <c r="D227" s="99"/>
      <c r="E227" s="99"/>
      <c r="F227" s="99"/>
      <c r="G227" s="99"/>
      <c r="H227" s="102"/>
      <c r="I227" s="102"/>
      <c r="J227" s="102"/>
      <c r="K227" s="102"/>
      <c r="L227" s="54"/>
      <c r="M227" s="54"/>
    </row>
    <row r="228">
      <c r="A228" s="54"/>
      <c r="B228" s="99"/>
      <c r="C228" s="99"/>
      <c r="D228" s="99"/>
      <c r="E228" s="99"/>
      <c r="F228" s="99"/>
      <c r="G228" s="99"/>
      <c r="H228" s="102"/>
      <c r="I228" s="102"/>
      <c r="J228" s="102"/>
      <c r="K228" s="102"/>
      <c r="L228" s="54"/>
      <c r="M228" s="54"/>
    </row>
    <row r="229">
      <c r="A229" s="54"/>
      <c r="B229" s="99"/>
      <c r="C229" s="99"/>
      <c r="D229" s="99"/>
      <c r="E229" s="99"/>
      <c r="F229" s="99"/>
      <c r="G229" s="99"/>
      <c r="H229" s="102"/>
      <c r="I229" s="102"/>
      <c r="J229" s="102"/>
      <c r="K229" s="102"/>
      <c r="L229" s="54"/>
      <c r="M229" s="54"/>
    </row>
    <row r="230">
      <c r="A230" s="54"/>
      <c r="B230" s="99"/>
      <c r="C230" s="99"/>
      <c r="D230" s="99"/>
      <c r="E230" s="99"/>
      <c r="F230" s="99"/>
      <c r="G230" s="99"/>
      <c r="H230" s="102"/>
      <c r="I230" s="102"/>
      <c r="J230" s="102"/>
      <c r="K230" s="102"/>
      <c r="L230" s="54"/>
      <c r="M230" s="54"/>
    </row>
    <row r="231">
      <c r="A231" s="54"/>
      <c r="B231" s="99"/>
      <c r="C231" s="99"/>
      <c r="D231" s="99"/>
      <c r="E231" s="99"/>
      <c r="F231" s="99"/>
      <c r="G231" s="99"/>
      <c r="H231" s="102"/>
      <c r="I231" s="102"/>
      <c r="J231" s="102"/>
      <c r="K231" s="102"/>
      <c r="L231" s="54"/>
      <c r="M231" s="54"/>
    </row>
    <row r="232">
      <c r="A232" s="54"/>
      <c r="B232" s="99"/>
      <c r="C232" s="99"/>
      <c r="D232" s="99"/>
      <c r="E232" s="99"/>
      <c r="F232" s="99"/>
      <c r="G232" s="99"/>
      <c r="H232" s="102"/>
      <c r="I232" s="102"/>
      <c r="J232" s="102"/>
      <c r="K232" s="102"/>
      <c r="L232" s="54"/>
      <c r="M232" s="54"/>
    </row>
    <row r="233">
      <c r="A233" s="54"/>
      <c r="B233" s="99"/>
      <c r="C233" s="99"/>
      <c r="D233" s="99"/>
      <c r="E233" s="99"/>
      <c r="F233" s="99"/>
      <c r="G233" s="99"/>
      <c r="H233" s="102"/>
      <c r="I233" s="102"/>
      <c r="J233" s="102"/>
      <c r="K233" s="102"/>
      <c r="L233" s="54"/>
      <c r="M233" s="54"/>
    </row>
    <row r="234">
      <c r="A234" s="54"/>
      <c r="B234" s="99"/>
      <c r="C234" s="99"/>
      <c r="D234" s="99"/>
      <c r="E234" s="99"/>
      <c r="F234" s="99"/>
      <c r="G234" s="99"/>
      <c r="H234" s="102"/>
      <c r="I234" s="102"/>
      <c r="J234" s="102"/>
      <c r="K234" s="102"/>
      <c r="L234" s="54"/>
      <c r="M234" s="54"/>
    </row>
    <row r="235">
      <c r="A235" s="54"/>
      <c r="B235" s="99"/>
      <c r="C235" s="99"/>
      <c r="D235" s="99"/>
      <c r="E235" s="99"/>
      <c r="F235" s="99"/>
      <c r="G235" s="99"/>
      <c r="H235" s="102"/>
      <c r="I235" s="102"/>
      <c r="J235" s="102"/>
      <c r="K235" s="102"/>
      <c r="L235" s="54"/>
      <c r="M235" s="54"/>
    </row>
    <row r="236">
      <c r="A236" s="54"/>
      <c r="B236" s="99"/>
      <c r="C236" s="99"/>
      <c r="D236" s="99"/>
      <c r="E236" s="99"/>
      <c r="F236" s="99"/>
      <c r="G236" s="99"/>
      <c r="H236" s="102"/>
      <c r="I236" s="102"/>
      <c r="J236" s="102"/>
      <c r="K236" s="102"/>
      <c r="L236" s="54"/>
      <c r="M236" s="54"/>
    </row>
    <row r="237">
      <c r="A237" s="54"/>
      <c r="B237" s="99"/>
      <c r="C237" s="99"/>
      <c r="D237" s="99"/>
      <c r="E237" s="99"/>
      <c r="F237" s="99"/>
      <c r="G237" s="99"/>
      <c r="H237" s="102"/>
      <c r="I237" s="102"/>
      <c r="J237" s="102"/>
      <c r="K237" s="102"/>
      <c r="L237" s="54"/>
      <c r="M237" s="54"/>
    </row>
    <row r="238">
      <c r="A238" s="54"/>
      <c r="B238" s="99"/>
      <c r="C238" s="99"/>
      <c r="D238" s="99"/>
      <c r="E238" s="99"/>
      <c r="F238" s="99"/>
      <c r="G238" s="99"/>
      <c r="H238" s="102"/>
      <c r="I238" s="102"/>
      <c r="J238" s="102"/>
      <c r="K238" s="102"/>
      <c r="L238" s="54"/>
      <c r="M238" s="54"/>
    </row>
    <row r="239">
      <c r="A239" s="54"/>
      <c r="B239" s="99"/>
      <c r="C239" s="99"/>
      <c r="D239" s="99"/>
      <c r="E239" s="99"/>
      <c r="F239" s="99"/>
      <c r="G239" s="99"/>
      <c r="H239" s="102"/>
      <c r="I239" s="102"/>
      <c r="J239" s="102"/>
      <c r="K239" s="102"/>
      <c r="L239" s="54"/>
      <c r="M239" s="54"/>
    </row>
    <row r="240">
      <c r="A240" s="54"/>
      <c r="B240" s="99"/>
      <c r="C240" s="99"/>
      <c r="D240" s="99"/>
      <c r="E240" s="99"/>
      <c r="F240" s="99"/>
      <c r="G240" s="99"/>
      <c r="H240" s="102"/>
      <c r="I240" s="102"/>
      <c r="J240" s="102"/>
      <c r="K240" s="102"/>
      <c r="L240" s="54"/>
      <c r="M240" s="54"/>
    </row>
    <row r="241">
      <c r="A241" s="54"/>
      <c r="B241" s="99"/>
      <c r="C241" s="99"/>
      <c r="D241" s="99"/>
      <c r="E241" s="99"/>
      <c r="F241" s="99"/>
      <c r="G241" s="99"/>
      <c r="H241" s="102"/>
      <c r="I241" s="102"/>
      <c r="J241" s="102"/>
      <c r="K241" s="102"/>
      <c r="L241" s="54"/>
      <c r="M241" s="54"/>
    </row>
    <row r="242">
      <c r="A242" s="54"/>
      <c r="B242" s="99"/>
      <c r="C242" s="99"/>
      <c r="D242" s="99"/>
      <c r="E242" s="99"/>
      <c r="F242" s="99"/>
      <c r="G242" s="99"/>
      <c r="H242" s="102"/>
      <c r="I242" s="102"/>
      <c r="J242" s="102"/>
      <c r="K242" s="102"/>
      <c r="L242" s="54"/>
      <c r="M242" s="54"/>
    </row>
    <row r="243">
      <c r="A243" s="54"/>
      <c r="B243" s="99"/>
      <c r="C243" s="99"/>
      <c r="D243" s="99"/>
      <c r="E243" s="99"/>
      <c r="F243" s="99"/>
      <c r="G243" s="99"/>
      <c r="H243" s="102"/>
      <c r="I243" s="102"/>
      <c r="J243" s="102"/>
      <c r="K243" s="102"/>
      <c r="L243" s="54"/>
      <c r="M243" s="54"/>
    </row>
    <row r="244">
      <c r="A244" s="54"/>
      <c r="B244" s="99"/>
      <c r="C244" s="99"/>
      <c r="D244" s="99"/>
      <c r="E244" s="99"/>
      <c r="F244" s="99"/>
      <c r="G244" s="99"/>
      <c r="H244" s="102"/>
      <c r="I244" s="102"/>
      <c r="J244" s="102"/>
      <c r="K244" s="102"/>
      <c r="L244" s="54"/>
      <c r="M244" s="54"/>
    </row>
    <row r="245">
      <c r="A245" s="54"/>
      <c r="B245" s="99"/>
      <c r="C245" s="99"/>
      <c r="D245" s="99"/>
      <c r="E245" s="99"/>
      <c r="F245" s="99"/>
      <c r="G245" s="99"/>
      <c r="H245" s="102"/>
      <c r="I245" s="102"/>
      <c r="J245" s="102"/>
      <c r="K245" s="102"/>
      <c r="L245" s="54"/>
      <c r="M245" s="54"/>
    </row>
    <row r="246">
      <c r="A246" s="54"/>
      <c r="B246" s="99"/>
      <c r="C246" s="99"/>
      <c r="D246" s="99"/>
      <c r="E246" s="99"/>
      <c r="F246" s="99"/>
      <c r="G246" s="99"/>
      <c r="H246" s="102"/>
      <c r="I246" s="102"/>
      <c r="J246" s="102"/>
      <c r="K246" s="102"/>
      <c r="L246" s="54"/>
      <c r="M246" s="54"/>
    </row>
    <row r="247">
      <c r="A247" s="54"/>
      <c r="B247" s="99"/>
      <c r="C247" s="99"/>
      <c r="D247" s="99"/>
      <c r="E247" s="99"/>
      <c r="F247" s="99"/>
      <c r="G247" s="99"/>
      <c r="H247" s="102"/>
      <c r="I247" s="102"/>
      <c r="J247" s="102"/>
      <c r="K247" s="102"/>
      <c r="L247" s="54"/>
      <c r="M247" s="54"/>
    </row>
    <row r="248">
      <c r="A248" s="54"/>
      <c r="B248" s="99"/>
      <c r="C248" s="99"/>
      <c r="D248" s="99"/>
      <c r="E248" s="99"/>
      <c r="F248" s="99"/>
      <c r="G248" s="99"/>
      <c r="H248" s="102"/>
      <c r="I248" s="102"/>
      <c r="J248" s="102"/>
      <c r="K248" s="102"/>
      <c r="L248" s="54"/>
      <c r="M248" s="54"/>
    </row>
    <row r="249">
      <c r="A249" s="54"/>
      <c r="B249" s="99"/>
      <c r="C249" s="99"/>
      <c r="D249" s="99"/>
      <c r="E249" s="99"/>
      <c r="F249" s="99"/>
      <c r="G249" s="99"/>
      <c r="H249" s="102"/>
      <c r="I249" s="102"/>
      <c r="J249" s="102"/>
      <c r="K249" s="102"/>
      <c r="L249" s="54"/>
      <c r="M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</row>
    <row r="258">
      <c r="A258" s="54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54"/>
      <c r="M258" s="54"/>
    </row>
    <row r="259">
      <c r="A259" s="54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54"/>
      <c r="M259" s="54"/>
    </row>
    <row r="260">
      <c r="A260" s="54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54"/>
      <c r="M260" s="54"/>
    </row>
    <row r="261">
      <c r="A261" s="54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54"/>
      <c r="M261" s="54"/>
    </row>
    <row r="262">
      <c r="A262" s="54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54"/>
      <c r="M262" s="54"/>
    </row>
    <row r="263">
      <c r="A263" s="54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54"/>
      <c r="M263" s="54"/>
    </row>
    <row r="264">
      <c r="A264" s="54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54"/>
      <c r="M264" s="54"/>
    </row>
    <row r="265">
      <c r="A265" s="54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54"/>
      <c r="M265" s="54"/>
    </row>
    <row r="266">
      <c r="A266" s="54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54"/>
      <c r="M266" s="54"/>
    </row>
    <row r="267">
      <c r="A267" s="54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54"/>
      <c r="M267" s="54"/>
    </row>
    <row r="268">
      <c r="A268" s="54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54"/>
      <c r="M268" s="54"/>
    </row>
    <row r="269">
      <c r="A269" s="54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54"/>
      <c r="M269" s="54"/>
    </row>
    <row r="270">
      <c r="A270" s="54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54"/>
      <c r="M270" s="54"/>
    </row>
    <row r="271">
      <c r="A271" s="54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54"/>
      <c r="M271" s="54"/>
    </row>
    <row r="272">
      <c r="A272" s="54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54"/>
      <c r="M272" s="54"/>
    </row>
    <row r="273">
      <c r="A273" s="54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54"/>
      <c r="M273" s="54"/>
    </row>
    <row r="274">
      <c r="A274" s="54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54"/>
      <c r="M274" s="54"/>
    </row>
    <row r="275">
      <c r="A275" s="54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54"/>
      <c r="M275" s="54"/>
    </row>
    <row r="276">
      <c r="A276" s="54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54"/>
      <c r="M276" s="54"/>
    </row>
    <row r="277">
      <c r="A277" s="54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54"/>
      <c r="M277" s="54"/>
    </row>
    <row r="278">
      <c r="A278" s="54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54"/>
      <c r="M278" s="54"/>
    </row>
    <row r="279">
      <c r="A279" s="54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54"/>
      <c r="M279" s="54"/>
    </row>
    <row r="280">
      <c r="A280" s="54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54"/>
      <c r="M280" s="54"/>
    </row>
    <row r="281">
      <c r="A281" s="54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54"/>
      <c r="M281" s="54"/>
    </row>
    <row r="282">
      <c r="A282" s="54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54"/>
      <c r="M282" s="54"/>
    </row>
    <row r="283">
      <c r="A283" s="54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54"/>
      <c r="M283" s="54"/>
    </row>
    <row r="284">
      <c r="A284" s="54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54"/>
      <c r="M284" s="54"/>
    </row>
    <row r="285">
      <c r="A285" s="54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54"/>
      <c r="M285" s="54"/>
    </row>
    <row r="286">
      <c r="A286" s="54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54"/>
      <c r="M286" s="54"/>
    </row>
    <row r="287">
      <c r="A287" s="54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54"/>
      <c r="M287" s="54"/>
    </row>
    <row r="288">
      <c r="A288" s="54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54"/>
      <c r="M288" s="54"/>
    </row>
    <row r="289">
      <c r="A289" s="54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54"/>
      <c r="M289" s="54"/>
    </row>
    <row r="290">
      <c r="A290" s="54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54"/>
      <c r="M290" s="54"/>
    </row>
    <row r="291">
      <c r="A291" s="54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54"/>
      <c r="M291" s="54"/>
    </row>
    <row r="29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</row>
    <row r="29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</row>
    <row r="294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</row>
    <row r="29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</row>
    <row r="296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</row>
    <row r="297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</row>
    <row r="298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</row>
    <row r="299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</row>
    <row r="300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</row>
    <row r="30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</row>
    <row r="3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</row>
    <row r="30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</row>
    <row r="304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</row>
    <row r="30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</row>
    <row r="306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</row>
    <row r="307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</row>
    <row r="308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</row>
    <row r="309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</row>
    <row r="310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</row>
    <row r="31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</row>
    <row r="31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</row>
    <row r="31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</row>
    <row r="314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</row>
    <row r="3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</row>
    <row r="316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</row>
    <row r="317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</row>
    <row r="318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</row>
    <row r="319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</row>
    <row r="320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</row>
    <row r="32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</row>
    <row r="100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</row>
    <row r="1002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</row>
    <row r="100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</row>
  </sheetData>
  <mergeCells count="43">
    <mergeCell ref="B3:I3"/>
    <mergeCell ref="B11:I11"/>
    <mergeCell ref="B13:I13"/>
    <mergeCell ref="B14:I14"/>
    <mergeCell ref="B15:I15"/>
    <mergeCell ref="B16:I16"/>
    <mergeCell ref="M18:O18"/>
    <mergeCell ref="B17:I17"/>
    <mergeCell ref="B24:I24"/>
    <mergeCell ref="M27:O27"/>
    <mergeCell ref="B35:I35"/>
    <mergeCell ref="M37:O37"/>
    <mergeCell ref="B49:I49"/>
    <mergeCell ref="M50:O50"/>
    <mergeCell ref="B60:I60"/>
    <mergeCell ref="M61:O61"/>
    <mergeCell ref="B67:I67"/>
    <mergeCell ref="M68:Q68"/>
    <mergeCell ref="B75:I75"/>
    <mergeCell ref="M76:Q76"/>
    <mergeCell ref="M87:Q87"/>
    <mergeCell ref="B86:I86"/>
    <mergeCell ref="B96:I96"/>
    <mergeCell ref="B97:I97"/>
    <mergeCell ref="M98:Q98"/>
    <mergeCell ref="B110:I110"/>
    <mergeCell ref="M111:Q111"/>
    <mergeCell ref="M121:Q121"/>
    <mergeCell ref="B162:I162"/>
    <mergeCell ref="M163:Q163"/>
    <mergeCell ref="B176:I176"/>
    <mergeCell ref="M177:Q177"/>
    <mergeCell ref="B186:I186"/>
    <mergeCell ref="M187:Q187"/>
    <mergeCell ref="B198:I198"/>
    <mergeCell ref="M199:Q199"/>
    <mergeCell ref="B120:I120"/>
    <mergeCell ref="B130:I130"/>
    <mergeCell ref="M131:Q131"/>
    <mergeCell ref="B143:I143"/>
    <mergeCell ref="M144:Q144"/>
    <mergeCell ref="B154:I154"/>
    <mergeCell ref="M155:Q155"/>
  </mergeCells>
  <conditionalFormatting sqref="K97 K110 K120 K130 K143 K154 K162 K176 K186 K198">
    <cfRule type="cellIs" dxfId="3" priority="1" operator="greaterThanOrEqual">
      <formula>28</formula>
    </cfRule>
  </conditionalFormatting>
  <conditionalFormatting sqref="K97 K110 K120 K130 K143 K154 K162 K176 K186 K198">
    <cfRule type="cellIs" dxfId="4" priority="2" operator="greaterThanOrEqual">
      <formula>24</formula>
    </cfRule>
  </conditionalFormatting>
  <conditionalFormatting sqref="J2">
    <cfRule type="expression" dxfId="0" priority="3">
      <formula>ABS(J2:J1004)&gt;5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28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1003">
    <cfRule type="cellIs" dxfId="3" priority="9" operator="greaterThanOrEqual">
      <formula>30</formula>
    </cfRule>
  </conditionalFormatting>
  <conditionalFormatting sqref="K1:K1003">
    <cfRule type="cellIs" dxfId="4" priority="10" operator="greaterThanOrEqual">
      <formula>28</formula>
    </cfRule>
  </conditionalFormatting>
  <conditionalFormatting sqref="J1:J1003">
    <cfRule type="expression" dxfId="0" priority="11">
      <formula>ABS(J:J)&gt;5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1.5"/>
  </cols>
  <sheetData>
    <row r="1">
      <c r="A1" s="58" t="s">
        <v>54</v>
      </c>
      <c r="B1" s="59" t="s">
        <v>55</v>
      </c>
      <c r="C1" s="59"/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54"/>
    </row>
    <row r="2">
      <c r="A2" s="216" t="s">
        <v>428</v>
      </c>
      <c r="B2" s="54"/>
      <c r="C2" s="54"/>
      <c r="D2" s="60"/>
      <c r="E2" s="54"/>
      <c r="F2" s="54">
        <f>SUM(F4:F1000)</f>
        <v>231374</v>
      </c>
      <c r="G2" s="54">
        <f>MAX(G4:G1000)</f>
        <v>610</v>
      </c>
      <c r="H2" s="54">
        <f t="shared" ref="H2:I2" si="1">SUM(H4:H1000)</f>
        <v>70670</v>
      </c>
      <c r="I2" s="54">
        <f t="shared" si="1"/>
        <v>71212.74</v>
      </c>
      <c r="J2" s="54">
        <f>H2-I2</f>
        <v>-542.74</v>
      </c>
      <c r="K2" s="63">
        <f>I2/F2*100</f>
        <v>30.77819461</v>
      </c>
      <c r="L2" s="64" t="s">
        <v>65</v>
      </c>
      <c r="M2" s="65"/>
    </row>
    <row r="3">
      <c r="A3" s="66"/>
      <c r="B3" s="67" t="s">
        <v>66</v>
      </c>
      <c r="J3" s="66"/>
      <c r="K3" s="66"/>
      <c r="L3" s="66"/>
      <c r="M3" s="66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442">
        <v>45306.0</v>
      </c>
      <c r="C4" s="443"/>
      <c r="D4" s="405" t="s">
        <v>429</v>
      </c>
      <c r="E4" s="405">
        <v>2032255.0</v>
      </c>
      <c r="F4" s="405">
        <v>1445.0</v>
      </c>
      <c r="G4" s="405">
        <v>543.0</v>
      </c>
      <c r="H4" s="406">
        <v>338.0</v>
      </c>
      <c r="I4" s="406">
        <v>500.0</v>
      </c>
      <c r="J4" s="406">
        <v>-162.0</v>
      </c>
      <c r="K4" s="290">
        <v>34.6</v>
      </c>
      <c r="L4" s="54"/>
      <c r="M4" s="54"/>
    </row>
    <row r="5">
      <c r="A5" s="54"/>
      <c r="B5" s="444">
        <v>45306.0</v>
      </c>
      <c r="C5" s="445"/>
      <c r="D5" s="412" t="s">
        <v>429</v>
      </c>
      <c r="E5" s="412">
        <v>2032255.0</v>
      </c>
      <c r="F5" s="412">
        <v>0.0</v>
      </c>
      <c r="G5" s="412" t="s">
        <v>87</v>
      </c>
      <c r="H5" s="413">
        <v>45.0</v>
      </c>
      <c r="I5" s="415"/>
      <c r="J5" s="415"/>
      <c r="K5" s="290" t="s">
        <v>140</v>
      </c>
      <c r="L5" s="54"/>
      <c r="M5" s="54"/>
    </row>
    <row r="6">
      <c r="A6" s="54"/>
      <c r="B6" s="444">
        <v>45314.0</v>
      </c>
      <c r="C6" s="445"/>
      <c r="D6" s="412" t="s">
        <v>429</v>
      </c>
      <c r="E6" s="412">
        <v>2033371.0</v>
      </c>
      <c r="F6" s="412">
        <v>1116.0</v>
      </c>
      <c r="G6" s="412">
        <v>582.0</v>
      </c>
      <c r="H6" s="413">
        <v>482.0</v>
      </c>
      <c r="I6" s="413">
        <v>500.0</v>
      </c>
      <c r="J6" s="413">
        <v>-18.0</v>
      </c>
      <c r="K6" s="290">
        <v>44.8</v>
      </c>
      <c r="L6" s="54"/>
      <c r="M6" s="54"/>
    </row>
    <row r="7">
      <c r="A7" s="54"/>
      <c r="B7" s="444">
        <v>45320.0</v>
      </c>
      <c r="C7" s="445"/>
      <c r="D7" s="412" t="s">
        <v>429</v>
      </c>
      <c r="E7" s="412">
        <v>2033944.0</v>
      </c>
      <c r="F7" s="412">
        <v>573.0</v>
      </c>
      <c r="G7" s="412">
        <v>394.0</v>
      </c>
      <c r="H7" s="413">
        <v>45.0</v>
      </c>
      <c r="I7" s="415"/>
      <c r="J7" s="413">
        <v>45.0</v>
      </c>
      <c r="K7" s="290">
        <v>0.0</v>
      </c>
      <c r="L7" s="54"/>
      <c r="M7" s="54"/>
    </row>
    <row r="8">
      <c r="A8" s="66"/>
      <c r="B8" s="67" t="s">
        <v>68</v>
      </c>
      <c r="J8" s="66"/>
      <c r="K8" s="66"/>
      <c r="L8" s="66"/>
      <c r="M8" s="66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</row>
    <row r="9">
      <c r="A9" s="54"/>
      <c r="B9" s="442">
        <v>45323.0</v>
      </c>
      <c r="C9" s="443"/>
      <c r="D9" s="446"/>
      <c r="E9" s="405">
        <v>2034054.0</v>
      </c>
      <c r="F9" s="405">
        <v>110.0</v>
      </c>
      <c r="G9" s="405">
        <v>569.0</v>
      </c>
      <c r="H9" s="406">
        <v>219.0</v>
      </c>
      <c r="I9" s="406">
        <v>250.0</v>
      </c>
      <c r="J9" s="406">
        <v>-31.0</v>
      </c>
      <c r="K9" s="290">
        <v>227.27</v>
      </c>
      <c r="L9" s="54"/>
      <c r="M9" s="54"/>
    </row>
    <row r="10">
      <c r="A10" s="54"/>
      <c r="B10" s="444">
        <v>45323.0</v>
      </c>
      <c r="C10" s="445"/>
      <c r="D10" s="431"/>
      <c r="E10" s="412">
        <v>2034054.0</v>
      </c>
      <c r="F10" s="412">
        <v>0.0</v>
      </c>
      <c r="G10" s="412" t="s">
        <v>87</v>
      </c>
      <c r="H10" s="413">
        <v>100.0</v>
      </c>
      <c r="I10" s="415"/>
      <c r="J10" s="415"/>
      <c r="K10" s="290" t="s">
        <v>140</v>
      </c>
      <c r="L10" s="54"/>
      <c r="M10" s="74" t="s">
        <v>69</v>
      </c>
      <c r="N10" s="75"/>
      <c r="O10" s="76"/>
    </row>
    <row r="11">
      <c r="A11" s="54"/>
      <c r="B11" s="444">
        <v>45329.0</v>
      </c>
      <c r="C11" s="445"/>
      <c r="D11" s="431"/>
      <c r="E11" s="412">
        <v>2035147.0</v>
      </c>
      <c r="F11" s="412">
        <v>1093.0</v>
      </c>
      <c r="G11" s="412">
        <v>585.0</v>
      </c>
      <c r="H11" s="413">
        <v>405.0</v>
      </c>
      <c r="I11" s="413">
        <v>420.0</v>
      </c>
      <c r="J11" s="413">
        <v>-15.0</v>
      </c>
      <c r="K11" s="290">
        <v>38.43</v>
      </c>
      <c r="L11" s="54"/>
      <c r="M11" s="77" t="s">
        <v>70</v>
      </c>
      <c r="N11" s="78" t="s">
        <v>71</v>
      </c>
      <c r="O11" s="78" t="s">
        <v>27</v>
      </c>
    </row>
    <row r="12">
      <c r="A12" s="54"/>
      <c r="B12" s="444">
        <v>45335.0</v>
      </c>
      <c r="C12" s="445"/>
      <c r="D12" s="431"/>
      <c r="E12" s="412">
        <v>2036192.0</v>
      </c>
      <c r="F12" s="412">
        <v>1045.0</v>
      </c>
      <c r="G12" s="412">
        <v>575.0</v>
      </c>
      <c r="H12" s="413">
        <v>415.0</v>
      </c>
      <c r="I12" s="413">
        <v>430.09</v>
      </c>
      <c r="J12" s="413">
        <v>-15.09</v>
      </c>
      <c r="K12" s="290">
        <v>41.16</v>
      </c>
      <c r="L12" s="54"/>
      <c r="M12" s="79">
        <f>SUM(F9:F13)</f>
        <v>3249</v>
      </c>
      <c r="N12" s="80">
        <f>SUM(I9:I13)</f>
        <v>1546.76</v>
      </c>
      <c r="O12" s="81">
        <f>N12/M12*100</f>
        <v>47.60726377</v>
      </c>
    </row>
    <row r="13">
      <c r="A13" s="54"/>
      <c r="B13" s="444">
        <v>45341.0</v>
      </c>
      <c r="C13" s="445"/>
      <c r="D13" s="431"/>
      <c r="E13" s="412">
        <v>2037193.0</v>
      </c>
      <c r="F13" s="412">
        <v>1001.0</v>
      </c>
      <c r="G13" s="412">
        <v>590.0</v>
      </c>
      <c r="H13" s="413">
        <v>433.0</v>
      </c>
      <c r="I13" s="413">
        <v>446.67</v>
      </c>
      <c r="J13" s="413">
        <v>-13.67</v>
      </c>
      <c r="K13" s="290">
        <v>44.62</v>
      </c>
      <c r="L13" s="54"/>
      <c r="M13" s="54"/>
    </row>
    <row r="14">
      <c r="A14" s="66"/>
      <c r="B14" s="67" t="s">
        <v>72</v>
      </c>
      <c r="J14" s="66"/>
      <c r="K14" s="66"/>
      <c r="L14" s="66"/>
      <c r="M14" s="66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</row>
    <row r="15">
      <c r="A15" s="54"/>
      <c r="B15" s="442">
        <v>45352.0</v>
      </c>
      <c r="C15" s="443"/>
      <c r="D15" s="446"/>
      <c r="E15" s="405">
        <v>2038353.0</v>
      </c>
      <c r="F15" s="405">
        <v>1160.0</v>
      </c>
      <c r="G15" s="405">
        <v>583.0</v>
      </c>
      <c r="H15" s="406">
        <v>421.0</v>
      </c>
      <c r="I15" s="406">
        <v>436.14</v>
      </c>
      <c r="J15" s="406">
        <v>-15.14</v>
      </c>
      <c r="K15" s="290">
        <v>37.6</v>
      </c>
      <c r="L15" s="54"/>
      <c r="M15" s="54"/>
    </row>
    <row r="16">
      <c r="A16" s="54"/>
      <c r="B16" s="444">
        <v>45359.0</v>
      </c>
      <c r="C16" s="445"/>
      <c r="D16" s="431"/>
      <c r="E16" s="412">
        <v>2039833.0</v>
      </c>
      <c r="F16" s="412">
        <v>1480.0</v>
      </c>
      <c r="G16" s="412">
        <v>577.0</v>
      </c>
      <c r="H16" s="413">
        <v>488.0</v>
      </c>
      <c r="I16" s="413">
        <v>500.0</v>
      </c>
      <c r="J16" s="413">
        <v>-12.0</v>
      </c>
      <c r="K16" s="290">
        <v>33.78</v>
      </c>
      <c r="L16" s="54"/>
      <c r="M16" s="74" t="s">
        <v>73</v>
      </c>
      <c r="N16" s="75"/>
      <c r="O16" s="76"/>
    </row>
    <row r="17">
      <c r="A17" s="54"/>
      <c r="B17" s="444">
        <v>45364.0</v>
      </c>
      <c r="C17" s="445"/>
      <c r="D17" s="431"/>
      <c r="E17" s="412">
        <v>2041113.0</v>
      </c>
      <c r="F17" s="412">
        <v>1280.0</v>
      </c>
      <c r="G17" s="412">
        <v>584.0</v>
      </c>
      <c r="H17" s="413">
        <v>412.0</v>
      </c>
      <c r="I17" s="413">
        <v>426.42</v>
      </c>
      <c r="J17" s="413">
        <v>-14.42</v>
      </c>
      <c r="K17" s="290">
        <v>33.31</v>
      </c>
      <c r="L17" s="54"/>
      <c r="M17" s="77" t="s">
        <v>70</v>
      </c>
      <c r="N17" s="78" t="s">
        <v>71</v>
      </c>
      <c r="O17" s="78" t="s">
        <v>27</v>
      </c>
    </row>
    <row r="18">
      <c r="A18" s="54"/>
      <c r="B18" s="444">
        <v>45369.0</v>
      </c>
      <c r="C18" s="445"/>
      <c r="D18" s="431"/>
      <c r="E18" s="412">
        <v>2042584.0</v>
      </c>
      <c r="F18" s="412">
        <v>1471.0</v>
      </c>
      <c r="G18" s="412">
        <v>589.0</v>
      </c>
      <c r="H18" s="413">
        <v>445.0</v>
      </c>
      <c r="I18" s="413">
        <v>455.26</v>
      </c>
      <c r="J18" s="413">
        <v>-10.26</v>
      </c>
      <c r="K18" s="290">
        <v>30.95</v>
      </c>
      <c r="L18" s="54"/>
      <c r="M18" s="79">
        <f>SUM(F15:F19)</f>
        <v>6833</v>
      </c>
      <c r="N18" s="80">
        <f>SUM(I15:I19)</f>
        <v>2305.42</v>
      </c>
      <c r="O18" s="81">
        <f>N18/M18*100</f>
        <v>33.73949949</v>
      </c>
    </row>
    <row r="19">
      <c r="A19" s="54"/>
      <c r="B19" s="444">
        <v>45377.0</v>
      </c>
      <c r="C19" s="445"/>
      <c r="D19" s="431"/>
      <c r="E19" s="412">
        <v>2044026.0</v>
      </c>
      <c r="F19" s="412">
        <v>1442.0</v>
      </c>
      <c r="G19" s="412">
        <v>594.0</v>
      </c>
      <c r="H19" s="413">
        <v>484.0</v>
      </c>
      <c r="I19" s="413">
        <v>487.6</v>
      </c>
      <c r="J19" s="413">
        <v>-3.6</v>
      </c>
      <c r="K19" s="290">
        <v>33.81</v>
      </c>
      <c r="L19" s="54"/>
      <c r="M19" s="54"/>
    </row>
    <row r="20">
      <c r="A20" s="66"/>
      <c r="B20" s="67" t="s">
        <v>74</v>
      </c>
      <c r="J20" s="66"/>
      <c r="K20" s="66"/>
      <c r="L20" s="66"/>
      <c r="M20" s="66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</row>
    <row r="21">
      <c r="A21" s="54"/>
      <c r="B21" s="442">
        <v>45385.0</v>
      </c>
      <c r="C21" s="443"/>
      <c r="D21" s="446"/>
      <c r="E21" s="405">
        <v>2045495.0</v>
      </c>
      <c r="F21" s="405">
        <v>1469.0</v>
      </c>
      <c r="G21" s="405">
        <v>597.0</v>
      </c>
      <c r="H21" s="406">
        <v>471.0</v>
      </c>
      <c r="I21" s="406">
        <v>475.13</v>
      </c>
      <c r="J21" s="406">
        <v>-4.13</v>
      </c>
      <c r="K21" s="290">
        <v>32.34</v>
      </c>
      <c r="L21" s="54"/>
      <c r="M21" s="82" t="str">
        <f>"тотал"&amp;" "&amp;B20</f>
        <v>тотал АПРЕЛЬ</v>
      </c>
      <c r="N21" s="75"/>
      <c r="O21" s="76"/>
    </row>
    <row r="22">
      <c r="A22" s="54"/>
      <c r="B22" s="444">
        <v>45395.0</v>
      </c>
      <c r="C22" s="445"/>
      <c r="D22" s="431"/>
      <c r="E22" s="412">
        <v>2047056.0</v>
      </c>
      <c r="F22" s="412">
        <v>1561.0</v>
      </c>
      <c r="G22" s="412">
        <v>604.0</v>
      </c>
      <c r="H22" s="413">
        <v>491.0</v>
      </c>
      <c r="I22" s="413">
        <v>494.78</v>
      </c>
      <c r="J22" s="413">
        <v>-3.78</v>
      </c>
      <c r="K22" s="290">
        <v>31.7</v>
      </c>
      <c r="L22" s="54"/>
      <c r="M22" s="83" t="s">
        <v>70</v>
      </c>
      <c r="N22" s="83" t="s">
        <v>71</v>
      </c>
      <c r="O22" s="83" t="s">
        <v>27</v>
      </c>
    </row>
    <row r="23">
      <c r="A23" s="54"/>
      <c r="B23" s="444">
        <v>45405.0</v>
      </c>
      <c r="C23" s="445"/>
      <c r="D23" s="431"/>
      <c r="E23" s="412">
        <v>2048440.0</v>
      </c>
      <c r="F23" s="412">
        <v>1384.0</v>
      </c>
      <c r="G23" s="412">
        <v>591.0</v>
      </c>
      <c r="H23" s="413">
        <v>443.0</v>
      </c>
      <c r="I23" s="413">
        <v>448.3</v>
      </c>
      <c r="J23" s="413">
        <v>-5.3</v>
      </c>
      <c r="K23" s="290">
        <v>32.39</v>
      </c>
      <c r="L23" s="54"/>
      <c r="M23" s="84">
        <f>SUM(F21:F24)</f>
        <v>6058</v>
      </c>
      <c r="N23" s="84">
        <f>SUM(I21:I24)</f>
        <v>1918.21</v>
      </c>
      <c r="O23" s="85">
        <f>N23/M23*100</f>
        <v>31.66408055</v>
      </c>
    </row>
    <row r="24">
      <c r="A24" s="54"/>
      <c r="B24" s="444">
        <v>45412.0</v>
      </c>
      <c r="C24" s="445"/>
      <c r="D24" s="431"/>
      <c r="E24" s="412">
        <v>2050084.0</v>
      </c>
      <c r="F24" s="412">
        <v>1644.0</v>
      </c>
      <c r="G24" s="412">
        <v>595.0</v>
      </c>
      <c r="H24" s="413">
        <v>497.0</v>
      </c>
      <c r="I24" s="413">
        <v>500.0</v>
      </c>
      <c r="J24" s="413">
        <v>-3.0</v>
      </c>
      <c r="K24" s="290">
        <v>30.41</v>
      </c>
      <c r="L24" s="54"/>
      <c r="M24" s="54"/>
    </row>
    <row r="25">
      <c r="A25" s="66"/>
      <c r="B25" s="67" t="s">
        <v>75</v>
      </c>
      <c r="J25" s="66"/>
      <c r="K25" s="66"/>
      <c r="L25" s="66"/>
      <c r="M25" s="66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>
      <c r="A26" s="54"/>
      <c r="B26" s="472">
        <v>45421.0</v>
      </c>
      <c r="C26" s="473"/>
      <c r="D26" s="446"/>
      <c r="E26" s="405">
        <v>2051469.0</v>
      </c>
      <c r="F26" s="405">
        <v>1385.0</v>
      </c>
      <c r="G26" s="405">
        <v>605.0</v>
      </c>
      <c r="H26" s="406">
        <v>481.0</v>
      </c>
      <c r="I26" s="406">
        <v>480.99</v>
      </c>
      <c r="J26" s="406">
        <v>0.01</v>
      </c>
      <c r="K26" s="290">
        <v>34.73</v>
      </c>
      <c r="L26" s="54"/>
      <c r="M26" s="82" t="str">
        <f>"тотал"&amp;" "&amp;B25</f>
        <v>тотал МАЙ</v>
      </c>
      <c r="N26" s="75"/>
      <c r="O26" s="76"/>
    </row>
    <row r="27">
      <c r="A27" s="54"/>
      <c r="B27" s="474">
        <v>45429.0</v>
      </c>
      <c r="C27" s="475"/>
      <c r="D27" s="431"/>
      <c r="E27" s="412">
        <v>2053098.0</v>
      </c>
      <c r="F27" s="412">
        <v>1629.0</v>
      </c>
      <c r="G27" s="412">
        <v>594.0</v>
      </c>
      <c r="H27" s="413">
        <v>501.0</v>
      </c>
      <c r="I27" s="413">
        <v>500.0</v>
      </c>
      <c r="J27" s="413">
        <v>1.0</v>
      </c>
      <c r="K27" s="290">
        <v>30.69</v>
      </c>
      <c r="L27" s="54"/>
      <c r="M27" s="83" t="s">
        <v>70</v>
      </c>
      <c r="N27" s="83" t="s">
        <v>71</v>
      </c>
      <c r="O27" s="83" t="s">
        <v>27</v>
      </c>
    </row>
    <row r="28">
      <c r="A28" s="54"/>
      <c r="B28" s="444">
        <v>45438.0</v>
      </c>
      <c r="C28" s="445"/>
      <c r="D28" s="431"/>
      <c r="E28" s="412">
        <v>2054524.0</v>
      </c>
      <c r="F28" s="412">
        <v>1426.0</v>
      </c>
      <c r="G28" s="412">
        <v>529.0</v>
      </c>
      <c r="H28" s="413">
        <v>435.0</v>
      </c>
      <c r="I28" s="413">
        <v>500.0</v>
      </c>
      <c r="J28" s="413">
        <v>-65.0</v>
      </c>
      <c r="K28" s="290">
        <v>35.06</v>
      </c>
      <c r="L28" s="54"/>
      <c r="M28" s="84">
        <f>SUM(F26:F28)</f>
        <v>4440</v>
      </c>
      <c r="N28" s="84">
        <f>SUM(I26:I29)</f>
        <v>1480.99</v>
      </c>
      <c r="O28" s="85">
        <f>N28/M28*100</f>
        <v>33.35563063</v>
      </c>
    </row>
    <row r="29">
      <c r="A29" s="66"/>
      <c r="B29" s="67" t="s">
        <v>90</v>
      </c>
      <c r="J29" s="66"/>
      <c r="K29" s="66"/>
      <c r="L29" s="66"/>
      <c r="M29" s="66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</row>
    <row r="30">
      <c r="A30" s="54"/>
      <c r="B30" s="442">
        <v>45447.0</v>
      </c>
      <c r="C30" s="443"/>
      <c r="D30" s="446"/>
      <c r="E30" s="405">
        <v>2055564.0</v>
      </c>
      <c r="F30" s="405">
        <v>1040.0</v>
      </c>
      <c r="G30" s="405">
        <v>598.0</v>
      </c>
      <c r="H30" s="406">
        <v>311.0</v>
      </c>
      <c r="I30" s="406">
        <v>320.41</v>
      </c>
      <c r="J30" s="406">
        <v>-9.41</v>
      </c>
      <c r="K30" s="290">
        <v>30.81</v>
      </c>
      <c r="L30" s="54"/>
      <c r="M30" s="82" t="str">
        <f>"тотал"&amp;" "&amp;B29</f>
        <v>тотал ИЮНЬ</v>
      </c>
      <c r="N30" s="75"/>
      <c r="O30" s="76"/>
    </row>
    <row r="31">
      <c r="A31" s="54"/>
      <c r="B31" s="444">
        <v>45448.0</v>
      </c>
      <c r="C31" s="445"/>
      <c r="D31" s="431"/>
      <c r="E31" s="412">
        <v>2056759.0</v>
      </c>
      <c r="F31" s="412">
        <v>1195.0</v>
      </c>
      <c r="G31" s="412">
        <v>404.0</v>
      </c>
      <c r="H31" s="413">
        <v>174.0</v>
      </c>
      <c r="I31" s="413">
        <v>177.62</v>
      </c>
      <c r="J31" s="413">
        <v>-3.62</v>
      </c>
      <c r="K31" s="290">
        <v>14.86</v>
      </c>
      <c r="L31" s="54"/>
      <c r="M31" s="83" t="s">
        <v>70</v>
      </c>
      <c r="N31" s="83" t="s">
        <v>71</v>
      </c>
      <c r="O31" s="83" t="s">
        <v>27</v>
      </c>
    </row>
    <row r="32">
      <c r="A32" s="54"/>
      <c r="B32" s="444">
        <v>45450.0</v>
      </c>
      <c r="C32" s="445"/>
      <c r="D32" s="431"/>
      <c r="E32" s="412">
        <v>2057454.0</v>
      </c>
      <c r="F32" s="412">
        <v>695.0</v>
      </c>
      <c r="G32" s="412">
        <v>603.0</v>
      </c>
      <c r="H32" s="413">
        <v>396.0</v>
      </c>
      <c r="I32" s="413">
        <v>398.86</v>
      </c>
      <c r="J32" s="413">
        <v>-2.86</v>
      </c>
      <c r="K32" s="290">
        <v>57.39</v>
      </c>
      <c r="L32" s="54"/>
      <c r="M32" s="84">
        <f>SUM(F30:F40)</f>
        <v>12400</v>
      </c>
      <c r="N32" s="84">
        <f>SUM(I30:I40)</f>
        <v>3619.73</v>
      </c>
      <c r="O32" s="85">
        <f>N32/M32*100</f>
        <v>29.19137097</v>
      </c>
    </row>
    <row r="33">
      <c r="A33" s="54"/>
      <c r="B33" s="444">
        <v>45453.0</v>
      </c>
      <c r="C33" s="445"/>
      <c r="D33" s="431"/>
      <c r="E33" s="412">
        <v>2059098.0</v>
      </c>
      <c r="F33" s="412">
        <v>1644.0</v>
      </c>
      <c r="G33" s="412">
        <v>246.0</v>
      </c>
      <c r="H33" s="413">
        <v>101.0</v>
      </c>
      <c r="I33" s="413">
        <v>100.0</v>
      </c>
      <c r="J33" s="413">
        <v>1.0</v>
      </c>
      <c r="K33" s="290">
        <v>6.08</v>
      </c>
      <c r="L33" s="54"/>
      <c r="M33" s="54"/>
    </row>
    <row r="34">
      <c r="A34" s="54"/>
      <c r="B34" s="444">
        <v>45454.0</v>
      </c>
      <c r="C34" s="445"/>
      <c r="D34" s="431"/>
      <c r="E34" s="412">
        <v>2059309.0</v>
      </c>
      <c r="F34" s="412">
        <v>211.0</v>
      </c>
      <c r="G34" s="412">
        <v>240.0</v>
      </c>
      <c r="H34" s="413">
        <v>61.0</v>
      </c>
      <c r="I34" s="415"/>
      <c r="J34" s="413">
        <v>61.0</v>
      </c>
      <c r="K34" s="290">
        <v>0.0</v>
      </c>
      <c r="L34" s="54"/>
      <c r="M34" s="54"/>
    </row>
    <row r="35">
      <c r="A35" s="54"/>
      <c r="B35" s="444">
        <v>45454.0</v>
      </c>
      <c r="C35" s="445"/>
      <c r="D35" s="431"/>
      <c r="E35" s="412">
        <v>2059394.0</v>
      </c>
      <c r="F35" s="412">
        <v>85.0</v>
      </c>
      <c r="G35" s="412">
        <v>602.0</v>
      </c>
      <c r="H35" s="413">
        <v>384.0</v>
      </c>
      <c r="I35" s="413">
        <v>388.17</v>
      </c>
      <c r="J35" s="413">
        <v>-4.17</v>
      </c>
      <c r="K35" s="290">
        <v>456.67</v>
      </c>
      <c r="L35" s="54"/>
      <c r="M35" s="54"/>
    </row>
    <row r="36">
      <c r="A36" s="54"/>
      <c r="B36" s="444">
        <v>45457.0</v>
      </c>
      <c r="C36" s="445"/>
      <c r="D36" s="431"/>
      <c r="E36" s="412">
        <v>2060972.0</v>
      </c>
      <c r="F36" s="412">
        <v>1578.0</v>
      </c>
      <c r="G36" s="412">
        <v>556.0</v>
      </c>
      <c r="H36" s="413">
        <v>396.0</v>
      </c>
      <c r="I36" s="413">
        <v>400.0</v>
      </c>
      <c r="J36" s="413">
        <v>-4.0</v>
      </c>
      <c r="K36" s="290">
        <v>25.35</v>
      </c>
      <c r="L36" s="54"/>
      <c r="M36" s="54"/>
    </row>
    <row r="37">
      <c r="A37" s="54"/>
      <c r="B37" s="444">
        <v>45459.0</v>
      </c>
      <c r="C37" s="445"/>
      <c r="D37" s="431"/>
      <c r="E37" s="412">
        <v>2062475.0</v>
      </c>
      <c r="F37" s="412">
        <v>1503.0</v>
      </c>
      <c r="G37" s="412">
        <v>578.0</v>
      </c>
      <c r="H37" s="413">
        <v>500.0</v>
      </c>
      <c r="I37" s="413">
        <v>500.0</v>
      </c>
      <c r="J37" s="413">
        <v>0.0</v>
      </c>
      <c r="K37" s="290">
        <v>33.27</v>
      </c>
      <c r="L37" s="54"/>
      <c r="M37" s="54"/>
    </row>
    <row r="38">
      <c r="A38" s="54"/>
      <c r="B38" s="444">
        <v>45465.0</v>
      </c>
      <c r="C38" s="445"/>
      <c r="D38" s="431"/>
      <c r="E38" s="412">
        <v>2063988.0</v>
      </c>
      <c r="F38" s="412">
        <v>1513.0</v>
      </c>
      <c r="G38" s="412">
        <v>610.0</v>
      </c>
      <c r="H38" s="413">
        <v>473.0</v>
      </c>
      <c r="I38" s="413">
        <v>472.36</v>
      </c>
      <c r="J38" s="413">
        <v>0.64</v>
      </c>
      <c r="K38" s="290">
        <v>31.22</v>
      </c>
      <c r="L38" s="54"/>
      <c r="M38" s="54"/>
    </row>
    <row r="39">
      <c r="A39" s="54"/>
      <c r="B39" s="444">
        <v>45467.0</v>
      </c>
      <c r="C39" s="445"/>
      <c r="D39" s="431"/>
      <c r="E39" s="412">
        <v>2065596.0</v>
      </c>
      <c r="F39" s="412">
        <v>1608.0</v>
      </c>
      <c r="G39" s="412">
        <v>591.0</v>
      </c>
      <c r="H39" s="413">
        <v>411.0</v>
      </c>
      <c r="I39" s="413">
        <v>412.04</v>
      </c>
      <c r="J39" s="413">
        <v>-1.04</v>
      </c>
      <c r="K39" s="290">
        <v>25.62</v>
      </c>
      <c r="L39" s="54"/>
      <c r="M39" s="54"/>
    </row>
    <row r="40">
      <c r="A40" s="54"/>
      <c r="B40" s="444">
        <v>45470.0</v>
      </c>
      <c r="C40" s="445"/>
      <c r="D40" s="431"/>
      <c r="E40" s="412">
        <v>2066924.0</v>
      </c>
      <c r="F40" s="412">
        <v>1328.0</v>
      </c>
      <c r="G40" s="412">
        <v>453.0</v>
      </c>
      <c r="H40" s="413">
        <v>609.0</v>
      </c>
      <c r="I40" s="413">
        <v>450.27</v>
      </c>
      <c r="J40" s="413">
        <v>158.73</v>
      </c>
      <c r="K40" s="290">
        <v>33.91</v>
      </c>
      <c r="L40" s="54"/>
      <c r="M40" s="54"/>
    </row>
    <row r="41">
      <c r="A41" s="66"/>
      <c r="B41" s="67" t="s">
        <v>92</v>
      </c>
      <c r="J41" s="66"/>
      <c r="K41" s="66"/>
      <c r="L41" s="66"/>
      <c r="M41" s="66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</row>
    <row r="42">
      <c r="A42" s="54"/>
      <c r="B42" s="424">
        <v>45474.0</v>
      </c>
      <c r="C42" s="424"/>
      <c r="D42" s="73"/>
      <c r="E42" s="425">
        <v>2068491.0</v>
      </c>
      <c r="F42" s="71">
        <v>1567.0</v>
      </c>
      <c r="G42" s="71">
        <v>605.0</v>
      </c>
      <c r="H42" s="72">
        <v>459.0</v>
      </c>
      <c r="I42" s="72">
        <v>456.61</v>
      </c>
      <c r="J42" s="72">
        <v>2.39</v>
      </c>
      <c r="K42" s="72">
        <v>29.14</v>
      </c>
      <c r="L42" s="54"/>
      <c r="M42" s="82" t="str">
        <f>"тотал"&amp;" "&amp;B41</f>
        <v>тотал ИЮЛЬ</v>
      </c>
      <c r="N42" s="75"/>
      <c r="O42" s="76"/>
    </row>
    <row r="43">
      <c r="A43" s="54"/>
      <c r="B43" s="424">
        <v>45477.0</v>
      </c>
      <c r="C43" s="424"/>
      <c r="D43" s="73"/>
      <c r="E43" s="425">
        <v>2070185.0</v>
      </c>
      <c r="F43" s="71">
        <v>1694.0</v>
      </c>
      <c r="G43" s="71">
        <v>595.0</v>
      </c>
      <c r="H43" s="72">
        <v>498.0</v>
      </c>
      <c r="I43" s="72">
        <v>499.59</v>
      </c>
      <c r="J43" s="72">
        <v>-1.59</v>
      </c>
      <c r="K43" s="72">
        <v>29.49</v>
      </c>
      <c r="L43" s="54"/>
      <c r="M43" s="83" t="s">
        <v>70</v>
      </c>
      <c r="N43" s="83" t="s">
        <v>71</v>
      </c>
      <c r="O43" s="83" t="s">
        <v>27</v>
      </c>
    </row>
    <row r="44">
      <c r="A44" s="54"/>
      <c r="B44" s="98">
        <v>45483.0</v>
      </c>
      <c r="C44" s="98"/>
      <c r="D44" s="99"/>
      <c r="E44" s="100">
        <v>2071940.0</v>
      </c>
      <c r="F44" s="99">
        <f t="shared" ref="F44:F46" si="2">E44-E43</f>
        <v>1755</v>
      </c>
      <c r="G44" s="100">
        <v>604.0</v>
      </c>
      <c r="H44" s="101">
        <v>500.0</v>
      </c>
      <c r="I44" s="101">
        <v>496.27</v>
      </c>
      <c r="J44" s="102">
        <f t="shared" ref="J44:J46" si="3">H44-I44</f>
        <v>3.73</v>
      </c>
      <c r="K44" s="103">
        <f t="shared" ref="K44:K46" si="4">I44/F44*100</f>
        <v>28.27749288</v>
      </c>
      <c r="L44" s="54"/>
      <c r="M44" s="84">
        <f>SUM(F42:F46)</f>
        <v>8299</v>
      </c>
      <c r="N44" s="84">
        <f>SUM(I42:I46)</f>
        <v>2359.41</v>
      </c>
      <c r="O44" s="85">
        <f>N44/M44*100</f>
        <v>28.43005181</v>
      </c>
    </row>
    <row r="45">
      <c r="A45" s="54"/>
      <c r="B45" s="98">
        <v>45496.0</v>
      </c>
      <c r="C45" s="98"/>
      <c r="D45" s="99"/>
      <c r="E45" s="100">
        <v>2073537.0</v>
      </c>
      <c r="F45" s="99">
        <f t="shared" si="2"/>
        <v>1597</v>
      </c>
      <c r="G45" s="100">
        <v>591.0</v>
      </c>
      <c r="H45" s="101">
        <v>444.0</v>
      </c>
      <c r="I45" s="101">
        <v>449.02</v>
      </c>
      <c r="J45" s="102">
        <f t="shared" si="3"/>
        <v>-5.02</v>
      </c>
      <c r="K45" s="103">
        <f t="shared" si="4"/>
        <v>28.11646838</v>
      </c>
      <c r="L45" s="54"/>
      <c r="M45" s="54"/>
    </row>
    <row r="46">
      <c r="A46" s="54"/>
      <c r="B46" s="98">
        <v>45504.0</v>
      </c>
      <c r="C46" s="98"/>
      <c r="D46" s="99"/>
      <c r="E46" s="100">
        <v>2075223.0</v>
      </c>
      <c r="F46" s="99">
        <f t="shared" si="2"/>
        <v>1686</v>
      </c>
      <c r="G46" s="100">
        <v>603.0</v>
      </c>
      <c r="H46" s="101">
        <v>457.0</v>
      </c>
      <c r="I46" s="101">
        <v>457.92</v>
      </c>
      <c r="J46" s="102">
        <f t="shared" si="3"/>
        <v>-0.92</v>
      </c>
      <c r="K46" s="103">
        <f t="shared" si="4"/>
        <v>27.16014235</v>
      </c>
      <c r="L46" s="54"/>
      <c r="M46" s="54"/>
    </row>
    <row r="47">
      <c r="A47" s="66"/>
      <c r="B47" s="67" t="s">
        <v>95</v>
      </c>
      <c r="J47" s="66"/>
      <c r="K47" s="66"/>
      <c r="L47" s="66"/>
      <c r="M47" s="66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54"/>
      <c r="B48" s="98">
        <v>45508.0</v>
      </c>
      <c r="C48" s="98"/>
      <c r="D48" s="99"/>
      <c r="E48" s="104">
        <v>2076751.0</v>
      </c>
      <c r="F48" s="99">
        <f>E48-E46</f>
        <v>1528</v>
      </c>
      <c r="G48" s="100">
        <v>601.0</v>
      </c>
      <c r="H48" s="101">
        <v>470.0</v>
      </c>
      <c r="I48" s="101">
        <v>470.1</v>
      </c>
      <c r="J48" s="101">
        <f t="shared" ref="J48:J51" si="5">H48-I48</f>
        <v>-0.1</v>
      </c>
      <c r="K48" s="103">
        <f t="shared" ref="K48:K51" si="6">I48/F48*100</f>
        <v>30.76570681</v>
      </c>
      <c r="L48" s="54"/>
      <c r="M48" s="82" t="str">
        <f>"тотал"&amp;" "&amp;B47</f>
        <v>тотал АВГУСТ</v>
      </c>
      <c r="N48" s="75"/>
      <c r="O48" s="76"/>
    </row>
    <row r="49">
      <c r="A49" s="54"/>
      <c r="B49" s="98">
        <v>45530.0</v>
      </c>
      <c r="C49" s="98"/>
      <c r="D49" s="99"/>
      <c r="E49" s="104">
        <v>2078390.0</v>
      </c>
      <c r="F49" s="99">
        <f t="shared" ref="F49:F51" si="7">E49-E48</f>
        <v>1639</v>
      </c>
      <c r="G49" s="100">
        <v>588.0</v>
      </c>
      <c r="H49" s="101">
        <v>471.0</v>
      </c>
      <c r="I49" s="101">
        <v>469.45</v>
      </c>
      <c r="J49" s="101">
        <f t="shared" si="5"/>
        <v>1.55</v>
      </c>
      <c r="K49" s="103">
        <f t="shared" si="6"/>
        <v>28.64246492</v>
      </c>
      <c r="L49" s="54"/>
      <c r="M49" s="83" t="s">
        <v>70</v>
      </c>
      <c r="N49" s="83" t="s">
        <v>71</v>
      </c>
      <c r="O49" s="83" t="s">
        <v>27</v>
      </c>
    </row>
    <row r="50">
      <c r="A50" s="54"/>
      <c r="B50" s="98">
        <v>45532.0</v>
      </c>
      <c r="C50" s="98"/>
      <c r="D50" s="99"/>
      <c r="E50" s="104">
        <v>2080149.0</v>
      </c>
      <c r="F50" s="99">
        <f t="shared" si="7"/>
        <v>1759</v>
      </c>
      <c r="G50" s="100">
        <v>532.0</v>
      </c>
      <c r="H50" s="101">
        <v>461.0</v>
      </c>
      <c r="I50" s="101">
        <v>459.48</v>
      </c>
      <c r="J50" s="101">
        <f t="shared" si="5"/>
        <v>1.52</v>
      </c>
      <c r="K50" s="103">
        <f t="shared" si="6"/>
        <v>26.12166003</v>
      </c>
      <c r="L50" s="54"/>
      <c r="M50" s="84">
        <f>SUM(F48:F51)</f>
        <v>6478</v>
      </c>
      <c r="N50" s="84">
        <f>SUM(I48:I51)</f>
        <v>1820.76</v>
      </c>
      <c r="O50" s="85">
        <f>N50/M50*100</f>
        <v>28.10682309</v>
      </c>
    </row>
    <row r="51">
      <c r="A51" s="54"/>
      <c r="B51" s="98">
        <v>45534.0</v>
      </c>
      <c r="C51" s="98"/>
      <c r="D51" s="99"/>
      <c r="E51" s="104">
        <v>2081701.0</v>
      </c>
      <c r="F51" s="99">
        <f t="shared" si="7"/>
        <v>1552</v>
      </c>
      <c r="G51" s="100">
        <v>525.0</v>
      </c>
      <c r="H51" s="101">
        <v>422.0</v>
      </c>
      <c r="I51" s="101">
        <v>421.73</v>
      </c>
      <c r="J51" s="101">
        <f t="shared" si="5"/>
        <v>0.27</v>
      </c>
      <c r="K51" s="103">
        <f t="shared" si="6"/>
        <v>27.17332474</v>
      </c>
      <c r="L51" s="54"/>
      <c r="M51" s="54"/>
    </row>
    <row r="52">
      <c r="A52" s="68"/>
      <c r="B52" s="203" t="str">
        <f>IF(L52=4,"АПРЕЛЬ",IF(L52=5,"МАЙ",IF(L52=1,"ЯНВАРЬ",IF(L52=2,"ФЕВРАЛЬ",IF(L52=3,"МАРТ",IF(L52=6,"ИЮНЬ",IF(L52=7,"ИЮЛЬ",IF(L52=8,"АВГУСТ",IF(L52=9,"СЕНТЯБРЬ",IF(L52=10,"ОКТЯБРЬ",IF(L52=11,"НОЯБРЬ",IF(L52=12,"ДЕКАБРЬ"))))))))))))</f>
        <v>СЕНТЯБРЬ</v>
      </c>
      <c r="J52" s="88"/>
      <c r="K52" s="204"/>
      <c r="L52" s="91">
        <f>MONTH(B53)</f>
        <v>9</v>
      </c>
      <c r="M52" s="66"/>
      <c r="N52" s="66"/>
      <c r="O52" s="66"/>
      <c r="P52" s="66"/>
      <c r="Q52" s="66"/>
    </row>
    <row r="53">
      <c r="A53" s="54"/>
      <c r="B53" s="98">
        <v>45536.0</v>
      </c>
      <c r="C53" s="98"/>
      <c r="D53" s="99"/>
      <c r="E53" s="104">
        <v>2083325.0</v>
      </c>
      <c r="F53" s="99">
        <f>E53-E51</f>
        <v>1624</v>
      </c>
      <c r="G53" s="100">
        <v>395.0</v>
      </c>
      <c r="H53" s="101">
        <v>304.0</v>
      </c>
      <c r="I53" s="101">
        <v>299.95</v>
      </c>
      <c r="J53" s="102">
        <f t="shared" ref="J53:J60" si="8">H53-I53</f>
        <v>4.05</v>
      </c>
      <c r="K53" s="103">
        <f t="shared" ref="K53:K60" si="9">I53/F53*100</f>
        <v>18.46982759</v>
      </c>
      <c r="L53" s="54"/>
      <c r="M53" s="82" t="str">
        <f>"тотал"&amp;" "&amp;B52</f>
        <v>тотал СЕНТЯБРЬ</v>
      </c>
      <c r="N53" s="75"/>
      <c r="O53" s="76"/>
    </row>
    <row r="54">
      <c r="A54" s="54"/>
      <c r="B54" s="98">
        <v>45537.0</v>
      </c>
      <c r="C54" s="98"/>
      <c r="D54" s="99"/>
      <c r="E54" s="104">
        <v>2083996.0</v>
      </c>
      <c r="F54" s="99">
        <f t="shared" ref="F54:F58" si="10">E54-E53</f>
        <v>671</v>
      </c>
      <c r="G54" s="100">
        <v>584.0</v>
      </c>
      <c r="H54" s="101">
        <v>397.0</v>
      </c>
      <c r="I54" s="101">
        <v>398.3</v>
      </c>
      <c r="J54" s="102">
        <f t="shared" si="8"/>
        <v>-1.3</v>
      </c>
      <c r="K54" s="103">
        <f t="shared" si="9"/>
        <v>59.35916542</v>
      </c>
      <c r="L54" s="54"/>
      <c r="M54" s="83" t="s">
        <v>70</v>
      </c>
      <c r="N54" s="83" t="s">
        <v>71</v>
      </c>
      <c r="O54" s="83" t="s">
        <v>27</v>
      </c>
    </row>
    <row r="55">
      <c r="A55" s="54"/>
      <c r="B55" s="98">
        <v>45541.0</v>
      </c>
      <c r="C55" s="98"/>
      <c r="D55" s="99"/>
      <c r="E55" s="453">
        <v>2085461.0</v>
      </c>
      <c r="F55" s="99">
        <f t="shared" si="10"/>
        <v>1465</v>
      </c>
      <c r="G55" s="100">
        <v>609.0</v>
      </c>
      <c r="H55" s="101">
        <v>496.0</v>
      </c>
      <c r="I55" s="101">
        <v>496.42</v>
      </c>
      <c r="J55" s="102">
        <f t="shared" si="8"/>
        <v>-0.42</v>
      </c>
      <c r="K55" s="103">
        <f t="shared" si="9"/>
        <v>33.88532423</v>
      </c>
      <c r="L55" s="54"/>
      <c r="M55" s="84">
        <f>SUM(F53:F60)</f>
        <v>10408</v>
      </c>
      <c r="N55" s="84">
        <f>SUM(I53:I60)</f>
        <v>3628.82</v>
      </c>
      <c r="O55" s="85">
        <f>N55/M55*100</f>
        <v>34.86568025</v>
      </c>
    </row>
    <row r="56">
      <c r="A56" s="54"/>
      <c r="B56" s="98">
        <v>45545.0</v>
      </c>
      <c r="C56" s="98"/>
      <c r="D56" s="99"/>
      <c r="E56" s="100">
        <v>2087143.0</v>
      </c>
      <c r="F56" s="99">
        <f t="shared" si="10"/>
        <v>1682</v>
      </c>
      <c r="G56" s="100">
        <v>606.0</v>
      </c>
      <c r="H56" s="101">
        <v>492.0</v>
      </c>
      <c r="I56" s="101">
        <v>488.51</v>
      </c>
      <c r="J56" s="102">
        <f t="shared" si="8"/>
        <v>3.49</v>
      </c>
      <c r="K56" s="103">
        <f t="shared" si="9"/>
        <v>29.04340071</v>
      </c>
      <c r="L56" s="54"/>
      <c r="M56" s="54"/>
    </row>
    <row r="57">
      <c r="A57" s="54"/>
      <c r="B57" s="98">
        <v>45553.0</v>
      </c>
      <c r="C57" s="98"/>
      <c r="D57" s="99"/>
      <c r="E57" s="100">
        <v>2088799.0</v>
      </c>
      <c r="F57" s="99">
        <f t="shared" si="10"/>
        <v>1656</v>
      </c>
      <c r="G57" s="100">
        <v>606.0</v>
      </c>
      <c r="H57" s="101">
        <v>488.0</v>
      </c>
      <c r="I57" s="101">
        <v>500.0</v>
      </c>
      <c r="J57" s="102">
        <f t="shared" si="8"/>
        <v>-12</v>
      </c>
      <c r="K57" s="103">
        <f t="shared" si="9"/>
        <v>30.19323671</v>
      </c>
      <c r="L57" s="54"/>
      <c r="M57" s="54"/>
    </row>
    <row r="58">
      <c r="A58" s="54"/>
      <c r="B58" s="98">
        <v>45557.0</v>
      </c>
      <c r="C58" s="98"/>
      <c r="D58" s="99"/>
      <c r="E58" s="100">
        <v>2090498.0</v>
      </c>
      <c r="F58" s="99">
        <f t="shared" si="10"/>
        <v>1699</v>
      </c>
      <c r="G58" s="100">
        <v>610.0</v>
      </c>
      <c r="H58" s="101">
        <v>480.0</v>
      </c>
      <c r="I58" s="101">
        <v>476.67</v>
      </c>
      <c r="J58" s="102">
        <f t="shared" si="8"/>
        <v>3.33</v>
      </c>
      <c r="K58" s="103">
        <f t="shared" si="9"/>
        <v>28.05591524</v>
      </c>
      <c r="L58" s="54"/>
      <c r="M58" s="54"/>
    </row>
    <row r="59">
      <c r="A59" s="54"/>
      <c r="B59" s="98">
        <v>45560.0</v>
      </c>
      <c r="C59" s="98"/>
      <c r="D59" s="99"/>
      <c r="E59" s="100">
        <v>2092095.0</v>
      </c>
      <c r="F59" s="99"/>
      <c r="G59" s="100">
        <v>462.0</v>
      </c>
      <c r="H59" s="101">
        <v>462.0</v>
      </c>
      <c r="I59" s="101">
        <v>468.97</v>
      </c>
      <c r="J59" s="102">
        <f t="shared" si="8"/>
        <v>-6.97</v>
      </c>
      <c r="K59" s="103" t="str">
        <f t="shared" si="9"/>
        <v>#DIV/0!</v>
      </c>
      <c r="L59" s="54"/>
      <c r="M59" s="54"/>
    </row>
    <row r="60">
      <c r="A60" s="54"/>
      <c r="B60" s="98">
        <v>45564.0</v>
      </c>
      <c r="C60" s="98"/>
      <c r="D60" s="99"/>
      <c r="E60" s="100">
        <v>2093706.0</v>
      </c>
      <c r="F60" s="99">
        <f>E60-E59</f>
        <v>1611</v>
      </c>
      <c r="G60" s="100">
        <v>608.0</v>
      </c>
      <c r="H60" s="101">
        <v>501.0</v>
      </c>
      <c r="I60" s="101">
        <v>500.0</v>
      </c>
      <c r="J60" s="102">
        <f t="shared" si="8"/>
        <v>1</v>
      </c>
      <c r="K60" s="103">
        <f t="shared" si="9"/>
        <v>31.03662322</v>
      </c>
      <c r="L60" s="54"/>
      <c r="M60" s="54"/>
    </row>
    <row r="61">
      <c r="A61" s="68"/>
      <c r="B61" s="112" t="s">
        <v>96</v>
      </c>
      <c r="J61" s="88"/>
      <c r="K61" s="204"/>
      <c r="L61" s="91">
        <f>MONTH(B62)</f>
        <v>10</v>
      </c>
      <c r="M61" s="66"/>
      <c r="N61" s="66"/>
      <c r="O61" s="66"/>
      <c r="P61" s="66"/>
      <c r="Q61" s="66"/>
    </row>
    <row r="62">
      <c r="A62" s="54"/>
      <c r="B62" s="110">
        <v>45568.0</v>
      </c>
      <c r="C62" s="110"/>
      <c r="D62" s="99"/>
      <c r="E62" s="100">
        <v>2095202.0</v>
      </c>
      <c r="F62" s="99">
        <f>E62-E60</f>
        <v>1496</v>
      </c>
      <c r="G62" s="100">
        <v>597.0</v>
      </c>
      <c r="H62" s="101">
        <v>453.0</v>
      </c>
      <c r="I62" s="101">
        <v>455.14</v>
      </c>
      <c r="J62" s="102">
        <f t="shared" ref="J62:J71" si="11">H62-I62</f>
        <v>-2.14</v>
      </c>
      <c r="K62" s="103">
        <f t="shared" ref="K62:K71" si="12">I62/F62*100</f>
        <v>30.42379679</v>
      </c>
      <c r="L62" s="54"/>
      <c r="M62" s="205" t="str">
        <f>"тотал"&amp;" "&amp;B61&amp;" "&amp;RIGHT(YEAR(B62),2)</f>
        <v>тотал ОКТЯБРЬ 24</v>
      </c>
      <c r="N62" s="75"/>
      <c r="O62" s="75"/>
      <c r="P62" s="75"/>
      <c r="Q62" s="76"/>
    </row>
    <row r="63">
      <c r="A63" s="54"/>
      <c r="B63" s="98">
        <v>45571.0</v>
      </c>
      <c r="C63" s="98"/>
      <c r="D63" s="99"/>
      <c r="E63" s="100">
        <v>2096656.0</v>
      </c>
      <c r="F63" s="99">
        <f t="shared" ref="F63:F71" si="13">E63-E62</f>
        <v>1454</v>
      </c>
      <c r="G63" s="100">
        <v>606.0</v>
      </c>
      <c r="H63" s="101">
        <v>473.0</v>
      </c>
      <c r="I63" s="101">
        <v>475.18</v>
      </c>
      <c r="J63" s="102">
        <f t="shared" si="11"/>
        <v>-2.18</v>
      </c>
      <c r="K63" s="103">
        <f t="shared" si="12"/>
        <v>32.68088033</v>
      </c>
      <c r="L63" s="54"/>
      <c r="M63" s="83" t="s">
        <v>70</v>
      </c>
      <c r="N63" s="83" t="s">
        <v>71</v>
      </c>
      <c r="O63" s="83" t="s">
        <v>27</v>
      </c>
      <c r="P63" s="83" t="s">
        <v>28</v>
      </c>
      <c r="Q63" s="321" t="s">
        <v>78</v>
      </c>
    </row>
    <row r="64">
      <c r="A64" s="54"/>
      <c r="B64" s="98">
        <v>45574.0</v>
      </c>
      <c r="C64" s="98"/>
      <c r="D64" s="99"/>
      <c r="E64" s="100">
        <v>2098432.0</v>
      </c>
      <c r="F64" s="99">
        <f t="shared" si="13"/>
        <v>1776</v>
      </c>
      <c r="G64" s="100">
        <v>605.0</v>
      </c>
      <c r="H64" s="101">
        <v>486.0</v>
      </c>
      <c r="I64" s="101">
        <v>484.18</v>
      </c>
      <c r="J64" s="102">
        <f t="shared" si="11"/>
        <v>1.82</v>
      </c>
      <c r="K64" s="103">
        <f t="shared" si="12"/>
        <v>27.26238739</v>
      </c>
      <c r="L64" s="54"/>
      <c r="M64" s="84">
        <f>SUM(F62:F71)</f>
        <v>12662</v>
      </c>
      <c r="N64" s="84">
        <f>SUM(I62:I71)</f>
        <v>3776.78</v>
      </c>
      <c r="O64" s="85">
        <f>N64/M64*100</f>
        <v>29.82767335</v>
      </c>
      <c r="P64" s="84">
        <f>(M64/100)*(O64-Q64)</f>
        <v>231.42</v>
      </c>
      <c r="Q64" s="464">
        <v>28.0</v>
      </c>
    </row>
    <row r="65">
      <c r="A65" s="54"/>
      <c r="B65" s="98">
        <v>45580.0</v>
      </c>
      <c r="C65" s="98"/>
      <c r="D65" s="99"/>
      <c r="E65" s="100">
        <v>2099842.0</v>
      </c>
      <c r="F65" s="99">
        <f t="shared" si="13"/>
        <v>1410</v>
      </c>
      <c r="G65" s="100">
        <v>610.0</v>
      </c>
      <c r="H65" s="101">
        <v>473.0</v>
      </c>
      <c r="I65" s="101">
        <v>475.28</v>
      </c>
      <c r="J65" s="102">
        <f t="shared" si="11"/>
        <v>-2.28</v>
      </c>
      <c r="K65" s="103">
        <f t="shared" si="12"/>
        <v>33.70780142</v>
      </c>
      <c r="L65" s="54"/>
      <c r="M65" s="54"/>
    </row>
    <row r="66">
      <c r="A66" s="54"/>
      <c r="B66" s="98">
        <v>45584.0</v>
      </c>
      <c r="C66" s="98"/>
      <c r="D66" s="99"/>
      <c r="E66" s="100">
        <v>2101579.0</v>
      </c>
      <c r="F66" s="99">
        <f t="shared" si="13"/>
        <v>1737</v>
      </c>
      <c r="G66" s="100">
        <v>237.0</v>
      </c>
      <c r="H66" s="101">
        <v>151.0</v>
      </c>
      <c r="I66" s="101">
        <v>148.75</v>
      </c>
      <c r="J66" s="102">
        <f t="shared" si="11"/>
        <v>2.25</v>
      </c>
      <c r="K66" s="103">
        <f t="shared" si="12"/>
        <v>8.563615429</v>
      </c>
      <c r="L66" s="54"/>
      <c r="M66" s="54"/>
    </row>
    <row r="67">
      <c r="A67" s="54"/>
      <c r="B67" s="98">
        <v>45584.0</v>
      </c>
      <c r="C67" s="98"/>
      <c r="D67" s="99"/>
      <c r="E67" s="100">
        <v>2101595.0</v>
      </c>
      <c r="F67" s="99">
        <f t="shared" si="13"/>
        <v>16</v>
      </c>
      <c r="G67" s="100">
        <v>423.0</v>
      </c>
      <c r="H67" s="101">
        <v>195.0</v>
      </c>
      <c r="I67" s="101">
        <v>199.27</v>
      </c>
      <c r="J67" s="102">
        <f t="shared" si="11"/>
        <v>-4.27</v>
      </c>
      <c r="K67" s="103">
        <f t="shared" si="12"/>
        <v>1245.4375</v>
      </c>
      <c r="L67" s="54"/>
      <c r="M67" s="54"/>
    </row>
    <row r="68">
      <c r="A68" s="54"/>
      <c r="B68" s="98">
        <v>45586.0</v>
      </c>
      <c r="C68" s="98"/>
      <c r="D68" s="99"/>
      <c r="E68" s="100">
        <v>2102750.0</v>
      </c>
      <c r="F68" s="99">
        <f t="shared" si="13"/>
        <v>1155</v>
      </c>
      <c r="G68" s="100">
        <v>306.0</v>
      </c>
      <c r="H68" s="101">
        <v>201.0</v>
      </c>
      <c r="I68" s="101">
        <v>199.51</v>
      </c>
      <c r="J68" s="102">
        <f t="shared" si="11"/>
        <v>1.49</v>
      </c>
      <c r="K68" s="103">
        <f t="shared" si="12"/>
        <v>17.27359307</v>
      </c>
      <c r="L68" s="54"/>
      <c r="M68" s="54"/>
    </row>
    <row r="69">
      <c r="A69" s="54"/>
      <c r="B69" s="98">
        <v>45590.0</v>
      </c>
      <c r="C69" s="98"/>
      <c r="D69" s="99"/>
      <c r="E69" s="100">
        <v>2103185.0</v>
      </c>
      <c r="F69" s="99">
        <f t="shared" si="13"/>
        <v>435</v>
      </c>
      <c r="G69" s="100">
        <v>601.0</v>
      </c>
      <c r="H69" s="101">
        <v>423.0</v>
      </c>
      <c r="I69" s="101">
        <v>425.38</v>
      </c>
      <c r="J69" s="102">
        <f t="shared" si="11"/>
        <v>-2.38</v>
      </c>
      <c r="K69" s="103">
        <f t="shared" si="12"/>
        <v>97.78850575</v>
      </c>
      <c r="L69" s="54"/>
      <c r="M69" s="54"/>
    </row>
    <row r="70">
      <c r="A70" s="54"/>
      <c r="B70" s="98">
        <v>45592.0</v>
      </c>
      <c r="C70" s="98"/>
      <c r="D70" s="99"/>
      <c r="E70" s="100">
        <v>2104945.0</v>
      </c>
      <c r="F70" s="99">
        <f t="shared" si="13"/>
        <v>1760</v>
      </c>
      <c r="G70" s="100">
        <v>608.0</v>
      </c>
      <c r="H70" s="101">
        <v>474.0</v>
      </c>
      <c r="I70" s="101">
        <v>466.94</v>
      </c>
      <c r="J70" s="102">
        <f t="shared" si="11"/>
        <v>7.06</v>
      </c>
      <c r="K70" s="103">
        <f t="shared" si="12"/>
        <v>26.53068182</v>
      </c>
      <c r="L70" s="54"/>
      <c r="M70" s="54"/>
    </row>
    <row r="71">
      <c r="A71" s="54"/>
      <c r="B71" s="98">
        <v>45594.0</v>
      </c>
      <c r="C71" s="98"/>
      <c r="D71" s="99"/>
      <c r="E71" s="100">
        <v>2106368.0</v>
      </c>
      <c r="F71" s="99">
        <f t="shared" si="13"/>
        <v>1423</v>
      </c>
      <c r="G71" s="100">
        <v>610.0</v>
      </c>
      <c r="H71" s="101">
        <v>440.0</v>
      </c>
      <c r="I71" s="101">
        <v>447.15</v>
      </c>
      <c r="J71" s="102">
        <f t="shared" si="11"/>
        <v>-7.15</v>
      </c>
      <c r="K71" s="103">
        <f t="shared" si="12"/>
        <v>31.42304989</v>
      </c>
      <c r="L71" s="54"/>
      <c r="M71" s="54"/>
    </row>
    <row r="72">
      <c r="A72" s="68"/>
      <c r="B72" s="112" t="s">
        <v>97</v>
      </c>
      <c r="J72" s="88"/>
      <c r="K72" s="204"/>
      <c r="L72" s="91">
        <f>MONTH(B73)</f>
        <v>11</v>
      </c>
      <c r="M72" s="66"/>
      <c r="N72" s="66"/>
      <c r="O72" s="66"/>
      <c r="P72" s="66"/>
      <c r="Q72" s="66"/>
    </row>
    <row r="73">
      <c r="A73" s="54"/>
      <c r="B73" s="110">
        <v>45597.0</v>
      </c>
      <c r="C73" s="110"/>
      <c r="D73" s="99"/>
      <c r="E73" s="100">
        <v>2107658.0</v>
      </c>
      <c r="F73" s="99">
        <f>E73-E71</f>
        <v>1290</v>
      </c>
      <c r="G73" s="100">
        <v>610.0</v>
      </c>
      <c r="H73" s="101">
        <v>420.0</v>
      </c>
      <c r="I73" s="101">
        <v>421.31</v>
      </c>
      <c r="J73" s="102">
        <f t="shared" ref="J73:J79" si="14">H73-I73</f>
        <v>-1.31</v>
      </c>
      <c r="K73" s="103">
        <f t="shared" ref="K73:K79" si="15">I73/F73*100</f>
        <v>32.65968992</v>
      </c>
      <c r="L73" s="54"/>
      <c r="M73" s="205" t="str">
        <f>"тотал"&amp;" "&amp;B72&amp;" "&amp;RIGHT(YEAR(B73),2)</f>
        <v>тотал НОЯБРЬ 24</v>
      </c>
      <c r="N73" s="75"/>
      <c r="O73" s="75"/>
      <c r="P73" s="75"/>
      <c r="Q73" s="76"/>
    </row>
    <row r="74">
      <c r="A74" s="54"/>
      <c r="B74" s="110">
        <v>45601.0</v>
      </c>
      <c r="C74" s="110"/>
      <c r="D74" s="99"/>
      <c r="E74" s="100">
        <v>2109077.0</v>
      </c>
      <c r="F74" s="99">
        <f t="shared" ref="F74:F79" si="16">E74-E73</f>
        <v>1419</v>
      </c>
      <c r="G74" s="100">
        <v>610.0</v>
      </c>
      <c r="H74" s="101">
        <v>498.0</v>
      </c>
      <c r="I74" s="101">
        <v>497.48</v>
      </c>
      <c r="J74" s="102">
        <f t="shared" si="14"/>
        <v>0.52</v>
      </c>
      <c r="K74" s="103">
        <f t="shared" si="15"/>
        <v>35.0584919</v>
      </c>
      <c r="L74" s="54"/>
      <c r="M74" s="83" t="s">
        <v>70</v>
      </c>
      <c r="N74" s="83" t="s">
        <v>71</v>
      </c>
      <c r="O74" s="83" t="s">
        <v>27</v>
      </c>
      <c r="P74" s="83" t="s">
        <v>28</v>
      </c>
      <c r="Q74" s="321" t="s">
        <v>78</v>
      </c>
    </row>
    <row r="75">
      <c r="A75" s="54"/>
      <c r="B75" s="110">
        <v>45604.0</v>
      </c>
      <c r="C75" s="110"/>
      <c r="D75" s="99"/>
      <c r="E75" s="100">
        <v>2110436.0</v>
      </c>
      <c r="F75" s="99">
        <f t="shared" si="16"/>
        <v>1359</v>
      </c>
      <c r="G75" s="100">
        <v>298.0</v>
      </c>
      <c r="H75" s="101">
        <v>120.0</v>
      </c>
      <c r="I75" s="101">
        <v>120.0</v>
      </c>
      <c r="J75" s="102">
        <f t="shared" si="14"/>
        <v>0</v>
      </c>
      <c r="K75" s="103">
        <f t="shared" si="15"/>
        <v>8.830022075</v>
      </c>
      <c r="L75" s="54"/>
      <c r="M75" s="84">
        <f>SUM(F73:F79)</f>
        <v>7670</v>
      </c>
      <c r="N75" s="84">
        <f>SUM(I73:I79)</f>
        <v>2714.03</v>
      </c>
      <c r="O75" s="85">
        <f>N75/M75*100</f>
        <v>35.38500652</v>
      </c>
      <c r="P75" s="84">
        <f>(M75/100)*(O75-Q75)</f>
        <v>566.43</v>
      </c>
      <c r="Q75" s="464">
        <v>28.0</v>
      </c>
    </row>
    <row r="76">
      <c r="A76" s="54"/>
      <c r="B76" s="110">
        <v>45604.0</v>
      </c>
      <c r="C76" s="110"/>
      <c r="D76" s="99"/>
      <c r="E76" s="100">
        <v>2110579.0</v>
      </c>
      <c r="F76" s="99">
        <f t="shared" si="16"/>
        <v>143</v>
      </c>
      <c r="G76" s="100">
        <v>609.0</v>
      </c>
      <c r="H76" s="101">
        <v>347.0</v>
      </c>
      <c r="I76" s="101">
        <v>347.06</v>
      </c>
      <c r="J76" s="102">
        <f t="shared" si="14"/>
        <v>-0.06</v>
      </c>
      <c r="K76" s="103">
        <f t="shared" si="15"/>
        <v>242.6993007</v>
      </c>
      <c r="L76" s="54"/>
      <c r="M76" s="54"/>
    </row>
    <row r="77">
      <c r="A77" s="54"/>
      <c r="B77" s="110">
        <v>45606.0</v>
      </c>
      <c r="C77" s="110"/>
      <c r="D77" s="99"/>
      <c r="E77" s="100">
        <v>2111908.0</v>
      </c>
      <c r="F77" s="99">
        <f t="shared" si="16"/>
        <v>1329</v>
      </c>
      <c r="G77" s="100">
        <v>610.0</v>
      </c>
      <c r="H77" s="101">
        <v>449.0</v>
      </c>
      <c r="I77" s="101">
        <v>457.41</v>
      </c>
      <c r="J77" s="102">
        <f t="shared" si="14"/>
        <v>-8.41</v>
      </c>
      <c r="K77" s="103">
        <f t="shared" si="15"/>
        <v>34.41760722</v>
      </c>
      <c r="L77" s="54"/>
      <c r="M77" s="54"/>
    </row>
    <row r="78">
      <c r="A78" s="54"/>
      <c r="B78" s="110">
        <v>45610.0</v>
      </c>
      <c r="C78" s="110"/>
      <c r="D78" s="99"/>
      <c r="E78" s="100">
        <v>2112896.0</v>
      </c>
      <c r="F78" s="99">
        <f t="shared" si="16"/>
        <v>988</v>
      </c>
      <c r="G78" s="100">
        <v>604.0</v>
      </c>
      <c r="H78" s="101">
        <v>438.0</v>
      </c>
      <c r="I78" s="101">
        <v>438.11</v>
      </c>
      <c r="J78" s="102">
        <f t="shared" si="14"/>
        <v>-0.11</v>
      </c>
      <c r="K78" s="103">
        <f t="shared" si="15"/>
        <v>44.34311741</v>
      </c>
      <c r="L78" s="54"/>
      <c r="M78" s="60"/>
    </row>
    <row r="79">
      <c r="A79" s="54"/>
      <c r="B79" s="110">
        <v>45612.0</v>
      </c>
      <c r="C79" s="110"/>
      <c r="D79" s="99"/>
      <c r="E79" s="100">
        <v>2114038.0</v>
      </c>
      <c r="F79" s="99">
        <f t="shared" si="16"/>
        <v>1142</v>
      </c>
      <c r="G79" s="100">
        <v>610.0</v>
      </c>
      <c r="H79" s="101">
        <v>433.0</v>
      </c>
      <c r="I79" s="101">
        <v>432.66</v>
      </c>
      <c r="J79" s="102">
        <f t="shared" si="14"/>
        <v>0.34</v>
      </c>
      <c r="K79" s="103">
        <f t="shared" si="15"/>
        <v>37.88616462</v>
      </c>
      <c r="L79" s="54"/>
      <c r="M79" s="54"/>
    </row>
    <row r="80">
      <c r="A80" s="68"/>
      <c r="B80" s="112" t="s">
        <v>98</v>
      </c>
      <c r="J80" s="88"/>
      <c r="K80" s="204"/>
      <c r="L80" s="91">
        <f>MONTH(B81)</f>
        <v>12</v>
      </c>
      <c r="M80" s="82" t="str">
        <f>"тотал"&amp;" "&amp;B80&amp;" "&amp;RIGHT(YEAR(B81),2)</f>
        <v>тотал ДЕКАБРЬ 24</v>
      </c>
      <c r="N80" s="75"/>
      <c r="O80" s="75"/>
      <c r="P80" s="75"/>
      <c r="Q80" s="76"/>
    </row>
    <row r="81">
      <c r="A81" s="54"/>
      <c r="B81" s="110">
        <v>45630.0</v>
      </c>
      <c r="C81" s="110"/>
      <c r="D81" s="99"/>
      <c r="E81" s="100">
        <v>2115516.0</v>
      </c>
      <c r="F81" s="99">
        <f>E81-E79</f>
        <v>1478</v>
      </c>
      <c r="G81" s="100">
        <v>610.0</v>
      </c>
      <c r="H81" s="101">
        <v>485.0</v>
      </c>
      <c r="I81" s="101">
        <v>491.16</v>
      </c>
      <c r="J81" s="102">
        <f t="shared" ref="J81:J82" si="17">H81-I81</f>
        <v>-6.16</v>
      </c>
      <c r="K81" s="103">
        <f t="shared" ref="K81:K82" si="18">I81/F81*100</f>
        <v>33.23139378</v>
      </c>
      <c r="L81" s="54"/>
      <c r="M81" s="83" t="s">
        <v>70</v>
      </c>
      <c r="N81" s="83" t="s">
        <v>71</v>
      </c>
      <c r="O81" s="83" t="s">
        <v>27</v>
      </c>
      <c r="P81" s="83" t="s">
        <v>28</v>
      </c>
      <c r="Q81" s="321" t="s">
        <v>78</v>
      </c>
    </row>
    <row r="82">
      <c r="A82" s="54"/>
      <c r="B82" s="110">
        <v>45653.0</v>
      </c>
      <c r="C82" s="110"/>
      <c r="D82" s="99"/>
      <c r="E82" s="100">
        <v>2116683.0</v>
      </c>
      <c r="F82" s="99">
        <f>E82-E81</f>
        <v>1167</v>
      </c>
      <c r="G82" s="100">
        <v>593.0</v>
      </c>
      <c r="H82" s="101">
        <v>485.0</v>
      </c>
      <c r="I82" s="101">
        <v>493.02</v>
      </c>
      <c r="J82" s="102">
        <f t="shared" si="17"/>
        <v>-8.02</v>
      </c>
      <c r="K82" s="103">
        <f t="shared" si="18"/>
        <v>42.24678663</v>
      </c>
      <c r="L82" s="54"/>
      <c r="M82" s="84">
        <f>SUM(F81:F82)</f>
        <v>2645</v>
      </c>
      <c r="N82" s="84">
        <f>SUM(I81:I82)</f>
        <v>984.18</v>
      </c>
      <c r="O82" s="85">
        <f>N82/M82*100</f>
        <v>37.20907372</v>
      </c>
      <c r="P82" s="84">
        <f>(M82/100)*(O82-Q82)</f>
        <v>243.58</v>
      </c>
      <c r="Q82" s="464">
        <v>28.0</v>
      </c>
    </row>
    <row r="83">
      <c r="A83" s="68"/>
      <c r="B83" s="134">
        <v>2025.0</v>
      </c>
      <c r="J83" s="88"/>
      <c r="K83" s="204"/>
      <c r="L83" s="91"/>
      <c r="M83" s="91"/>
      <c r="N83" s="91"/>
      <c r="O83" s="91"/>
      <c r="P83" s="91"/>
      <c r="Q83" s="66"/>
    </row>
    <row r="84">
      <c r="A84" s="68"/>
      <c r="B84" s="203" t="str">
        <f>IF(L84=4,"АПРЕЛЬ",IF(L84=5,"МАЙ",IF(L84=1,"ЯНВАРЬ",IF(L84=2,"ФЕВРАЛЬ",IF(L84=3,"МАРТ",IF(L84=6,"ИЮНЬ",IF(L84=7,"ИЮЛЬ",IF(L84=8,"АВГУСТ",IF(L84=9,"СЕНТЯБРЬ",IF(L84=10,"ОКТЯБРЬ",IF(L84=11,"НОЯБРЬ",IF(L84=12,"ДЕКАБРЬ"))))))))))))</f>
        <v>ЯНВАРЬ</v>
      </c>
      <c r="J84" s="88"/>
      <c r="K84" s="204"/>
      <c r="L84" s="91">
        <f>MONTH(B85)</f>
        <v>1</v>
      </c>
      <c r="M84" s="66"/>
      <c r="N84" s="66"/>
      <c r="O84" s="66"/>
      <c r="P84" s="66"/>
      <c r="Q84" s="66"/>
    </row>
    <row r="85">
      <c r="A85" s="54"/>
      <c r="B85" s="110">
        <v>45673.0</v>
      </c>
      <c r="C85" s="110"/>
      <c r="D85" s="102"/>
      <c r="E85" s="100">
        <v>2117843.0</v>
      </c>
      <c r="F85" s="99">
        <f>E85-E82</f>
        <v>1160</v>
      </c>
      <c r="G85" s="100">
        <v>600.0</v>
      </c>
      <c r="H85" s="101">
        <v>422.0</v>
      </c>
      <c r="I85" s="101">
        <v>430.01</v>
      </c>
      <c r="J85" s="102">
        <f t="shared" ref="J85:J93" si="19">H85-I85</f>
        <v>-8.01</v>
      </c>
      <c r="K85" s="103">
        <f t="shared" ref="K85:K93" si="20">I85/F85*100</f>
        <v>37.06982759</v>
      </c>
      <c r="L85" s="54"/>
      <c r="M85" s="205" t="str">
        <f>"тотал"&amp;" "&amp;B84&amp;" "&amp;RIGHT(YEAR(B85),2)</f>
        <v>тотал ЯНВАРЬ 25</v>
      </c>
      <c r="N85" s="75"/>
      <c r="O85" s="75"/>
      <c r="P85" s="75"/>
      <c r="Q85" s="76"/>
    </row>
    <row r="86">
      <c r="A86" s="54"/>
      <c r="B86" s="110">
        <v>45674.0</v>
      </c>
      <c r="C86" s="110"/>
      <c r="D86" s="102"/>
      <c r="E86" s="100">
        <v>2119382.0</v>
      </c>
      <c r="F86" s="99">
        <f t="shared" ref="F86:F93" si="21">E86-E85</f>
        <v>1539</v>
      </c>
      <c r="G86" s="100">
        <v>547.0</v>
      </c>
      <c r="H86" s="101">
        <v>442.0</v>
      </c>
      <c r="I86" s="101">
        <v>452.0</v>
      </c>
      <c r="J86" s="102">
        <f t="shared" si="19"/>
        <v>-10</v>
      </c>
      <c r="K86" s="103">
        <f t="shared" si="20"/>
        <v>29.3697206</v>
      </c>
      <c r="L86" s="54"/>
      <c r="M86" s="83" t="s">
        <v>70</v>
      </c>
      <c r="N86" s="83" t="s">
        <v>71</v>
      </c>
      <c r="O86" s="83" t="s">
        <v>27</v>
      </c>
      <c r="P86" s="83" t="s">
        <v>28</v>
      </c>
      <c r="Q86" s="321" t="s">
        <v>78</v>
      </c>
    </row>
    <row r="87">
      <c r="A87" s="54"/>
      <c r="B87" s="110">
        <v>45676.0</v>
      </c>
      <c r="C87" s="110"/>
      <c r="D87" s="102"/>
      <c r="E87" s="100">
        <v>2120936.0</v>
      </c>
      <c r="F87" s="99">
        <f t="shared" si="21"/>
        <v>1554</v>
      </c>
      <c r="G87" s="100">
        <v>566.0</v>
      </c>
      <c r="H87" s="101">
        <v>491.0</v>
      </c>
      <c r="I87" s="101">
        <v>500.0</v>
      </c>
      <c r="J87" s="102">
        <f t="shared" si="19"/>
        <v>-9</v>
      </c>
      <c r="K87" s="103">
        <f t="shared" si="20"/>
        <v>32.17503218</v>
      </c>
      <c r="L87" s="54"/>
      <c r="M87" s="84">
        <f>SUM(F85:F93)</f>
        <v>12343</v>
      </c>
      <c r="N87" s="84">
        <f>SUM(I85:I93)</f>
        <v>3882.01</v>
      </c>
      <c r="O87" s="85">
        <f>N87/M87*100</f>
        <v>31.45110589</v>
      </c>
      <c r="P87" s="84">
        <f>(M87/100)*(O87-Q87)</f>
        <v>425.97</v>
      </c>
      <c r="Q87" s="464">
        <v>28.0</v>
      </c>
    </row>
    <row r="88">
      <c r="A88" s="54"/>
      <c r="B88" s="110">
        <v>45677.0</v>
      </c>
      <c r="C88" s="110"/>
      <c r="D88" s="102"/>
      <c r="E88" s="100">
        <v>2121845.0</v>
      </c>
      <c r="F88" s="99">
        <f t="shared" si="21"/>
        <v>909</v>
      </c>
      <c r="G88" s="100">
        <v>590.0</v>
      </c>
      <c r="H88" s="101">
        <v>292.0</v>
      </c>
      <c r="I88" s="101">
        <v>300.0</v>
      </c>
      <c r="J88" s="102">
        <f t="shared" si="19"/>
        <v>-8</v>
      </c>
      <c r="K88" s="103">
        <f t="shared" si="20"/>
        <v>33.00330033</v>
      </c>
      <c r="L88" s="54"/>
      <c r="M88" s="54"/>
    </row>
    <row r="89">
      <c r="A89" s="54"/>
      <c r="B89" s="110">
        <v>45679.0</v>
      </c>
      <c r="C89" s="110"/>
      <c r="D89" s="102"/>
      <c r="E89" s="100">
        <v>2123386.0</v>
      </c>
      <c r="F89" s="99">
        <f t="shared" si="21"/>
        <v>1541</v>
      </c>
      <c r="G89" s="100">
        <v>576.0</v>
      </c>
      <c r="H89" s="101">
        <v>487.0</v>
      </c>
      <c r="I89" s="101">
        <v>500.0</v>
      </c>
      <c r="J89" s="102">
        <f t="shared" si="19"/>
        <v>-13</v>
      </c>
      <c r="K89" s="103">
        <f t="shared" si="20"/>
        <v>32.44646334</v>
      </c>
      <c r="L89" s="54"/>
      <c r="M89" s="54"/>
    </row>
    <row r="90">
      <c r="A90" s="54"/>
      <c r="B90" s="110">
        <v>45682.0</v>
      </c>
      <c r="C90" s="110"/>
      <c r="D90" s="102"/>
      <c r="E90" s="100">
        <v>2124707.0</v>
      </c>
      <c r="F90" s="99">
        <f t="shared" si="21"/>
        <v>1321</v>
      </c>
      <c r="G90" s="100">
        <v>571.0</v>
      </c>
      <c r="H90" s="101">
        <v>387.0</v>
      </c>
      <c r="I90" s="101">
        <v>400.0</v>
      </c>
      <c r="J90" s="102">
        <f t="shared" si="19"/>
        <v>-13</v>
      </c>
      <c r="K90" s="103">
        <f t="shared" si="20"/>
        <v>30.28009084</v>
      </c>
      <c r="L90" s="54"/>
      <c r="M90" s="54"/>
    </row>
    <row r="91">
      <c r="A91" s="54"/>
      <c r="B91" s="110">
        <v>45684.0</v>
      </c>
      <c r="C91" s="110"/>
      <c r="D91" s="102"/>
      <c r="E91" s="100">
        <v>2126120.0</v>
      </c>
      <c r="F91" s="99">
        <f t="shared" si="21"/>
        <v>1413</v>
      </c>
      <c r="G91" s="100">
        <v>583.0</v>
      </c>
      <c r="H91" s="101">
        <v>435.0</v>
      </c>
      <c r="I91" s="101">
        <v>450.0</v>
      </c>
      <c r="J91" s="102">
        <f t="shared" si="19"/>
        <v>-15</v>
      </c>
      <c r="K91" s="103">
        <f t="shared" si="20"/>
        <v>31.84713376</v>
      </c>
      <c r="L91" s="54"/>
      <c r="M91" s="54"/>
    </row>
    <row r="92">
      <c r="A92" s="54"/>
      <c r="B92" s="110">
        <v>45686.0</v>
      </c>
      <c r="C92" s="110"/>
      <c r="D92" s="102"/>
      <c r="E92" s="100">
        <v>2127489.0</v>
      </c>
      <c r="F92" s="99">
        <f t="shared" si="21"/>
        <v>1369</v>
      </c>
      <c r="G92" s="100">
        <v>581.0</v>
      </c>
      <c r="H92" s="101">
        <v>389.0</v>
      </c>
      <c r="I92" s="101">
        <v>400.0</v>
      </c>
      <c r="J92" s="102">
        <f t="shared" si="19"/>
        <v>-11</v>
      </c>
      <c r="K92" s="103">
        <f t="shared" si="20"/>
        <v>29.2184076</v>
      </c>
      <c r="L92" s="54"/>
      <c r="M92" s="54"/>
    </row>
    <row r="93">
      <c r="A93" s="54"/>
      <c r="B93" s="110">
        <v>45688.0</v>
      </c>
      <c r="C93" s="110"/>
      <c r="D93" s="102"/>
      <c r="E93" s="100">
        <v>2129026.0</v>
      </c>
      <c r="F93" s="99">
        <f t="shared" si="21"/>
        <v>1537</v>
      </c>
      <c r="G93" s="100">
        <v>570.0</v>
      </c>
      <c r="H93" s="101">
        <v>439.0</v>
      </c>
      <c r="I93" s="101">
        <v>450.0</v>
      </c>
      <c r="J93" s="102">
        <f t="shared" si="19"/>
        <v>-11</v>
      </c>
      <c r="K93" s="103">
        <f t="shared" si="20"/>
        <v>29.27781392</v>
      </c>
      <c r="L93" s="54"/>
      <c r="M93" s="54"/>
    </row>
    <row r="94">
      <c r="A94" s="68"/>
      <c r="B94" s="203" t="str">
        <f>IF(L94=4,"АПРЕЛЬ",IF(L94=5,"МАЙ",IF(L94=1,"ЯНВАРЬ",IF(L94=2,"ФЕВРАЛЬ",IF(L94=3,"МАРТ",IF(L94=6,"ИЮНЬ",IF(L94=7,"ИЮЛЬ",IF(L94=8,"АВГУСТ",IF(L94=9,"СЕНТЯБРЬ",IF(L94=10,"ОКТЯБРЬ",IF(L94=11,"НОЯБРЬ",IF(L94=12,"ДЕКАБРЬ"))))))))))))</f>
        <v>ФЕВРАЛЬ</v>
      </c>
      <c r="J94" s="88"/>
      <c r="K94" s="204"/>
      <c r="L94" s="91">
        <f>MONTH(B95)</f>
        <v>2</v>
      </c>
      <c r="M94" s="66"/>
      <c r="N94" s="66"/>
      <c r="O94" s="66"/>
      <c r="P94" s="66"/>
      <c r="Q94" s="66"/>
    </row>
    <row r="95">
      <c r="A95" s="54"/>
      <c r="B95" s="110">
        <v>45689.0</v>
      </c>
      <c r="C95" s="110"/>
      <c r="D95" s="102"/>
      <c r="E95" s="100">
        <v>2129977.0</v>
      </c>
      <c r="F95" s="99">
        <f>E95-E93</f>
        <v>951</v>
      </c>
      <c r="G95" s="100">
        <v>600.0</v>
      </c>
      <c r="H95" s="101">
        <v>337.0</v>
      </c>
      <c r="I95" s="101">
        <v>340.02</v>
      </c>
      <c r="J95" s="102">
        <f t="shared" ref="J95:J109" si="22">H95-I95</f>
        <v>-3.02</v>
      </c>
      <c r="K95" s="103">
        <f t="shared" ref="K95:K109" si="23">I95/F95*100</f>
        <v>35.75394322</v>
      </c>
      <c r="L95" s="54"/>
      <c r="M95" s="205" t="str">
        <f>"тотал"&amp;" "&amp;B94&amp;" "&amp;RIGHT(YEAR(B95),2)</f>
        <v>тотал ФЕВРАЛЬ 25</v>
      </c>
      <c r="N95" s="75"/>
      <c r="O95" s="75"/>
      <c r="P95" s="75"/>
      <c r="Q95" s="76"/>
    </row>
    <row r="96">
      <c r="A96" s="54"/>
      <c r="B96" s="110">
        <v>45691.0</v>
      </c>
      <c r="C96" s="110"/>
      <c r="D96" s="102"/>
      <c r="E96" s="100">
        <v>2131516.0</v>
      </c>
      <c r="F96" s="99">
        <f t="shared" ref="F96:F109" si="24">E96-E95</f>
        <v>1539</v>
      </c>
      <c r="G96" s="100">
        <v>592.0</v>
      </c>
      <c r="H96" s="101">
        <v>466.0</v>
      </c>
      <c r="I96" s="101">
        <v>480.02</v>
      </c>
      <c r="J96" s="102">
        <f t="shared" si="22"/>
        <v>-14.02</v>
      </c>
      <c r="K96" s="103">
        <f t="shared" si="23"/>
        <v>31.19038337</v>
      </c>
      <c r="L96" s="54"/>
      <c r="M96" s="83" t="s">
        <v>70</v>
      </c>
      <c r="N96" s="83" t="s">
        <v>71</v>
      </c>
      <c r="O96" s="83" t="s">
        <v>27</v>
      </c>
      <c r="P96" s="83" t="s">
        <v>28</v>
      </c>
      <c r="Q96" s="321" t="s">
        <v>78</v>
      </c>
    </row>
    <row r="97">
      <c r="A97" s="54"/>
      <c r="B97" s="110">
        <v>45693.0</v>
      </c>
      <c r="C97" s="110"/>
      <c r="D97" s="102"/>
      <c r="E97" s="100">
        <v>2133190.0</v>
      </c>
      <c r="F97" s="99">
        <f t="shared" si="24"/>
        <v>1674</v>
      </c>
      <c r="G97" s="100">
        <v>584.0</v>
      </c>
      <c r="H97" s="101">
        <v>487.0</v>
      </c>
      <c r="I97" s="101">
        <v>500.0</v>
      </c>
      <c r="J97" s="102">
        <f t="shared" si="22"/>
        <v>-13</v>
      </c>
      <c r="K97" s="103">
        <f t="shared" si="23"/>
        <v>29.86857826</v>
      </c>
      <c r="L97" s="54"/>
      <c r="M97" s="84">
        <f>SUM(F95:F109)</f>
        <v>20955</v>
      </c>
      <c r="N97" s="84">
        <f>SUM(I95:I109)</f>
        <v>6746.23</v>
      </c>
      <c r="O97" s="85">
        <f>N97/M97*100</f>
        <v>32.19389167</v>
      </c>
      <c r="P97" s="84">
        <f>(M97/100)*(O97-Q97)</f>
        <v>878.83</v>
      </c>
      <c r="Q97" s="464">
        <v>28.0</v>
      </c>
    </row>
    <row r="98">
      <c r="A98" s="54"/>
      <c r="B98" s="110">
        <v>45695.0</v>
      </c>
      <c r="C98" s="110"/>
      <c r="D98" s="102"/>
      <c r="E98" s="100">
        <v>2134689.0</v>
      </c>
      <c r="F98" s="99">
        <f t="shared" si="24"/>
        <v>1499</v>
      </c>
      <c r="G98" s="100">
        <v>590.0</v>
      </c>
      <c r="H98" s="101">
        <v>470.0</v>
      </c>
      <c r="I98" s="101">
        <v>480.09</v>
      </c>
      <c r="J98" s="102">
        <f t="shared" si="22"/>
        <v>-10.09</v>
      </c>
      <c r="K98" s="103">
        <f t="shared" si="23"/>
        <v>32.02735157</v>
      </c>
      <c r="L98" s="54"/>
      <c r="M98" s="60"/>
    </row>
    <row r="99">
      <c r="A99" s="54"/>
      <c r="B99" s="110">
        <v>45697.0</v>
      </c>
      <c r="C99" s="110"/>
      <c r="D99" s="102"/>
      <c r="E99" s="100">
        <v>2136211.0</v>
      </c>
      <c r="F99" s="99">
        <f t="shared" si="24"/>
        <v>1522</v>
      </c>
      <c r="G99" s="100">
        <v>587.0</v>
      </c>
      <c r="H99" s="101">
        <v>458.0</v>
      </c>
      <c r="I99" s="101">
        <v>470.0</v>
      </c>
      <c r="J99" s="102">
        <f t="shared" si="22"/>
        <v>-12</v>
      </c>
      <c r="K99" s="103">
        <f t="shared" si="23"/>
        <v>30.8804205</v>
      </c>
      <c r="L99" s="54"/>
      <c r="M99" s="60"/>
    </row>
    <row r="100">
      <c r="A100" s="54"/>
      <c r="B100" s="110">
        <v>45699.0</v>
      </c>
      <c r="C100" s="110"/>
      <c r="D100" s="102"/>
      <c r="E100" s="100">
        <v>2137836.0</v>
      </c>
      <c r="F100" s="99">
        <f t="shared" si="24"/>
        <v>1625</v>
      </c>
      <c r="G100" s="100">
        <v>583.0</v>
      </c>
      <c r="H100" s="101">
        <v>489.0</v>
      </c>
      <c r="I100" s="101">
        <v>500.0</v>
      </c>
      <c r="J100" s="102">
        <f t="shared" si="22"/>
        <v>-11</v>
      </c>
      <c r="K100" s="103">
        <f t="shared" si="23"/>
        <v>30.76923077</v>
      </c>
      <c r="L100" s="54"/>
      <c r="M100" s="54"/>
    </row>
    <row r="101">
      <c r="A101" s="54"/>
      <c r="B101" s="110">
        <v>45701.0</v>
      </c>
      <c r="C101" s="110"/>
      <c r="D101" s="102"/>
      <c r="E101" s="100">
        <v>2139374.0</v>
      </c>
      <c r="F101" s="99">
        <f t="shared" si="24"/>
        <v>1538</v>
      </c>
      <c r="G101" s="100">
        <v>592.0</v>
      </c>
      <c r="H101" s="101">
        <v>488.0</v>
      </c>
      <c r="I101" s="101">
        <v>500.0</v>
      </c>
      <c r="J101" s="102">
        <f t="shared" si="22"/>
        <v>-12</v>
      </c>
      <c r="K101" s="103">
        <f t="shared" si="23"/>
        <v>32.50975293</v>
      </c>
      <c r="L101" s="54"/>
      <c r="M101" s="54"/>
    </row>
    <row r="102">
      <c r="A102" s="54"/>
      <c r="B102" s="110">
        <v>45703.0</v>
      </c>
      <c r="C102" s="110"/>
      <c r="D102" s="102"/>
      <c r="E102" s="100">
        <v>2140915.0</v>
      </c>
      <c r="F102" s="99">
        <f t="shared" si="24"/>
        <v>1541</v>
      </c>
      <c r="G102" s="100">
        <v>589.0</v>
      </c>
      <c r="H102" s="101">
        <v>468.0</v>
      </c>
      <c r="I102" s="101">
        <v>480.02</v>
      </c>
      <c r="J102" s="102">
        <f t="shared" si="22"/>
        <v>-12.02</v>
      </c>
      <c r="K102" s="103">
        <f t="shared" si="23"/>
        <v>31.14990266</v>
      </c>
      <c r="L102" s="54"/>
      <c r="M102" s="54"/>
    </row>
    <row r="103">
      <c r="A103" s="54"/>
      <c r="B103" s="110">
        <v>45706.0</v>
      </c>
      <c r="C103" s="110"/>
      <c r="D103" s="102"/>
      <c r="E103" s="100">
        <v>2142596.0</v>
      </c>
      <c r="F103" s="99">
        <f t="shared" si="24"/>
        <v>1681</v>
      </c>
      <c r="G103" s="100">
        <v>496.0</v>
      </c>
      <c r="H103" s="101">
        <v>440.0</v>
      </c>
      <c r="I103" s="101">
        <v>450.0</v>
      </c>
      <c r="J103" s="102">
        <f t="shared" si="22"/>
        <v>-10</v>
      </c>
      <c r="K103" s="103">
        <f t="shared" si="23"/>
        <v>26.76977989</v>
      </c>
      <c r="L103" s="54"/>
      <c r="M103" s="54"/>
    </row>
    <row r="104">
      <c r="A104" s="54"/>
      <c r="B104" s="110">
        <v>45706.0</v>
      </c>
      <c r="C104" s="110"/>
      <c r="D104" s="102"/>
      <c r="E104" s="100">
        <v>2143250.0</v>
      </c>
      <c r="F104" s="99">
        <f t="shared" si="24"/>
        <v>654</v>
      </c>
      <c r="G104" s="100">
        <v>582.0</v>
      </c>
      <c r="H104" s="101">
        <v>296.0</v>
      </c>
      <c r="I104" s="101">
        <v>302.69</v>
      </c>
      <c r="J104" s="102">
        <f t="shared" si="22"/>
        <v>-6.69</v>
      </c>
      <c r="K104" s="103">
        <f t="shared" si="23"/>
        <v>46.28287462</v>
      </c>
      <c r="L104" s="54"/>
      <c r="M104" s="54"/>
    </row>
    <row r="105">
      <c r="A105" s="54"/>
      <c r="B105" s="110">
        <v>45708.0</v>
      </c>
      <c r="C105" s="110"/>
      <c r="D105" s="102"/>
      <c r="E105" s="100">
        <v>2144706.0</v>
      </c>
      <c r="F105" s="99">
        <f t="shared" si="24"/>
        <v>1456</v>
      </c>
      <c r="G105" s="100">
        <v>586.0</v>
      </c>
      <c r="H105" s="101">
        <v>466.0</v>
      </c>
      <c r="I105" s="101">
        <v>472.83</v>
      </c>
      <c r="J105" s="102">
        <f t="shared" si="22"/>
        <v>-6.83</v>
      </c>
      <c r="K105" s="103">
        <f t="shared" si="23"/>
        <v>32.47458791</v>
      </c>
      <c r="L105" s="54"/>
      <c r="M105" s="54"/>
    </row>
    <row r="106">
      <c r="A106" s="54"/>
      <c r="B106" s="110">
        <v>45710.0</v>
      </c>
      <c r="C106" s="110"/>
      <c r="D106" s="102"/>
      <c r="E106" s="100">
        <v>2146169.0</v>
      </c>
      <c r="F106" s="99">
        <f t="shared" si="24"/>
        <v>1463</v>
      </c>
      <c r="G106" s="100">
        <v>588.0</v>
      </c>
      <c r="H106" s="101">
        <v>469.0</v>
      </c>
      <c r="I106" s="102">
        <f>432.15+44.42</f>
        <v>476.57</v>
      </c>
      <c r="J106" s="102">
        <f t="shared" si="22"/>
        <v>-7.57</v>
      </c>
      <c r="K106" s="103">
        <f t="shared" si="23"/>
        <v>32.57484621</v>
      </c>
      <c r="L106" s="54"/>
      <c r="M106" s="54"/>
    </row>
    <row r="107">
      <c r="A107" s="54"/>
      <c r="B107" s="110">
        <v>45712.0</v>
      </c>
      <c r="C107" s="110"/>
      <c r="D107" s="102"/>
      <c r="E107" s="100">
        <v>2147388.0</v>
      </c>
      <c r="F107" s="99">
        <f t="shared" si="24"/>
        <v>1219</v>
      </c>
      <c r="G107" s="100">
        <v>586.0</v>
      </c>
      <c r="H107" s="101">
        <v>382.0</v>
      </c>
      <c r="I107" s="101">
        <v>389.04</v>
      </c>
      <c r="J107" s="102">
        <f t="shared" si="22"/>
        <v>-7.04</v>
      </c>
      <c r="K107" s="103">
        <f t="shared" si="23"/>
        <v>31.91468417</v>
      </c>
      <c r="L107" s="54"/>
      <c r="M107" s="54"/>
    </row>
    <row r="108">
      <c r="A108" s="54"/>
      <c r="B108" s="110">
        <v>45713.0</v>
      </c>
      <c r="C108" s="110"/>
      <c r="D108" s="102"/>
      <c r="E108" s="100">
        <v>2148659.0</v>
      </c>
      <c r="F108" s="99">
        <f t="shared" si="24"/>
        <v>1271</v>
      </c>
      <c r="G108" s="100">
        <v>601.0</v>
      </c>
      <c r="H108" s="101">
        <v>443.0</v>
      </c>
      <c r="I108" s="101">
        <v>442.31</v>
      </c>
      <c r="J108" s="102">
        <f t="shared" si="22"/>
        <v>0.69</v>
      </c>
      <c r="K108" s="103">
        <f t="shared" si="23"/>
        <v>34.80015736</v>
      </c>
      <c r="L108" s="54"/>
      <c r="M108" s="54"/>
    </row>
    <row r="109">
      <c r="A109" s="54"/>
      <c r="B109" s="110">
        <v>45715.0</v>
      </c>
      <c r="C109" s="110"/>
      <c r="D109" s="102"/>
      <c r="E109" s="100">
        <v>2149981.0</v>
      </c>
      <c r="F109" s="99">
        <f t="shared" si="24"/>
        <v>1322</v>
      </c>
      <c r="G109" s="100">
        <v>590.0</v>
      </c>
      <c r="H109" s="101">
        <v>456.0</v>
      </c>
      <c r="I109" s="101">
        <v>462.64</v>
      </c>
      <c r="J109" s="102">
        <f t="shared" si="22"/>
        <v>-6.64</v>
      </c>
      <c r="K109" s="103">
        <f t="shared" si="23"/>
        <v>34.99546142</v>
      </c>
      <c r="L109" s="54"/>
      <c r="M109" s="54"/>
    </row>
    <row r="110">
      <c r="A110" s="68"/>
      <c r="B110" s="203" t="str">
        <f>IF(L110=4,"АПРЕЛЬ",IF(L110=5,"МАЙ",IF(L110=1,"ЯНВАРЬ",IF(L110=2,"ФЕВРАЛЬ",IF(L110=3,"МАРТ",IF(L110=6,"ИЮНЬ",IF(L110=7,"ИЮЛЬ",IF(L110=8,"АВГУСТ",IF(L110=9,"СЕНТЯБРЬ",IF(L110=10,"ОКТЯБРЬ",IF(L110=11,"НОЯБРЬ",IF(L110=12,"ДЕКАБРЬ"))))))))))))</f>
        <v>МАРТ</v>
      </c>
      <c r="J110" s="88"/>
      <c r="K110" s="204"/>
      <c r="L110" s="91">
        <f>MONTH(B111)</f>
        <v>3</v>
      </c>
      <c r="M110" s="66"/>
      <c r="N110" s="66"/>
      <c r="O110" s="66"/>
      <c r="P110" s="66"/>
      <c r="Q110" s="66"/>
    </row>
    <row r="111">
      <c r="A111" s="54"/>
      <c r="B111" s="110">
        <v>45717.0</v>
      </c>
      <c r="C111" s="110"/>
      <c r="D111" s="102"/>
      <c r="E111" s="100">
        <v>2151379.0</v>
      </c>
      <c r="F111" s="99">
        <f>E111-E109</f>
        <v>1398</v>
      </c>
      <c r="G111" s="100">
        <v>313.0</v>
      </c>
      <c r="H111" s="101">
        <v>201.0</v>
      </c>
      <c r="I111" s="101">
        <v>200.0</v>
      </c>
      <c r="J111" s="102">
        <f t="shared" ref="J111:J121" si="25">H111-I111</f>
        <v>1</v>
      </c>
      <c r="K111" s="103">
        <f t="shared" ref="K111:K121" si="26">I111/F111*100</f>
        <v>14.30615165</v>
      </c>
      <c r="L111" s="54"/>
      <c r="M111" s="205" t="str">
        <f>"тотал"&amp;" "&amp;B110&amp;" "&amp;RIGHT(YEAR(B111),2)</f>
        <v>тотал МАРТ 25</v>
      </c>
      <c r="N111" s="75"/>
      <c r="O111" s="75"/>
      <c r="P111" s="75"/>
      <c r="Q111" s="76"/>
    </row>
    <row r="112">
      <c r="A112" s="54"/>
      <c r="B112" s="110">
        <v>45717.0</v>
      </c>
      <c r="C112" s="110"/>
      <c r="D112" s="102"/>
      <c r="E112" s="100">
        <v>2151727.0</v>
      </c>
      <c r="F112" s="99">
        <f t="shared" ref="F112:F121" si="27">E112-E111</f>
        <v>348</v>
      </c>
      <c r="G112" s="100">
        <v>490.0</v>
      </c>
      <c r="H112" s="101">
        <v>293.0</v>
      </c>
      <c r="I112" s="101">
        <v>300.0</v>
      </c>
      <c r="J112" s="102">
        <f t="shared" si="25"/>
        <v>-7</v>
      </c>
      <c r="K112" s="103">
        <f t="shared" si="26"/>
        <v>86.20689655</v>
      </c>
      <c r="L112" s="54"/>
      <c r="M112" s="83" t="s">
        <v>70</v>
      </c>
      <c r="N112" s="83" t="s">
        <v>71</v>
      </c>
      <c r="O112" s="83" t="s">
        <v>27</v>
      </c>
      <c r="P112" s="83" t="s">
        <v>28</v>
      </c>
      <c r="Q112" s="321" t="s">
        <v>78</v>
      </c>
    </row>
    <row r="113">
      <c r="A113" s="54"/>
      <c r="B113" s="110">
        <v>45719.0</v>
      </c>
      <c r="C113" s="110"/>
      <c r="D113" s="102"/>
      <c r="E113" s="100">
        <v>2152631.0</v>
      </c>
      <c r="F113" s="99">
        <f t="shared" si="27"/>
        <v>904</v>
      </c>
      <c r="G113" s="100">
        <v>585.0</v>
      </c>
      <c r="H113" s="101">
        <v>406.0</v>
      </c>
      <c r="I113" s="101">
        <v>409.05</v>
      </c>
      <c r="J113" s="102">
        <f t="shared" si="25"/>
        <v>-3.05</v>
      </c>
      <c r="K113" s="103">
        <f t="shared" si="26"/>
        <v>45.24889381</v>
      </c>
      <c r="L113" s="54"/>
      <c r="M113" s="84">
        <f>SUM(F111:F121)</f>
        <v>13525</v>
      </c>
      <c r="N113" s="84">
        <f>SUM(I111:I121)</f>
        <v>4365.76</v>
      </c>
      <c r="O113" s="85">
        <f>N113/M113*100</f>
        <v>32.27918669</v>
      </c>
      <c r="P113" s="84">
        <f>(M113/100)*(O113-Q113)</f>
        <v>542.2425</v>
      </c>
      <c r="Q113" s="464">
        <v>28.27</v>
      </c>
    </row>
    <row r="114">
      <c r="A114" s="54"/>
      <c r="B114" s="110">
        <v>45720.0</v>
      </c>
      <c r="C114" s="110"/>
      <c r="D114" s="102"/>
      <c r="E114" s="100">
        <v>2153543.0</v>
      </c>
      <c r="F114" s="99">
        <f t="shared" si="27"/>
        <v>912</v>
      </c>
      <c r="G114" s="100">
        <v>592.0</v>
      </c>
      <c r="H114" s="101">
        <v>314.0</v>
      </c>
      <c r="I114" s="101">
        <v>318.4</v>
      </c>
      <c r="J114" s="102">
        <f t="shared" si="25"/>
        <v>-4.4</v>
      </c>
      <c r="K114" s="103">
        <f t="shared" si="26"/>
        <v>34.9122807</v>
      </c>
      <c r="L114" s="54"/>
      <c r="M114" s="54"/>
    </row>
    <row r="115">
      <c r="A115" s="54"/>
      <c r="B115" s="110">
        <v>45722.0</v>
      </c>
      <c r="C115" s="110"/>
      <c r="D115" s="102"/>
      <c r="E115" s="100">
        <v>2154527.0</v>
      </c>
      <c r="F115" s="99">
        <f t="shared" si="27"/>
        <v>984</v>
      </c>
      <c r="G115" s="100">
        <v>595.0</v>
      </c>
      <c r="H115" s="101">
        <v>333.0</v>
      </c>
      <c r="I115" s="101">
        <v>343.38</v>
      </c>
      <c r="J115" s="102">
        <f t="shared" si="25"/>
        <v>-10.38</v>
      </c>
      <c r="K115" s="103">
        <f t="shared" si="26"/>
        <v>34.89634146</v>
      </c>
      <c r="L115" s="60"/>
      <c r="M115" s="60"/>
    </row>
    <row r="116">
      <c r="A116" s="54"/>
      <c r="B116" s="110">
        <v>45724.0</v>
      </c>
      <c r="C116" s="110"/>
      <c r="D116" s="102"/>
      <c r="E116" s="100">
        <v>2156011.0</v>
      </c>
      <c r="F116" s="99">
        <f t="shared" si="27"/>
        <v>1484</v>
      </c>
      <c r="G116" s="100">
        <v>593.0</v>
      </c>
      <c r="H116" s="101">
        <v>433.0</v>
      </c>
      <c r="I116" s="101">
        <v>445.27</v>
      </c>
      <c r="J116" s="102">
        <f t="shared" si="25"/>
        <v>-12.27</v>
      </c>
      <c r="K116" s="103">
        <f t="shared" si="26"/>
        <v>30.00471698</v>
      </c>
      <c r="L116" s="54"/>
      <c r="M116" s="60"/>
    </row>
    <row r="117">
      <c r="A117" s="54"/>
      <c r="B117" s="110">
        <v>45726.0</v>
      </c>
      <c r="C117" s="110"/>
      <c r="D117" s="102"/>
      <c r="E117" s="100">
        <v>2157534.0</v>
      </c>
      <c r="F117" s="99">
        <f t="shared" si="27"/>
        <v>1523</v>
      </c>
      <c r="G117" s="100">
        <v>583.0</v>
      </c>
      <c r="H117" s="101">
        <v>437.0</v>
      </c>
      <c r="I117" s="101">
        <v>450.38</v>
      </c>
      <c r="J117" s="102">
        <f t="shared" si="25"/>
        <v>-13.38</v>
      </c>
      <c r="K117" s="103">
        <f t="shared" si="26"/>
        <v>29.57189757</v>
      </c>
      <c r="L117" s="54"/>
      <c r="M117" s="54"/>
      <c r="N117" s="54"/>
      <c r="O117" s="35"/>
    </row>
    <row r="118">
      <c r="A118" s="54"/>
      <c r="B118" s="110">
        <v>45729.0</v>
      </c>
      <c r="C118" s="110"/>
      <c r="D118" s="102"/>
      <c r="E118" s="100">
        <v>2159170.0</v>
      </c>
      <c r="F118" s="99">
        <f t="shared" si="27"/>
        <v>1636</v>
      </c>
      <c r="G118" s="100">
        <v>583.0</v>
      </c>
      <c r="H118" s="101">
        <v>461.0</v>
      </c>
      <c r="I118" s="101">
        <v>475.59</v>
      </c>
      <c r="J118" s="102">
        <f t="shared" si="25"/>
        <v>-14.59</v>
      </c>
      <c r="K118" s="103">
        <f t="shared" si="26"/>
        <v>29.0702934</v>
      </c>
      <c r="L118" s="54"/>
      <c r="M118" s="54"/>
    </row>
    <row r="119">
      <c r="A119" s="54"/>
      <c r="B119" s="110">
        <v>45731.0</v>
      </c>
      <c r="C119" s="110"/>
      <c r="D119" s="102"/>
      <c r="E119" s="100">
        <v>2160691.0</v>
      </c>
      <c r="F119" s="99">
        <f t="shared" si="27"/>
        <v>1521</v>
      </c>
      <c r="G119" s="100">
        <v>589.0</v>
      </c>
      <c r="H119" s="101">
        <v>455.0</v>
      </c>
      <c r="I119" s="101">
        <v>468.53</v>
      </c>
      <c r="J119" s="102">
        <f t="shared" si="25"/>
        <v>-13.53</v>
      </c>
      <c r="K119" s="103">
        <f t="shared" si="26"/>
        <v>30.80407627</v>
      </c>
      <c r="L119" s="54"/>
      <c r="M119" s="54"/>
    </row>
    <row r="120">
      <c r="A120" s="54"/>
      <c r="B120" s="110">
        <v>45733.0</v>
      </c>
      <c r="C120" s="110"/>
      <c r="D120" s="102"/>
      <c r="E120" s="100">
        <v>2162212.0</v>
      </c>
      <c r="F120" s="99">
        <f t="shared" si="27"/>
        <v>1521</v>
      </c>
      <c r="G120" s="100">
        <v>588.0</v>
      </c>
      <c r="H120" s="101">
        <v>458.0</v>
      </c>
      <c r="I120" s="101">
        <v>470.13</v>
      </c>
      <c r="J120" s="102">
        <f t="shared" si="25"/>
        <v>-12.13</v>
      </c>
      <c r="K120" s="103">
        <f t="shared" si="26"/>
        <v>30.90927022</v>
      </c>
      <c r="L120" s="54"/>
      <c r="M120" s="54"/>
    </row>
    <row r="121">
      <c r="A121" s="54"/>
      <c r="B121" s="110">
        <v>45742.0</v>
      </c>
      <c r="C121" s="110"/>
      <c r="D121" s="102"/>
      <c r="E121" s="100">
        <v>2163506.0</v>
      </c>
      <c r="F121" s="99">
        <f t="shared" si="27"/>
        <v>1294</v>
      </c>
      <c r="G121" s="100">
        <v>583.0</v>
      </c>
      <c r="H121" s="101">
        <v>442.0</v>
      </c>
      <c r="I121" s="101">
        <v>485.03</v>
      </c>
      <c r="J121" s="102">
        <f t="shared" si="25"/>
        <v>-43.03</v>
      </c>
      <c r="K121" s="103">
        <f t="shared" si="26"/>
        <v>37.48299845</v>
      </c>
      <c r="L121" s="54"/>
      <c r="M121" s="54"/>
    </row>
    <row r="122">
      <c r="A122" s="68"/>
      <c r="B122" s="203" t="str">
        <f>IF(L122=4,"АПРЕЛЬ",IF(L122=5,"МАЙ",IF(L122=1,"ЯНВАРЬ",IF(L122=2,"ФЕВРАЛЬ",IF(L122=3,"МАРТ",IF(L122=6,"ИЮНЬ",IF(L122=7,"ИЮЛЬ",IF(L122=8,"АВГУСТ",IF(L122=9,"СЕНТЯБРЬ",IF(L122=10,"ОКТЯБРЬ",IF(L122=11,"НОЯБРЬ",IF(L122=12,"ДЕКАБРЬ"))))))))))))</f>
        <v>АПРЕЛЬ</v>
      </c>
      <c r="J122" s="88"/>
      <c r="K122" s="204"/>
      <c r="L122" s="91">
        <f>MONTH(B123)</f>
        <v>4</v>
      </c>
      <c r="M122" s="82" t="str">
        <f>"тотал"&amp;" "&amp;B122&amp;" "&amp;RIGHT(YEAR(B123),2)</f>
        <v>тотал АПРЕЛЬ 25</v>
      </c>
      <c r="N122" s="75"/>
      <c r="O122" s="75"/>
      <c r="P122" s="75"/>
      <c r="Q122" s="76"/>
    </row>
    <row r="123">
      <c r="A123" s="54"/>
      <c r="B123" s="110">
        <v>45754.0</v>
      </c>
      <c r="C123" s="110"/>
      <c r="D123" s="102"/>
      <c r="E123" s="100">
        <v>2164911.0</v>
      </c>
      <c r="F123" s="99">
        <f>E123-E121</f>
        <v>1405</v>
      </c>
      <c r="G123" s="100">
        <v>553.0</v>
      </c>
      <c r="H123" s="101">
        <v>455.0</v>
      </c>
      <c r="I123" s="101">
        <v>500.0</v>
      </c>
      <c r="J123" s="102">
        <f t="shared" ref="J123:J124" si="28">H123-I123</f>
        <v>-45</v>
      </c>
      <c r="K123" s="103">
        <f t="shared" ref="K123:K124" si="29">I123/F123*100</f>
        <v>35.58718861</v>
      </c>
      <c r="L123" s="54"/>
      <c r="M123" s="84" t="s">
        <v>70</v>
      </c>
      <c r="N123" s="84" t="s">
        <v>71</v>
      </c>
      <c r="O123" s="84" t="s">
        <v>27</v>
      </c>
      <c r="P123" s="83" t="s">
        <v>28</v>
      </c>
      <c r="Q123" s="321" t="s">
        <v>78</v>
      </c>
    </row>
    <row r="124">
      <c r="A124" s="54"/>
      <c r="B124" s="110">
        <v>45763.0</v>
      </c>
      <c r="C124" s="110"/>
      <c r="D124" s="102"/>
      <c r="E124" s="100">
        <v>2166039.0</v>
      </c>
      <c r="F124" s="99">
        <f>E124-E123</f>
        <v>1128</v>
      </c>
      <c r="G124" s="100">
        <v>575.0</v>
      </c>
      <c r="H124" s="101">
        <v>443.0</v>
      </c>
      <c r="I124" s="101">
        <v>475.24</v>
      </c>
      <c r="J124" s="102">
        <f t="shared" si="28"/>
        <v>-32.24</v>
      </c>
      <c r="K124" s="103">
        <f t="shared" si="29"/>
        <v>42.13120567</v>
      </c>
      <c r="L124" s="54"/>
      <c r="M124" s="84">
        <f>SUM(F123:F124)</f>
        <v>2533</v>
      </c>
      <c r="N124" s="84">
        <f>SUM(I123:I124)</f>
        <v>975.24</v>
      </c>
      <c r="O124" s="85">
        <f>N124/M124*100</f>
        <v>38.50138176</v>
      </c>
      <c r="P124" s="84">
        <f>(M124/100)*(O124-Q124)</f>
        <v>190.01</v>
      </c>
      <c r="Q124" s="464">
        <v>31.0</v>
      </c>
    </row>
    <row r="125">
      <c r="A125" s="68"/>
      <c r="B125" s="203" t="str">
        <f>IF(L125=4,"АПРЕЛЬ",IF(L125=5,"МАЙ",IF(L125=1,"ЯНВАРЬ",IF(L125=2,"ФЕВРАЛЬ",IF(L125=3,"МАРТ",IF(L125=6,"ИЮНЬ",IF(L125=7,"ИЮЛЬ",IF(L125=8,"АВГУСТ",IF(L125=9,"СЕНТЯБРЬ",IF(L125=10,"ОКТЯБРЬ",IF(L125=11,"НОЯБРЬ",IF(L125=12,"ДЕКАБРЬ"))))))))))))</f>
        <v>МАЙ</v>
      </c>
      <c r="J125" s="88"/>
      <c r="K125" s="204"/>
      <c r="L125" s="91">
        <f>MONTH(B126)</f>
        <v>5</v>
      </c>
      <c r="M125" s="66"/>
      <c r="N125" s="66"/>
      <c r="O125" s="66"/>
      <c r="P125" s="66"/>
      <c r="Q125" s="66"/>
    </row>
    <row r="126">
      <c r="A126" s="60">
        <v>8378.0</v>
      </c>
      <c r="B126" s="110">
        <v>45782.0</v>
      </c>
      <c r="C126" s="100" t="s">
        <v>123</v>
      </c>
      <c r="D126" s="100" t="s">
        <v>291</v>
      </c>
      <c r="E126" s="100">
        <v>2166522.0</v>
      </c>
      <c r="F126" s="99">
        <f>E126-E124</f>
        <v>483</v>
      </c>
      <c r="G126" s="100">
        <v>603.0</v>
      </c>
      <c r="H126" s="101">
        <v>180.0</v>
      </c>
      <c r="I126" s="101">
        <v>180.0</v>
      </c>
      <c r="J126" s="102">
        <f t="shared" ref="J126:J136" si="30">H126-I126</f>
        <v>0</v>
      </c>
      <c r="K126" s="103">
        <f t="shared" ref="K126:K136" si="31">I126/F126*100</f>
        <v>37.26708075</v>
      </c>
      <c r="L126" s="54"/>
      <c r="M126" s="205" t="str">
        <f>"тотал"&amp;" "&amp;B125&amp;" "&amp;RIGHT(YEAR(B126),2)</f>
        <v>тотал МАЙ 25</v>
      </c>
      <c r="N126" s="75"/>
      <c r="O126" s="75"/>
      <c r="P126" s="75"/>
      <c r="Q126" s="76"/>
    </row>
    <row r="127">
      <c r="A127" s="476" t="s">
        <v>430</v>
      </c>
      <c r="B127" s="110">
        <v>45784.0</v>
      </c>
      <c r="C127" s="100" t="s">
        <v>123</v>
      </c>
      <c r="D127" s="100" t="s">
        <v>291</v>
      </c>
      <c r="E127" s="100">
        <v>2167992.0</v>
      </c>
      <c r="F127" s="99">
        <f t="shared" ref="F127:F136" si="32">E127-E126</f>
        <v>1470</v>
      </c>
      <c r="G127" s="100">
        <v>610.0</v>
      </c>
      <c r="H127" s="101">
        <v>481.0</v>
      </c>
      <c r="I127" s="101">
        <v>480.01</v>
      </c>
      <c r="J127" s="102">
        <f t="shared" si="30"/>
        <v>0.99</v>
      </c>
      <c r="K127" s="103">
        <f t="shared" si="31"/>
        <v>32.6537415</v>
      </c>
      <c r="L127" s="54"/>
      <c r="M127" s="83" t="s">
        <v>70</v>
      </c>
      <c r="N127" s="83" t="s">
        <v>71</v>
      </c>
      <c r="O127" s="83" t="s">
        <v>27</v>
      </c>
      <c r="P127" s="83" t="s">
        <v>28</v>
      </c>
      <c r="Q127" s="321" t="s">
        <v>78</v>
      </c>
    </row>
    <row r="128">
      <c r="A128" s="60">
        <v>8378.0</v>
      </c>
      <c r="B128" s="110">
        <v>45788.0</v>
      </c>
      <c r="C128" s="100" t="s">
        <v>120</v>
      </c>
      <c r="D128" s="100" t="s">
        <v>291</v>
      </c>
      <c r="E128" s="100">
        <v>2169586.0</v>
      </c>
      <c r="F128" s="99">
        <f t="shared" si="32"/>
        <v>1594</v>
      </c>
      <c r="G128" s="100">
        <v>610.0</v>
      </c>
      <c r="H128" s="101">
        <v>500.0</v>
      </c>
      <c r="I128" s="101">
        <v>497.0</v>
      </c>
      <c r="J128" s="102">
        <f t="shared" si="30"/>
        <v>3</v>
      </c>
      <c r="K128" s="103">
        <f t="shared" si="31"/>
        <v>31.17942284</v>
      </c>
      <c r="L128" s="54"/>
      <c r="M128" s="84">
        <f>SUM(F126:F136)</f>
        <v>14512</v>
      </c>
      <c r="N128" s="84">
        <f>SUM(I126:I136)</f>
        <v>4458.24</v>
      </c>
      <c r="O128" s="85">
        <f>N128/M128*100</f>
        <v>30.72105843</v>
      </c>
      <c r="P128" s="84">
        <f>(M128/100)*(O128-Q128)</f>
        <v>394.88</v>
      </c>
      <c r="Q128" s="464">
        <v>28.0</v>
      </c>
    </row>
    <row r="129">
      <c r="A129" s="60">
        <v>8378.0</v>
      </c>
      <c r="B129" s="110">
        <v>45789.0</v>
      </c>
      <c r="C129" s="100" t="s">
        <v>123</v>
      </c>
      <c r="D129" s="100" t="s">
        <v>291</v>
      </c>
      <c r="E129" s="100">
        <v>2169902.0</v>
      </c>
      <c r="F129" s="99">
        <f t="shared" si="32"/>
        <v>316</v>
      </c>
      <c r="G129" s="100">
        <v>610.0</v>
      </c>
      <c r="H129" s="101">
        <v>97.0</v>
      </c>
      <c r="I129" s="101">
        <v>100.0</v>
      </c>
      <c r="J129" s="102">
        <f t="shared" si="30"/>
        <v>-3</v>
      </c>
      <c r="K129" s="103">
        <f t="shared" si="31"/>
        <v>31.64556962</v>
      </c>
      <c r="L129" s="54"/>
      <c r="M129" s="54"/>
    </row>
    <row r="130">
      <c r="A130" s="476" t="s">
        <v>430</v>
      </c>
      <c r="B130" s="110">
        <v>45791.0</v>
      </c>
      <c r="C130" s="100" t="s">
        <v>123</v>
      </c>
      <c r="D130" s="100" t="s">
        <v>291</v>
      </c>
      <c r="E130" s="100">
        <v>2171363.0</v>
      </c>
      <c r="F130" s="99">
        <f t="shared" si="32"/>
        <v>1461</v>
      </c>
      <c r="G130" s="100">
        <v>610.0</v>
      </c>
      <c r="H130" s="101">
        <v>446.0</v>
      </c>
      <c r="I130" s="101">
        <v>447.0</v>
      </c>
      <c r="J130" s="102">
        <f t="shared" si="30"/>
        <v>-1</v>
      </c>
      <c r="K130" s="103">
        <f t="shared" si="31"/>
        <v>30.59548255</v>
      </c>
      <c r="L130" s="54"/>
      <c r="M130" s="54"/>
    </row>
    <row r="131">
      <c r="A131" s="60">
        <v>8378.0</v>
      </c>
      <c r="B131" s="110">
        <v>45793.0</v>
      </c>
      <c r="C131" s="100" t="s">
        <v>127</v>
      </c>
      <c r="D131" s="100" t="s">
        <v>291</v>
      </c>
      <c r="E131" s="100">
        <v>2172800.0</v>
      </c>
      <c r="F131" s="99">
        <f t="shared" si="32"/>
        <v>1437</v>
      </c>
      <c r="G131" s="100">
        <v>608.0</v>
      </c>
      <c r="H131" s="101">
        <v>433.0</v>
      </c>
      <c r="I131" s="102">
        <f>500-65</f>
        <v>435</v>
      </c>
      <c r="J131" s="102">
        <f t="shared" si="30"/>
        <v>-2</v>
      </c>
      <c r="K131" s="103">
        <f t="shared" si="31"/>
        <v>30.27139875</v>
      </c>
      <c r="L131" s="54"/>
      <c r="M131" s="54"/>
    </row>
    <row r="132">
      <c r="A132" s="476" t="s">
        <v>430</v>
      </c>
      <c r="B132" s="110">
        <v>45796.0</v>
      </c>
      <c r="C132" s="100" t="s">
        <v>127</v>
      </c>
      <c r="D132" s="100" t="s">
        <v>291</v>
      </c>
      <c r="E132" s="100">
        <v>2174467.0</v>
      </c>
      <c r="F132" s="99">
        <f t="shared" si="32"/>
        <v>1667</v>
      </c>
      <c r="G132" s="100">
        <v>602.0</v>
      </c>
      <c r="H132" s="101">
        <v>504.0</v>
      </c>
      <c r="I132" s="101">
        <v>500.0</v>
      </c>
      <c r="J132" s="102">
        <f t="shared" si="30"/>
        <v>4</v>
      </c>
      <c r="K132" s="103">
        <f t="shared" si="31"/>
        <v>29.9940012</v>
      </c>
      <c r="L132" s="54"/>
      <c r="M132" s="54"/>
    </row>
    <row r="133">
      <c r="A133" s="60">
        <v>8378.0</v>
      </c>
      <c r="B133" s="110">
        <v>45799.0</v>
      </c>
      <c r="C133" s="100" t="s">
        <v>123</v>
      </c>
      <c r="D133" s="100" t="s">
        <v>291</v>
      </c>
      <c r="E133" s="100">
        <v>2176058.0</v>
      </c>
      <c r="F133" s="99">
        <f t="shared" si="32"/>
        <v>1591</v>
      </c>
      <c r="G133" s="100">
        <v>609.0</v>
      </c>
      <c r="H133" s="12">
        <v>496.0</v>
      </c>
      <c r="I133" s="102">
        <f>500-9.99</f>
        <v>490.01</v>
      </c>
      <c r="J133" s="102">
        <f t="shared" si="30"/>
        <v>5.99</v>
      </c>
      <c r="K133" s="103">
        <f t="shared" si="31"/>
        <v>30.79886864</v>
      </c>
      <c r="L133" s="54"/>
      <c r="M133" s="54"/>
    </row>
    <row r="134">
      <c r="A134" s="60">
        <v>8378.0</v>
      </c>
      <c r="B134" s="110">
        <v>45803.0</v>
      </c>
      <c r="C134" s="100" t="s">
        <v>123</v>
      </c>
      <c r="D134" s="100" t="s">
        <v>291</v>
      </c>
      <c r="E134" s="100">
        <v>2177639.0</v>
      </c>
      <c r="F134" s="99">
        <f t="shared" si="32"/>
        <v>1581</v>
      </c>
      <c r="G134" s="100">
        <v>606.0</v>
      </c>
      <c r="H134" s="12">
        <v>460.0</v>
      </c>
      <c r="I134" s="101">
        <v>460.0</v>
      </c>
      <c r="J134" s="102">
        <f t="shared" si="30"/>
        <v>0</v>
      </c>
      <c r="K134" s="103">
        <f t="shared" si="31"/>
        <v>29.09550917</v>
      </c>
      <c r="L134" s="54"/>
      <c r="M134" s="54"/>
    </row>
    <row r="135">
      <c r="A135" s="60">
        <v>8378.0</v>
      </c>
      <c r="B135" s="110">
        <v>45805.0</v>
      </c>
      <c r="C135" s="100" t="s">
        <v>123</v>
      </c>
      <c r="D135" s="100" t="s">
        <v>291</v>
      </c>
      <c r="E135" s="100">
        <v>2179107.0</v>
      </c>
      <c r="F135" s="99">
        <f t="shared" si="32"/>
        <v>1468</v>
      </c>
      <c r="G135" s="100">
        <v>600.0</v>
      </c>
      <c r="H135" s="101">
        <v>438.0</v>
      </c>
      <c r="I135" s="101">
        <f>500-55.36</f>
        <v>444.64</v>
      </c>
      <c r="J135" s="102">
        <f t="shared" si="30"/>
        <v>-6.64</v>
      </c>
      <c r="K135" s="103">
        <f t="shared" si="31"/>
        <v>30.28882834</v>
      </c>
      <c r="L135" s="54"/>
      <c r="M135" s="54"/>
    </row>
    <row r="136">
      <c r="A136" s="60">
        <v>8378.0</v>
      </c>
      <c r="B136" s="110">
        <v>45807.0</v>
      </c>
      <c r="C136" s="100" t="s">
        <v>123</v>
      </c>
      <c r="D136" s="100" t="s">
        <v>291</v>
      </c>
      <c r="E136" s="100">
        <v>2180551.0</v>
      </c>
      <c r="F136" s="99">
        <f t="shared" si="32"/>
        <v>1444</v>
      </c>
      <c r="G136" s="100">
        <v>604.0</v>
      </c>
      <c r="H136" s="101">
        <v>426.0</v>
      </c>
      <c r="I136" s="102">
        <f>141.6*2+141.38</f>
        <v>424.58</v>
      </c>
      <c r="J136" s="102">
        <f t="shared" si="30"/>
        <v>1.42</v>
      </c>
      <c r="K136" s="103">
        <f t="shared" si="31"/>
        <v>29.40304709</v>
      </c>
      <c r="L136" s="54"/>
      <c r="M136" s="54"/>
    </row>
    <row r="137">
      <c r="A137" s="68"/>
      <c r="B137" s="203" t="str">
        <f>IF(L137=4,"АПРЕЛЬ",IF(L137=5,"МАЙ",IF(L137=1,"ЯНВАРЬ",IF(L137=2,"ФЕВРАЛЬ",IF(L137=3,"МАРТ",IF(L137=6,"ИЮНЬ",IF(L137=7,"ИЮЛЬ",IF(L137=8,"АВГУСТ",IF(L137=9,"СЕНТЯБРЬ",IF(L137=10,"ОКТЯБРЬ",IF(L137=11,"НОЯБРЬ",IF(L137=12,"ДЕКАБРЬ"))))))))))))</f>
        <v>ИЮНЬ</v>
      </c>
      <c r="J137" s="88"/>
      <c r="K137" s="204"/>
      <c r="L137" s="91">
        <f>MONTH(B138)</f>
        <v>6</v>
      </c>
      <c r="M137" s="66"/>
      <c r="N137" s="66"/>
      <c r="O137" s="66"/>
      <c r="P137" s="66"/>
      <c r="Q137" s="66"/>
    </row>
    <row r="138">
      <c r="A138" s="54"/>
      <c r="B138" s="110">
        <v>45812.0</v>
      </c>
      <c r="C138" s="100" t="s">
        <v>123</v>
      </c>
      <c r="D138" s="100" t="s">
        <v>431</v>
      </c>
      <c r="E138" s="100">
        <v>2182144.0</v>
      </c>
      <c r="F138" s="99">
        <f>E138-E136</f>
        <v>1593</v>
      </c>
      <c r="G138" s="100">
        <v>598.0</v>
      </c>
      <c r="H138" s="101">
        <v>449.0</v>
      </c>
      <c r="I138" s="101">
        <v>450.33</v>
      </c>
      <c r="J138" s="102">
        <f t="shared" ref="J138:J149" si="33">H138-I138</f>
        <v>-1.33</v>
      </c>
      <c r="K138" s="103">
        <f t="shared" ref="K138:K149" si="34">I138/F138*100</f>
        <v>28.2693032</v>
      </c>
      <c r="L138" s="54"/>
      <c r="M138" s="205" t="str">
        <f>"тотал"&amp;" "&amp;B137&amp;" "&amp;RIGHT(YEAR(B138),2)</f>
        <v>тотал ИЮНЬ 25</v>
      </c>
      <c r="N138" s="75"/>
      <c r="O138" s="75"/>
      <c r="P138" s="75"/>
      <c r="Q138" s="76"/>
    </row>
    <row r="139">
      <c r="A139" s="54"/>
      <c r="B139" s="110">
        <v>45814.0</v>
      </c>
      <c r="C139" s="100" t="s">
        <v>123</v>
      </c>
      <c r="D139" s="100" t="s">
        <v>431</v>
      </c>
      <c r="E139" s="100">
        <v>2183771.0</v>
      </c>
      <c r="F139" s="99">
        <f t="shared" ref="F139:F149" si="35">E139-E138</f>
        <v>1627</v>
      </c>
      <c r="G139" s="100">
        <v>609.0</v>
      </c>
      <c r="H139" s="101">
        <v>500.0</v>
      </c>
      <c r="I139" s="101">
        <v>495.62</v>
      </c>
      <c r="J139" s="102">
        <f t="shared" si="33"/>
        <v>4.38</v>
      </c>
      <c r="K139" s="103">
        <f t="shared" si="34"/>
        <v>30.46220037</v>
      </c>
      <c r="L139" s="54"/>
      <c r="M139" s="83" t="s">
        <v>70</v>
      </c>
      <c r="N139" s="83" t="s">
        <v>71</v>
      </c>
      <c r="O139" s="83" t="s">
        <v>27</v>
      </c>
      <c r="P139" s="83" t="s">
        <v>28</v>
      </c>
      <c r="Q139" s="321" t="s">
        <v>78</v>
      </c>
    </row>
    <row r="140">
      <c r="A140" s="54"/>
      <c r="B140" s="110">
        <v>45816.0</v>
      </c>
      <c r="C140" s="100" t="s">
        <v>127</v>
      </c>
      <c r="D140" s="100" t="s">
        <v>431</v>
      </c>
      <c r="E140" s="100">
        <v>2185282.0</v>
      </c>
      <c r="F140" s="99">
        <f t="shared" si="35"/>
        <v>1511</v>
      </c>
      <c r="G140" s="100">
        <v>563.0</v>
      </c>
      <c r="H140" s="101">
        <v>397.0</v>
      </c>
      <c r="I140" s="101">
        <v>400.0</v>
      </c>
      <c r="J140" s="102">
        <f t="shared" si="33"/>
        <v>-3</v>
      </c>
      <c r="K140" s="103">
        <f t="shared" si="34"/>
        <v>26.47253475</v>
      </c>
      <c r="L140" s="54"/>
      <c r="M140" s="84">
        <f>SUM(F138:F149)</f>
        <v>17343</v>
      </c>
      <c r="N140" s="84">
        <f>SUM(I138:I149)</f>
        <v>5106.58</v>
      </c>
      <c r="O140" s="85">
        <f>N140/M140*100</f>
        <v>29.44461742</v>
      </c>
      <c r="P140" s="84">
        <f>(M140/100)*(O140-Q140)</f>
        <v>250.54</v>
      </c>
      <c r="Q140" s="464">
        <v>28.0</v>
      </c>
    </row>
    <row r="141">
      <c r="A141" s="54"/>
      <c r="B141" s="110">
        <v>45818.0</v>
      </c>
      <c r="C141" s="100" t="s">
        <v>127</v>
      </c>
      <c r="D141" s="100" t="s">
        <v>431</v>
      </c>
      <c r="E141" s="100">
        <v>2186860.0</v>
      </c>
      <c r="F141" s="99">
        <f t="shared" si="35"/>
        <v>1578</v>
      </c>
      <c r="G141" s="100">
        <v>609.0</v>
      </c>
      <c r="H141" s="101">
        <v>537.0</v>
      </c>
      <c r="I141" s="101">
        <v>532.88</v>
      </c>
      <c r="J141" s="102">
        <f t="shared" si="33"/>
        <v>4.12</v>
      </c>
      <c r="K141" s="103">
        <f t="shared" si="34"/>
        <v>33.76932826</v>
      </c>
      <c r="L141" s="54"/>
      <c r="M141" s="54"/>
    </row>
    <row r="142">
      <c r="A142" s="54"/>
      <c r="B142" s="110">
        <v>45824.0</v>
      </c>
      <c r="C142" s="100" t="s">
        <v>127</v>
      </c>
      <c r="D142" s="100" t="s">
        <v>431</v>
      </c>
      <c r="E142" s="100">
        <v>2188298.0</v>
      </c>
      <c r="F142" s="99">
        <f t="shared" si="35"/>
        <v>1438</v>
      </c>
      <c r="G142" s="100">
        <v>559.0</v>
      </c>
      <c r="H142" s="101">
        <v>396.0</v>
      </c>
      <c r="I142" s="101">
        <v>400.0</v>
      </c>
      <c r="J142" s="102">
        <f t="shared" si="33"/>
        <v>-4</v>
      </c>
      <c r="K142" s="103">
        <f t="shared" si="34"/>
        <v>27.81641168</v>
      </c>
      <c r="L142" s="54"/>
      <c r="M142" s="54"/>
    </row>
    <row r="143">
      <c r="A143" s="54"/>
      <c r="B143" s="110">
        <v>45825.0</v>
      </c>
      <c r="C143" s="100" t="s">
        <v>123</v>
      </c>
      <c r="D143" s="100" t="s">
        <v>431</v>
      </c>
      <c r="E143" s="100">
        <v>2189761.0</v>
      </c>
      <c r="F143" s="99">
        <f t="shared" si="35"/>
        <v>1463</v>
      </c>
      <c r="G143" s="100">
        <v>534.0</v>
      </c>
      <c r="H143" s="101">
        <v>400.0</v>
      </c>
      <c r="I143" s="101">
        <v>400.0</v>
      </c>
      <c r="J143" s="102">
        <f t="shared" si="33"/>
        <v>0</v>
      </c>
      <c r="K143" s="103">
        <f t="shared" si="34"/>
        <v>27.34107997</v>
      </c>
      <c r="L143" s="54"/>
      <c r="M143" s="54"/>
    </row>
    <row r="144">
      <c r="A144" s="54"/>
      <c r="B144" s="110">
        <v>45827.0</v>
      </c>
      <c r="C144" s="100" t="s">
        <v>123</v>
      </c>
      <c r="D144" s="100" t="s">
        <v>431</v>
      </c>
      <c r="E144" s="100">
        <v>2191038.0</v>
      </c>
      <c r="F144" s="99">
        <f t="shared" si="35"/>
        <v>1277</v>
      </c>
      <c r="G144" s="100">
        <v>532.0</v>
      </c>
      <c r="H144" s="101">
        <v>397.0</v>
      </c>
      <c r="I144" s="101">
        <v>400.0</v>
      </c>
      <c r="J144" s="102">
        <f t="shared" si="33"/>
        <v>-3</v>
      </c>
      <c r="K144" s="103">
        <f t="shared" si="34"/>
        <v>31.32341425</v>
      </c>
      <c r="L144" s="60"/>
      <c r="M144" s="54"/>
    </row>
    <row r="145">
      <c r="A145" s="54"/>
      <c r="B145" s="110">
        <v>45829.0</v>
      </c>
      <c r="C145" s="100" t="s">
        <v>123</v>
      </c>
      <c r="D145" s="100" t="s">
        <v>431</v>
      </c>
      <c r="E145" s="100">
        <v>2192256.0</v>
      </c>
      <c r="F145" s="99">
        <f t="shared" si="35"/>
        <v>1218</v>
      </c>
      <c r="G145" s="100">
        <v>568.0</v>
      </c>
      <c r="H145" s="101">
        <v>394.0</v>
      </c>
      <c r="I145" s="101">
        <v>400.0</v>
      </c>
      <c r="J145" s="102">
        <f t="shared" si="33"/>
        <v>-6</v>
      </c>
      <c r="K145" s="103">
        <f t="shared" si="34"/>
        <v>32.8407225</v>
      </c>
      <c r="L145" s="60"/>
      <c r="M145" s="54"/>
    </row>
    <row r="146">
      <c r="A146" s="54"/>
      <c r="B146" s="110">
        <v>45832.0</v>
      </c>
      <c r="C146" s="100" t="s">
        <v>123</v>
      </c>
      <c r="D146" s="100" t="s">
        <v>431</v>
      </c>
      <c r="E146" s="100">
        <v>2193508.0</v>
      </c>
      <c r="F146" s="99">
        <f t="shared" si="35"/>
        <v>1252</v>
      </c>
      <c r="G146" s="100">
        <v>586.0</v>
      </c>
      <c r="H146" s="101">
        <v>376.0</v>
      </c>
      <c r="I146" s="102">
        <f>138.85*2+100.05</f>
        <v>377.75</v>
      </c>
      <c r="J146" s="102">
        <f t="shared" si="33"/>
        <v>-1.75</v>
      </c>
      <c r="K146" s="103">
        <f t="shared" si="34"/>
        <v>30.17172524</v>
      </c>
      <c r="L146" s="54"/>
      <c r="M146" s="54"/>
    </row>
    <row r="147">
      <c r="A147" s="54"/>
      <c r="B147" s="110">
        <v>45834.0</v>
      </c>
      <c r="C147" s="100" t="s">
        <v>123</v>
      </c>
      <c r="D147" s="100" t="s">
        <v>431</v>
      </c>
      <c r="E147" s="100">
        <v>2194988.0</v>
      </c>
      <c r="F147" s="99">
        <f t="shared" si="35"/>
        <v>1480</v>
      </c>
      <c r="G147" s="100">
        <v>547.0</v>
      </c>
      <c r="H147" s="101">
        <v>400.0</v>
      </c>
      <c r="I147" s="101">
        <v>400.0</v>
      </c>
      <c r="J147" s="102">
        <f t="shared" si="33"/>
        <v>0</v>
      </c>
      <c r="K147" s="103">
        <f t="shared" si="34"/>
        <v>27.02702703</v>
      </c>
      <c r="L147" s="54"/>
      <c r="M147" s="54"/>
    </row>
    <row r="148">
      <c r="A148" s="54"/>
      <c r="B148" s="110">
        <v>45836.0</v>
      </c>
      <c r="C148" s="100" t="s">
        <v>123</v>
      </c>
      <c r="D148" s="100" t="s">
        <v>431</v>
      </c>
      <c r="E148" s="100">
        <v>2196425.0</v>
      </c>
      <c r="F148" s="99">
        <f t="shared" si="35"/>
        <v>1437</v>
      </c>
      <c r="G148" s="100">
        <v>576.0</v>
      </c>
      <c r="H148" s="101">
        <v>450.0</v>
      </c>
      <c r="I148" s="101">
        <v>450.0</v>
      </c>
      <c r="J148" s="102">
        <f t="shared" si="33"/>
        <v>0</v>
      </c>
      <c r="K148" s="103">
        <f t="shared" si="34"/>
        <v>31.31524008</v>
      </c>
      <c r="L148" s="54"/>
      <c r="M148" s="60"/>
    </row>
    <row r="149">
      <c r="A149" s="54"/>
      <c r="B149" s="110">
        <v>45838.0</v>
      </c>
      <c r="C149" s="100" t="s">
        <v>123</v>
      </c>
      <c r="D149" s="100" t="s">
        <v>431</v>
      </c>
      <c r="E149" s="100">
        <v>2197894.0</v>
      </c>
      <c r="F149" s="99">
        <f t="shared" si="35"/>
        <v>1469</v>
      </c>
      <c r="G149" s="100">
        <v>560.0</v>
      </c>
      <c r="H149" s="101">
        <v>402.0</v>
      </c>
      <c r="I149" s="101">
        <v>400.0</v>
      </c>
      <c r="J149" s="102">
        <f t="shared" si="33"/>
        <v>2</v>
      </c>
      <c r="K149" s="103">
        <f t="shared" si="34"/>
        <v>27.22940776</v>
      </c>
      <c r="L149" s="54"/>
      <c r="M149" s="54"/>
    </row>
    <row r="150">
      <c r="A150" s="68"/>
      <c r="B150" s="203" t="str">
        <f>IF(L150=4,"АПРЕЛЬ",IF(L150=5,"МАЙ",IF(L150=1,"ЯНВАРЬ",IF(L150=2,"ФЕВРАЛЬ",IF(L150=3,"МАРТ",IF(L150=6,"ИЮНЬ",IF(L150=7,"ИЮЛЬ",IF(L150=8,"АВГУСТ",IF(L150=9,"СЕНТЯБРЬ",IF(L150=10,"ОКТЯБРЬ",IF(L150=11,"НОЯБРЬ",IF(L150=12,"ДЕКАБРЬ"))))))))))))</f>
        <v>ИЮЛЬ</v>
      </c>
      <c r="J150" s="88"/>
      <c r="K150" s="204"/>
      <c r="L150" s="91">
        <f>MONTH(B151)</f>
        <v>7</v>
      </c>
      <c r="M150" s="66"/>
      <c r="N150" s="66"/>
      <c r="O150" s="66"/>
      <c r="P150" s="66"/>
      <c r="Q150" s="66"/>
    </row>
    <row r="151">
      <c r="A151" s="54"/>
      <c r="B151" s="110">
        <v>45840.0</v>
      </c>
      <c r="C151" s="338" t="s">
        <v>432</v>
      </c>
      <c r="D151" s="321" t="s">
        <v>431</v>
      </c>
      <c r="E151" s="100">
        <v>2199457.0</v>
      </c>
      <c r="F151" s="99">
        <f>E151-E149</f>
        <v>1563</v>
      </c>
      <c r="G151" s="100">
        <v>531.0</v>
      </c>
      <c r="H151" s="101">
        <v>452.0</v>
      </c>
      <c r="I151" s="101">
        <v>450.0</v>
      </c>
      <c r="J151" s="102">
        <f t="shared" ref="J151:J164" si="36">H151-I151</f>
        <v>2</v>
      </c>
      <c r="K151" s="103">
        <f t="shared" ref="K151:K164" si="37">I151/F151*100</f>
        <v>28.79078695</v>
      </c>
      <c r="L151" s="54"/>
      <c r="M151" s="205" t="str">
        <f>"тотал"&amp;" "&amp;B150&amp;" "&amp;RIGHT(YEAR(B151),2)</f>
        <v>тотал ИЮЛЬ 25</v>
      </c>
      <c r="N151" s="75"/>
      <c r="O151" s="75"/>
      <c r="P151" s="75"/>
      <c r="Q151" s="76"/>
    </row>
    <row r="152">
      <c r="A152" s="54"/>
      <c r="B152" s="110">
        <v>45843.0</v>
      </c>
      <c r="C152" s="338" t="s">
        <v>432</v>
      </c>
      <c r="D152" s="321" t="s">
        <v>431</v>
      </c>
      <c r="E152" s="100">
        <v>2200528.0</v>
      </c>
      <c r="F152" s="99">
        <f t="shared" ref="F152:F164" si="38">E152-E151</f>
        <v>1071</v>
      </c>
      <c r="G152" s="100">
        <v>575.0</v>
      </c>
      <c r="H152" s="101">
        <v>401.0</v>
      </c>
      <c r="I152" s="101">
        <v>400.0</v>
      </c>
      <c r="J152" s="102">
        <f t="shared" si="36"/>
        <v>1</v>
      </c>
      <c r="K152" s="103">
        <f t="shared" si="37"/>
        <v>37.34827264</v>
      </c>
      <c r="L152" s="54"/>
      <c r="M152" s="83" t="s">
        <v>70</v>
      </c>
      <c r="N152" s="83" t="s">
        <v>71</v>
      </c>
      <c r="O152" s="83" t="s">
        <v>27</v>
      </c>
      <c r="P152" s="83" t="s">
        <v>28</v>
      </c>
      <c r="Q152" s="321" t="s">
        <v>78</v>
      </c>
    </row>
    <row r="153">
      <c r="A153" s="54"/>
      <c r="B153" s="110">
        <v>45848.0</v>
      </c>
      <c r="C153" s="338" t="s">
        <v>432</v>
      </c>
      <c r="D153" s="321" t="s">
        <v>431</v>
      </c>
      <c r="E153" s="100">
        <v>2202018.0</v>
      </c>
      <c r="F153" s="99">
        <f t="shared" si="38"/>
        <v>1490</v>
      </c>
      <c r="G153" s="100">
        <v>594.0</v>
      </c>
      <c r="H153" s="101">
        <v>508.0</v>
      </c>
      <c r="I153" s="101">
        <v>500.0</v>
      </c>
      <c r="J153" s="102">
        <f t="shared" si="36"/>
        <v>8</v>
      </c>
      <c r="K153" s="103">
        <f t="shared" si="37"/>
        <v>33.55704698</v>
      </c>
      <c r="L153" s="54"/>
      <c r="M153" s="84">
        <f>SUM(F151:F164)</f>
        <v>19256</v>
      </c>
      <c r="N153" s="84">
        <f>SUM(I151:I164)</f>
        <v>5869.06</v>
      </c>
      <c r="O153" s="85">
        <f>N153/M153*100</f>
        <v>30.47912339</v>
      </c>
      <c r="P153" s="84">
        <f>(M153/100)*(O153-Q153)</f>
        <v>477.38</v>
      </c>
      <c r="Q153" s="464">
        <v>28.0</v>
      </c>
    </row>
    <row r="154">
      <c r="A154" s="54"/>
      <c r="B154" s="110">
        <v>45852.0</v>
      </c>
      <c r="C154" s="338" t="s">
        <v>123</v>
      </c>
      <c r="D154" s="321" t="s">
        <v>431</v>
      </c>
      <c r="E154" s="100">
        <v>2203114.0</v>
      </c>
      <c r="F154" s="99">
        <f t="shared" si="38"/>
        <v>1096</v>
      </c>
      <c r="G154" s="100">
        <v>535.0</v>
      </c>
      <c r="H154" s="101">
        <v>318.0</v>
      </c>
      <c r="I154" s="101">
        <v>319.76</v>
      </c>
      <c r="J154" s="102">
        <f t="shared" si="36"/>
        <v>-1.76</v>
      </c>
      <c r="K154" s="103">
        <f t="shared" si="37"/>
        <v>29.17518248</v>
      </c>
      <c r="L154" s="54"/>
      <c r="M154" s="54"/>
    </row>
    <row r="155">
      <c r="A155" s="54"/>
      <c r="B155" s="110">
        <v>45854.0</v>
      </c>
      <c r="C155" s="338" t="s">
        <v>123</v>
      </c>
      <c r="D155" s="321" t="s">
        <v>431</v>
      </c>
      <c r="E155" s="100">
        <v>2204553.0</v>
      </c>
      <c r="F155" s="99">
        <f t="shared" si="38"/>
        <v>1439</v>
      </c>
      <c r="G155" s="100">
        <v>517.0</v>
      </c>
      <c r="H155" s="101">
        <v>402.0</v>
      </c>
      <c r="I155" s="102">
        <f>138.66*2--122</f>
        <v>399.32</v>
      </c>
      <c r="J155" s="102">
        <f t="shared" si="36"/>
        <v>2.68</v>
      </c>
      <c r="K155" s="103">
        <f t="shared" si="37"/>
        <v>27.74982627</v>
      </c>
      <c r="L155" s="54"/>
      <c r="M155" s="60"/>
      <c r="N155" s="477"/>
    </row>
    <row r="156">
      <c r="A156" s="54"/>
      <c r="B156" s="110">
        <v>45856.0</v>
      </c>
      <c r="C156" s="338" t="s">
        <v>123</v>
      </c>
      <c r="D156" s="321" t="s">
        <v>431</v>
      </c>
      <c r="E156" s="100">
        <v>2205992.0</v>
      </c>
      <c r="F156" s="99">
        <f t="shared" si="38"/>
        <v>1439</v>
      </c>
      <c r="G156" s="100">
        <v>542.0</v>
      </c>
      <c r="H156" s="101">
        <v>454.0</v>
      </c>
      <c r="I156" s="102">
        <f>138.66*3--34</f>
        <v>449.98</v>
      </c>
      <c r="J156" s="102">
        <f t="shared" si="36"/>
        <v>4.02</v>
      </c>
      <c r="K156" s="103">
        <f t="shared" si="37"/>
        <v>31.27032662</v>
      </c>
      <c r="L156" s="54"/>
      <c r="M156" s="54"/>
    </row>
    <row r="157">
      <c r="A157" s="54"/>
      <c r="B157" s="110">
        <v>45858.0</v>
      </c>
      <c r="C157" s="338" t="s">
        <v>276</v>
      </c>
      <c r="D157" s="321" t="s">
        <v>431</v>
      </c>
      <c r="E157" s="100">
        <v>2207483.0</v>
      </c>
      <c r="F157" s="99">
        <f t="shared" si="38"/>
        <v>1491</v>
      </c>
      <c r="G157" s="100">
        <v>610.0</v>
      </c>
      <c r="H157" s="101">
        <v>502.0</v>
      </c>
      <c r="I157" s="101">
        <v>500.0</v>
      </c>
      <c r="J157" s="102">
        <f t="shared" si="36"/>
        <v>2</v>
      </c>
      <c r="K157" s="103">
        <f t="shared" si="37"/>
        <v>33.53454058</v>
      </c>
      <c r="L157" s="54"/>
      <c r="M157" s="54"/>
    </row>
    <row r="158">
      <c r="A158" s="54"/>
      <c r="B158" s="110">
        <v>45860.0</v>
      </c>
      <c r="C158" s="338" t="s">
        <v>276</v>
      </c>
      <c r="D158" s="321" t="s">
        <v>431</v>
      </c>
      <c r="E158" s="100">
        <v>2208884.0</v>
      </c>
      <c r="F158" s="99">
        <f t="shared" si="38"/>
        <v>1401</v>
      </c>
      <c r="G158" s="100">
        <v>575.0</v>
      </c>
      <c r="H158" s="101">
        <v>397.0</v>
      </c>
      <c r="I158" s="101">
        <v>400.0</v>
      </c>
      <c r="J158" s="102">
        <f t="shared" si="36"/>
        <v>-3</v>
      </c>
      <c r="K158" s="103">
        <f t="shared" si="37"/>
        <v>28.55103498</v>
      </c>
      <c r="L158" s="54"/>
      <c r="M158" s="54"/>
    </row>
    <row r="159">
      <c r="A159" s="54"/>
      <c r="B159" s="110">
        <v>45861.0</v>
      </c>
      <c r="C159" s="338" t="s">
        <v>276</v>
      </c>
      <c r="D159" s="321" t="s">
        <v>431</v>
      </c>
      <c r="E159" s="100">
        <v>2210183.0</v>
      </c>
      <c r="F159" s="99">
        <f t="shared" si="38"/>
        <v>1299</v>
      </c>
      <c r="G159" s="100">
        <v>528.0</v>
      </c>
      <c r="H159" s="101">
        <v>349.0</v>
      </c>
      <c r="I159" s="101">
        <v>350.0</v>
      </c>
      <c r="J159" s="102">
        <f t="shared" si="36"/>
        <v>-1</v>
      </c>
      <c r="K159" s="103">
        <f t="shared" si="37"/>
        <v>26.94380293</v>
      </c>
      <c r="L159" s="54"/>
      <c r="M159" s="54"/>
    </row>
    <row r="160">
      <c r="A160" s="54"/>
      <c r="B160" s="110">
        <v>45863.0</v>
      </c>
      <c r="C160" s="338" t="s">
        <v>276</v>
      </c>
      <c r="D160" s="321" t="s">
        <v>431</v>
      </c>
      <c r="E160" s="100">
        <v>2211393.0</v>
      </c>
      <c r="F160" s="99">
        <f t="shared" si="38"/>
        <v>1210</v>
      </c>
      <c r="G160" s="100">
        <v>508.0</v>
      </c>
      <c r="H160" s="101">
        <v>351.0</v>
      </c>
      <c r="I160" s="101">
        <f>250--100</f>
        <v>350</v>
      </c>
      <c r="J160" s="102">
        <f t="shared" si="36"/>
        <v>1</v>
      </c>
      <c r="K160" s="103">
        <f t="shared" si="37"/>
        <v>28.92561983</v>
      </c>
      <c r="L160" s="54"/>
      <c r="M160" s="54"/>
    </row>
    <row r="161">
      <c r="A161" s="54"/>
      <c r="B161" s="110">
        <v>45864.0</v>
      </c>
      <c r="C161" s="338" t="s">
        <v>276</v>
      </c>
      <c r="D161" s="321" t="s">
        <v>431</v>
      </c>
      <c r="E161" s="100">
        <v>2212758.0</v>
      </c>
      <c r="F161" s="99">
        <f t="shared" si="38"/>
        <v>1365</v>
      </c>
      <c r="G161" s="100">
        <v>606.0</v>
      </c>
      <c r="H161" s="101">
        <v>504.0</v>
      </c>
      <c r="I161" s="101">
        <v>500.0</v>
      </c>
      <c r="J161" s="102">
        <f t="shared" si="36"/>
        <v>4</v>
      </c>
      <c r="K161" s="103">
        <f t="shared" si="37"/>
        <v>36.63003663</v>
      </c>
      <c r="L161" s="54"/>
      <c r="M161" s="54"/>
    </row>
    <row r="162">
      <c r="A162" s="54"/>
      <c r="B162" s="110">
        <v>45866.0</v>
      </c>
      <c r="C162" s="338" t="s">
        <v>276</v>
      </c>
      <c r="D162" s="321" t="s">
        <v>431</v>
      </c>
      <c r="E162" s="100">
        <v>2214653.0</v>
      </c>
      <c r="F162" s="99">
        <f t="shared" si="38"/>
        <v>1895</v>
      </c>
      <c r="G162" s="100">
        <v>556.0</v>
      </c>
      <c r="H162" s="101">
        <v>502.0</v>
      </c>
      <c r="I162" s="101">
        <v>500.0</v>
      </c>
      <c r="J162" s="102">
        <f t="shared" si="36"/>
        <v>2</v>
      </c>
      <c r="K162" s="103">
        <f t="shared" si="37"/>
        <v>26.38522427</v>
      </c>
      <c r="L162" s="54"/>
      <c r="M162" s="54"/>
    </row>
    <row r="163">
      <c r="A163" s="54"/>
      <c r="B163" s="110">
        <v>45867.0</v>
      </c>
      <c r="C163" s="338" t="s">
        <v>276</v>
      </c>
      <c r="D163" s="321" t="s">
        <v>431</v>
      </c>
      <c r="E163" s="100">
        <v>2215984.0</v>
      </c>
      <c r="F163" s="99">
        <f t="shared" si="38"/>
        <v>1331</v>
      </c>
      <c r="G163" s="100">
        <v>512.0</v>
      </c>
      <c r="H163" s="101">
        <v>341.0</v>
      </c>
      <c r="I163" s="101">
        <v>350.0</v>
      </c>
      <c r="J163" s="102">
        <f t="shared" si="36"/>
        <v>-9</v>
      </c>
      <c r="K163" s="103">
        <f t="shared" si="37"/>
        <v>26.29601803</v>
      </c>
      <c r="L163" s="54"/>
      <c r="M163" s="54"/>
    </row>
    <row r="164">
      <c r="A164" s="54"/>
      <c r="B164" s="110">
        <v>45869.0</v>
      </c>
      <c r="C164" s="338" t="s">
        <v>276</v>
      </c>
      <c r="D164" s="321" t="s">
        <v>431</v>
      </c>
      <c r="E164" s="100">
        <v>2217150.0</v>
      </c>
      <c r="F164" s="99">
        <f t="shared" si="38"/>
        <v>1166</v>
      </c>
      <c r="G164" s="100">
        <v>557.0</v>
      </c>
      <c r="H164" s="101">
        <v>397.0</v>
      </c>
      <c r="I164" s="101">
        <v>400.0</v>
      </c>
      <c r="J164" s="102">
        <f t="shared" si="36"/>
        <v>-3</v>
      </c>
      <c r="K164" s="103">
        <f t="shared" si="37"/>
        <v>34.30531732</v>
      </c>
      <c r="L164" s="54"/>
      <c r="M164" s="54"/>
    </row>
    <row r="165">
      <c r="A165" s="68"/>
      <c r="B165" s="203" t="str">
        <f>IF(L165=4,"АПРЕЛЬ",IF(L165=5,"МАЙ",IF(L165=1,"ЯНВАРЬ",IF(L165=2,"ФЕВРАЛЬ",IF(L165=3,"МАРТ",IF(L165=6,"ИЮНЬ",IF(L165=7,"ИЮЛЬ",IF(L165=8,"АВГУСТ",IF(L165=9,"СЕНТЯБРЬ",IF(L165=10,"ОКТЯБРЬ",IF(L165=11,"НОЯБРЬ",IF(L165=12,"ДЕКАБРЬ"))))))))))))</f>
        <v>АВГУСТ</v>
      </c>
      <c r="J165" s="88"/>
      <c r="K165" s="204"/>
      <c r="L165" s="91">
        <f>MONTH(B166)</f>
        <v>8</v>
      </c>
      <c r="M165" s="66"/>
      <c r="N165" s="66"/>
      <c r="O165" s="66"/>
      <c r="P165" s="66"/>
      <c r="Q165" s="66"/>
    </row>
    <row r="166">
      <c r="A166" s="54"/>
      <c r="B166" s="110">
        <v>45870.0</v>
      </c>
      <c r="C166" s="338" t="s">
        <v>276</v>
      </c>
      <c r="D166" s="321" t="s">
        <v>431</v>
      </c>
      <c r="E166" s="100">
        <v>2218567.0</v>
      </c>
      <c r="F166" s="99">
        <f>E166-E164</f>
        <v>1417</v>
      </c>
      <c r="G166" s="100">
        <v>519.0</v>
      </c>
      <c r="H166" s="101">
        <v>393.0</v>
      </c>
      <c r="I166" s="101">
        <v>400.0</v>
      </c>
      <c r="J166" s="102">
        <f t="shared" ref="J166:J179" si="39">H166-I166</f>
        <v>-7</v>
      </c>
      <c r="K166" s="103">
        <f t="shared" ref="K166:K179" si="40">I166/F166*100</f>
        <v>28.22865208</v>
      </c>
      <c r="L166" s="54"/>
      <c r="M166" s="205" t="str">
        <f>"тотал"&amp;" "&amp;B165&amp;" "&amp;RIGHT(YEAR(B166),2)</f>
        <v>тотал АВГУСТ 25</v>
      </c>
      <c r="N166" s="75"/>
      <c r="O166" s="75"/>
      <c r="P166" s="75"/>
      <c r="Q166" s="76"/>
    </row>
    <row r="167">
      <c r="A167" s="54"/>
      <c r="B167" s="110">
        <v>45871.0</v>
      </c>
      <c r="C167" s="338" t="s">
        <v>276</v>
      </c>
      <c r="D167" s="338" t="s">
        <v>433</v>
      </c>
      <c r="E167" s="100">
        <v>2219518.0</v>
      </c>
      <c r="F167" s="99">
        <f t="shared" ref="F167:F179" si="41">E167-E166</f>
        <v>951</v>
      </c>
      <c r="G167" s="100">
        <v>587.0</v>
      </c>
      <c r="H167" s="101">
        <v>327.0</v>
      </c>
      <c r="I167" s="101">
        <v>333.48</v>
      </c>
      <c r="J167" s="102">
        <f t="shared" si="39"/>
        <v>-6.48</v>
      </c>
      <c r="K167" s="103">
        <f t="shared" si="40"/>
        <v>35.06624606</v>
      </c>
      <c r="L167" s="54"/>
      <c r="M167" s="83" t="s">
        <v>70</v>
      </c>
      <c r="N167" s="83" t="s">
        <v>71</v>
      </c>
      <c r="O167" s="83" t="s">
        <v>27</v>
      </c>
      <c r="P167" s="83" t="s">
        <v>28</v>
      </c>
      <c r="Q167" s="321" t="s">
        <v>78</v>
      </c>
    </row>
    <row r="168">
      <c r="A168" s="54"/>
      <c r="B168" s="110">
        <v>45873.0</v>
      </c>
      <c r="C168" s="338" t="s">
        <v>276</v>
      </c>
      <c r="D168" s="338" t="s">
        <v>433</v>
      </c>
      <c r="E168" s="100">
        <v>2221334.0</v>
      </c>
      <c r="F168" s="99">
        <f t="shared" si="41"/>
        <v>1816</v>
      </c>
      <c r="G168" s="100">
        <v>520.0</v>
      </c>
      <c r="H168" s="101">
        <v>393.0</v>
      </c>
      <c r="I168" s="101">
        <v>400.0</v>
      </c>
      <c r="J168" s="102">
        <f t="shared" si="39"/>
        <v>-7</v>
      </c>
      <c r="K168" s="103">
        <f t="shared" si="40"/>
        <v>22.02643172</v>
      </c>
      <c r="L168" s="54"/>
      <c r="M168" s="84">
        <f>SUM(F166:F179)</f>
        <v>22445</v>
      </c>
      <c r="N168" s="84">
        <f>SUM(I166:I179)</f>
        <v>6244.23</v>
      </c>
      <c r="O168" s="85">
        <f>N168/M168*100</f>
        <v>27.82013812</v>
      </c>
      <c r="P168" s="84">
        <f>(M168/100)*(O168-Q168)</f>
        <v>-40.37</v>
      </c>
      <c r="Q168" s="464">
        <v>28.0</v>
      </c>
    </row>
    <row r="169">
      <c r="A169" s="54"/>
      <c r="B169" s="110">
        <v>45875.0</v>
      </c>
      <c r="C169" s="338" t="s">
        <v>276</v>
      </c>
      <c r="D169" s="338" t="s">
        <v>433</v>
      </c>
      <c r="E169" s="100">
        <v>2222898.0</v>
      </c>
      <c r="F169" s="99">
        <f t="shared" si="41"/>
        <v>1564</v>
      </c>
      <c r="G169" s="100">
        <v>505.0</v>
      </c>
      <c r="H169" s="101">
        <v>402.0</v>
      </c>
      <c r="I169" s="101">
        <v>400.0</v>
      </c>
      <c r="J169" s="102">
        <f t="shared" si="39"/>
        <v>2</v>
      </c>
      <c r="K169" s="103">
        <f t="shared" si="40"/>
        <v>25.57544757</v>
      </c>
      <c r="L169" s="54"/>
      <c r="M169" s="54"/>
    </row>
    <row r="170">
      <c r="A170" s="54"/>
      <c r="B170" s="110">
        <v>45876.0</v>
      </c>
      <c r="C170" s="338" t="s">
        <v>276</v>
      </c>
      <c r="D170" s="338" t="s">
        <v>433</v>
      </c>
      <c r="E170" s="100">
        <v>2224379.0</v>
      </c>
      <c r="F170" s="99">
        <f t="shared" si="41"/>
        <v>1481</v>
      </c>
      <c r="G170" s="100">
        <v>589.0</v>
      </c>
      <c r="H170" s="101">
        <v>496.0</v>
      </c>
      <c r="I170" s="101">
        <v>500.0</v>
      </c>
      <c r="J170" s="102">
        <f t="shared" si="39"/>
        <v>-4</v>
      </c>
      <c r="K170" s="103">
        <f t="shared" si="40"/>
        <v>33.76097232</v>
      </c>
      <c r="L170" s="54"/>
      <c r="M170" s="54"/>
    </row>
    <row r="171">
      <c r="A171" s="54"/>
      <c r="B171" s="110">
        <v>45878.0</v>
      </c>
      <c r="C171" s="338" t="s">
        <v>276</v>
      </c>
      <c r="D171" s="338" t="s">
        <v>433</v>
      </c>
      <c r="E171" s="100">
        <v>2226232.0</v>
      </c>
      <c r="F171" s="99">
        <f t="shared" si="41"/>
        <v>1853</v>
      </c>
      <c r="G171" s="100">
        <v>567.0</v>
      </c>
      <c r="H171" s="101">
        <v>502.0</v>
      </c>
      <c r="I171" s="101">
        <v>500.0</v>
      </c>
      <c r="J171" s="102">
        <f t="shared" si="39"/>
        <v>2</v>
      </c>
      <c r="K171" s="103">
        <f t="shared" si="40"/>
        <v>26.98327037</v>
      </c>
      <c r="L171" s="54"/>
      <c r="M171" s="54"/>
    </row>
    <row r="172">
      <c r="A172" s="54"/>
      <c r="B172" s="110">
        <v>45880.0</v>
      </c>
      <c r="C172" s="338" t="s">
        <v>276</v>
      </c>
      <c r="D172" s="338" t="s">
        <v>433</v>
      </c>
      <c r="E172" s="100">
        <v>2228022.0</v>
      </c>
      <c r="F172" s="99">
        <f t="shared" si="41"/>
        <v>1790</v>
      </c>
      <c r="G172" s="100">
        <v>610.0</v>
      </c>
      <c r="H172" s="101">
        <v>524.0</v>
      </c>
      <c r="I172" s="101">
        <v>522.11</v>
      </c>
      <c r="J172" s="102">
        <f t="shared" si="39"/>
        <v>1.89</v>
      </c>
      <c r="K172" s="103">
        <f t="shared" si="40"/>
        <v>29.16815642</v>
      </c>
      <c r="L172" s="54"/>
      <c r="M172" s="54"/>
    </row>
    <row r="173">
      <c r="A173" s="54"/>
      <c r="B173" s="110">
        <v>45882.0</v>
      </c>
      <c r="C173" s="338" t="s">
        <v>276</v>
      </c>
      <c r="D173" s="338" t="s">
        <v>433</v>
      </c>
      <c r="E173" s="100">
        <v>2229926.0</v>
      </c>
      <c r="F173" s="99">
        <f t="shared" si="41"/>
        <v>1904</v>
      </c>
      <c r="G173" s="100">
        <v>588.0</v>
      </c>
      <c r="H173" s="101">
        <v>500.0</v>
      </c>
      <c r="I173" s="101">
        <v>500.0</v>
      </c>
      <c r="J173" s="102">
        <f t="shared" si="39"/>
        <v>0</v>
      </c>
      <c r="K173" s="103">
        <f t="shared" si="40"/>
        <v>26.2605042</v>
      </c>
      <c r="L173" s="54"/>
      <c r="M173" s="54"/>
    </row>
    <row r="174">
      <c r="A174" s="54"/>
      <c r="B174" s="110">
        <v>45884.0</v>
      </c>
      <c r="C174" s="338" t="s">
        <v>276</v>
      </c>
      <c r="D174" s="338" t="s">
        <v>433</v>
      </c>
      <c r="E174" s="100">
        <v>2231339.0</v>
      </c>
      <c r="F174" s="99">
        <f t="shared" si="41"/>
        <v>1413</v>
      </c>
      <c r="G174" s="100">
        <v>503.0</v>
      </c>
      <c r="H174" s="101">
        <v>299.0</v>
      </c>
      <c r="I174" s="101">
        <v>300.0</v>
      </c>
      <c r="J174" s="102">
        <f t="shared" si="39"/>
        <v>-1</v>
      </c>
      <c r="K174" s="103">
        <f t="shared" si="40"/>
        <v>21.23142251</v>
      </c>
      <c r="L174" s="54"/>
      <c r="M174" s="54"/>
    </row>
    <row r="175">
      <c r="A175" s="54"/>
      <c r="B175" s="110">
        <v>45885.0</v>
      </c>
      <c r="C175" s="338" t="s">
        <v>276</v>
      </c>
      <c r="D175" s="338" t="s">
        <v>433</v>
      </c>
      <c r="E175" s="100">
        <v>2232789.0</v>
      </c>
      <c r="F175" s="99">
        <f t="shared" si="41"/>
        <v>1450</v>
      </c>
      <c r="G175" s="100">
        <v>582.0</v>
      </c>
      <c r="H175" s="101">
        <v>494.0</v>
      </c>
      <c r="I175" s="101">
        <v>500.0</v>
      </c>
      <c r="J175" s="102">
        <f t="shared" si="39"/>
        <v>-6</v>
      </c>
      <c r="K175" s="103">
        <f t="shared" si="40"/>
        <v>34.48275862</v>
      </c>
      <c r="L175" s="54"/>
      <c r="M175" s="54"/>
    </row>
    <row r="176">
      <c r="A176" s="54"/>
      <c r="B176" s="110">
        <v>45887.0</v>
      </c>
      <c r="C176" s="338" t="s">
        <v>276</v>
      </c>
      <c r="D176" s="338" t="s">
        <v>433</v>
      </c>
      <c r="E176" s="100">
        <v>2234532.0</v>
      </c>
      <c r="F176" s="99">
        <f t="shared" si="41"/>
        <v>1743</v>
      </c>
      <c r="G176" s="100">
        <v>599.0</v>
      </c>
      <c r="H176" s="101">
        <v>500.0</v>
      </c>
      <c r="I176" s="101">
        <v>500.0</v>
      </c>
      <c r="J176" s="102">
        <f t="shared" si="39"/>
        <v>0</v>
      </c>
      <c r="K176" s="103">
        <f t="shared" si="40"/>
        <v>28.68617326</v>
      </c>
      <c r="L176" s="54"/>
      <c r="M176" s="54"/>
    </row>
    <row r="177">
      <c r="A177" s="54"/>
      <c r="B177" s="110">
        <v>45889.0</v>
      </c>
      <c r="C177" s="338" t="s">
        <v>276</v>
      </c>
      <c r="D177" s="338" t="s">
        <v>433</v>
      </c>
      <c r="E177" s="100">
        <v>2236416.0</v>
      </c>
      <c r="F177" s="99">
        <f t="shared" si="41"/>
        <v>1884</v>
      </c>
      <c r="G177" s="100">
        <v>478.0</v>
      </c>
      <c r="H177" s="101">
        <v>397.0</v>
      </c>
      <c r="I177" s="101">
        <v>400.0</v>
      </c>
      <c r="J177" s="102">
        <f t="shared" si="39"/>
        <v>-3</v>
      </c>
      <c r="K177" s="103">
        <f t="shared" si="40"/>
        <v>21.23142251</v>
      </c>
      <c r="L177" s="54"/>
      <c r="M177" s="54"/>
    </row>
    <row r="178">
      <c r="A178" s="54"/>
      <c r="B178" s="110">
        <v>45890.0</v>
      </c>
      <c r="C178" s="338" t="s">
        <v>276</v>
      </c>
      <c r="D178" s="338" t="s">
        <v>433</v>
      </c>
      <c r="E178" s="100">
        <v>2237743.0</v>
      </c>
      <c r="F178" s="99">
        <f t="shared" si="41"/>
        <v>1327</v>
      </c>
      <c r="G178" s="100">
        <v>604.0</v>
      </c>
      <c r="H178" s="101">
        <v>484.0</v>
      </c>
      <c r="I178" s="101">
        <v>488.64</v>
      </c>
      <c r="J178" s="102">
        <f t="shared" si="39"/>
        <v>-4.64</v>
      </c>
      <c r="K178" s="103">
        <f t="shared" si="40"/>
        <v>36.82290882</v>
      </c>
      <c r="L178" s="54"/>
      <c r="M178" s="54"/>
    </row>
    <row r="179">
      <c r="A179" s="54"/>
      <c r="B179" s="110">
        <v>45892.0</v>
      </c>
      <c r="C179" s="338" t="s">
        <v>276</v>
      </c>
      <c r="D179" s="338" t="s">
        <v>433</v>
      </c>
      <c r="E179" s="100">
        <v>2239595.0</v>
      </c>
      <c r="F179" s="99">
        <f t="shared" si="41"/>
        <v>1852</v>
      </c>
      <c r="G179" s="100">
        <v>590.0</v>
      </c>
      <c r="H179" s="101">
        <v>502.0</v>
      </c>
      <c r="I179" s="101">
        <v>500.0</v>
      </c>
      <c r="J179" s="102">
        <f t="shared" si="39"/>
        <v>2</v>
      </c>
      <c r="K179" s="103">
        <f t="shared" si="40"/>
        <v>26.99784017</v>
      </c>
      <c r="L179" s="54"/>
      <c r="M179" s="54"/>
    </row>
    <row r="180">
      <c r="A180" s="68"/>
      <c r="B180" s="203" t="str">
        <f>IF(L180=4,"АПРЕЛЬ",IF(L180=5,"МАЙ",IF(L180=1,"ЯНВАРЬ",IF(L180=2,"ФЕВРАЛЬ",IF(L180=3,"МАРТ",IF(L180=6,"ИЮНЬ",IF(L180=7,"ИЮЛЬ",IF(L180=8,"АВГУСТ",IF(L180=9,"СЕНТЯБРЬ",IF(L180=10,"ОКТЯБРЬ",IF(L180=11,"НОЯБРЬ",IF(L180=12,"ДЕКАБРЬ"))))))))))))</f>
        <v>СЕНТЯБРЬ</v>
      </c>
      <c r="J180" s="88"/>
      <c r="K180" s="204"/>
      <c r="L180" s="91">
        <f>MONTH(B181)</f>
        <v>9</v>
      </c>
      <c r="M180" s="66"/>
      <c r="N180" s="66"/>
      <c r="O180" s="66"/>
      <c r="P180" s="66"/>
      <c r="Q180" s="66"/>
    </row>
    <row r="181">
      <c r="A181" s="54"/>
      <c r="B181" s="110">
        <v>45917.0</v>
      </c>
      <c r="C181" s="338" t="s">
        <v>276</v>
      </c>
      <c r="D181" s="338" t="s">
        <v>433</v>
      </c>
      <c r="E181" s="100">
        <v>2241080.0</v>
      </c>
      <c r="F181" s="99">
        <f>E181-E179</f>
        <v>1485</v>
      </c>
      <c r="G181" s="100">
        <v>607.0</v>
      </c>
      <c r="H181" s="101">
        <v>399.0</v>
      </c>
      <c r="I181" s="101">
        <v>398.76</v>
      </c>
      <c r="J181" s="102">
        <f t="shared" ref="J181:J187" si="42">H181-I181</f>
        <v>0.24</v>
      </c>
      <c r="K181" s="103">
        <f t="shared" ref="K181:K187" si="43">I181/F181*100</f>
        <v>26.85252525</v>
      </c>
      <c r="L181" s="54"/>
      <c r="M181" s="205" t="str">
        <f>"тотал"&amp;" "&amp;B180&amp;" "&amp;RIGHT(YEAR(B181),2)</f>
        <v>тотал СЕНТЯБРЬ 25</v>
      </c>
      <c r="N181" s="75"/>
      <c r="O181" s="75"/>
      <c r="P181" s="75"/>
      <c r="Q181" s="76"/>
    </row>
    <row r="182">
      <c r="A182" s="54"/>
      <c r="B182" s="110">
        <v>45919.0</v>
      </c>
      <c r="C182" s="338" t="s">
        <v>276</v>
      </c>
      <c r="D182" s="338" t="s">
        <v>433</v>
      </c>
      <c r="E182" s="100">
        <v>2243017.0</v>
      </c>
      <c r="F182" s="99">
        <f t="shared" ref="F182:F187" si="44">E182-E181</f>
        <v>1937</v>
      </c>
      <c r="G182" s="100">
        <v>522.0</v>
      </c>
      <c r="H182" s="101">
        <v>398.0</v>
      </c>
      <c r="I182" s="101">
        <v>400.0</v>
      </c>
      <c r="J182" s="102">
        <f t="shared" si="42"/>
        <v>-2</v>
      </c>
      <c r="K182" s="103">
        <f t="shared" si="43"/>
        <v>20.65049045</v>
      </c>
      <c r="L182" s="54"/>
      <c r="M182" s="83" t="s">
        <v>70</v>
      </c>
      <c r="N182" s="83" t="s">
        <v>71</v>
      </c>
      <c r="O182" s="83" t="s">
        <v>27</v>
      </c>
      <c r="P182" s="83" t="s">
        <v>28</v>
      </c>
      <c r="Q182" s="321" t="s">
        <v>78</v>
      </c>
    </row>
    <row r="183">
      <c r="A183" s="54"/>
      <c r="B183" s="110">
        <v>45921.0</v>
      </c>
      <c r="C183" s="338" t="s">
        <v>276</v>
      </c>
      <c r="D183" s="338" t="s">
        <v>433</v>
      </c>
      <c r="E183" s="100">
        <v>2244419.0</v>
      </c>
      <c r="F183" s="99">
        <f t="shared" si="44"/>
        <v>1402</v>
      </c>
      <c r="G183" s="100">
        <v>610.0</v>
      </c>
      <c r="H183" s="101">
        <v>431.0</v>
      </c>
      <c r="I183" s="101">
        <v>433.97</v>
      </c>
      <c r="J183" s="102">
        <f t="shared" si="42"/>
        <v>-2.97</v>
      </c>
      <c r="K183" s="103">
        <f t="shared" si="43"/>
        <v>30.95363766</v>
      </c>
      <c r="L183" s="54"/>
      <c r="M183" s="84">
        <f>SUM(F181:F187)</f>
        <v>12183</v>
      </c>
      <c r="N183" s="84">
        <f>SUM(I181:I187)</f>
        <v>3188.64</v>
      </c>
      <c r="O183" s="85">
        <f>N183/M183*100</f>
        <v>26.17286383</v>
      </c>
      <c r="P183" s="84">
        <f>(M183/100)*(O183-Q183)</f>
        <v>-222.6</v>
      </c>
      <c r="Q183" s="464">
        <v>28.0</v>
      </c>
    </row>
    <row r="184">
      <c r="A184" s="54"/>
      <c r="B184" s="110">
        <v>45923.0</v>
      </c>
      <c r="C184" s="338" t="s">
        <v>276</v>
      </c>
      <c r="D184" s="338" t="s">
        <v>433</v>
      </c>
      <c r="E184" s="100">
        <v>2246180.0</v>
      </c>
      <c r="F184" s="99">
        <f t="shared" si="44"/>
        <v>1761</v>
      </c>
      <c r="G184" s="100">
        <v>610.0</v>
      </c>
      <c r="H184" s="101">
        <v>460.0</v>
      </c>
      <c r="I184" s="101">
        <v>463.96</v>
      </c>
      <c r="J184" s="102">
        <f t="shared" si="42"/>
        <v>-3.96</v>
      </c>
      <c r="K184" s="103">
        <f t="shared" si="43"/>
        <v>26.34639409</v>
      </c>
      <c r="L184" s="54"/>
      <c r="M184" s="54"/>
    </row>
    <row r="185">
      <c r="A185" s="54"/>
      <c r="B185" s="110">
        <v>45925.0</v>
      </c>
      <c r="C185" s="338" t="s">
        <v>276</v>
      </c>
      <c r="D185" s="338" t="s">
        <v>433</v>
      </c>
      <c r="E185" s="100">
        <v>2248092.0</v>
      </c>
      <c r="F185" s="99">
        <f t="shared" si="44"/>
        <v>1912</v>
      </c>
      <c r="G185" s="100">
        <v>590.0</v>
      </c>
      <c r="H185" s="101">
        <v>495.0</v>
      </c>
      <c r="I185" s="101">
        <v>500.0</v>
      </c>
      <c r="J185" s="102">
        <f t="shared" si="42"/>
        <v>-5</v>
      </c>
      <c r="K185" s="103">
        <f t="shared" si="43"/>
        <v>26.15062762</v>
      </c>
      <c r="L185" s="54"/>
      <c r="M185" s="54"/>
    </row>
    <row r="186">
      <c r="A186" s="54"/>
      <c r="B186" s="110">
        <v>45927.0</v>
      </c>
      <c r="C186" s="338" t="s">
        <v>276</v>
      </c>
      <c r="D186" s="338" t="s">
        <v>433</v>
      </c>
      <c r="E186" s="100">
        <v>2249866.0</v>
      </c>
      <c r="F186" s="99">
        <f t="shared" si="44"/>
        <v>1774</v>
      </c>
      <c r="G186" s="100">
        <v>610.0</v>
      </c>
      <c r="H186" s="101">
        <v>497.0</v>
      </c>
      <c r="I186" s="101">
        <v>491.95</v>
      </c>
      <c r="J186" s="102">
        <f t="shared" si="42"/>
        <v>5.05</v>
      </c>
      <c r="K186" s="103">
        <f t="shared" si="43"/>
        <v>27.73111612</v>
      </c>
      <c r="L186" s="54"/>
      <c r="M186" s="54"/>
    </row>
    <row r="187">
      <c r="A187" s="54"/>
      <c r="B187" s="110">
        <v>45929.0</v>
      </c>
      <c r="C187" s="338" t="s">
        <v>276</v>
      </c>
      <c r="D187" s="338" t="s">
        <v>433</v>
      </c>
      <c r="E187" s="100">
        <v>2251778.0</v>
      </c>
      <c r="F187" s="99">
        <f t="shared" si="44"/>
        <v>1912</v>
      </c>
      <c r="G187" s="100">
        <v>610.0</v>
      </c>
      <c r="H187" s="101">
        <v>501.0</v>
      </c>
      <c r="I187" s="101">
        <v>500.0</v>
      </c>
      <c r="J187" s="102">
        <f t="shared" si="42"/>
        <v>1</v>
      </c>
      <c r="K187" s="103">
        <f t="shared" si="43"/>
        <v>26.15062762</v>
      </c>
      <c r="L187" s="54"/>
      <c r="M187" s="54"/>
    </row>
    <row r="188">
      <c r="A188" s="68"/>
      <c r="B188" s="203" t="str">
        <f>IF(L188=4,"АПРЕЛЬ",IF(L188=5,"МАЙ",IF(L188=1,"ЯНВАРЬ",IF(L188=2,"ФЕВРАЛЬ",IF(L188=3,"МАРТ",IF(L188=6,"ИЮНЬ",IF(L188=7,"ИЮЛЬ",IF(L188=8,"АВГУСТ",IF(L188=9,"СЕНТЯБРЬ",IF(L188=10,"ОКТЯБРЬ",IF(L188=11,"НОЯБРЬ",IF(L188=12,"ДЕКАБРЬ"))))))))))))</f>
        <v>ОКТЯБРЬ</v>
      </c>
      <c r="J188" s="88"/>
      <c r="K188" s="204"/>
      <c r="L188" s="91">
        <f>MONTH(B189)</f>
        <v>10</v>
      </c>
      <c r="M188" s="66"/>
      <c r="N188" s="66"/>
      <c r="O188" s="66"/>
      <c r="P188" s="66"/>
      <c r="Q188" s="66"/>
    </row>
    <row r="189">
      <c r="A189" s="54"/>
      <c r="B189" s="110">
        <v>45931.0</v>
      </c>
      <c r="C189" s="338" t="s">
        <v>276</v>
      </c>
      <c r="D189" s="338" t="s">
        <v>433</v>
      </c>
      <c r="E189" s="100">
        <v>2253691.0</v>
      </c>
      <c r="F189" s="99">
        <f>E189-E187</f>
        <v>1913</v>
      </c>
      <c r="G189" s="100">
        <v>594.0</v>
      </c>
      <c r="H189" s="101">
        <v>504.0</v>
      </c>
      <c r="I189" s="101">
        <v>500.0</v>
      </c>
      <c r="J189" s="102">
        <f t="shared" ref="J189:J197" si="45">H189-I189</f>
        <v>4</v>
      </c>
      <c r="K189" s="103">
        <f t="shared" ref="K189:K197" si="46">I189/F189*100</f>
        <v>26.13695766</v>
      </c>
      <c r="L189" s="54"/>
      <c r="M189" s="205" t="str">
        <f>"тотал"&amp;" "&amp;B188&amp;" "&amp;RIGHT(YEAR(B189),2)</f>
        <v>тотал ОКТЯБРЬ 25</v>
      </c>
      <c r="N189" s="75"/>
      <c r="O189" s="75"/>
      <c r="P189" s="75"/>
      <c r="Q189" s="76"/>
    </row>
    <row r="190">
      <c r="A190" s="54"/>
      <c r="B190" s="110">
        <v>45932.0</v>
      </c>
      <c r="C190" s="338" t="s">
        <v>276</v>
      </c>
      <c r="D190" s="338" t="s">
        <v>433</v>
      </c>
      <c r="E190" s="100">
        <v>2255158.0</v>
      </c>
      <c r="F190" s="99">
        <f t="shared" ref="F190:F197" si="47">E190-E189</f>
        <v>1467</v>
      </c>
      <c r="G190" s="100">
        <v>496.0</v>
      </c>
      <c r="H190" s="101">
        <v>296.0</v>
      </c>
      <c r="I190" s="101">
        <v>300.0</v>
      </c>
      <c r="J190" s="102">
        <f t="shared" si="45"/>
        <v>-4</v>
      </c>
      <c r="K190" s="103">
        <f t="shared" si="46"/>
        <v>20.44989775</v>
      </c>
      <c r="L190" s="54"/>
      <c r="M190" s="83" t="s">
        <v>70</v>
      </c>
      <c r="N190" s="83" t="s">
        <v>71</v>
      </c>
      <c r="O190" s="83" t="s">
        <v>27</v>
      </c>
      <c r="P190" s="83" t="s">
        <v>28</v>
      </c>
      <c r="Q190" s="321" t="s">
        <v>78</v>
      </c>
    </row>
    <row r="191">
      <c r="A191" s="54"/>
      <c r="B191" s="110">
        <v>45933.0</v>
      </c>
      <c r="C191" s="338" t="s">
        <v>276</v>
      </c>
      <c r="D191" s="338" t="s">
        <v>433</v>
      </c>
      <c r="E191" s="100">
        <v>2255935.0</v>
      </c>
      <c r="F191" s="99">
        <f t="shared" si="47"/>
        <v>777</v>
      </c>
      <c r="G191" s="100">
        <v>489.0</v>
      </c>
      <c r="H191" s="101">
        <v>195.0</v>
      </c>
      <c r="I191" s="101">
        <v>200.0</v>
      </c>
      <c r="J191" s="102">
        <f t="shared" si="45"/>
        <v>-5</v>
      </c>
      <c r="K191" s="103">
        <f t="shared" si="46"/>
        <v>25.74002574</v>
      </c>
      <c r="L191" s="54"/>
      <c r="M191" s="84">
        <f>SUM(F189:F195)</f>
        <v>8950</v>
      </c>
      <c r="N191" s="84">
        <f>SUM(I189:I195)</f>
        <v>2321.66</v>
      </c>
      <c r="O191" s="85">
        <f>N191/M191*100</f>
        <v>25.9403352</v>
      </c>
      <c r="P191" s="84">
        <f>(M191/100)*(O191-Q191)</f>
        <v>-184.34</v>
      </c>
      <c r="Q191" s="464">
        <v>28.0</v>
      </c>
    </row>
    <row r="192">
      <c r="A192" s="54"/>
      <c r="B192" s="110">
        <v>45934.0</v>
      </c>
      <c r="C192" s="338" t="s">
        <v>276</v>
      </c>
      <c r="D192" s="338" t="s">
        <v>433</v>
      </c>
      <c r="E192" s="100">
        <v>2257334.0</v>
      </c>
      <c r="F192" s="99">
        <f t="shared" si="47"/>
        <v>1399</v>
      </c>
      <c r="G192" s="100">
        <v>531.0</v>
      </c>
      <c r="H192" s="101">
        <v>399.0</v>
      </c>
      <c r="I192" s="101">
        <v>400.0</v>
      </c>
      <c r="J192" s="102">
        <f t="shared" si="45"/>
        <v>-1</v>
      </c>
      <c r="K192" s="103">
        <f t="shared" si="46"/>
        <v>28.59185132</v>
      </c>
      <c r="L192" s="54"/>
      <c r="M192" s="54"/>
    </row>
    <row r="193">
      <c r="A193" s="54"/>
      <c r="B193" s="110">
        <v>45935.0</v>
      </c>
      <c r="C193" s="338" t="s">
        <v>276</v>
      </c>
      <c r="D193" s="338" t="s">
        <v>433</v>
      </c>
      <c r="E193" s="100">
        <v>2257746.0</v>
      </c>
      <c r="F193" s="99">
        <f t="shared" si="47"/>
        <v>412</v>
      </c>
      <c r="G193" s="100">
        <v>516.0</v>
      </c>
      <c r="H193" s="101">
        <v>96.0</v>
      </c>
      <c r="I193" s="101">
        <v>100.0</v>
      </c>
      <c r="J193" s="102">
        <f t="shared" si="45"/>
        <v>-4</v>
      </c>
      <c r="K193" s="103">
        <f t="shared" si="46"/>
        <v>24.27184466</v>
      </c>
      <c r="L193" s="54"/>
      <c r="M193" s="54"/>
    </row>
    <row r="194">
      <c r="A194" s="54"/>
      <c r="B194" s="110">
        <v>45936.0</v>
      </c>
      <c r="C194" s="338" t="s">
        <v>276</v>
      </c>
      <c r="D194" s="338" t="s">
        <v>433</v>
      </c>
      <c r="E194" s="100">
        <v>2258989.0</v>
      </c>
      <c r="F194" s="99">
        <f t="shared" si="47"/>
        <v>1243</v>
      </c>
      <c r="G194" s="100">
        <v>610.0</v>
      </c>
      <c r="H194" s="101">
        <v>422.0</v>
      </c>
      <c r="I194" s="101">
        <v>421.7</v>
      </c>
      <c r="J194" s="102">
        <f t="shared" si="45"/>
        <v>0.3</v>
      </c>
      <c r="K194" s="103">
        <f t="shared" si="46"/>
        <v>33.92598552</v>
      </c>
      <c r="L194" s="54"/>
      <c r="M194" s="54"/>
    </row>
    <row r="195">
      <c r="A195" s="54"/>
      <c r="B195" s="110">
        <v>45939.0</v>
      </c>
      <c r="C195" s="338" t="s">
        <v>276</v>
      </c>
      <c r="D195" s="338" t="s">
        <v>433</v>
      </c>
      <c r="E195" s="100">
        <v>2260728.0</v>
      </c>
      <c r="F195" s="99">
        <f t="shared" si="47"/>
        <v>1739</v>
      </c>
      <c r="G195" s="100">
        <v>542.0</v>
      </c>
      <c r="H195" s="101">
        <v>393.0</v>
      </c>
      <c r="I195" s="101">
        <v>399.96</v>
      </c>
      <c r="J195" s="102">
        <f t="shared" si="45"/>
        <v>-6.96</v>
      </c>
      <c r="K195" s="103">
        <f t="shared" si="46"/>
        <v>22.99942496</v>
      </c>
      <c r="L195" s="54"/>
      <c r="M195" s="54"/>
    </row>
    <row r="196">
      <c r="A196" s="54"/>
      <c r="B196" s="110">
        <v>45940.0</v>
      </c>
      <c r="C196" s="338" t="s">
        <v>276</v>
      </c>
      <c r="D196" s="338" t="s">
        <v>433</v>
      </c>
      <c r="E196" s="100">
        <v>2261992.0</v>
      </c>
      <c r="F196" s="99">
        <f t="shared" si="47"/>
        <v>1264</v>
      </c>
      <c r="G196" s="100">
        <v>592.0</v>
      </c>
      <c r="H196" s="101">
        <v>395.0</v>
      </c>
      <c r="I196" s="101">
        <v>400.0</v>
      </c>
      <c r="J196" s="102">
        <f t="shared" si="45"/>
        <v>-5</v>
      </c>
      <c r="K196" s="103">
        <f t="shared" si="46"/>
        <v>31.64556962</v>
      </c>
      <c r="L196" s="54"/>
      <c r="M196" s="54"/>
    </row>
    <row r="197">
      <c r="A197" s="54"/>
      <c r="B197" s="110">
        <v>45942.0</v>
      </c>
      <c r="C197" s="338" t="s">
        <v>276</v>
      </c>
      <c r="D197" s="338" t="s">
        <v>433</v>
      </c>
      <c r="E197" s="100">
        <v>2263781.0</v>
      </c>
      <c r="F197" s="99">
        <f t="shared" si="47"/>
        <v>1789</v>
      </c>
      <c r="G197" s="100">
        <v>589.0</v>
      </c>
      <c r="H197" s="101">
        <v>496.0</v>
      </c>
      <c r="I197" s="101">
        <v>500.0</v>
      </c>
      <c r="J197" s="102">
        <f t="shared" si="45"/>
        <v>-4</v>
      </c>
      <c r="K197" s="103">
        <f t="shared" si="46"/>
        <v>27.94857462</v>
      </c>
      <c r="L197" s="54"/>
      <c r="M197" s="54"/>
    </row>
    <row r="198">
      <c r="A198" s="54"/>
      <c r="B198" s="99"/>
      <c r="C198" s="99"/>
      <c r="D198" s="99"/>
      <c r="E198" s="99"/>
      <c r="F198" s="99"/>
      <c r="G198" s="99"/>
      <c r="H198" s="102"/>
      <c r="I198" s="102"/>
      <c r="J198" s="102"/>
      <c r="K198" s="102"/>
      <c r="L198" s="54"/>
      <c r="M198" s="54"/>
    </row>
    <row r="199">
      <c r="A199" s="54"/>
      <c r="B199" s="99"/>
      <c r="C199" s="99"/>
      <c r="D199" s="99"/>
      <c r="E199" s="99"/>
      <c r="F199" s="99"/>
      <c r="G199" s="99"/>
      <c r="H199" s="102"/>
      <c r="I199" s="102"/>
      <c r="J199" s="102"/>
      <c r="K199" s="102"/>
      <c r="L199" s="54"/>
      <c r="M199" s="54"/>
    </row>
    <row r="200">
      <c r="A200" s="54"/>
      <c r="B200" s="99"/>
      <c r="C200" s="99"/>
      <c r="D200" s="99"/>
      <c r="E200" s="99"/>
      <c r="F200" s="99"/>
      <c r="G200" s="99"/>
      <c r="H200" s="102"/>
      <c r="I200" s="102"/>
      <c r="J200" s="102"/>
      <c r="K200" s="102"/>
      <c r="L200" s="54"/>
      <c r="M200" s="54"/>
    </row>
    <row r="201">
      <c r="A201" s="54"/>
      <c r="B201" s="99"/>
      <c r="C201" s="99"/>
      <c r="D201" s="99"/>
      <c r="E201" s="99"/>
      <c r="F201" s="99"/>
      <c r="G201" s="99"/>
      <c r="H201" s="102"/>
      <c r="I201" s="102"/>
      <c r="J201" s="102"/>
      <c r="K201" s="102"/>
      <c r="L201" s="54"/>
      <c r="M201" s="54"/>
    </row>
    <row r="202">
      <c r="A202" s="54"/>
      <c r="B202" s="99"/>
      <c r="C202" s="99"/>
      <c r="D202" s="99"/>
      <c r="E202" s="99"/>
      <c r="F202" s="99"/>
      <c r="G202" s="99"/>
      <c r="H202" s="102"/>
      <c r="I202" s="102"/>
      <c r="J202" s="102"/>
      <c r="K202" s="102"/>
      <c r="L202" s="54"/>
      <c r="M202" s="54"/>
    </row>
    <row r="203">
      <c r="A203" s="54"/>
      <c r="B203" s="99"/>
      <c r="C203" s="99"/>
      <c r="D203" s="99"/>
      <c r="E203" s="99"/>
      <c r="F203" s="99"/>
      <c r="G203" s="99"/>
      <c r="H203" s="102"/>
      <c r="I203" s="102"/>
      <c r="J203" s="102"/>
      <c r="K203" s="102"/>
      <c r="L203" s="54"/>
      <c r="M203" s="54"/>
    </row>
    <row r="204">
      <c r="A204" s="54"/>
      <c r="B204" s="99"/>
      <c r="C204" s="99"/>
      <c r="D204" s="99"/>
      <c r="E204" s="99"/>
      <c r="F204" s="99"/>
      <c r="G204" s="99"/>
      <c r="H204" s="102"/>
      <c r="I204" s="102"/>
      <c r="J204" s="102"/>
      <c r="K204" s="102"/>
      <c r="L204" s="54"/>
      <c r="M204" s="54"/>
    </row>
    <row r="205">
      <c r="A205" s="54"/>
      <c r="B205" s="99"/>
      <c r="C205" s="99"/>
      <c r="D205" s="99"/>
      <c r="E205" s="99"/>
      <c r="F205" s="99"/>
      <c r="G205" s="99"/>
      <c r="H205" s="102"/>
      <c r="I205" s="102"/>
      <c r="J205" s="102"/>
      <c r="K205" s="102"/>
      <c r="L205" s="54"/>
      <c r="M205" s="54"/>
    </row>
    <row r="206">
      <c r="A206" s="54"/>
      <c r="B206" s="99"/>
      <c r="C206" s="99"/>
      <c r="D206" s="99"/>
      <c r="E206" s="99"/>
      <c r="F206" s="99"/>
      <c r="G206" s="99"/>
      <c r="H206" s="102"/>
      <c r="I206" s="102"/>
      <c r="J206" s="102"/>
      <c r="K206" s="102"/>
      <c r="L206" s="54"/>
      <c r="M206" s="54"/>
    </row>
    <row r="207">
      <c r="A207" s="54"/>
      <c r="B207" s="99"/>
      <c r="C207" s="99"/>
      <c r="D207" s="99"/>
      <c r="E207" s="99"/>
      <c r="F207" s="99"/>
      <c r="G207" s="99"/>
      <c r="H207" s="102"/>
      <c r="I207" s="102"/>
      <c r="J207" s="102"/>
      <c r="K207" s="102"/>
      <c r="L207" s="54"/>
      <c r="M207" s="54"/>
    </row>
    <row r="208">
      <c r="A208" s="54"/>
      <c r="B208" s="99"/>
      <c r="C208" s="99"/>
      <c r="D208" s="99"/>
      <c r="E208" s="99"/>
      <c r="F208" s="99"/>
      <c r="G208" s="99"/>
      <c r="H208" s="102"/>
      <c r="I208" s="102"/>
      <c r="J208" s="102"/>
      <c r="K208" s="102"/>
      <c r="L208" s="54"/>
      <c r="M208" s="54"/>
    </row>
    <row r="209">
      <c r="A209" s="54"/>
      <c r="B209" s="99"/>
      <c r="C209" s="99"/>
      <c r="D209" s="99"/>
      <c r="E209" s="99"/>
      <c r="F209" s="99"/>
      <c r="G209" s="99"/>
      <c r="H209" s="102"/>
      <c r="I209" s="102"/>
      <c r="J209" s="102"/>
      <c r="K209" s="102"/>
      <c r="L209" s="54"/>
      <c r="M209" s="54"/>
    </row>
    <row r="210">
      <c r="A210" s="54"/>
      <c r="B210" s="99"/>
      <c r="C210" s="99"/>
      <c r="D210" s="99"/>
      <c r="E210" s="99"/>
      <c r="F210" s="99"/>
      <c r="G210" s="99"/>
      <c r="H210" s="102"/>
      <c r="I210" s="102"/>
      <c r="J210" s="102"/>
      <c r="K210" s="102"/>
      <c r="L210" s="54"/>
      <c r="M210" s="54"/>
    </row>
    <row r="211">
      <c r="A211" s="54"/>
      <c r="B211" s="99"/>
      <c r="C211" s="99"/>
      <c r="D211" s="99"/>
      <c r="E211" s="99"/>
      <c r="F211" s="99"/>
      <c r="G211" s="99"/>
      <c r="H211" s="102"/>
      <c r="I211" s="102"/>
      <c r="J211" s="102"/>
      <c r="K211" s="102"/>
      <c r="L211" s="54"/>
      <c r="M211" s="54"/>
    </row>
    <row r="212">
      <c r="A212" s="54"/>
      <c r="B212" s="99"/>
      <c r="C212" s="99"/>
      <c r="D212" s="99"/>
      <c r="E212" s="99"/>
      <c r="F212" s="99"/>
      <c r="G212" s="99"/>
      <c r="H212" s="102"/>
      <c r="I212" s="102"/>
      <c r="J212" s="102"/>
      <c r="K212" s="102"/>
      <c r="L212" s="54"/>
      <c r="M212" s="54"/>
    </row>
    <row r="213">
      <c r="A213" s="54"/>
      <c r="B213" s="99"/>
      <c r="C213" s="99"/>
      <c r="D213" s="99"/>
      <c r="E213" s="99"/>
      <c r="F213" s="99"/>
      <c r="G213" s="99"/>
      <c r="H213" s="102"/>
      <c r="I213" s="102"/>
      <c r="J213" s="102"/>
      <c r="K213" s="102"/>
      <c r="L213" s="54"/>
      <c r="M213" s="54"/>
    </row>
    <row r="214">
      <c r="A214" s="54"/>
      <c r="B214" s="99"/>
      <c r="C214" s="99"/>
      <c r="D214" s="99"/>
      <c r="E214" s="99"/>
      <c r="F214" s="99"/>
      <c r="G214" s="99"/>
      <c r="H214" s="102"/>
      <c r="I214" s="102"/>
      <c r="J214" s="102"/>
      <c r="K214" s="102"/>
      <c r="L214" s="54"/>
      <c r="M214" s="54"/>
    </row>
    <row r="215">
      <c r="A215" s="54"/>
      <c r="B215" s="99"/>
      <c r="C215" s="99"/>
      <c r="D215" s="99"/>
      <c r="E215" s="99"/>
      <c r="F215" s="99"/>
      <c r="G215" s="99"/>
      <c r="H215" s="102"/>
      <c r="I215" s="102"/>
      <c r="J215" s="102"/>
      <c r="K215" s="102"/>
      <c r="L215" s="54"/>
      <c r="M215" s="54"/>
    </row>
    <row r="216">
      <c r="A216" s="54"/>
      <c r="B216" s="99"/>
      <c r="C216" s="99"/>
      <c r="D216" s="99"/>
      <c r="E216" s="99"/>
      <c r="F216" s="99"/>
      <c r="G216" s="99"/>
      <c r="H216" s="102"/>
      <c r="I216" s="102"/>
      <c r="J216" s="102"/>
      <c r="K216" s="102"/>
      <c r="L216" s="54"/>
      <c r="M216" s="54"/>
    </row>
    <row r="217">
      <c r="A217" s="54"/>
      <c r="B217" s="99"/>
      <c r="C217" s="99"/>
      <c r="D217" s="99"/>
      <c r="E217" s="99"/>
      <c r="F217" s="99"/>
      <c r="G217" s="99"/>
      <c r="H217" s="102"/>
      <c r="I217" s="102"/>
      <c r="J217" s="102"/>
      <c r="K217" s="102"/>
      <c r="L217" s="54"/>
      <c r="M217" s="54"/>
    </row>
    <row r="218">
      <c r="A218" s="54"/>
      <c r="B218" s="99"/>
      <c r="C218" s="99"/>
      <c r="D218" s="99"/>
      <c r="E218" s="99"/>
      <c r="F218" s="99"/>
      <c r="G218" s="99"/>
      <c r="H218" s="102"/>
      <c r="I218" s="102"/>
      <c r="J218" s="102"/>
      <c r="K218" s="102"/>
      <c r="L218" s="54"/>
      <c r="M218" s="54"/>
    </row>
    <row r="219">
      <c r="A219" s="54"/>
      <c r="B219" s="99"/>
      <c r="C219" s="99"/>
      <c r="D219" s="99"/>
      <c r="E219" s="99"/>
      <c r="F219" s="99"/>
      <c r="G219" s="99"/>
      <c r="H219" s="102"/>
      <c r="I219" s="102"/>
      <c r="J219" s="102"/>
      <c r="K219" s="102"/>
      <c r="L219" s="54"/>
      <c r="M219" s="54"/>
    </row>
    <row r="220">
      <c r="A220" s="54"/>
      <c r="B220" s="99"/>
      <c r="C220" s="99"/>
      <c r="D220" s="99"/>
      <c r="E220" s="99"/>
      <c r="F220" s="99"/>
      <c r="G220" s="99"/>
      <c r="H220" s="102"/>
      <c r="I220" s="102"/>
      <c r="J220" s="102"/>
      <c r="K220" s="102"/>
      <c r="L220" s="54"/>
      <c r="M220" s="54"/>
    </row>
    <row r="221">
      <c r="A221" s="54"/>
      <c r="B221" s="99"/>
      <c r="C221" s="99"/>
      <c r="D221" s="99"/>
      <c r="E221" s="99"/>
      <c r="F221" s="99"/>
      <c r="G221" s="99"/>
      <c r="H221" s="102"/>
      <c r="I221" s="102"/>
      <c r="J221" s="102"/>
      <c r="K221" s="102"/>
      <c r="L221" s="54"/>
      <c r="M221" s="54"/>
    </row>
    <row r="222">
      <c r="A222" s="54"/>
      <c r="B222" s="99"/>
      <c r="C222" s="99"/>
      <c r="D222" s="99"/>
      <c r="E222" s="99"/>
      <c r="F222" s="99"/>
      <c r="G222" s="99"/>
      <c r="H222" s="102"/>
      <c r="I222" s="102"/>
      <c r="J222" s="102"/>
      <c r="K222" s="102"/>
      <c r="L222" s="54"/>
      <c r="M222" s="54"/>
    </row>
    <row r="223">
      <c r="A223" s="54"/>
      <c r="B223" s="99"/>
      <c r="C223" s="99"/>
      <c r="D223" s="99"/>
      <c r="E223" s="99"/>
      <c r="F223" s="99"/>
      <c r="G223" s="99"/>
      <c r="H223" s="102"/>
      <c r="I223" s="102"/>
      <c r="J223" s="102"/>
      <c r="K223" s="102"/>
      <c r="L223" s="54"/>
      <c r="M223" s="54"/>
    </row>
    <row r="224">
      <c r="A224" s="54"/>
      <c r="B224" s="114"/>
      <c r="C224" s="114"/>
      <c r="D224" s="114"/>
      <c r="E224" s="114"/>
      <c r="F224" s="114"/>
      <c r="G224" s="114"/>
      <c r="H224" s="54"/>
      <c r="I224" s="54"/>
      <c r="J224" s="54"/>
      <c r="K224" s="54"/>
      <c r="L224" s="54"/>
      <c r="M224" s="54"/>
    </row>
    <row r="225">
      <c r="A225" s="54"/>
      <c r="B225" s="114"/>
      <c r="C225" s="114"/>
      <c r="D225" s="114"/>
      <c r="E225" s="114"/>
      <c r="F225" s="114"/>
      <c r="G225" s="114"/>
      <c r="H225" s="54"/>
      <c r="I225" s="54"/>
      <c r="J225" s="54"/>
      <c r="K225" s="54"/>
      <c r="L225" s="54"/>
      <c r="M225" s="54"/>
    </row>
    <row r="226">
      <c r="A226" s="54"/>
      <c r="B226" s="114"/>
      <c r="C226" s="114"/>
      <c r="D226" s="114"/>
      <c r="E226" s="114"/>
      <c r="F226" s="114"/>
      <c r="G226" s="114"/>
      <c r="H226" s="54"/>
      <c r="I226" s="54"/>
      <c r="J226" s="54"/>
      <c r="K226" s="54"/>
      <c r="L226" s="54"/>
      <c r="M226" s="54"/>
    </row>
    <row r="227">
      <c r="A227" s="54"/>
      <c r="B227" s="114"/>
      <c r="C227" s="114"/>
      <c r="D227" s="114"/>
      <c r="E227" s="114"/>
      <c r="F227" s="114"/>
      <c r="G227" s="114"/>
      <c r="H227" s="54"/>
      <c r="I227" s="54"/>
      <c r="J227" s="54"/>
      <c r="K227" s="54"/>
      <c r="L227" s="54"/>
      <c r="M227" s="54"/>
    </row>
    <row r="228">
      <c r="A228" s="54"/>
      <c r="B228" s="114"/>
      <c r="C228" s="114"/>
      <c r="D228" s="114"/>
      <c r="E228" s="114"/>
      <c r="F228" s="114"/>
      <c r="G228" s="114"/>
      <c r="H228" s="54"/>
      <c r="I228" s="54"/>
      <c r="J228" s="54"/>
      <c r="K228" s="54"/>
      <c r="L228" s="54"/>
      <c r="M228" s="54"/>
    </row>
    <row r="229">
      <c r="A229" s="54"/>
      <c r="B229" s="114"/>
      <c r="C229" s="114"/>
      <c r="D229" s="114"/>
      <c r="E229" s="114"/>
      <c r="F229" s="114"/>
      <c r="G229" s="114"/>
      <c r="H229" s="54"/>
      <c r="I229" s="54"/>
      <c r="J229" s="54"/>
      <c r="K229" s="54"/>
      <c r="L229" s="54"/>
      <c r="M229" s="54"/>
    </row>
    <row r="230">
      <c r="A230" s="54"/>
      <c r="B230" s="114"/>
      <c r="C230" s="114"/>
      <c r="D230" s="114"/>
      <c r="E230" s="114"/>
      <c r="F230" s="114"/>
      <c r="G230" s="114"/>
      <c r="H230" s="54"/>
      <c r="I230" s="54"/>
      <c r="J230" s="54"/>
      <c r="K230" s="54"/>
      <c r="L230" s="54"/>
      <c r="M230" s="54"/>
    </row>
    <row r="231">
      <c r="A231" s="54"/>
      <c r="B231" s="114"/>
      <c r="C231" s="114"/>
      <c r="D231" s="114"/>
      <c r="E231" s="114"/>
      <c r="F231" s="114"/>
      <c r="G231" s="114"/>
      <c r="H231" s="54"/>
      <c r="I231" s="54"/>
      <c r="J231" s="54"/>
      <c r="K231" s="54"/>
      <c r="L231" s="54"/>
      <c r="M231" s="54"/>
    </row>
    <row r="232">
      <c r="A232" s="54"/>
      <c r="B232" s="114"/>
      <c r="C232" s="114"/>
      <c r="D232" s="114"/>
      <c r="E232" s="114"/>
      <c r="F232" s="114"/>
      <c r="G232" s="114"/>
      <c r="H232" s="54"/>
      <c r="I232" s="54"/>
      <c r="J232" s="54"/>
      <c r="K232" s="54"/>
      <c r="L232" s="54"/>
      <c r="M232" s="54"/>
    </row>
    <row r="233">
      <c r="A233" s="54"/>
      <c r="B233" s="114"/>
      <c r="C233" s="114"/>
      <c r="D233" s="114"/>
      <c r="E233" s="114"/>
      <c r="F233" s="114"/>
      <c r="G233" s="114"/>
      <c r="H233" s="54"/>
      <c r="I233" s="54"/>
      <c r="J233" s="54"/>
      <c r="K233" s="54"/>
      <c r="L233" s="54"/>
      <c r="M233" s="54"/>
    </row>
    <row r="234">
      <c r="A234" s="54"/>
      <c r="B234" s="114"/>
      <c r="C234" s="114"/>
      <c r="D234" s="114"/>
      <c r="E234" s="114"/>
      <c r="F234" s="114"/>
      <c r="G234" s="114"/>
      <c r="H234" s="54"/>
      <c r="I234" s="54"/>
      <c r="J234" s="54"/>
      <c r="K234" s="54"/>
      <c r="L234" s="54"/>
      <c r="M234" s="54"/>
    </row>
    <row r="235">
      <c r="A235" s="54"/>
      <c r="B235" s="114"/>
      <c r="C235" s="114"/>
      <c r="D235" s="114"/>
      <c r="E235" s="114"/>
      <c r="F235" s="114"/>
      <c r="G235" s="114"/>
      <c r="H235" s="54"/>
      <c r="I235" s="54"/>
      <c r="J235" s="54"/>
      <c r="K235" s="54"/>
      <c r="L235" s="54"/>
      <c r="M235" s="54"/>
    </row>
    <row r="236">
      <c r="A236" s="54"/>
      <c r="B236" s="114"/>
      <c r="C236" s="114"/>
      <c r="D236" s="114"/>
      <c r="E236" s="114"/>
      <c r="F236" s="114"/>
      <c r="G236" s="114"/>
      <c r="H236" s="54"/>
      <c r="I236" s="54"/>
      <c r="J236" s="54"/>
      <c r="K236" s="54"/>
      <c r="L236" s="54"/>
      <c r="M236" s="54"/>
    </row>
    <row r="237">
      <c r="A237" s="54"/>
      <c r="B237" s="114"/>
      <c r="C237" s="114"/>
      <c r="D237" s="114"/>
      <c r="E237" s="114"/>
      <c r="F237" s="114"/>
      <c r="G237" s="114"/>
      <c r="H237" s="54"/>
      <c r="I237" s="54"/>
      <c r="J237" s="54"/>
      <c r="K237" s="54"/>
      <c r="L237" s="54"/>
      <c r="M237" s="54"/>
    </row>
    <row r="238">
      <c r="A238" s="54"/>
      <c r="B238" s="114"/>
      <c r="C238" s="114"/>
      <c r="D238" s="114"/>
      <c r="E238" s="114"/>
      <c r="F238" s="114"/>
      <c r="G238" s="114"/>
      <c r="H238" s="54"/>
      <c r="I238" s="54"/>
      <c r="J238" s="54"/>
      <c r="K238" s="54"/>
      <c r="L238" s="54"/>
      <c r="M238" s="54"/>
    </row>
    <row r="239">
      <c r="A239" s="54"/>
      <c r="B239" s="114"/>
      <c r="C239" s="114"/>
      <c r="D239" s="114"/>
      <c r="E239" s="114"/>
      <c r="F239" s="114"/>
      <c r="G239" s="114"/>
      <c r="H239" s="54"/>
      <c r="I239" s="54"/>
      <c r="J239" s="54"/>
      <c r="K239" s="54"/>
      <c r="L239" s="54"/>
      <c r="M239" s="54"/>
    </row>
    <row r="240">
      <c r="A240" s="54"/>
      <c r="B240" s="114"/>
      <c r="C240" s="114"/>
      <c r="D240" s="114"/>
      <c r="E240" s="114"/>
      <c r="F240" s="114"/>
      <c r="G240" s="114"/>
      <c r="H240" s="54"/>
      <c r="I240" s="54"/>
      <c r="J240" s="54"/>
      <c r="K240" s="54"/>
      <c r="L240" s="54"/>
      <c r="M240" s="54"/>
    </row>
    <row r="241">
      <c r="A241" s="54"/>
      <c r="B241" s="114"/>
      <c r="C241" s="114"/>
      <c r="D241" s="114"/>
      <c r="E241" s="114"/>
      <c r="F241" s="114"/>
      <c r="G241" s="114"/>
      <c r="H241" s="54"/>
      <c r="I241" s="54"/>
      <c r="J241" s="54"/>
      <c r="K241" s="54"/>
      <c r="L241" s="54"/>
      <c r="M241" s="54"/>
    </row>
    <row r="242">
      <c r="A242" s="54"/>
      <c r="B242" s="114"/>
      <c r="C242" s="114"/>
      <c r="D242" s="114"/>
      <c r="E242" s="114"/>
      <c r="F242" s="114"/>
      <c r="G242" s="114"/>
      <c r="H242" s="54"/>
      <c r="I242" s="54"/>
      <c r="J242" s="54"/>
      <c r="K242" s="54"/>
      <c r="L242" s="54"/>
      <c r="M242" s="54"/>
    </row>
    <row r="243">
      <c r="A243" s="54"/>
      <c r="B243" s="114"/>
      <c r="C243" s="114"/>
      <c r="D243" s="114"/>
      <c r="E243" s="114"/>
      <c r="F243" s="114"/>
      <c r="G243" s="114"/>
      <c r="H243" s="54"/>
      <c r="I243" s="54"/>
      <c r="J243" s="54"/>
      <c r="K243" s="54"/>
      <c r="L243" s="54"/>
      <c r="M243" s="54"/>
    </row>
    <row r="244">
      <c r="A244" s="54"/>
      <c r="B244" s="114"/>
      <c r="C244" s="114"/>
      <c r="D244" s="114"/>
      <c r="E244" s="114"/>
      <c r="F244" s="114"/>
      <c r="G244" s="114"/>
      <c r="H244" s="54"/>
      <c r="I244" s="54"/>
      <c r="J244" s="54"/>
      <c r="K244" s="54"/>
      <c r="L244" s="54"/>
      <c r="M244" s="54"/>
    </row>
    <row r="245">
      <c r="A245" s="54"/>
      <c r="B245" s="114"/>
      <c r="C245" s="114"/>
      <c r="D245" s="114"/>
      <c r="E245" s="114"/>
      <c r="F245" s="114"/>
      <c r="G245" s="114"/>
      <c r="H245" s="54"/>
      <c r="I245" s="54"/>
      <c r="J245" s="54"/>
      <c r="K245" s="54"/>
      <c r="L245" s="54"/>
      <c r="M245" s="54"/>
    </row>
    <row r="246">
      <c r="A246" s="54"/>
      <c r="B246" s="114"/>
      <c r="C246" s="114"/>
      <c r="D246" s="114"/>
      <c r="E246" s="114"/>
      <c r="F246" s="114"/>
      <c r="G246" s="114"/>
      <c r="H246" s="54"/>
      <c r="I246" s="54"/>
      <c r="J246" s="54"/>
      <c r="K246" s="54"/>
      <c r="L246" s="54"/>
      <c r="M246" s="54"/>
    </row>
    <row r="247">
      <c r="A247" s="54"/>
      <c r="B247" s="114"/>
      <c r="C247" s="114"/>
      <c r="D247" s="114"/>
      <c r="E247" s="114"/>
      <c r="F247" s="114"/>
      <c r="G247" s="114"/>
      <c r="H247" s="54"/>
      <c r="I247" s="54"/>
      <c r="J247" s="54"/>
      <c r="K247" s="54"/>
      <c r="L247" s="54"/>
      <c r="M247" s="54"/>
    </row>
    <row r="248">
      <c r="A248" s="54"/>
      <c r="B248" s="114"/>
      <c r="C248" s="114"/>
      <c r="D248" s="114"/>
      <c r="E248" s="114"/>
      <c r="F248" s="114"/>
      <c r="G248" s="114"/>
      <c r="H248" s="54"/>
      <c r="I248" s="54"/>
      <c r="J248" s="54"/>
      <c r="K248" s="54"/>
      <c r="L248" s="54"/>
      <c r="M248" s="54"/>
    </row>
    <row r="249">
      <c r="A249" s="54"/>
      <c r="B249" s="114"/>
      <c r="C249" s="114"/>
      <c r="D249" s="114"/>
      <c r="E249" s="114"/>
      <c r="F249" s="114"/>
      <c r="G249" s="114"/>
      <c r="H249" s="54"/>
      <c r="I249" s="54"/>
      <c r="J249" s="54"/>
      <c r="K249" s="54"/>
      <c r="L249" s="54"/>
      <c r="M249" s="54"/>
    </row>
    <row r="250">
      <c r="A250" s="54"/>
      <c r="B250" s="114"/>
      <c r="C250" s="114"/>
      <c r="D250" s="114"/>
      <c r="E250" s="114"/>
      <c r="F250" s="114"/>
      <c r="G250" s="114"/>
      <c r="H250" s="54"/>
      <c r="I250" s="54"/>
      <c r="J250" s="54"/>
      <c r="K250" s="54"/>
      <c r="L250" s="54"/>
      <c r="M250" s="54"/>
    </row>
    <row r="251">
      <c r="A251" s="54"/>
      <c r="B251" s="114"/>
      <c r="C251" s="114"/>
      <c r="D251" s="114"/>
      <c r="E251" s="114"/>
      <c r="F251" s="114"/>
      <c r="G251" s="114"/>
      <c r="H251" s="54"/>
      <c r="I251" s="54"/>
      <c r="J251" s="54"/>
      <c r="K251" s="54"/>
      <c r="L251" s="54"/>
      <c r="M251" s="54"/>
    </row>
    <row r="252">
      <c r="A252" s="54"/>
      <c r="B252" s="114"/>
      <c r="C252" s="114"/>
      <c r="D252" s="114"/>
      <c r="E252" s="114"/>
      <c r="F252" s="114"/>
      <c r="G252" s="114"/>
      <c r="H252" s="54"/>
      <c r="I252" s="54"/>
      <c r="J252" s="54"/>
      <c r="K252" s="54"/>
      <c r="L252" s="54"/>
      <c r="M252" s="54"/>
    </row>
    <row r="253">
      <c r="A253" s="54"/>
      <c r="B253" s="114"/>
      <c r="C253" s="114"/>
      <c r="D253" s="114"/>
      <c r="E253" s="114"/>
      <c r="F253" s="114"/>
      <c r="G253" s="114"/>
      <c r="H253" s="54"/>
      <c r="I253" s="54"/>
      <c r="J253" s="54"/>
      <c r="K253" s="54"/>
      <c r="L253" s="54"/>
      <c r="M253" s="54"/>
    </row>
    <row r="254">
      <c r="A254" s="54"/>
      <c r="B254" s="114"/>
      <c r="C254" s="114"/>
      <c r="D254" s="114"/>
      <c r="E254" s="114"/>
      <c r="F254" s="114"/>
      <c r="G254" s="114"/>
      <c r="H254" s="54"/>
      <c r="I254" s="54"/>
      <c r="J254" s="54"/>
      <c r="K254" s="54"/>
      <c r="L254" s="54"/>
      <c r="M254" s="54"/>
    </row>
    <row r="255">
      <c r="A255" s="54"/>
      <c r="B255" s="114"/>
      <c r="C255" s="114"/>
      <c r="D255" s="114"/>
      <c r="E255" s="114"/>
      <c r="F255" s="114"/>
      <c r="G255" s="114"/>
      <c r="H255" s="54"/>
      <c r="I255" s="54"/>
      <c r="J255" s="54"/>
      <c r="K255" s="54"/>
      <c r="L255" s="54"/>
      <c r="M255" s="54"/>
    </row>
    <row r="256">
      <c r="A256" s="54"/>
      <c r="B256" s="114"/>
      <c r="C256" s="114"/>
      <c r="D256" s="114"/>
      <c r="E256" s="114"/>
      <c r="F256" s="114"/>
      <c r="G256" s="114"/>
      <c r="H256" s="54"/>
      <c r="I256" s="54"/>
      <c r="J256" s="54"/>
      <c r="K256" s="54"/>
      <c r="L256" s="54"/>
      <c r="M256" s="54"/>
    </row>
    <row r="257">
      <c r="A257" s="54"/>
      <c r="B257" s="114"/>
      <c r="C257" s="114"/>
      <c r="D257" s="114"/>
      <c r="E257" s="114"/>
      <c r="F257" s="114"/>
      <c r="G257" s="114"/>
      <c r="H257" s="54"/>
      <c r="I257" s="54"/>
      <c r="J257" s="54"/>
      <c r="K257" s="54"/>
      <c r="L257" s="54"/>
      <c r="M257" s="54"/>
    </row>
    <row r="258">
      <c r="A258" s="54"/>
      <c r="B258" s="114"/>
      <c r="C258" s="114"/>
      <c r="D258" s="114"/>
      <c r="E258" s="114"/>
      <c r="F258" s="114"/>
      <c r="G258" s="114"/>
      <c r="H258" s="54"/>
      <c r="I258" s="54"/>
      <c r="J258" s="54"/>
      <c r="K258" s="54"/>
      <c r="L258" s="54"/>
      <c r="M258" s="54"/>
    </row>
    <row r="259">
      <c r="A259" s="54"/>
      <c r="B259" s="114"/>
      <c r="C259" s="114"/>
      <c r="D259" s="114"/>
      <c r="E259" s="114"/>
      <c r="F259" s="114"/>
      <c r="G259" s="114"/>
      <c r="H259" s="54"/>
      <c r="I259" s="54"/>
      <c r="J259" s="54"/>
      <c r="K259" s="54"/>
      <c r="L259" s="54"/>
      <c r="M259" s="54"/>
    </row>
    <row r="260">
      <c r="A260" s="54"/>
      <c r="B260" s="114"/>
      <c r="C260" s="114"/>
      <c r="D260" s="114"/>
      <c r="E260" s="114"/>
      <c r="F260" s="114"/>
      <c r="G260" s="114"/>
      <c r="H260" s="54"/>
      <c r="I260" s="54"/>
      <c r="J260" s="54"/>
      <c r="K260" s="54"/>
      <c r="L260" s="54"/>
      <c r="M260" s="54"/>
    </row>
    <row r="261">
      <c r="A261" s="54"/>
      <c r="B261" s="114"/>
      <c r="C261" s="114"/>
      <c r="D261" s="114"/>
      <c r="E261" s="114"/>
      <c r="F261" s="114"/>
      <c r="G261" s="114"/>
      <c r="H261" s="54"/>
      <c r="I261" s="54"/>
      <c r="J261" s="54"/>
      <c r="K261" s="54"/>
      <c r="L261" s="54"/>
      <c r="M261" s="54"/>
    </row>
    <row r="262">
      <c r="A262" s="54"/>
      <c r="B262" s="114"/>
      <c r="C262" s="114"/>
      <c r="D262" s="114"/>
      <c r="E262" s="114"/>
      <c r="F262" s="114"/>
      <c r="G262" s="114"/>
      <c r="H262" s="54"/>
      <c r="I262" s="54"/>
      <c r="J262" s="54"/>
      <c r="K262" s="54"/>
      <c r="L262" s="54"/>
      <c r="M262" s="54"/>
    </row>
    <row r="263">
      <c r="A263" s="54"/>
      <c r="B263" s="114"/>
      <c r="C263" s="114"/>
      <c r="D263" s="114"/>
      <c r="E263" s="114"/>
      <c r="F263" s="114"/>
      <c r="G263" s="114"/>
      <c r="H263" s="54"/>
      <c r="I263" s="54"/>
      <c r="J263" s="54"/>
      <c r="K263" s="54"/>
      <c r="L263" s="54"/>
      <c r="M263" s="54"/>
    </row>
    <row r="264">
      <c r="A264" s="54"/>
      <c r="B264" s="114"/>
      <c r="C264" s="114"/>
      <c r="D264" s="114"/>
      <c r="E264" s="114"/>
      <c r="F264" s="114"/>
      <c r="G264" s="114"/>
      <c r="H264" s="54"/>
      <c r="I264" s="54"/>
      <c r="J264" s="54"/>
      <c r="K264" s="54"/>
      <c r="L264" s="54"/>
      <c r="M264" s="54"/>
    </row>
    <row r="265">
      <c r="A265" s="54"/>
      <c r="B265" s="114"/>
      <c r="C265" s="114"/>
      <c r="D265" s="114"/>
      <c r="E265" s="114"/>
      <c r="F265" s="114"/>
      <c r="G265" s="114"/>
      <c r="H265" s="54"/>
      <c r="I265" s="54"/>
      <c r="J265" s="54"/>
      <c r="K265" s="54"/>
      <c r="L265" s="54"/>
      <c r="M265" s="54"/>
    </row>
    <row r="266">
      <c r="A266" s="54"/>
      <c r="B266" s="114"/>
      <c r="C266" s="114"/>
      <c r="D266" s="114"/>
      <c r="E266" s="114"/>
      <c r="F266" s="114"/>
      <c r="G266" s="114"/>
      <c r="H266" s="54"/>
      <c r="I266" s="54"/>
      <c r="J266" s="54"/>
      <c r="K266" s="54"/>
      <c r="L266" s="54"/>
      <c r="M266" s="54"/>
    </row>
    <row r="267">
      <c r="A267" s="54"/>
      <c r="B267" s="114"/>
      <c r="C267" s="114"/>
      <c r="D267" s="114"/>
      <c r="E267" s="114"/>
      <c r="F267" s="114"/>
      <c r="G267" s="114"/>
      <c r="H267" s="54"/>
      <c r="I267" s="54"/>
      <c r="J267" s="54"/>
      <c r="K267" s="54"/>
      <c r="L267" s="54"/>
      <c r="M267" s="54"/>
    </row>
    <row r="268">
      <c r="A268" s="54"/>
      <c r="B268" s="114"/>
      <c r="C268" s="114"/>
      <c r="D268" s="114"/>
      <c r="E268" s="114"/>
      <c r="F268" s="114"/>
      <c r="G268" s="114"/>
      <c r="H268" s="54"/>
      <c r="I268" s="54"/>
      <c r="J268" s="54"/>
      <c r="K268" s="54"/>
      <c r="L268" s="54"/>
      <c r="M268" s="54"/>
    </row>
    <row r="269">
      <c r="A269" s="54"/>
      <c r="B269" s="114"/>
      <c r="C269" s="114"/>
      <c r="D269" s="114"/>
      <c r="E269" s="114"/>
      <c r="F269" s="114"/>
      <c r="G269" s="114"/>
      <c r="H269" s="54"/>
      <c r="I269" s="54"/>
      <c r="J269" s="54"/>
      <c r="K269" s="54"/>
      <c r="L269" s="54"/>
      <c r="M269" s="54"/>
    </row>
    <row r="270">
      <c r="A270" s="54"/>
      <c r="B270" s="114"/>
      <c r="C270" s="114"/>
      <c r="D270" s="114"/>
      <c r="E270" s="114"/>
      <c r="F270" s="114"/>
      <c r="G270" s="114"/>
      <c r="H270" s="54"/>
      <c r="I270" s="54"/>
      <c r="J270" s="54"/>
      <c r="K270" s="54"/>
      <c r="L270" s="54"/>
      <c r="M270" s="54"/>
    </row>
    <row r="271">
      <c r="A271" s="54"/>
      <c r="B271" s="114"/>
      <c r="C271" s="114"/>
      <c r="D271" s="114"/>
      <c r="E271" s="114"/>
      <c r="F271" s="114"/>
      <c r="G271" s="114"/>
      <c r="H271" s="54"/>
      <c r="I271" s="54"/>
      <c r="J271" s="54"/>
      <c r="K271" s="54"/>
      <c r="L271" s="54"/>
      <c r="M271" s="54"/>
    </row>
    <row r="272">
      <c r="A272" s="54"/>
      <c r="B272" s="114"/>
      <c r="C272" s="114"/>
      <c r="D272" s="114"/>
      <c r="E272" s="114"/>
      <c r="F272" s="114"/>
      <c r="G272" s="114"/>
      <c r="H272" s="54"/>
      <c r="I272" s="54"/>
      <c r="J272" s="54"/>
      <c r="K272" s="54"/>
      <c r="L272" s="54"/>
      <c r="M272" s="54"/>
    </row>
    <row r="273">
      <c r="A273" s="54"/>
      <c r="B273" s="114"/>
      <c r="C273" s="114"/>
      <c r="D273" s="114"/>
      <c r="E273" s="114"/>
      <c r="F273" s="114"/>
      <c r="G273" s="114"/>
      <c r="H273" s="54"/>
      <c r="I273" s="54"/>
      <c r="J273" s="54"/>
      <c r="K273" s="54"/>
      <c r="L273" s="54"/>
      <c r="M273" s="54"/>
    </row>
    <row r="274">
      <c r="A274" s="54"/>
      <c r="B274" s="114"/>
      <c r="C274" s="114"/>
      <c r="D274" s="114"/>
      <c r="E274" s="114"/>
      <c r="F274" s="114"/>
      <c r="G274" s="114"/>
      <c r="H274" s="54"/>
      <c r="I274" s="54"/>
      <c r="J274" s="54"/>
      <c r="K274" s="54"/>
      <c r="L274" s="54"/>
      <c r="M274" s="54"/>
    </row>
    <row r="275">
      <c r="A275" s="54"/>
      <c r="B275" s="114"/>
      <c r="C275" s="114"/>
      <c r="D275" s="114"/>
      <c r="E275" s="114"/>
      <c r="F275" s="114"/>
      <c r="G275" s="114"/>
      <c r="H275" s="54"/>
      <c r="I275" s="54"/>
      <c r="J275" s="54"/>
      <c r="K275" s="54"/>
      <c r="L275" s="54"/>
      <c r="M275" s="54"/>
    </row>
    <row r="276">
      <c r="A276" s="54"/>
      <c r="B276" s="114"/>
      <c r="C276" s="114"/>
      <c r="D276" s="114"/>
      <c r="E276" s="114"/>
      <c r="F276" s="114"/>
      <c r="G276" s="114"/>
      <c r="H276" s="54"/>
      <c r="I276" s="54"/>
      <c r="J276" s="54"/>
      <c r="K276" s="54"/>
      <c r="L276" s="54"/>
      <c r="M276" s="54"/>
    </row>
    <row r="277">
      <c r="A277" s="54"/>
      <c r="B277" s="114"/>
      <c r="C277" s="114"/>
      <c r="D277" s="114"/>
      <c r="E277" s="114"/>
      <c r="F277" s="114"/>
      <c r="G277" s="114"/>
      <c r="H277" s="54"/>
      <c r="I277" s="54"/>
      <c r="J277" s="54"/>
      <c r="K277" s="54"/>
      <c r="L277" s="54"/>
      <c r="M277" s="54"/>
    </row>
    <row r="278">
      <c r="A278" s="54"/>
      <c r="B278" s="114"/>
      <c r="C278" s="114"/>
      <c r="D278" s="114"/>
      <c r="E278" s="114"/>
      <c r="F278" s="114"/>
      <c r="G278" s="114"/>
      <c r="H278" s="54"/>
      <c r="I278" s="54"/>
      <c r="J278" s="54"/>
      <c r="K278" s="54"/>
      <c r="L278" s="54"/>
      <c r="M278" s="54"/>
    </row>
    <row r="279">
      <c r="A279" s="54"/>
      <c r="B279" s="114"/>
      <c r="C279" s="114"/>
      <c r="D279" s="114"/>
      <c r="E279" s="114"/>
      <c r="F279" s="114"/>
      <c r="G279" s="114"/>
      <c r="H279" s="54"/>
      <c r="I279" s="54"/>
      <c r="J279" s="54"/>
      <c r="K279" s="54"/>
      <c r="L279" s="54"/>
      <c r="M279" s="54"/>
    </row>
    <row r="280">
      <c r="A280" s="54"/>
      <c r="B280" s="114"/>
      <c r="C280" s="114"/>
      <c r="D280" s="114"/>
      <c r="E280" s="114"/>
      <c r="F280" s="114"/>
      <c r="G280" s="114"/>
      <c r="H280" s="54"/>
      <c r="I280" s="54"/>
      <c r="J280" s="54"/>
      <c r="K280" s="54"/>
      <c r="L280" s="54"/>
      <c r="M280" s="54"/>
    </row>
    <row r="281">
      <c r="A281" s="54"/>
      <c r="B281" s="114"/>
      <c r="C281" s="114"/>
      <c r="D281" s="114"/>
      <c r="E281" s="114"/>
      <c r="F281" s="114"/>
      <c r="G281" s="114"/>
      <c r="H281" s="54"/>
      <c r="I281" s="54"/>
      <c r="J281" s="54"/>
      <c r="K281" s="54"/>
      <c r="L281" s="54"/>
      <c r="M281" s="54"/>
    </row>
    <row r="282">
      <c r="A282" s="54"/>
      <c r="B282" s="114"/>
      <c r="C282" s="114"/>
      <c r="D282" s="114"/>
      <c r="E282" s="114"/>
      <c r="F282" s="114"/>
      <c r="G282" s="114"/>
      <c r="H282" s="54"/>
      <c r="I282" s="54"/>
      <c r="J282" s="54"/>
      <c r="K282" s="54"/>
      <c r="L282" s="54"/>
      <c r="M282" s="54"/>
    </row>
    <row r="283">
      <c r="A283" s="54"/>
      <c r="B283" s="114"/>
      <c r="C283" s="114"/>
      <c r="D283" s="114"/>
      <c r="E283" s="114"/>
      <c r="F283" s="114"/>
      <c r="G283" s="114"/>
      <c r="H283" s="54"/>
      <c r="I283" s="54"/>
      <c r="J283" s="54"/>
      <c r="K283" s="54"/>
      <c r="L283" s="54"/>
      <c r="M283" s="54"/>
    </row>
    <row r="284">
      <c r="A284" s="54"/>
      <c r="B284" s="114"/>
      <c r="C284" s="114"/>
      <c r="D284" s="114"/>
      <c r="E284" s="114"/>
      <c r="F284" s="114"/>
      <c r="G284" s="114"/>
      <c r="H284" s="54"/>
      <c r="I284" s="54"/>
      <c r="J284" s="54"/>
      <c r="K284" s="54"/>
      <c r="L284" s="54"/>
      <c r="M284" s="54"/>
    </row>
    <row r="285">
      <c r="A285" s="54"/>
      <c r="B285" s="114"/>
      <c r="C285" s="114"/>
      <c r="D285" s="114"/>
      <c r="E285" s="114"/>
      <c r="F285" s="114"/>
      <c r="G285" s="114"/>
      <c r="H285" s="54"/>
      <c r="I285" s="54"/>
      <c r="J285" s="54"/>
      <c r="K285" s="54"/>
      <c r="L285" s="54"/>
      <c r="M285" s="54"/>
    </row>
    <row r="286">
      <c r="A286" s="54"/>
      <c r="B286" s="114"/>
      <c r="C286" s="114"/>
      <c r="D286" s="114"/>
      <c r="E286" s="114"/>
      <c r="F286" s="114"/>
      <c r="G286" s="114"/>
      <c r="H286" s="54"/>
      <c r="I286" s="54"/>
      <c r="J286" s="54"/>
      <c r="K286" s="54"/>
      <c r="L286" s="54"/>
      <c r="M286" s="54"/>
    </row>
    <row r="287">
      <c r="A287" s="54"/>
      <c r="B287" s="114"/>
      <c r="C287" s="114"/>
      <c r="D287" s="114"/>
      <c r="E287" s="114"/>
      <c r="F287" s="114"/>
      <c r="G287" s="114"/>
      <c r="H287" s="54"/>
      <c r="I287" s="54"/>
      <c r="J287" s="54"/>
      <c r="K287" s="54"/>
      <c r="L287" s="54"/>
      <c r="M287" s="54"/>
    </row>
    <row r="288">
      <c r="A288" s="54"/>
      <c r="B288" s="114"/>
      <c r="C288" s="114"/>
      <c r="D288" s="114"/>
      <c r="E288" s="114"/>
      <c r="F288" s="114"/>
      <c r="G288" s="114"/>
      <c r="H288" s="54"/>
      <c r="I288" s="54"/>
      <c r="J288" s="54"/>
      <c r="K288" s="54"/>
      <c r="L288" s="54"/>
      <c r="M288" s="54"/>
    </row>
    <row r="289">
      <c r="A289" s="54"/>
      <c r="B289" s="114"/>
      <c r="C289" s="114"/>
      <c r="D289" s="114"/>
      <c r="E289" s="114"/>
      <c r="F289" s="114"/>
      <c r="G289" s="114"/>
      <c r="H289" s="54"/>
      <c r="I289" s="54"/>
      <c r="J289" s="54"/>
      <c r="K289" s="54"/>
      <c r="L289" s="54"/>
      <c r="M289" s="54"/>
    </row>
    <row r="290">
      <c r="A290" s="54"/>
      <c r="B290" s="114"/>
      <c r="C290" s="114"/>
      <c r="D290" s="114"/>
      <c r="E290" s="114"/>
      <c r="F290" s="114"/>
      <c r="G290" s="114"/>
      <c r="H290" s="54"/>
      <c r="I290" s="54"/>
      <c r="J290" s="54"/>
      <c r="K290" s="54"/>
      <c r="L290" s="54"/>
      <c r="M290" s="54"/>
    </row>
    <row r="291">
      <c r="A291" s="54"/>
      <c r="B291" s="114"/>
      <c r="C291" s="114"/>
      <c r="D291" s="114"/>
      <c r="E291" s="114"/>
      <c r="F291" s="114"/>
      <c r="G291" s="114"/>
      <c r="H291" s="54"/>
      <c r="I291" s="54"/>
      <c r="J291" s="54"/>
      <c r="K291" s="54"/>
      <c r="L291" s="54"/>
      <c r="M291" s="54"/>
    </row>
    <row r="292">
      <c r="A292" s="54"/>
      <c r="B292" s="114"/>
      <c r="C292" s="114"/>
      <c r="D292" s="114"/>
      <c r="E292" s="114"/>
      <c r="F292" s="114"/>
      <c r="G292" s="114"/>
      <c r="H292" s="54"/>
      <c r="I292" s="54"/>
      <c r="J292" s="54"/>
      <c r="K292" s="54"/>
      <c r="L292" s="54"/>
      <c r="M292" s="54"/>
    </row>
    <row r="293">
      <c r="A293" s="54"/>
      <c r="B293" s="114"/>
      <c r="C293" s="114"/>
      <c r="D293" s="114"/>
      <c r="E293" s="114"/>
      <c r="F293" s="114"/>
      <c r="G293" s="114"/>
      <c r="H293" s="54"/>
      <c r="I293" s="54"/>
      <c r="J293" s="54"/>
      <c r="K293" s="54"/>
      <c r="L293" s="54"/>
      <c r="M293" s="54"/>
    </row>
    <row r="294">
      <c r="A294" s="54"/>
      <c r="B294" s="114"/>
      <c r="C294" s="114"/>
      <c r="D294" s="114"/>
      <c r="E294" s="114"/>
      <c r="F294" s="114"/>
      <c r="G294" s="114"/>
      <c r="H294" s="54"/>
      <c r="I294" s="54"/>
      <c r="J294" s="54"/>
      <c r="K294" s="54"/>
      <c r="L294" s="54"/>
      <c r="M294" s="54"/>
    </row>
    <row r="295">
      <c r="A295" s="54"/>
      <c r="B295" s="114"/>
      <c r="C295" s="114"/>
      <c r="D295" s="114"/>
      <c r="E295" s="114"/>
      <c r="F295" s="114"/>
      <c r="G295" s="114"/>
      <c r="H295" s="54"/>
      <c r="I295" s="54"/>
      <c r="J295" s="54"/>
      <c r="K295" s="54"/>
      <c r="L295" s="54"/>
      <c r="M295" s="54"/>
    </row>
    <row r="296">
      <c r="A296" s="54"/>
      <c r="B296" s="54"/>
      <c r="C296" s="54"/>
      <c r="D296" s="54"/>
      <c r="E296" s="114"/>
      <c r="F296" s="114"/>
      <c r="G296" s="114"/>
      <c r="H296" s="54"/>
      <c r="I296" s="54"/>
      <c r="J296" s="54"/>
      <c r="K296" s="54"/>
      <c r="L296" s="54"/>
      <c r="M296" s="54"/>
    </row>
    <row r="297">
      <c r="A297" s="54"/>
      <c r="B297" s="54"/>
      <c r="C297" s="54"/>
      <c r="D297" s="54"/>
      <c r="E297" s="114"/>
      <c r="F297" s="114"/>
      <c r="G297" s="114"/>
      <c r="H297" s="54"/>
      <c r="I297" s="54"/>
      <c r="J297" s="54"/>
      <c r="K297" s="54"/>
      <c r="L297" s="54"/>
      <c r="M297" s="54"/>
    </row>
    <row r="298">
      <c r="A298" s="54"/>
      <c r="B298" s="54"/>
      <c r="C298" s="54"/>
      <c r="D298" s="54"/>
      <c r="E298" s="114"/>
      <c r="F298" s="114"/>
      <c r="G298" s="114"/>
      <c r="H298" s="54"/>
      <c r="I298" s="54"/>
      <c r="J298" s="54"/>
      <c r="K298" s="54"/>
      <c r="L298" s="54"/>
      <c r="M298" s="54"/>
    </row>
    <row r="299">
      <c r="A299" s="54"/>
      <c r="B299" s="54"/>
      <c r="C299" s="54"/>
      <c r="D299" s="54"/>
      <c r="E299" s="114"/>
      <c r="F299" s="114"/>
      <c r="G299" s="114"/>
      <c r="H299" s="54"/>
      <c r="I299" s="54"/>
      <c r="J299" s="54"/>
      <c r="K299" s="54"/>
      <c r="L299" s="54"/>
      <c r="M299" s="54"/>
    </row>
    <row r="300">
      <c r="A300" s="54"/>
      <c r="B300" s="54"/>
      <c r="C300" s="54"/>
      <c r="D300" s="54"/>
      <c r="E300" s="114"/>
      <c r="F300" s="114"/>
      <c r="G300" s="114"/>
      <c r="H300" s="54"/>
      <c r="I300" s="54"/>
      <c r="J300" s="54"/>
      <c r="K300" s="54"/>
      <c r="L300" s="54"/>
      <c r="M300" s="54"/>
    </row>
    <row r="301">
      <c r="A301" s="54"/>
      <c r="B301" s="54"/>
      <c r="C301" s="54"/>
      <c r="D301" s="54"/>
      <c r="E301" s="114"/>
      <c r="F301" s="114"/>
      <c r="G301" s="114"/>
      <c r="H301" s="54"/>
      <c r="I301" s="54"/>
      <c r="J301" s="54"/>
      <c r="K301" s="54"/>
      <c r="L301" s="54"/>
      <c r="M301" s="54"/>
    </row>
    <row r="302">
      <c r="A302" s="54"/>
      <c r="B302" s="54"/>
      <c r="C302" s="54"/>
      <c r="D302" s="54"/>
      <c r="E302" s="114"/>
      <c r="F302" s="114"/>
      <c r="G302" s="114"/>
      <c r="H302" s="54"/>
      <c r="I302" s="54"/>
      <c r="J302" s="54"/>
      <c r="K302" s="54"/>
      <c r="L302" s="54"/>
      <c r="M302" s="54"/>
    </row>
    <row r="303">
      <c r="A303" s="54"/>
      <c r="B303" s="54"/>
      <c r="C303" s="54"/>
      <c r="D303" s="54"/>
      <c r="E303" s="114"/>
      <c r="F303" s="114"/>
      <c r="G303" s="114"/>
      <c r="H303" s="54"/>
      <c r="I303" s="54"/>
      <c r="J303" s="54"/>
      <c r="K303" s="54"/>
      <c r="L303" s="54"/>
      <c r="M303" s="54"/>
    </row>
    <row r="304">
      <c r="A304" s="54"/>
      <c r="B304" s="54"/>
      <c r="C304" s="54"/>
      <c r="D304" s="54"/>
      <c r="E304" s="114"/>
      <c r="F304" s="114"/>
      <c r="G304" s="114"/>
      <c r="H304" s="54"/>
      <c r="I304" s="54"/>
      <c r="J304" s="54"/>
      <c r="K304" s="54"/>
      <c r="L304" s="54"/>
      <c r="M304" s="54"/>
    </row>
    <row r="305">
      <c r="A305" s="54"/>
      <c r="B305" s="54"/>
      <c r="C305" s="54"/>
      <c r="D305" s="54"/>
      <c r="E305" s="114"/>
      <c r="F305" s="114"/>
      <c r="G305" s="114"/>
      <c r="H305" s="54"/>
      <c r="I305" s="54"/>
      <c r="J305" s="54"/>
      <c r="K305" s="54"/>
      <c r="L305" s="54"/>
      <c r="M305" s="54"/>
    </row>
    <row r="306">
      <c r="A306" s="54"/>
      <c r="B306" s="54"/>
      <c r="C306" s="54"/>
      <c r="D306" s="54"/>
      <c r="E306" s="114"/>
      <c r="F306" s="114"/>
      <c r="G306" s="114"/>
      <c r="H306" s="54"/>
      <c r="I306" s="54"/>
      <c r="J306" s="54"/>
      <c r="K306" s="54"/>
      <c r="L306" s="54"/>
      <c r="M306" s="54"/>
    </row>
    <row r="307">
      <c r="A307" s="54"/>
      <c r="B307" s="54"/>
      <c r="C307" s="54"/>
      <c r="D307" s="54"/>
      <c r="E307" s="114"/>
      <c r="F307" s="114"/>
      <c r="G307" s="114"/>
      <c r="H307" s="54"/>
      <c r="I307" s="54"/>
      <c r="J307" s="54"/>
      <c r="K307" s="54"/>
      <c r="L307" s="54"/>
      <c r="M307" s="54"/>
    </row>
    <row r="308">
      <c r="A308" s="54"/>
      <c r="B308" s="54"/>
      <c r="C308" s="54"/>
      <c r="D308" s="54"/>
      <c r="E308" s="114"/>
      <c r="F308" s="114"/>
      <c r="G308" s="114"/>
      <c r="H308" s="54"/>
      <c r="I308" s="54"/>
      <c r="J308" s="54"/>
      <c r="K308" s="54"/>
      <c r="L308" s="54"/>
      <c r="M308" s="54"/>
    </row>
    <row r="309">
      <c r="A309" s="54"/>
      <c r="B309" s="54"/>
      <c r="C309" s="54"/>
      <c r="D309" s="54"/>
      <c r="E309" s="114"/>
      <c r="F309" s="114"/>
      <c r="G309" s="114"/>
      <c r="H309" s="54"/>
      <c r="I309" s="54"/>
      <c r="J309" s="54"/>
      <c r="K309" s="54"/>
      <c r="L309" s="54"/>
      <c r="M309" s="54"/>
    </row>
    <row r="310">
      <c r="A310" s="54"/>
      <c r="B310" s="54"/>
      <c r="C310" s="54"/>
      <c r="D310" s="54"/>
      <c r="E310" s="114"/>
      <c r="F310" s="114"/>
      <c r="G310" s="114"/>
      <c r="H310" s="54"/>
      <c r="I310" s="54"/>
      <c r="J310" s="54"/>
      <c r="K310" s="54"/>
      <c r="L310" s="54"/>
      <c r="M310" s="54"/>
    </row>
    <row r="311">
      <c r="A311" s="54"/>
      <c r="B311" s="54"/>
      <c r="C311" s="54"/>
      <c r="D311" s="54"/>
      <c r="E311" s="114"/>
      <c r="F311" s="114"/>
      <c r="G311" s="114"/>
      <c r="H311" s="54"/>
      <c r="I311" s="54"/>
      <c r="J311" s="54"/>
      <c r="K311" s="54"/>
      <c r="L311" s="54"/>
      <c r="M311" s="54"/>
    </row>
    <row r="312">
      <c r="A312" s="54"/>
      <c r="B312" s="54"/>
      <c r="C312" s="54"/>
      <c r="D312" s="54"/>
      <c r="E312" s="114"/>
      <c r="F312" s="114"/>
      <c r="G312" s="114"/>
      <c r="H312" s="54"/>
      <c r="I312" s="54"/>
      <c r="J312" s="54"/>
      <c r="K312" s="54"/>
      <c r="L312" s="54"/>
      <c r="M312" s="54"/>
    </row>
    <row r="313">
      <c r="A313" s="54"/>
      <c r="B313" s="54"/>
      <c r="C313" s="54"/>
      <c r="D313" s="54"/>
      <c r="E313" s="114"/>
      <c r="F313" s="114"/>
      <c r="G313" s="114"/>
      <c r="H313" s="54"/>
      <c r="I313" s="54"/>
      <c r="J313" s="54"/>
      <c r="K313" s="54"/>
      <c r="L313" s="54"/>
      <c r="M313" s="54"/>
    </row>
    <row r="314">
      <c r="A314" s="54"/>
      <c r="B314" s="54"/>
      <c r="C314" s="54"/>
      <c r="D314" s="54"/>
      <c r="E314" s="114"/>
      <c r="F314" s="114"/>
      <c r="G314" s="114"/>
      <c r="H314" s="54"/>
      <c r="I314" s="54"/>
      <c r="J314" s="54"/>
      <c r="K314" s="54"/>
      <c r="L314" s="54"/>
      <c r="M314" s="54"/>
    </row>
    <row r="315">
      <c r="A315" s="54"/>
      <c r="B315" s="54"/>
      <c r="C315" s="54"/>
      <c r="D315" s="54"/>
      <c r="E315" s="114"/>
      <c r="F315" s="114"/>
      <c r="G315" s="114"/>
      <c r="H315" s="54"/>
      <c r="I315" s="54"/>
      <c r="J315" s="54"/>
      <c r="K315" s="54"/>
      <c r="L315" s="54"/>
      <c r="M315" s="54"/>
    </row>
    <row r="316">
      <c r="A316" s="54"/>
      <c r="B316" s="54"/>
      <c r="C316" s="54"/>
      <c r="D316" s="54"/>
      <c r="E316" s="114"/>
      <c r="F316" s="114"/>
      <c r="G316" s="114"/>
      <c r="H316" s="54"/>
      <c r="I316" s="54"/>
      <c r="J316" s="54"/>
      <c r="K316" s="54"/>
      <c r="L316" s="54"/>
      <c r="M316" s="54"/>
    </row>
    <row r="317">
      <c r="A317" s="54"/>
      <c r="B317" s="54"/>
      <c r="C317" s="54"/>
      <c r="D317" s="54"/>
      <c r="E317" s="114"/>
      <c r="F317" s="114"/>
      <c r="G317" s="114"/>
      <c r="H317" s="54"/>
      <c r="I317" s="54"/>
      <c r="J317" s="54"/>
      <c r="K317" s="54"/>
      <c r="L317" s="54"/>
      <c r="M317" s="54"/>
    </row>
    <row r="318">
      <c r="A318" s="54"/>
      <c r="B318" s="54"/>
      <c r="C318" s="54"/>
      <c r="D318" s="54"/>
      <c r="E318" s="114"/>
      <c r="F318" s="114"/>
      <c r="G318" s="114"/>
      <c r="H318" s="54"/>
      <c r="I318" s="54"/>
      <c r="J318" s="54"/>
      <c r="K318" s="54"/>
      <c r="L318" s="54"/>
      <c r="M318" s="54"/>
    </row>
    <row r="319">
      <c r="A319" s="54"/>
      <c r="B319" s="54"/>
      <c r="C319" s="54"/>
      <c r="D319" s="54"/>
      <c r="E319" s="114"/>
      <c r="F319" s="114"/>
      <c r="G319" s="114"/>
      <c r="H319" s="54"/>
      <c r="I319" s="54"/>
      <c r="J319" s="54"/>
      <c r="K319" s="54"/>
      <c r="L319" s="54"/>
      <c r="M319" s="54"/>
    </row>
    <row r="320">
      <c r="A320" s="54"/>
      <c r="B320" s="54"/>
      <c r="C320" s="54"/>
      <c r="D320" s="54"/>
      <c r="E320" s="114"/>
      <c r="F320" s="114"/>
      <c r="G320" s="114"/>
      <c r="H320" s="54"/>
      <c r="I320" s="54"/>
      <c r="J320" s="54"/>
      <c r="K320" s="54"/>
      <c r="L320" s="54"/>
      <c r="M320" s="54"/>
    </row>
    <row r="321">
      <c r="A321" s="54"/>
      <c r="B321" s="54"/>
      <c r="C321" s="54"/>
      <c r="D321" s="54"/>
      <c r="E321" s="114"/>
      <c r="F321" s="114"/>
      <c r="G321" s="114"/>
      <c r="H321" s="54"/>
      <c r="I321" s="54"/>
      <c r="J321" s="54"/>
      <c r="K321" s="54"/>
      <c r="L321" s="54"/>
      <c r="M321" s="5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</row>
  </sheetData>
  <mergeCells count="44">
    <mergeCell ref="B3:I3"/>
    <mergeCell ref="B8:I8"/>
    <mergeCell ref="M10:O10"/>
    <mergeCell ref="B14:I14"/>
    <mergeCell ref="M16:O16"/>
    <mergeCell ref="B20:I20"/>
    <mergeCell ref="B25:I25"/>
    <mergeCell ref="M21:O21"/>
    <mergeCell ref="M26:O26"/>
    <mergeCell ref="M30:O30"/>
    <mergeCell ref="M42:O42"/>
    <mergeCell ref="M48:O48"/>
    <mergeCell ref="M53:O53"/>
    <mergeCell ref="M62:Q62"/>
    <mergeCell ref="B29:I29"/>
    <mergeCell ref="B41:I41"/>
    <mergeCell ref="B47:I47"/>
    <mergeCell ref="B52:I52"/>
    <mergeCell ref="B61:I61"/>
    <mergeCell ref="B72:I72"/>
    <mergeCell ref="B80:I80"/>
    <mergeCell ref="M138:Q138"/>
    <mergeCell ref="M151:Q151"/>
    <mergeCell ref="M166:Q166"/>
    <mergeCell ref="M181:Q181"/>
    <mergeCell ref="M189:Q189"/>
    <mergeCell ref="M73:Q73"/>
    <mergeCell ref="M80:Q80"/>
    <mergeCell ref="M85:Q85"/>
    <mergeCell ref="M95:Q95"/>
    <mergeCell ref="M111:Q111"/>
    <mergeCell ref="M122:Q122"/>
    <mergeCell ref="M126:Q126"/>
    <mergeCell ref="B150:I150"/>
    <mergeCell ref="B165:I165"/>
    <mergeCell ref="B180:I180"/>
    <mergeCell ref="B188:I188"/>
    <mergeCell ref="B83:I83"/>
    <mergeCell ref="B84:I84"/>
    <mergeCell ref="B94:I94"/>
    <mergeCell ref="B110:I110"/>
    <mergeCell ref="B122:I122"/>
    <mergeCell ref="B125:I125"/>
    <mergeCell ref="B137:I137"/>
  </mergeCells>
  <conditionalFormatting sqref="K52 K61 K72 K80 K83:K84 K94 K110 K122 K125 K137 K150 K165 K180 K188">
    <cfRule type="cellIs" dxfId="3" priority="1" operator="greaterThanOrEqual">
      <formula>28</formula>
    </cfRule>
  </conditionalFormatting>
  <conditionalFormatting sqref="K52 K61 K72 K80 K83:K84 K94 K110 K122 K125 K137 K150 K165 K180 K188">
    <cfRule type="cellIs" dxfId="4" priority="2" operator="greaterThanOrEqual">
      <formula>24</formula>
    </cfRule>
  </conditionalFormatting>
  <conditionalFormatting sqref="J2">
    <cfRule type="expression" dxfId="0" priority="3">
      <formula>ABS(J2:J1001)&gt;5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33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1000 J133:J136">
    <cfRule type="cellIs" dxfId="3" priority="9" operator="greaterThanOrEqual">
      <formula>30</formula>
    </cfRule>
  </conditionalFormatting>
  <conditionalFormatting sqref="K1:K1000 J133:J136">
    <cfRule type="cellIs" dxfId="4" priority="10" operator="greaterThanOrEqual">
      <formula>28</formula>
    </cfRule>
  </conditionalFormatting>
  <conditionalFormatting sqref="J1:J1000">
    <cfRule type="expression" dxfId="0" priority="11">
      <formula>ABS(J:J)&gt;5</formula>
    </cfRule>
  </conditionalFormatting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4.63"/>
  </cols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42</v>
      </c>
      <c r="M1" s="195">
        <v>28.0</v>
      </c>
      <c r="N1" s="9" t="s">
        <v>129</v>
      </c>
      <c r="O1" s="9">
        <v>70.0</v>
      </c>
      <c r="P1" s="54"/>
    </row>
    <row r="2">
      <c r="A2" s="139" t="s">
        <v>434</v>
      </c>
      <c r="B2" s="54"/>
      <c r="C2" s="54"/>
      <c r="D2" s="54" t="str">
        <f>D4</f>
        <v>Пронин</v>
      </c>
      <c r="E2" s="54"/>
      <c r="F2" s="54">
        <f>SUM(F4:F1002)</f>
        <v>284922.02</v>
      </c>
      <c r="G2" s="54">
        <f>MAX(G4:G1002)</f>
        <v>497</v>
      </c>
      <c r="H2" s="54">
        <f t="shared" ref="H2:I2" si="1">SUM(H4:H1002)</f>
        <v>77474</v>
      </c>
      <c r="I2" s="54">
        <f t="shared" si="1"/>
        <v>87824.37</v>
      </c>
      <c r="J2" s="54">
        <f>H2-I2</f>
        <v>-10350.37</v>
      </c>
      <c r="K2" s="63">
        <f>I2/F2*100</f>
        <v>30.8240023</v>
      </c>
      <c r="L2" s="64" t="s">
        <v>65</v>
      </c>
      <c r="M2" s="65"/>
      <c r="N2" s="54"/>
      <c r="O2" s="54"/>
      <c r="P2" s="54"/>
    </row>
    <row r="3">
      <c r="A3" s="66"/>
      <c r="B3" s="67" t="s">
        <v>66</v>
      </c>
      <c r="J3" s="66"/>
      <c r="K3" s="66"/>
      <c r="L3" s="66"/>
      <c r="M3" s="66"/>
      <c r="N3" s="66"/>
      <c r="O3" s="66"/>
      <c r="P3" s="66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322">
        <v>45294.0</v>
      </c>
      <c r="C4" s="323"/>
      <c r="D4" s="324" t="s">
        <v>291</v>
      </c>
      <c r="E4" s="324">
        <v>1913810.0</v>
      </c>
      <c r="F4" s="324">
        <v>376.0</v>
      </c>
      <c r="G4" s="324">
        <v>456.0</v>
      </c>
      <c r="H4" s="325">
        <v>125.0</v>
      </c>
      <c r="I4" s="325">
        <v>100.0</v>
      </c>
      <c r="J4" s="325">
        <v>25.0</v>
      </c>
      <c r="K4" s="248">
        <v>26.6</v>
      </c>
      <c r="L4" s="54"/>
      <c r="M4" s="54"/>
      <c r="N4" s="54"/>
      <c r="O4" s="54"/>
      <c r="P4" s="54"/>
    </row>
    <row r="5">
      <c r="A5" s="54"/>
      <c r="B5" s="326">
        <v>45295.0</v>
      </c>
      <c r="C5" s="327"/>
      <c r="D5" s="328" t="s">
        <v>291</v>
      </c>
      <c r="E5" s="328">
        <v>1914680.0</v>
      </c>
      <c r="F5" s="328">
        <v>870.0</v>
      </c>
      <c r="G5" s="328">
        <v>418.0</v>
      </c>
      <c r="H5" s="329">
        <v>234.0</v>
      </c>
      <c r="I5" s="329">
        <v>250.0</v>
      </c>
      <c r="J5" s="329">
        <v>-16.0</v>
      </c>
      <c r="K5" s="248">
        <v>28.74</v>
      </c>
      <c r="L5" s="54"/>
      <c r="M5" s="54"/>
      <c r="N5" s="54"/>
      <c r="O5" s="54"/>
      <c r="P5" s="54"/>
    </row>
    <row r="6">
      <c r="A6" s="54"/>
      <c r="B6" s="326">
        <v>45296.0</v>
      </c>
      <c r="C6" s="327"/>
      <c r="D6" s="328" t="s">
        <v>291</v>
      </c>
      <c r="E6" s="328">
        <v>1914964.0</v>
      </c>
      <c r="F6" s="328">
        <v>284.0</v>
      </c>
      <c r="G6" s="328">
        <v>460.0</v>
      </c>
      <c r="H6" s="329">
        <v>136.0</v>
      </c>
      <c r="I6" s="329">
        <v>150.0</v>
      </c>
      <c r="J6" s="329">
        <v>-14.0</v>
      </c>
      <c r="K6" s="248">
        <v>52.82</v>
      </c>
      <c r="L6" s="54"/>
      <c r="M6" s="54"/>
      <c r="N6" s="54"/>
      <c r="O6" s="54"/>
      <c r="P6" s="54"/>
    </row>
    <row r="7">
      <c r="A7" s="54"/>
      <c r="B7" s="326">
        <v>45296.0</v>
      </c>
      <c r="C7" s="327"/>
      <c r="D7" s="328" t="s">
        <v>291</v>
      </c>
      <c r="E7" s="328">
        <v>1914964.0</v>
      </c>
      <c r="F7" s="328">
        <v>0.0</v>
      </c>
      <c r="G7" s="328" t="s">
        <v>401</v>
      </c>
      <c r="H7" s="330"/>
      <c r="I7" s="329">
        <v>20.0</v>
      </c>
      <c r="J7" s="329">
        <v>-20.0</v>
      </c>
      <c r="K7" s="248" t="s">
        <v>140</v>
      </c>
      <c r="L7" s="54"/>
      <c r="M7" s="54"/>
      <c r="N7" s="54"/>
      <c r="O7" s="54"/>
      <c r="P7" s="54"/>
    </row>
    <row r="8">
      <c r="A8" s="54"/>
      <c r="B8" s="326">
        <v>45297.0</v>
      </c>
      <c r="C8" s="327"/>
      <c r="D8" s="328" t="s">
        <v>291</v>
      </c>
      <c r="E8" s="328">
        <v>1916102.0</v>
      </c>
      <c r="F8" s="328">
        <v>1138.0</v>
      </c>
      <c r="G8" s="328">
        <v>460.0</v>
      </c>
      <c r="H8" s="329">
        <v>337.0</v>
      </c>
      <c r="I8" s="329">
        <v>340.02</v>
      </c>
      <c r="J8" s="329">
        <v>-3.02</v>
      </c>
      <c r="K8" s="248">
        <v>29.88</v>
      </c>
      <c r="L8" s="54"/>
      <c r="M8" s="54"/>
      <c r="N8" s="54"/>
      <c r="O8" s="54"/>
      <c r="P8" s="54"/>
    </row>
    <row r="9">
      <c r="A9" s="54"/>
      <c r="B9" s="326">
        <v>45298.0</v>
      </c>
      <c r="C9" s="327"/>
      <c r="D9" s="328" t="s">
        <v>291</v>
      </c>
      <c r="E9" s="328">
        <v>1916233.0</v>
      </c>
      <c r="F9" s="328">
        <v>131.0</v>
      </c>
      <c r="G9" s="328">
        <v>460.0</v>
      </c>
      <c r="H9" s="329">
        <v>54.0</v>
      </c>
      <c r="I9" s="329">
        <v>59.0</v>
      </c>
      <c r="J9" s="329">
        <v>-5.0</v>
      </c>
      <c r="K9" s="248">
        <v>45.04</v>
      </c>
      <c r="L9" s="54"/>
      <c r="M9" s="54"/>
      <c r="N9" s="54"/>
      <c r="O9" s="54"/>
      <c r="P9" s="54"/>
    </row>
    <row r="10">
      <c r="A10" s="54"/>
      <c r="B10" s="326">
        <v>45299.0</v>
      </c>
      <c r="C10" s="327"/>
      <c r="D10" s="328" t="s">
        <v>291</v>
      </c>
      <c r="E10" s="328">
        <v>1917047.0</v>
      </c>
      <c r="F10" s="328">
        <v>814.0</v>
      </c>
      <c r="G10" s="328">
        <v>460.0</v>
      </c>
      <c r="H10" s="329">
        <v>273.0</v>
      </c>
      <c r="I10" s="329">
        <v>250.0</v>
      </c>
      <c r="J10" s="329">
        <v>23.0</v>
      </c>
      <c r="K10" s="248">
        <v>30.71</v>
      </c>
      <c r="L10" s="54"/>
      <c r="M10" s="54"/>
      <c r="N10" s="54"/>
      <c r="O10" s="54"/>
      <c r="P10" s="54"/>
    </row>
    <row r="11">
      <c r="A11" s="54"/>
      <c r="B11" s="326">
        <v>45299.0</v>
      </c>
      <c r="C11" s="327"/>
      <c r="D11" s="328" t="s">
        <v>291</v>
      </c>
      <c r="E11" s="328">
        <v>1917047.0</v>
      </c>
      <c r="F11" s="328">
        <v>0.0</v>
      </c>
      <c r="G11" s="328" t="s">
        <v>401</v>
      </c>
      <c r="H11" s="330"/>
      <c r="I11" s="329">
        <v>20.0</v>
      </c>
      <c r="J11" s="329">
        <v>-20.0</v>
      </c>
      <c r="K11" s="248" t="s">
        <v>140</v>
      </c>
      <c r="L11" s="54"/>
      <c r="M11" s="54"/>
      <c r="N11" s="54"/>
      <c r="O11" s="54"/>
      <c r="P11" s="54"/>
    </row>
    <row r="12">
      <c r="A12" s="54"/>
      <c r="B12" s="326">
        <v>45301.0</v>
      </c>
      <c r="C12" s="327"/>
      <c r="D12" s="328" t="s">
        <v>291</v>
      </c>
      <c r="E12" s="328">
        <v>1917636.0</v>
      </c>
      <c r="F12" s="328">
        <v>589.0</v>
      </c>
      <c r="G12" s="328">
        <v>460.0</v>
      </c>
      <c r="H12" s="329">
        <v>183.0</v>
      </c>
      <c r="I12" s="329">
        <v>210.0</v>
      </c>
      <c r="J12" s="329">
        <v>-27.0</v>
      </c>
      <c r="K12" s="248">
        <v>35.65</v>
      </c>
      <c r="L12" s="54"/>
      <c r="M12" s="54"/>
      <c r="N12" s="54"/>
      <c r="O12" s="54"/>
      <c r="P12" s="54"/>
    </row>
    <row r="13">
      <c r="A13" s="54"/>
      <c r="B13" s="326">
        <v>45302.0</v>
      </c>
      <c r="C13" s="327"/>
      <c r="D13" s="328" t="s">
        <v>291</v>
      </c>
      <c r="E13" s="328">
        <v>1918575.0</v>
      </c>
      <c r="F13" s="328">
        <v>939.0</v>
      </c>
      <c r="G13" s="328">
        <v>333.0</v>
      </c>
      <c r="H13" s="329">
        <v>192.0</v>
      </c>
      <c r="I13" s="329">
        <v>190.0</v>
      </c>
      <c r="J13" s="329">
        <v>2.0</v>
      </c>
      <c r="K13" s="248">
        <v>20.23</v>
      </c>
      <c r="L13" s="54"/>
      <c r="M13" s="54"/>
      <c r="N13" s="54"/>
      <c r="O13" s="54"/>
      <c r="P13" s="54"/>
    </row>
    <row r="14">
      <c r="A14" s="54"/>
      <c r="B14" s="326">
        <v>45303.0</v>
      </c>
      <c r="C14" s="327"/>
      <c r="D14" s="328" t="s">
        <v>291</v>
      </c>
      <c r="E14" s="328">
        <v>1919274.0</v>
      </c>
      <c r="F14" s="328">
        <v>699.0</v>
      </c>
      <c r="G14" s="328">
        <v>423.0</v>
      </c>
      <c r="H14" s="329">
        <v>354.0</v>
      </c>
      <c r="I14" s="329">
        <v>400.0</v>
      </c>
      <c r="J14" s="329">
        <v>-46.0</v>
      </c>
      <c r="K14" s="248">
        <v>57.22</v>
      </c>
      <c r="L14" s="54"/>
      <c r="M14" s="54"/>
      <c r="N14" s="54"/>
      <c r="O14" s="54"/>
      <c r="P14" s="54"/>
    </row>
    <row r="15">
      <c r="A15" s="54"/>
      <c r="B15" s="326">
        <v>45304.0</v>
      </c>
      <c r="C15" s="327"/>
      <c r="D15" s="328" t="s">
        <v>291</v>
      </c>
      <c r="E15" s="328">
        <v>1920278.0</v>
      </c>
      <c r="F15" s="328">
        <v>1004.0</v>
      </c>
      <c r="G15" s="328">
        <v>460.0</v>
      </c>
      <c r="H15" s="329">
        <v>348.0</v>
      </c>
      <c r="I15" s="329">
        <v>350.0</v>
      </c>
      <c r="J15" s="329">
        <v>-2.0</v>
      </c>
      <c r="K15" s="248">
        <v>34.86</v>
      </c>
      <c r="L15" s="54"/>
      <c r="M15" s="54"/>
      <c r="N15" s="54"/>
      <c r="O15" s="54"/>
      <c r="P15" s="54"/>
    </row>
    <row r="16">
      <c r="A16" s="54"/>
      <c r="B16" s="326">
        <v>45304.0</v>
      </c>
      <c r="C16" s="327"/>
      <c r="D16" s="328" t="s">
        <v>291</v>
      </c>
      <c r="E16" s="328">
        <v>1920278.0</v>
      </c>
      <c r="F16" s="328">
        <v>0.0</v>
      </c>
      <c r="G16" s="328" t="s">
        <v>401</v>
      </c>
      <c r="H16" s="330"/>
      <c r="I16" s="329">
        <v>20.0</v>
      </c>
      <c r="J16" s="329">
        <v>-20.0</v>
      </c>
      <c r="K16" s="248" t="s">
        <v>140</v>
      </c>
      <c r="L16" s="54"/>
      <c r="M16" s="54"/>
      <c r="N16" s="54"/>
      <c r="O16" s="54"/>
      <c r="P16" s="54"/>
    </row>
    <row r="17">
      <c r="A17" s="54"/>
      <c r="B17" s="326">
        <v>45306.0</v>
      </c>
      <c r="C17" s="327"/>
      <c r="D17" s="328" t="s">
        <v>101</v>
      </c>
      <c r="E17" s="328">
        <v>1921304.0</v>
      </c>
      <c r="F17" s="328">
        <v>1026.0</v>
      </c>
      <c r="G17" s="328">
        <v>445.0</v>
      </c>
      <c r="H17" s="329">
        <v>318.0</v>
      </c>
      <c r="I17" s="329">
        <v>364.64</v>
      </c>
      <c r="J17" s="329">
        <v>-46.64</v>
      </c>
      <c r="K17" s="248">
        <v>35.54</v>
      </c>
      <c r="L17" s="54"/>
      <c r="M17" s="54"/>
      <c r="N17" s="54"/>
      <c r="O17" s="54"/>
      <c r="P17" s="54"/>
    </row>
    <row r="18">
      <c r="A18" s="54"/>
      <c r="B18" s="326">
        <v>45307.0</v>
      </c>
      <c r="C18" s="327"/>
      <c r="D18" s="328" t="s">
        <v>101</v>
      </c>
      <c r="E18" s="328">
        <v>1921818.0</v>
      </c>
      <c r="F18" s="328">
        <v>514.0</v>
      </c>
      <c r="G18" s="328">
        <v>457.0</v>
      </c>
      <c r="H18" s="329">
        <v>136.0</v>
      </c>
      <c r="I18" s="329">
        <v>125.0</v>
      </c>
      <c r="J18" s="329">
        <v>11.0</v>
      </c>
      <c r="K18" s="248">
        <v>24.32</v>
      </c>
      <c r="L18" s="54"/>
      <c r="M18" s="54"/>
      <c r="N18" s="54"/>
      <c r="O18" s="54"/>
      <c r="P18" s="54"/>
    </row>
    <row r="19">
      <c r="A19" s="54"/>
      <c r="B19" s="326">
        <v>45308.0</v>
      </c>
      <c r="C19" s="327"/>
      <c r="D19" s="328" t="s">
        <v>101</v>
      </c>
      <c r="E19" s="328">
        <v>1922917.0</v>
      </c>
      <c r="F19" s="328">
        <v>1099.0</v>
      </c>
      <c r="G19" s="328">
        <v>460.0</v>
      </c>
      <c r="H19" s="329">
        <v>291.0</v>
      </c>
      <c r="I19" s="329">
        <v>279.53</v>
      </c>
      <c r="J19" s="329">
        <v>11.47</v>
      </c>
      <c r="K19" s="248">
        <v>25.43</v>
      </c>
      <c r="L19" s="54"/>
      <c r="M19" s="54"/>
      <c r="N19" s="54"/>
      <c r="O19" s="54"/>
      <c r="P19" s="54"/>
    </row>
    <row r="20">
      <c r="A20" s="54"/>
      <c r="B20" s="326">
        <v>45317.0</v>
      </c>
      <c r="C20" s="327"/>
      <c r="D20" s="328" t="s">
        <v>291</v>
      </c>
      <c r="E20" s="328">
        <v>1924115.0</v>
      </c>
      <c r="F20" s="328">
        <v>1198.0</v>
      </c>
      <c r="G20" s="328">
        <v>460.0</v>
      </c>
      <c r="H20" s="329">
        <v>352.0</v>
      </c>
      <c r="I20" s="329">
        <v>381.0</v>
      </c>
      <c r="J20" s="329">
        <v>-29.0</v>
      </c>
      <c r="K20" s="248">
        <v>31.8</v>
      </c>
      <c r="L20" s="54"/>
      <c r="M20" s="54"/>
      <c r="N20" s="54"/>
      <c r="O20" s="54"/>
      <c r="P20" s="54"/>
    </row>
    <row r="21">
      <c r="A21" s="54"/>
      <c r="B21" s="326">
        <v>45318.0</v>
      </c>
      <c r="C21" s="327"/>
      <c r="D21" s="328" t="s">
        <v>291</v>
      </c>
      <c r="E21" s="328">
        <v>1924164.0</v>
      </c>
      <c r="F21" s="328">
        <v>49.0</v>
      </c>
      <c r="G21" s="328">
        <v>460.0</v>
      </c>
      <c r="H21" s="329">
        <v>212.0</v>
      </c>
      <c r="I21" s="329">
        <v>220.0</v>
      </c>
      <c r="J21" s="329">
        <v>-8.0</v>
      </c>
      <c r="K21" s="248">
        <v>448.98</v>
      </c>
      <c r="L21" s="54"/>
      <c r="M21" s="54"/>
      <c r="N21" s="54"/>
      <c r="O21" s="54"/>
      <c r="P21" s="54"/>
    </row>
    <row r="22">
      <c r="A22" s="54"/>
      <c r="B22" s="326">
        <v>45320.0</v>
      </c>
      <c r="C22" s="327"/>
      <c r="D22" s="328" t="s">
        <v>291</v>
      </c>
      <c r="E22" s="328">
        <v>1925463.0</v>
      </c>
      <c r="F22" s="328">
        <v>1299.0</v>
      </c>
      <c r="G22" s="328">
        <v>454.0</v>
      </c>
      <c r="H22" s="329">
        <v>389.0</v>
      </c>
      <c r="I22" s="329">
        <v>400.0</v>
      </c>
      <c r="J22" s="329">
        <v>-11.0</v>
      </c>
      <c r="K22" s="248">
        <v>30.79</v>
      </c>
      <c r="L22" s="54"/>
      <c r="M22" s="54"/>
      <c r="N22" s="54"/>
      <c r="O22" s="54"/>
      <c r="P22" s="54"/>
    </row>
    <row r="23">
      <c r="A23" s="54"/>
      <c r="B23" s="326">
        <v>45322.0</v>
      </c>
      <c r="C23" s="327"/>
      <c r="D23" s="328" t="s">
        <v>291</v>
      </c>
      <c r="E23" s="328">
        <v>1926250.0</v>
      </c>
      <c r="F23" s="328">
        <v>787.0</v>
      </c>
      <c r="G23" s="328">
        <v>460.0</v>
      </c>
      <c r="H23" s="329">
        <v>247.0</v>
      </c>
      <c r="I23" s="329">
        <v>270.0</v>
      </c>
      <c r="J23" s="329">
        <v>-23.0</v>
      </c>
      <c r="K23" s="248">
        <v>34.31</v>
      </c>
      <c r="L23" s="54"/>
      <c r="M23" s="54"/>
      <c r="N23" s="54"/>
      <c r="O23" s="54"/>
      <c r="P23" s="54"/>
    </row>
    <row r="24">
      <c r="A24" s="66"/>
      <c r="B24" s="67" t="s">
        <v>68</v>
      </c>
      <c r="J24" s="66"/>
      <c r="K24" s="66"/>
      <c r="L24" s="66"/>
      <c r="M24" s="66"/>
      <c r="N24" s="66"/>
      <c r="O24" s="66"/>
      <c r="P24" s="66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>
      <c r="A25" s="54"/>
      <c r="B25" s="322">
        <v>45325.0</v>
      </c>
      <c r="C25" s="323"/>
      <c r="D25" s="332"/>
      <c r="E25" s="324">
        <v>1927571.0</v>
      </c>
      <c r="F25" s="324">
        <v>1321.0</v>
      </c>
      <c r="G25" s="324">
        <v>460.0</v>
      </c>
      <c r="H25" s="325">
        <v>361.0</v>
      </c>
      <c r="I25" s="325">
        <v>375.01</v>
      </c>
      <c r="J25" s="325">
        <v>-14.01</v>
      </c>
      <c r="K25" s="248">
        <v>28.39</v>
      </c>
      <c r="L25" s="54"/>
      <c r="M25" s="54"/>
      <c r="N25" s="54"/>
      <c r="O25" s="54"/>
      <c r="P25" s="54"/>
    </row>
    <row r="26">
      <c r="A26" s="54"/>
      <c r="B26" s="326">
        <v>45326.0</v>
      </c>
      <c r="C26" s="327"/>
      <c r="D26" s="331"/>
      <c r="E26" s="328">
        <v>1928811.0</v>
      </c>
      <c r="F26" s="328">
        <v>1240.0</v>
      </c>
      <c r="G26" s="328">
        <v>456.0</v>
      </c>
      <c r="H26" s="329">
        <v>406.0</v>
      </c>
      <c r="I26" s="329">
        <v>400.0</v>
      </c>
      <c r="J26" s="329">
        <v>6.0</v>
      </c>
      <c r="K26" s="248">
        <v>32.26</v>
      </c>
      <c r="L26" s="54"/>
      <c r="M26" s="54"/>
      <c r="N26" s="54"/>
      <c r="O26" s="54"/>
      <c r="P26" s="54"/>
    </row>
    <row r="27">
      <c r="A27" s="54"/>
      <c r="B27" s="326">
        <v>45328.0</v>
      </c>
      <c r="C27" s="327"/>
      <c r="D27" s="331"/>
      <c r="E27" s="328">
        <v>1930543.0</v>
      </c>
      <c r="F27" s="328">
        <v>1732.0</v>
      </c>
      <c r="G27" s="328">
        <v>448.0</v>
      </c>
      <c r="H27" s="329">
        <v>408.0</v>
      </c>
      <c r="I27" s="329">
        <v>400.0</v>
      </c>
      <c r="J27" s="329">
        <v>8.0</v>
      </c>
      <c r="K27" s="248">
        <v>23.09</v>
      </c>
      <c r="L27" s="54"/>
      <c r="M27" s="54"/>
      <c r="N27" s="54"/>
      <c r="O27" s="54"/>
      <c r="P27" s="54"/>
    </row>
    <row r="28">
      <c r="A28" s="54"/>
      <c r="B28" s="326">
        <v>45334.0</v>
      </c>
      <c r="C28" s="327"/>
      <c r="D28" s="331"/>
      <c r="E28" s="328">
        <v>1931263.0</v>
      </c>
      <c r="F28" s="328">
        <v>720.0</v>
      </c>
      <c r="G28" s="328">
        <v>460.0</v>
      </c>
      <c r="H28" s="329">
        <v>229.0</v>
      </c>
      <c r="I28" s="329">
        <v>222.4</v>
      </c>
      <c r="J28" s="329">
        <v>6.6</v>
      </c>
      <c r="K28" s="248">
        <v>30.89</v>
      </c>
      <c r="L28" s="54"/>
      <c r="M28" s="74" t="s">
        <v>69</v>
      </c>
      <c r="N28" s="75"/>
      <c r="O28" s="76"/>
      <c r="P28" s="54"/>
    </row>
    <row r="29">
      <c r="A29" s="54"/>
      <c r="B29" s="326">
        <v>45335.0</v>
      </c>
      <c r="C29" s="327"/>
      <c r="D29" s="331"/>
      <c r="E29" s="328">
        <v>1933219.0</v>
      </c>
      <c r="F29" s="328">
        <v>1956.0</v>
      </c>
      <c r="G29" s="328">
        <v>460.0</v>
      </c>
      <c r="H29" s="329">
        <v>610.0</v>
      </c>
      <c r="I29" s="329">
        <v>633.03</v>
      </c>
      <c r="J29" s="329">
        <v>-23.03</v>
      </c>
      <c r="K29" s="248">
        <v>32.36</v>
      </c>
      <c r="L29" s="54"/>
      <c r="M29" s="77" t="s">
        <v>70</v>
      </c>
      <c r="N29" s="77" t="s">
        <v>71</v>
      </c>
      <c r="O29" s="77" t="s">
        <v>27</v>
      </c>
      <c r="P29" s="54"/>
    </row>
    <row r="30">
      <c r="A30" s="54"/>
      <c r="B30" s="326">
        <v>45337.0</v>
      </c>
      <c r="C30" s="327"/>
      <c r="D30" s="331"/>
      <c r="E30" s="328">
        <v>1934797.0</v>
      </c>
      <c r="F30" s="328">
        <v>1578.0</v>
      </c>
      <c r="G30" s="328">
        <v>451.0</v>
      </c>
      <c r="H30" s="329">
        <v>410.0</v>
      </c>
      <c r="I30" s="329">
        <v>400.0</v>
      </c>
      <c r="J30" s="329">
        <v>10.0</v>
      </c>
      <c r="K30" s="248">
        <v>25.35</v>
      </c>
      <c r="L30" s="54"/>
      <c r="M30" s="79">
        <f>SUM(F25:F38)</f>
        <v>17489</v>
      </c>
      <c r="N30" s="79">
        <f>SUM(I25:I38)</f>
        <v>5020.09</v>
      </c>
      <c r="O30" s="214">
        <f>N30/M30*100</f>
        <v>28.70427126</v>
      </c>
      <c r="P30" s="54"/>
    </row>
    <row r="31">
      <c r="A31" s="54"/>
      <c r="B31" s="326">
        <v>45339.0</v>
      </c>
      <c r="C31" s="327"/>
      <c r="D31" s="331"/>
      <c r="E31" s="328">
        <v>1935538.0</v>
      </c>
      <c r="F31" s="328">
        <v>741.0</v>
      </c>
      <c r="G31" s="328">
        <v>460.0</v>
      </c>
      <c r="H31" s="329">
        <v>231.0</v>
      </c>
      <c r="I31" s="329">
        <v>270.0</v>
      </c>
      <c r="J31" s="329">
        <v>-39.0</v>
      </c>
      <c r="K31" s="248">
        <v>36.44</v>
      </c>
      <c r="L31" s="54"/>
      <c r="M31" s="54"/>
      <c r="N31" s="54"/>
      <c r="O31" s="54"/>
      <c r="P31" s="54"/>
    </row>
    <row r="32">
      <c r="A32" s="54"/>
      <c r="B32" s="326">
        <v>45340.0</v>
      </c>
      <c r="C32" s="327"/>
      <c r="D32" s="331"/>
      <c r="E32" s="328">
        <v>1937067.0</v>
      </c>
      <c r="F32" s="328">
        <v>1529.0</v>
      </c>
      <c r="G32" s="328">
        <v>451.0</v>
      </c>
      <c r="H32" s="329">
        <v>400.0</v>
      </c>
      <c r="I32" s="329">
        <v>400.0</v>
      </c>
      <c r="J32" s="329">
        <v>0.0</v>
      </c>
      <c r="K32" s="248">
        <v>26.16</v>
      </c>
      <c r="L32" s="54"/>
      <c r="M32" s="54"/>
      <c r="N32" s="54"/>
      <c r="O32" s="54"/>
      <c r="P32" s="54"/>
    </row>
    <row r="33">
      <c r="A33" s="54"/>
      <c r="B33" s="326">
        <v>45342.0</v>
      </c>
      <c r="C33" s="327"/>
      <c r="D33" s="331"/>
      <c r="E33" s="328">
        <v>1937816.0</v>
      </c>
      <c r="F33" s="328">
        <v>749.0</v>
      </c>
      <c r="G33" s="328">
        <v>460.0</v>
      </c>
      <c r="H33" s="329">
        <v>219.0</v>
      </c>
      <c r="I33" s="329">
        <v>250.0</v>
      </c>
      <c r="J33" s="329">
        <v>-31.0</v>
      </c>
      <c r="K33" s="248">
        <v>33.38</v>
      </c>
      <c r="L33" s="54"/>
      <c r="M33" s="54"/>
      <c r="N33" s="54"/>
      <c r="O33" s="54"/>
      <c r="P33" s="54"/>
    </row>
    <row r="34">
      <c r="A34" s="54"/>
      <c r="B34" s="326">
        <v>45343.0</v>
      </c>
      <c r="C34" s="327"/>
      <c r="D34" s="331"/>
      <c r="E34" s="328">
        <v>1939345.0</v>
      </c>
      <c r="F34" s="328">
        <v>1529.0</v>
      </c>
      <c r="G34" s="328">
        <v>460.0</v>
      </c>
      <c r="H34" s="329">
        <v>378.0</v>
      </c>
      <c r="I34" s="329">
        <v>400.0</v>
      </c>
      <c r="J34" s="329">
        <v>-22.0</v>
      </c>
      <c r="K34" s="248">
        <v>26.16</v>
      </c>
      <c r="L34" s="54"/>
      <c r="M34" s="54"/>
      <c r="N34" s="54"/>
      <c r="O34" s="54"/>
      <c r="P34" s="54"/>
    </row>
    <row r="35">
      <c r="A35" s="54"/>
      <c r="B35" s="326">
        <v>45344.0</v>
      </c>
      <c r="C35" s="327"/>
      <c r="D35" s="331"/>
      <c r="E35" s="328">
        <v>1940072.0</v>
      </c>
      <c r="F35" s="328">
        <v>727.0</v>
      </c>
      <c r="G35" s="328">
        <v>460.0</v>
      </c>
      <c r="H35" s="329">
        <v>191.0</v>
      </c>
      <c r="I35" s="329">
        <v>221.0</v>
      </c>
      <c r="J35" s="329">
        <v>-30.0</v>
      </c>
      <c r="K35" s="248">
        <v>30.4</v>
      </c>
      <c r="L35" s="54"/>
      <c r="M35" s="54"/>
      <c r="N35" s="54"/>
      <c r="O35" s="54"/>
      <c r="P35" s="54"/>
    </row>
    <row r="36">
      <c r="A36" s="54"/>
      <c r="B36" s="326">
        <v>45346.0</v>
      </c>
      <c r="C36" s="327"/>
      <c r="D36" s="331"/>
      <c r="E36" s="328">
        <v>1941603.0</v>
      </c>
      <c r="F36" s="328">
        <v>1531.0</v>
      </c>
      <c r="G36" s="328">
        <v>451.0</v>
      </c>
      <c r="H36" s="329">
        <v>401.0</v>
      </c>
      <c r="I36" s="329">
        <v>400.0</v>
      </c>
      <c r="J36" s="329">
        <v>1.0</v>
      </c>
      <c r="K36" s="248">
        <v>26.13</v>
      </c>
      <c r="L36" s="54"/>
      <c r="M36" s="54"/>
      <c r="N36" s="54"/>
      <c r="O36" s="54"/>
      <c r="P36" s="54"/>
    </row>
    <row r="37">
      <c r="A37" s="54"/>
      <c r="B37" s="326">
        <v>45347.0</v>
      </c>
      <c r="C37" s="327"/>
      <c r="D37" s="331"/>
      <c r="E37" s="328">
        <v>1942329.0</v>
      </c>
      <c r="F37" s="328">
        <v>726.0</v>
      </c>
      <c r="G37" s="328">
        <v>460.0</v>
      </c>
      <c r="H37" s="329">
        <v>212.0</v>
      </c>
      <c r="I37" s="329">
        <v>248.65</v>
      </c>
      <c r="J37" s="329">
        <v>-36.65</v>
      </c>
      <c r="K37" s="248">
        <v>34.25</v>
      </c>
      <c r="L37" s="54"/>
      <c r="M37" s="54"/>
      <c r="N37" s="54"/>
      <c r="O37" s="54"/>
      <c r="P37" s="54"/>
    </row>
    <row r="38">
      <c r="A38" s="54"/>
      <c r="B38" s="326">
        <v>45349.0</v>
      </c>
      <c r="C38" s="327"/>
      <c r="D38" s="331"/>
      <c r="E38" s="328">
        <v>1943739.0</v>
      </c>
      <c r="F38" s="328">
        <v>1410.0</v>
      </c>
      <c r="G38" s="328">
        <v>460.0</v>
      </c>
      <c r="H38" s="329">
        <v>378.0</v>
      </c>
      <c r="I38" s="329">
        <v>400.0</v>
      </c>
      <c r="J38" s="329">
        <v>-22.0</v>
      </c>
      <c r="K38" s="248">
        <v>28.37</v>
      </c>
      <c r="L38" s="54"/>
      <c r="M38" s="54"/>
      <c r="N38" s="54"/>
      <c r="O38" s="54"/>
      <c r="P38" s="54"/>
    </row>
    <row r="39">
      <c r="A39" s="66"/>
      <c r="B39" s="67" t="s">
        <v>72</v>
      </c>
      <c r="J39" s="66"/>
      <c r="K39" s="66"/>
      <c r="L39" s="66"/>
      <c r="M39" s="74" t="s">
        <v>73</v>
      </c>
      <c r="N39" s="75"/>
      <c r="O39" s="76"/>
      <c r="P39" s="66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>
      <c r="A40" s="54"/>
      <c r="B40" s="322">
        <v>45379.0</v>
      </c>
      <c r="C40" s="323"/>
      <c r="D40" s="332"/>
      <c r="E40" s="324">
        <v>1944831.0</v>
      </c>
      <c r="F40" s="324">
        <v>1092.0</v>
      </c>
      <c r="G40" s="324">
        <v>460.0</v>
      </c>
      <c r="H40" s="325">
        <v>345.0</v>
      </c>
      <c r="I40" s="325">
        <v>370.0</v>
      </c>
      <c r="J40" s="325">
        <v>-25.0</v>
      </c>
      <c r="K40" s="248">
        <v>33.88</v>
      </c>
      <c r="L40" s="54"/>
      <c r="M40" s="77" t="s">
        <v>70</v>
      </c>
      <c r="N40" s="77" t="s">
        <v>71</v>
      </c>
      <c r="O40" s="77" t="s">
        <v>27</v>
      </c>
      <c r="P40" s="54"/>
    </row>
    <row r="41">
      <c r="A41" s="54"/>
      <c r="B41" s="326">
        <v>45381.0</v>
      </c>
      <c r="C41" s="327"/>
      <c r="D41" s="331"/>
      <c r="E41" s="328">
        <v>1946348.0</v>
      </c>
      <c r="F41" s="328">
        <v>1517.0</v>
      </c>
      <c r="G41" s="328">
        <v>460.0</v>
      </c>
      <c r="H41" s="329">
        <v>387.0</v>
      </c>
      <c r="I41" s="329">
        <v>400.0</v>
      </c>
      <c r="J41" s="329">
        <v>-13.0</v>
      </c>
      <c r="K41" s="248">
        <v>26.37</v>
      </c>
      <c r="L41" s="54"/>
      <c r="M41" s="79">
        <f>F40+F41</f>
        <v>2609</v>
      </c>
      <c r="N41" s="79">
        <f>SUM(I40:I41)</f>
        <v>770</v>
      </c>
      <c r="O41" s="214">
        <f>N41/M41*100</f>
        <v>29.51322346</v>
      </c>
      <c r="P41" s="54"/>
    </row>
    <row r="42">
      <c r="A42" s="66"/>
      <c r="B42" s="67" t="s">
        <v>74</v>
      </c>
      <c r="J42" s="66"/>
      <c r="K42" s="66"/>
      <c r="L42" s="66"/>
      <c r="M42" s="66"/>
      <c r="N42" s="66"/>
      <c r="O42" s="66"/>
      <c r="P42" s="66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>
      <c r="A43" s="54"/>
      <c r="B43" s="322">
        <v>45383.0</v>
      </c>
      <c r="C43" s="323"/>
      <c r="D43" s="332"/>
      <c r="E43" s="324">
        <v>1946854.0</v>
      </c>
      <c r="F43" s="324">
        <v>506.0</v>
      </c>
      <c r="G43" s="324">
        <v>460.0</v>
      </c>
      <c r="H43" s="325">
        <v>124.0</v>
      </c>
      <c r="I43" s="325">
        <v>145.0</v>
      </c>
      <c r="J43" s="325">
        <v>-21.0</v>
      </c>
      <c r="K43" s="248">
        <v>28.66</v>
      </c>
      <c r="L43" s="54"/>
      <c r="M43" s="54"/>
      <c r="N43" s="54"/>
      <c r="O43" s="54"/>
      <c r="P43" s="54"/>
    </row>
    <row r="44">
      <c r="A44" s="54"/>
      <c r="B44" s="326">
        <v>45385.0</v>
      </c>
      <c r="C44" s="327"/>
      <c r="D44" s="331"/>
      <c r="E44" s="328">
        <v>1948223.0</v>
      </c>
      <c r="F44" s="328">
        <v>1369.0</v>
      </c>
      <c r="G44" s="328">
        <v>460.0</v>
      </c>
      <c r="H44" s="329">
        <v>404.0</v>
      </c>
      <c r="I44" s="329">
        <v>400.0</v>
      </c>
      <c r="J44" s="329">
        <v>4.0</v>
      </c>
      <c r="K44" s="248">
        <v>29.22</v>
      </c>
      <c r="L44" s="54"/>
      <c r="M44" s="54"/>
      <c r="N44" s="54"/>
      <c r="O44" s="54"/>
      <c r="P44" s="54"/>
    </row>
    <row r="45">
      <c r="A45" s="54"/>
      <c r="B45" s="326">
        <v>45386.0</v>
      </c>
      <c r="C45" s="327"/>
      <c r="D45" s="331"/>
      <c r="E45" s="328">
        <v>1949273.0</v>
      </c>
      <c r="F45" s="328">
        <v>1050.0</v>
      </c>
      <c r="G45" s="328">
        <v>460.0</v>
      </c>
      <c r="H45" s="329">
        <v>333.0</v>
      </c>
      <c r="I45" s="329">
        <v>340.0</v>
      </c>
      <c r="J45" s="329">
        <v>-7.0</v>
      </c>
      <c r="K45" s="248">
        <v>32.38</v>
      </c>
      <c r="L45" s="54"/>
      <c r="M45" s="435" t="str">
        <f>"тотал"&amp;" "&amp;B42</f>
        <v>тотал АПРЕЛЬ</v>
      </c>
      <c r="N45" s="75"/>
      <c r="O45" s="76"/>
      <c r="P45" s="54"/>
    </row>
    <row r="46">
      <c r="A46" s="54"/>
      <c r="B46" s="326">
        <v>45386.0</v>
      </c>
      <c r="C46" s="327"/>
      <c r="D46" s="331"/>
      <c r="E46" s="328">
        <v>1949524.0</v>
      </c>
      <c r="F46" s="328">
        <v>251.0</v>
      </c>
      <c r="G46" s="328">
        <v>451.0</v>
      </c>
      <c r="H46" s="329">
        <v>67.0</v>
      </c>
      <c r="I46" s="329">
        <v>60.0</v>
      </c>
      <c r="J46" s="329">
        <v>7.0</v>
      </c>
      <c r="K46" s="248">
        <v>23.9</v>
      </c>
      <c r="L46" s="54"/>
      <c r="M46" s="77" t="s">
        <v>70</v>
      </c>
      <c r="N46" s="78" t="s">
        <v>71</v>
      </c>
      <c r="O46" s="78" t="s">
        <v>27</v>
      </c>
      <c r="P46" s="54"/>
    </row>
    <row r="47">
      <c r="A47" s="54"/>
      <c r="B47" s="326">
        <v>45389.0</v>
      </c>
      <c r="C47" s="327"/>
      <c r="D47" s="331"/>
      <c r="E47" s="328">
        <v>1950320.0</v>
      </c>
      <c r="F47" s="328">
        <v>796.0</v>
      </c>
      <c r="G47" s="328">
        <v>460.0</v>
      </c>
      <c r="H47" s="329">
        <v>272.0</v>
      </c>
      <c r="I47" s="329">
        <v>285.0</v>
      </c>
      <c r="J47" s="329">
        <v>-13.0</v>
      </c>
      <c r="K47" s="248">
        <v>35.8</v>
      </c>
      <c r="L47" s="54"/>
      <c r="M47" s="79">
        <f>SUM(F43:F60)</f>
        <v>15806</v>
      </c>
      <c r="N47" s="80">
        <f>SUM(I43:I60)</f>
        <v>4328.72</v>
      </c>
      <c r="O47" s="81">
        <f>N47/M47*100</f>
        <v>27.38656207</v>
      </c>
      <c r="P47" s="54"/>
    </row>
    <row r="48">
      <c r="A48" s="54"/>
      <c r="B48" s="326">
        <v>45389.0</v>
      </c>
      <c r="C48" s="327"/>
      <c r="D48" s="331"/>
      <c r="E48" s="328">
        <v>1950758.0</v>
      </c>
      <c r="F48" s="328">
        <v>438.0</v>
      </c>
      <c r="G48" s="328">
        <v>449.0</v>
      </c>
      <c r="H48" s="329">
        <v>121.0</v>
      </c>
      <c r="I48" s="329">
        <v>115.0</v>
      </c>
      <c r="J48" s="329">
        <v>6.0</v>
      </c>
      <c r="K48" s="248">
        <v>26.26</v>
      </c>
      <c r="L48" s="54"/>
      <c r="M48" s="54"/>
      <c r="N48" s="54"/>
      <c r="O48" s="54"/>
      <c r="P48" s="54"/>
    </row>
    <row r="49">
      <c r="A49" s="54"/>
      <c r="B49" s="326">
        <v>45391.0</v>
      </c>
      <c r="C49" s="327"/>
      <c r="D49" s="331"/>
      <c r="E49" s="328">
        <v>1951922.0</v>
      </c>
      <c r="F49" s="328">
        <v>1164.0</v>
      </c>
      <c r="G49" s="328">
        <v>460.0</v>
      </c>
      <c r="H49" s="329">
        <v>372.0</v>
      </c>
      <c r="I49" s="329">
        <v>385.0</v>
      </c>
      <c r="J49" s="329">
        <v>-13.0</v>
      </c>
      <c r="K49" s="248">
        <v>33.08</v>
      </c>
      <c r="L49" s="54"/>
      <c r="M49" s="54"/>
      <c r="N49" s="54"/>
      <c r="O49" s="54"/>
      <c r="P49" s="54"/>
    </row>
    <row r="50">
      <c r="A50" s="54"/>
      <c r="B50" s="326">
        <v>45391.0</v>
      </c>
      <c r="C50" s="327"/>
      <c r="D50" s="331"/>
      <c r="E50" s="328">
        <v>1951922.0</v>
      </c>
      <c r="F50" s="331">
        <f>E50-E49</f>
        <v>0</v>
      </c>
      <c r="G50" s="328">
        <v>460.0</v>
      </c>
      <c r="H50" s="329">
        <v>372.0</v>
      </c>
      <c r="I50" s="329">
        <v>15.0</v>
      </c>
      <c r="J50" s="329">
        <v>-15.0</v>
      </c>
      <c r="K50" s="248" t="s">
        <v>140</v>
      </c>
      <c r="L50" s="54"/>
      <c r="M50" s="54"/>
      <c r="N50" s="54"/>
      <c r="O50" s="54"/>
      <c r="P50" s="54"/>
    </row>
    <row r="51">
      <c r="A51" s="54"/>
      <c r="B51" s="326">
        <v>45392.0</v>
      </c>
      <c r="C51" s="327"/>
      <c r="D51" s="331"/>
      <c r="E51" s="328">
        <v>1953282.0</v>
      </c>
      <c r="F51" s="328">
        <v>1360.0</v>
      </c>
      <c r="G51" s="328">
        <v>460.0</v>
      </c>
      <c r="H51" s="329">
        <v>396.0</v>
      </c>
      <c r="I51" s="329">
        <v>400.0</v>
      </c>
      <c r="J51" s="329">
        <v>-4.0</v>
      </c>
      <c r="K51" s="248">
        <v>29.41</v>
      </c>
      <c r="L51" s="54"/>
      <c r="M51" s="54"/>
      <c r="N51" s="54"/>
      <c r="O51" s="54"/>
      <c r="P51" s="54"/>
    </row>
    <row r="52">
      <c r="A52" s="54"/>
      <c r="B52" s="326">
        <v>45404.0</v>
      </c>
      <c r="C52" s="327"/>
      <c r="D52" s="331"/>
      <c r="E52" s="328">
        <v>1953981.0</v>
      </c>
      <c r="F52" s="328">
        <v>699.0</v>
      </c>
      <c r="G52" s="328">
        <v>460.0</v>
      </c>
      <c r="H52" s="329">
        <v>217.0</v>
      </c>
      <c r="I52" s="329">
        <v>240.0</v>
      </c>
      <c r="J52" s="329">
        <v>-23.0</v>
      </c>
      <c r="K52" s="248">
        <v>34.33</v>
      </c>
      <c r="L52" s="54"/>
      <c r="M52" s="54"/>
      <c r="N52" s="54"/>
      <c r="O52" s="54"/>
      <c r="P52" s="54"/>
    </row>
    <row r="53">
      <c r="A53" s="54"/>
      <c r="B53" s="326">
        <v>45404.0</v>
      </c>
      <c r="C53" s="327"/>
      <c r="D53" s="331"/>
      <c r="E53" s="328">
        <v>1954429.0</v>
      </c>
      <c r="F53" s="328">
        <v>448.0</v>
      </c>
      <c r="G53" s="328">
        <v>460.0</v>
      </c>
      <c r="H53" s="329">
        <v>128.0</v>
      </c>
      <c r="I53" s="329">
        <v>130.67</v>
      </c>
      <c r="J53" s="329">
        <v>-2.67</v>
      </c>
      <c r="K53" s="248">
        <v>29.17</v>
      </c>
      <c r="L53" s="54"/>
      <c r="M53" s="54"/>
      <c r="N53" s="54"/>
      <c r="O53" s="54"/>
      <c r="P53" s="54"/>
    </row>
    <row r="54">
      <c r="A54" s="54"/>
      <c r="B54" s="326">
        <v>45406.0</v>
      </c>
      <c r="C54" s="327"/>
      <c r="D54" s="331"/>
      <c r="E54" s="328">
        <v>1955436.0</v>
      </c>
      <c r="F54" s="328">
        <v>1007.0</v>
      </c>
      <c r="G54" s="328">
        <v>460.0</v>
      </c>
      <c r="H54" s="329">
        <v>315.0</v>
      </c>
      <c r="I54" s="329">
        <v>330.0</v>
      </c>
      <c r="J54" s="329">
        <v>-15.0</v>
      </c>
      <c r="K54" s="248">
        <v>32.77</v>
      </c>
      <c r="L54" s="54"/>
      <c r="M54" s="54"/>
      <c r="N54" s="54"/>
      <c r="O54" s="54"/>
      <c r="P54" s="54"/>
    </row>
    <row r="55">
      <c r="A55" s="54"/>
      <c r="B55" s="326">
        <v>45406.0</v>
      </c>
      <c r="C55" s="327"/>
      <c r="D55" s="331"/>
      <c r="E55" s="328">
        <v>1955874.0</v>
      </c>
      <c r="F55" s="328">
        <v>438.0</v>
      </c>
      <c r="G55" s="328">
        <v>418.0</v>
      </c>
      <c r="H55" s="329">
        <v>78.0</v>
      </c>
      <c r="I55" s="329">
        <v>69.99</v>
      </c>
      <c r="J55" s="329">
        <v>8.01</v>
      </c>
      <c r="K55" s="248">
        <v>15.98</v>
      </c>
      <c r="L55" s="54"/>
      <c r="M55" s="54"/>
      <c r="N55" s="54"/>
      <c r="O55" s="54"/>
      <c r="P55" s="54"/>
    </row>
    <row r="56">
      <c r="A56" s="54"/>
      <c r="B56" s="326">
        <v>45407.0</v>
      </c>
      <c r="C56" s="327"/>
      <c r="D56" s="331"/>
      <c r="E56" s="328">
        <v>1956691.0</v>
      </c>
      <c r="F56" s="328">
        <v>817.0</v>
      </c>
      <c r="G56" s="328">
        <v>460.0</v>
      </c>
      <c r="H56" s="329">
        <v>312.0</v>
      </c>
      <c r="I56" s="329">
        <v>320.0</v>
      </c>
      <c r="J56" s="329">
        <v>-8.0</v>
      </c>
      <c r="K56" s="248">
        <v>39.17</v>
      </c>
      <c r="L56" s="54"/>
      <c r="M56" s="54"/>
      <c r="N56" s="54"/>
      <c r="O56" s="54"/>
      <c r="P56" s="54"/>
    </row>
    <row r="57">
      <c r="A57" s="54"/>
      <c r="B57" s="326">
        <v>45408.0</v>
      </c>
      <c r="C57" s="327"/>
      <c r="D57" s="331"/>
      <c r="E57" s="328">
        <v>1957169.0</v>
      </c>
      <c r="F57" s="328">
        <v>478.0</v>
      </c>
      <c r="G57" s="328">
        <v>440.0</v>
      </c>
      <c r="H57" s="329">
        <v>94.0</v>
      </c>
      <c r="I57" s="329">
        <v>80.0</v>
      </c>
      <c r="J57" s="329">
        <v>14.0</v>
      </c>
      <c r="K57" s="248">
        <v>16.74</v>
      </c>
      <c r="L57" s="54"/>
      <c r="M57" s="54"/>
      <c r="N57" s="54"/>
      <c r="O57" s="54"/>
      <c r="P57" s="54"/>
    </row>
    <row r="58">
      <c r="A58" s="54"/>
      <c r="B58" s="326">
        <v>45409.0</v>
      </c>
      <c r="C58" s="327"/>
      <c r="D58" s="331"/>
      <c r="E58" s="131">
        <v>1958401.0</v>
      </c>
      <c r="F58" s="131">
        <f>E58-E57</f>
        <v>1232</v>
      </c>
      <c r="G58" s="328">
        <v>460.0</v>
      </c>
      <c r="H58" s="329">
        <v>350.0</v>
      </c>
      <c r="I58" s="329">
        <v>370.06</v>
      </c>
      <c r="J58" s="329">
        <v>-370.06</v>
      </c>
      <c r="K58" s="248" t="s">
        <v>140</v>
      </c>
      <c r="L58" s="54"/>
      <c r="M58" s="54"/>
      <c r="N58" s="54"/>
      <c r="O58" s="54"/>
      <c r="P58" s="54"/>
    </row>
    <row r="59">
      <c r="A59" s="54"/>
      <c r="B59" s="326">
        <v>45410.0</v>
      </c>
      <c r="C59" s="327"/>
      <c r="D59" s="331"/>
      <c r="E59" s="328">
        <v>1959460.0</v>
      </c>
      <c r="F59" s="328">
        <v>2291.0</v>
      </c>
      <c r="G59" s="328">
        <v>460.0</v>
      </c>
      <c r="H59" s="329">
        <v>246.0</v>
      </c>
      <c r="I59" s="329">
        <v>277.0</v>
      </c>
      <c r="J59" s="329">
        <v>-31.0</v>
      </c>
      <c r="K59" s="248">
        <v>12.09</v>
      </c>
      <c r="L59" s="54"/>
      <c r="M59" s="54"/>
      <c r="N59" s="54"/>
      <c r="O59" s="54"/>
      <c r="P59" s="54"/>
    </row>
    <row r="60">
      <c r="A60" s="54"/>
      <c r="B60" s="478">
        <v>45412.0</v>
      </c>
      <c r="C60" s="479"/>
      <c r="D60" s="331"/>
      <c r="E60" s="328">
        <v>1960922.0</v>
      </c>
      <c r="F60" s="328">
        <v>1462.0</v>
      </c>
      <c r="G60" s="328">
        <v>460.0</v>
      </c>
      <c r="H60" s="329">
        <v>349.0</v>
      </c>
      <c r="I60" s="329">
        <v>366.0</v>
      </c>
      <c r="J60" s="329">
        <v>-17.0</v>
      </c>
      <c r="K60" s="248">
        <v>25.03</v>
      </c>
      <c r="L60" s="54"/>
      <c r="M60" s="54"/>
      <c r="N60" s="54"/>
      <c r="O60" s="54"/>
      <c r="P60" s="54"/>
    </row>
    <row r="61">
      <c r="A61" s="66"/>
      <c r="B61" s="67" t="s">
        <v>75</v>
      </c>
      <c r="J61" s="66"/>
      <c r="K61" s="66"/>
      <c r="L61" s="66"/>
      <c r="M61" s="66"/>
      <c r="N61" s="66"/>
      <c r="O61" s="66"/>
      <c r="P61" s="66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>
      <c r="A62" s="54"/>
      <c r="B62" s="376" t="s">
        <v>404</v>
      </c>
      <c r="C62" s="324"/>
      <c r="D62" s="332"/>
      <c r="E62" s="324">
        <v>1961841.0</v>
      </c>
      <c r="F62" s="324">
        <v>919.0</v>
      </c>
      <c r="G62" s="324">
        <v>460.0</v>
      </c>
      <c r="H62" s="325">
        <v>241.0</v>
      </c>
      <c r="I62" s="325">
        <v>260.0</v>
      </c>
      <c r="J62" s="325">
        <v>-19.0</v>
      </c>
      <c r="K62" s="248">
        <v>28.29</v>
      </c>
      <c r="L62" s="54"/>
      <c r="M62" s="82" t="str">
        <f>"тотал"&amp;" "&amp;B61</f>
        <v>тотал МАЙ</v>
      </c>
      <c r="N62" s="75"/>
      <c r="O62" s="76"/>
      <c r="P62" s="54"/>
    </row>
    <row r="63">
      <c r="A63" s="54"/>
      <c r="B63" s="381" t="s">
        <v>404</v>
      </c>
      <c r="C63" s="328"/>
      <c r="D63" s="331"/>
      <c r="E63" s="328">
        <v>1962251.0</v>
      </c>
      <c r="F63" s="328">
        <v>410.0</v>
      </c>
      <c r="G63" s="328">
        <v>460.0</v>
      </c>
      <c r="H63" s="329">
        <v>104.0</v>
      </c>
      <c r="I63" s="329">
        <v>130.0</v>
      </c>
      <c r="J63" s="329">
        <v>-26.0</v>
      </c>
      <c r="K63" s="248">
        <v>31.71</v>
      </c>
      <c r="L63" s="54"/>
      <c r="M63" s="83" t="s">
        <v>70</v>
      </c>
      <c r="N63" s="83" t="s">
        <v>71</v>
      </c>
      <c r="O63" s="83" t="s">
        <v>27</v>
      </c>
      <c r="P63" s="54"/>
    </row>
    <row r="64">
      <c r="A64" s="54"/>
      <c r="B64" s="381" t="s">
        <v>133</v>
      </c>
      <c r="C64" s="328"/>
      <c r="D64" s="331"/>
      <c r="E64" s="328">
        <v>1963598.0</v>
      </c>
      <c r="F64" s="328">
        <v>1347.0</v>
      </c>
      <c r="G64" s="328">
        <v>460.0</v>
      </c>
      <c r="H64" s="329">
        <v>402.0</v>
      </c>
      <c r="I64" s="329">
        <v>400.0</v>
      </c>
      <c r="J64" s="329">
        <v>2.0</v>
      </c>
      <c r="K64" s="248">
        <v>29.7</v>
      </c>
      <c r="L64" s="54"/>
      <c r="M64" s="84">
        <f>SUM(F62:F77)</f>
        <v>15809</v>
      </c>
      <c r="N64" s="84">
        <f>SUM(I62:I77)</f>
        <v>4808.46</v>
      </c>
      <c r="O64" s="85">
        <f>N64/M64*100</f>
        <v>30.41596559</v>
      </c>
      <c r="P64" s="54"/>
    </row>
    <row r="65">
      <c r="A65" s="54"/>
      <c r="B65" s="381" t="s">
        <v>88</v>
      </c>
      <c r="C65" s="328"/>
      <c r="D65" s="331"/>
      <c r="E65" s="328">
        <v>1964753.0</v>
      </c>
      <c r="F65" s="328">
        <v>1155.0</v>
      </c>
      <c r="G65" s="328">
        <v>460.0</v>
      </c>
      <c r="H65" s="329">
        <v>363.0</v>
      </c>
      <c r="I65" s="329">
        <v>400.0</v>
      </c>
      <c r="J65" s="329">
        <v>-37.0</v>
      </c>
      <c r="K65" s="248">
        <v>34.63</v>
      </c>
      <c r="L65" s="54"/>
      <c r="M65" s="54"/>
      <c r="N65" s="54"/>
      <c r="O65" s="54"/>
      <c r="P65" s="54"/>
    </row>
    <row r="66">
      <c r="A66" s="54"/>
      <c r="B66" s="381" t="s">
        <v>134</v>
      </c>
      <c r="C66" s="328"/>
      <c r="D66" s="331"/>
      <c r="E66" s="328">
        <v>1965543.0</v>
      </c>
      <c r="F66" s="328">
        <v>790.0</v>
      </c>
      <c r="G66" s="328">
        <v>460.0</v>
      </c>
      <c r="H66" s="329">
        <v>207.0</v>
      </c>
      <c r="I66" s="329">
        <v>225.0</v>
      </c>
      <c r="J66" s="329">
        <v>-18.0</v>
      </c>
      <c r="K66" s="248">
        <v>28.48</v>
      </c>
      <c r="L66" s="54"/>
      <c r="M66" s="54"/>
      <c r="N66" s="54"/>
      <c r="O66" s="54"/>
      <c r="P66" s="54"/>
    </row>
    <row r="67">
      <c r="A67" s="54"/>
      <c r="B67" s="381" t="s">
        <v>134</v>
      </c>
      <c r="C67" s="328"/>
      <c r="D67" s="331"/>
      <c r="E67" s="328">
        <v>1965902.0</v>
      </c>
      <c r="F67" s="328">
        <v>359.0</v>
      </c>
      <c r="G67" s="328">
        <v>460.0</v>
      </c>
      <c r="H67" s="329">
        <v>112.0</v>
      </c>
      <c r="I67" s="329">
        <v>120.0</v>
      </c>
      <c r="J67" s="329">
        <v>-8.0</v>
      </c>
      <c r="K67" s="248">
        <v>33.43</v>
      </c>
      <c r="L67" s="54"/>
      <c r="M67" s="54"/>
      <c r="N67" s="54"/>
      <c r="O67" s="54"/>
      <c r="P67" s="54"/>
    </row>
    <row r="68">
      <c r="A68" s="54"/>
      <c r="B68" s="381" t="s">
        <v>283</v>
      </c>
      <c r="C68" s="328"/>
      <c r="D68" s="331"/>
      <c r="E68" s="328">
        <v>1967104.0</v>
      </c>
      <c r="F68" s="328">
        <v>1202.0</v>
      </c>
      <c r="G68" s="328">
        <v>460.0</v>
      </c>
      <c r="H68" s="329">
        <v>383.0</v>
      </c>
      <c r="I68" s="329">
        <v>400.0</v>
      </c>
      <c r="J68" s="329">
        <v>-17.0</v>
      </c>
      <c r="K68" s="248">
        <v>33.28</v>
      </c>
      <c r="L68" s="54"/>
      <c r="M68" s="54"/>
      <c r="N68" s="54"/>
      <c r="O68" s="54"/>
      <c r="P68" s="54"/>
    </row>
    <row r="69">
      <c r="A69" s="54"/>
      <c r="B69" s="381" t="s">
        <v>407</v>
      </c>
      <c r="C69" s="328"/>
      <c r="D69" s="331"/>
      <c r="E69" s="328">
        <v>1968076.0</v>
      </c>
      <c r="F69" s="328">
        <v>972.0</v>
      </c>
      <c r="G69" s="328">
        <v>460.0</v>
      </c>
      <c r="H69" s="329">
        <v>211.0</v>
      </c>
      <c r="I69" s="329">
        <v>200.0</v>
      </c>
      <c r="J69" s="329">
        <v>11.0</v>
      </c>
      <c r="K69" s="248">
        <v>20.58</v>
      </c>
      <c r="L69" s="54"/>
      <c r="M69" s="54"/>
      <c r="N69" s="54"/>
      <c r="O69" s="54"/>
      <c r="P69" s="54"/>
    </row>
    <row r="70">
      <c r="A70" s="54"/>
      <c r="B70" s="381" t="s">
        <v>408</v>
      </c>
      <c r="C70" s="328"/>
      <c r="D70" s="331"/>
      <c r="E70" s="328">
        <v>1968598.0</v>
      </c>
      <c r="F70" s="328">
        <v>522.0</v>
      </c>
      <c r="G70" s="328">
        <v>460.0</v>
      </c>
      <c r="H70" s="329">
        <v>232.0</v>
      </c>
      <c r="I70" s="329">
        <v>250.02</v>
      </c>
      <c r="J70" s="329">
        <v>-18.02</v>
      </c>
      <c r="K70" s="248">
        <v>47.9</v>
      </c>
      <c r="L70" s="54"/>
      <c r="M70" s="54"/>
      <c r="N70" s="54"/>
      <c r="O70" s="54"/>
      <c r="P70" s="54"/>
    </row>
    <row r="71">
      <c r="A71" s="54"/>
      <c r="B71" s="381" t="s">
        <v>408</v>
      </c>
      <c r="C71" s="328"/>
      <c r="D71" s="331"/>
      <c r="E71" s="328">
        <v>1969035.0</v>
      </c>
      <c r="F71" s="328">
        <v>437.0</v>
      </c>
      <c r="G71" s="328">
        <v>460.0</v>
      </c>
      <c r="H71" s="329">
        <v>71.0</v>
      </c>
      <c r="I71" s="329">
        <v>138.08</v>
      </c>
      <c r="J71" s="329">
        <v>-67.08</v>
      </c>
      <c r="K71" s="248">
        <v>31.6</v>
      </c>
      <c r="L71" s="54"/>
      <c r="M71" s="54"/>
      <c r="N71" s="54"/>
      <c r="O71" s="54"/>
      <c r="P71" s="54"/>
    </row>
    <row r="72">
      <c r="A72" s="54"/>
      <c r="B72" s="381" t="s">
        <v>435</v>
      </c>
      <c r="C72" s="328"/>
      <c r="D72" s="331"/>
      <c r="E72" s="328">
        <v>1970446.0</v>
      </c>
      <c r="F72" s="328">
        <v>1411.0</v>
      </c>
      <c r="G72" s="328">
        <v>460.0</v>
      </c>
      <c r="H72" s="329">
        <v>406.0</v>
      </c>
      <c r="I72" s="329">
        <v>400.0</v>
      </c>
      <c r="J72" s="329">
        <v>6.0</v>
      </c>
      <c r="K72" s="248">
        <v>28.35</v>
      </c>
      <c r="L72" s="54"/>
      <c r="M72" s="54"/>
      <c r="N72" s="54"/>
      <c r="O72" s="54"/>
      <c r="P72" s="54"/>
    </row>
    <row r="73">
      <c r="A73" s="54"/>
      <c r="B73" s="326">
        <v>45437.0</v>
      </c>
      <c r="C73" s="327"/>
      <c r="D73" s="331"/>
      <c r="E73" s="328">
        <v>1971635.0</v>
      </c>
      <c r="F73" s="328">
        <v>1189.0</v>
      </c>
      <c r="G73" s="328">
        <v>460.0</v>
      </c>
      <c r="H73" s="329">
        <v>373.0</v>
      </c>
      <c r="I73" s="329">
        <v>370.34</v>
      </c>
      <c r="J73" s="329">
        <v>2.66</v>
      </c>
      <c r="K73" s="248">
        <v>31.15</v>
      </c>
      <c r="L73" s="54"/>
      <c r="M73" s="54"/>
      <c r="N73" s="54"/>
      <c r="O73" s="54"/>
      <c r="P73" s="54"/>
    </row>
    <row r="74">
      <c r="A74" s="54"/>
      <c r="B74" s="326">
        <v>45438.0</v>
      </c>
      <c r="C74" s="327"/>
      <c r="D74" s="331"/>
      <c r="E74" s="328">
        <v>1972364.0</v>
      </c>
      <c r="F74" s="328">
        <v>729.0</v>
      </c>
      <c r="G74" s="328">
        <v>460.0</v>
      </c>
      <c r="H74" s="329">
        <v>218.0</v>
      </c>
      <c r="I74" s="329">
        <v>339.86</v>
      </c>
      <c r="J74" s="329">
        <v>-121.86</v>
      </c>
      <c r="K74" s="248">
        <v>46.62</v>
      </c>
      <c r="L74" s="54"/>
      <c r="M74" s="54"/>
      <c r="N74" s="54"/>
      <c r="O74" s="54"/>
      <c r="P74" s="54"/>
    </row>
    <row r="75">
      <c r="A75" s="54"/>
      <c r="B75" s="326">
        <v>45440.0</v>
      </c>
      <c r="C75" s="327"/>
      <c r="D75" s="331"/>
      <c r="E75" s="328">
        <v>1974119.0</v>
      </c>
      <c r="F75" s="328">
        <v>1755.0</v>
      </c>
      <c r="G75" s="328">
        <v>460.0</v>
      </c>
      <c r="H75" s="329">
        <v>396.0</v>
      </c>
      <c r="I75" s="329">
        <v>400.0</v>
      </c>
      <c r="J75" s="329">
        <v>-4.0</v>
      </c>
      <c r="K75" s="248">
        <v>22.79</v>
      </c>
      <c r="L75" s="54"/>
      <c r="M75" s="54"/>
      <c r="N75" s="54"/>
      <c r="O75" s="54"/>
      <c r="P75" s="54"/>
    </row>
    <row r="76">
      <c r="A76" s="54"/>
      <c r="B76" s="326">
        <v>45441.0</v>
      </c>
      <c r="C76" s="327"/>
      <c r="D76" s="331"/>
      <c r="E76" s="328">
        <v>1975348.0</v>
      </c>
      <c r="F76" s="328">
        <v>1229.0</v>
      </c>
      <c r="G76" s="328">
        <v>460.0</v>
      </c>
      <c r="H76" s="329">
        <v>345.0</v>
      </c>
      <c r="I76" s="329">
        <v>375.17</v>
      </c>
      <c r="J76" s="329">
        <v>-30.17</v>
      </c>
      <c r="K76" s="248">
        <v>30.53</v>
      </c>
      <c r="L76" s="54"/>
      <c r="M76" s="54"/>
      <c r="N76" s="54"/>
      <c r="O76" s="54"/>
      <c r="P76" s="54"/>
    </row>
    <row r="77">
      <c r="A77" s="54"/>
      <c r="B77" s="326">
        <v>45443.0</v>
      </c>
      <c r="C77" s="327"/>
      <c r="D77" s="331"/>
      <c r="E77" s="328">
        <v>1976731.0</v>
      </c>
      <c r="F77" s="328">
        <v>1383.0</v>
      </c>
      <c r="G77" s="328">
        <v>460.0</v>
      </c>
      <c r="H77" s="329">
        <v>46.0</v>
      </c>
      <c r="I77" s="329">
        <v>399.99</v>
      </c>
      <c r="J77" s="329">
        <v>-353.99</v>
      </c>
      <c r="K77" s="248">
        <v>28.92</v>
      </c>
      <c r="L77" s="54"/>
      <c r="M77" s="54"/>
      <c r="N77" s="54"/>
      <c r="O77" s="54"/>
      <c r="P77" s="54"/>
    </row>
    <row r="78">
      <c r="A78" s="66"/>
      <c r="B78" s="67" t="s">
        <v>90</v>
      </c>
      <c r="J78" s="66"/>
      <c r="K78" s="66"/>
      <c r="L78" s="66"/>
      <c r="M78" s="66"/>
      <c r="N78" s="66"/>
      <c r="O78" s="66"/>
      <c r="P78" s="66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</row>
    <row r="79">
      <c r="A79" s="54"/>
      <c r="B79" s="322">
        <v>45444.0</v>
      </c>
      <c r="C79" s="323"/>
      <c r="D79" s="332"/>
      <c r="E79" s="324">
        <v>1977551.0</v>
      </c>
      <c r="F79" s="324">
        <v>820.0</v>
      </c>
      <c r="G79" s="324">
        <v>460.0</v>
      </c>
      <c r="H79" s="325">
        <v>341.0</v>
      </c>
      <c r="I79" s="325">
        <v>363.01</v>
      </c>
      <c r="J79" s="325">
        <v>-22.01</v>
      </c>
      <c r="K79" s="248">
        <v>44.27</v>
      </c>
      <c r="L79" s="54"/>
      <c r="M79" s="82" t="str">
        <f>"тотал"&amp;" "&amp;B78</f>
        <v>тотал ИЮНЬ</v>
      </c>
      <c r="N79" s="75"/>
      <c r="O79" s="76"/>
      <c r="P79" s="54"/>
    </row>
    <row r="80">
      <c r="A80" s="54"/>
      <c r="B80" s="326">
        <v>45448.0</v>
      </c>
      <c r="C80" s="327"/>
      <c r="D80" s="331"/>
      <c r="E80" s="328">
        <v>1979214.0</v>
      </c>
      <c r="F80" s="328">
        <f t="shared" ref="F80:F82" si="2">E80-E79</f>
        <v>1663</v>
      </c>
      <c r="G80" s="328">
        <v>460.0</v>
      </c>
      <c r="H80" s="329">
        <v>379.0</v>
      </c>
      <c r="I80" s="329">
        <v>390.01</v>
      </c>
      <c r="J80" s="329">
        <f t="shared" ref="J80:J81" si="3">H80-I80</f>
        <v>-11.01</v>
      </c>
      <c r="K80" s="388">
        <f t="shared" ref="K80:K82" si="4">I80/F80*100</f>
        <v>23.45219483</v>
      </c>
      <c r="L80" s="54"/>
      <c r="M80" s="83" t="s">
        <v>70</v>
      </c>
      <c r="N80" s="83" t="s">
        <v>71</v>
      </c>
      <c r="O80" s="83" t="s">
        <v>27</v>
      </c>
      <c r="P80" s="54"/>
    </row>
    <row r="81">
      <c r="A81" s="54"/>
      <c r="B81" s="326">
        <v>45449.0</v>
      </c>
      <c r="C81" s="327"/>
      <c r="D81" s="331"/>
      <c r="E81" s="328">
        <v>1980648.0</v>
      </c>
      <c r="F81" s="328">
        <f t="shared" si="2"/>
        <v>1434</v>
      </c>
      <c r="G81" s="328">
        <v>460.0</v>
      </c>
      <c r="H81" s="329">
        <v>422.0</v>
      </c>
      <c r="I81" s="329">
        <v>399.63</v>
      </c>
      <c r="J81" s="329">
        <f t="shared" si="3"/>
        <v>22.37</v>
      </c>
      <c r="K81" s="388">
        <f t="shared" si="4"/>
        <v>27.86820084</v>
      </c>
      <c r="L81" s="54"/>
      <c r="M81" s="84">
        <f>SUM(F79:F87)</f>
        <v>10960</v>
      </c>
      <c r="N81" s="84">
        <f>SUM(I79:I88)</f>
        <v>3314.84</v>
      </c>
      <c r="O81" s="85">
        <f>N81/M81*100</f>
        <v>30.24489051</v>
      </c>
      <c r="P81" s="54"/>
    </row>
    <row r="82">
      <c r="A82" s="54"/>
      <c r="B82" s="326">
        <v>45450.0</v>
      </c>
      <c r="C82" s="327"/>
      <c r="D82" s="331"/>
      <c r="E82" s="328">
        <v>1981533.0</v>
      </c>
      <c r="F82" s="328">
        <f t="shared" si="2"/>
        <v>885</v>
      </c>
      <c r="G82" s="328">
        <v>460.0</v>
      </c>
      <c r="H82" s="329">
        <v>277.0</v>
      </c>
      <c r="I82" s="329">
        <v>304.0</v>
      </c>
      <c r="J82" s="329">
        <v>-27.0</v>
      </c>
      <c r="K82" s="388">
        <f t="shared" si="4"/>
        <v>34.35028249</v>
      </c>
      <c r="L82" s="54"/>
      <c r="M82" s="54"/>
      <c r="N82" s="54"/>
      <c r="O82" s="54"/>
      <c r="P82" s="54"/>
    </row>
    <row r="83">
      <c r="A83" s="54"/>
      <c r="B83" s="326">
        <v>45452.0</v>
      </c>
      <c r="C83" s="327"/>
      <c r="D83" s="331"/>
      <c r="E83" s="328">
        <v>1982878.0</v>
      </c>
      <c r="F83" s="328">
        <v>1345.0</v>
      </c>
      <c r="G83" s="328">
        <v>460.0</v>
      </c>
      <c r="H83" s="329">
        <v>428.0</v>
      </c>
      <c r="I83" s="329">
        <v>400.0</v>
      </c>
      <c r="J83" s="329">
        <v>28.0</v>
      </c>
      <c r="K83" s="248">
        <v>29.74</v>
      </c>
      <c r="L83" s="54"/>
      <c r="M83" s="54"/>
      <c r="N83" s="54"/>
      <c r="O83" s="54"/>
      <c r="P83" s="54"/>
    </row>
    <row r="84">
      <c r="A84" s="54"/>
      <c r="B84" s="326">
        <v>45453.0</v>
      </c>
      <c r="C84" s="327"/>
      <c r="D84" s="331"/>
      <c r="E84" s="328">
        <v>1983925.0</v>
      </c>
      <c r="F84" s="328">
        <v>1047.0</v>
      </c>
      <c r="G84" s="328">
        <v>460.0</v>
      </c>
      <c r="H84" s="329">
        <v>330.0</v>
      </c>
      <c r="I84" s="329">
        <v>340.0</v>
      </c>
      <c r="J84" s="329">
        <v>-10.0</v>
      </c>
      <c r="K84" s="248">
        <v>32.47</v>
      </c>
      <c r="L84" s="54"/>
      <c r="M84" s="54"/>
      <c r="N84" s="54"/>
      <c r="O84" s="54"/>
      <c r="P84" s="54"/>
    </row>
    <row r="85">
      <c r="A85" s="54"/>
      <c r="B85" s="326">
        <v>45454.0</v>
      </c>
      <c r="C85" s="327"/>
      <c r="D85" s="331"/>
      <c r="E85" s="328">
        <v>1984957.0</v>
      </c>
      <c r="F85" s="328">
        <v>1032.0</v>
      </c>
      <c r="G85" s="328">
        <v>460.0</v>
      </c>
      <c r="H85" s="329">
        <v>310.0</v>
      </c>
      <c r="I85" s="329">
        <v>330.0</v>
      </c>
      <c r="J85" s="329">
        <v>-20.0</v>
      </c>
      <c r="K85" s="248">
        <v>31.98</v>
      </c>
      <c r="L85" s="54"/>
      <c r="M85" s="54"/>
      <c r="N85" s="54"/>
      <c r="O85" s="54"/>
      <c r="P85" s="54"/>
    </row>
    <row r="86">
      <c r="A86" s="54"/>
      <c r="B86" s="326">
        <v>45472.0</v>
      </c>
      <c r="C86" s="327"/>
      <c r="D86" s="331"/>
      <c r="E86" s="131">
        <v>1986266.0</v>
      </c>
      <c r="F86" s="328">
        <f t="shared" ref="F86:F87" si="5">E86-E85</f>
        <v>1309</v>
      </c>
      <c r="G86" s="328">
        <v>460.0</v>
      </c>
      <c r="H86" s="329">
        <v>380.0</v>
      </c>
      <c r="I86" s="329">
        <v>388.19</v>
      </c>
      <c r="J86" s="329">
        <f t="shared" ref="J86:J87" si="6">H86-I86</f>
        <v>-8.19</v>
      </c>
      <c r="K86" s="388">
        <f t="shared" ref="K86:K87" si="7">I86/F86*100</f>
        <v>29.65546218</v>
      </c>
      <c r="L86" s="54"/>
      <c r="M86" s="54"/>
      <c r="N86" s="54"/>
      <c r="O86" s="54"/>
      <c r="P86" s="54"/>
    </row>
    <row r="87">
      <c r="A87" s="54"/>
      <c r="B87" s="326">
        <v>45473.0</v>
      </c>
      <c r="C87" s="327"/>
      <c r="D87" s="331"/>
      <c r="E87" s="328">
        <v>1987691.0</v>
      </c>
      <c r="F87" s="328">
        <f t="shared" si="5"/>
        <v>1425</v>
      </c>
      <c r="G87" s="328">
        <v>460.0</v>
      </c>
      <c r="H87" s="329">
        <v>383.0</v>
      </c>
      <c r="I87" s="329">
        <v>400.0</v>
      </c>
      <c r="J87" s="329">
        <f t="shared" si="6"/>
        <v>-17</v>
      </c>
      <c r="K87" s="388">
        <f t="shared" si="7"/>
        <v>28.07017544</v>
      </c>
      <c r="L87" s="54"/>
      <c r="M87" s="54"/>
      <c r="N87" s="54"/>
      <c r="O87" s="54"/>
      <c r="P87" s="54"/>
    </row>
    <row r="88">
      <c r="A88" s="66"/>
      <c r="B88" s="67" t="s">
        <v>92</v>
      </c>
      <c r="J88" s="66"/>
      <c r="K88" s="66"/>
      <c r="L88" s="66"/>
      <c r="M88" s="66"/>
      <c r="N88" s="66"/>
      <c r="O88" s="66"/>
      <c r="P88" s="66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</row>
    <row r="89">
      <c r="A89" s="54"/>
      <c r="B89" s="201">
        <v>45475.0</v>
      </c>
      <c r="C89" s="201"/>
      <c r="D89" s="95"/>
      <c r="E89" s="128">
        <v>1989158.0</v>
      </c>
      <c r="F89" s="96">
        <v>1467.0</v>
      </c>
      <c r="G89" s="96">
        <v>460.0</v>
      </c>
      <c r="H89" s="97">
        <v>405.0</v>
      </c>
      <c r="I89" s="97">
        <v>400.0</v>
      </c>
      <c r="J89" s="97">
        <f t="shared" ref="J89:J100" si="8">H89-I89</f>
        <v>5</v>
      </c>
      <c r="K89" s="97">
        <v>27.27</v>
      </c>
      <c r="L89" s="54"/>
      <c r="M89" s="82" t="str">
        <f>"тотал"&amp;" "&amp;B88</f>
        <v>тотал ИЮЛЬ</v>
      </c>
      <c r="N89" s="75"/>
      <c r="O89" s="76"/>
      <c r="P89" s="54"/>
    </row>
    <row r="90">
      <c r="A90" s="54"/>
      <c r="B90" s="96" t="s">
        <v>426</v>
      </c>
      <c r="C90" s="96"/>
      <c r="D90" s="95"/>
      <c r="E90" s="128">
        <v>1990613.0</v>
      </c>
      <c r="F90" s="96">
        <v>1455.0</v>
      </c>
      <c r="G90" s="96">
        <v>460.0</v>
      </c>
      <c r="H90" s="97">
        <v>385.0</v>
      </c>
      <c r="I90" s="97">
        <v>400.0</v>
      </c>
      <c r="J90" s="97">
        <f t="shared" si="8"/>
        <v>-15</v>
      </c>
      <c r="K90" s="97">
        <v>27.49</v>
      </c>
      <c r="L90" s="54"/>
      <c r="M90" s="83" t="s">
        <v>70</v>
      </c>
      <c r="N90" s="83" t="s">
        <v>71</v>
      </c>
      <c r="O90" s="83" t="s">
        <v>27</v>
      </c>
      <c r="P90" s="54"/>
    </row>
    <row r="91">
      <c r="A91" s="54"/>
      <c r="B91" s="96" t="s">
        <v>93</v>
      </c>
      <c r="C91" s="96"/>
      <c r="D91" s="95"/>
      <c r="E91" s="128">
        <v>1991855.0</v>
      </c>
      <c r="F91" s="96">
        <v>1242.0</v>
      </c>
      <c r="G91" s="96">
        <v>460.0</v>
      </c>
      <c r="H91" s="97">
        <v>350.0</v>
      </c>
      <c r="I91" s="97">
        <v>380.0</v>
      </c>
      <c r="J91" s="97">
        <f t="shared" si="8"/>
        <v>-30</v>
      </c>
      <c r="K91" s="97">
        <v>30.6</v>
      </c>
      <c r="L91" s="54"/>
      <c r="M91" s="84">
        <f>SUM(F89:F100)</f>
        <v>13106</v>
      </c>
      <c r="N91" s="84">
        <f>SUM(I89:I100)</f>
        <v>3812.56</v>
      </c>
      <c r="O91" s="85">
        <f>N91/M91*100</f>
        <v>29.0901877</v>
      </c>
      <c r="P91" s="54"/>
    </row>
    <row r="92">
      <c r="A92" s="54"/>
      <c r="B92" s="96" t="s">
        <v>395</v>
      </c>
      <c r="C92" s="96"/>
      <c r="D92" s="95"/>
      <c r="E92" s="128">
        <v>1993123.0</v>
      </c>
      <c r="F92" s="96">
        <v>1268.0</v>
      </c>
      <c r="G92" s="96">
        <v>448.0</v>
      </c>
      <c r="H92" s="97">
        <v>306.0</v>
      </c>
      <c r="I92" s="97">
        <v>330.0</v>
      </c>
      <c r="J92" s="97">
        <f t="shared" si="8"/>
        <v>-24</v>
      </c>
      <c r="K92" s="97">
        <v>26.03</v>
      </c>
      <c r="L92" s="54"/>
      <c r="M92" s="54"/>
      <c r="N92" s="54"/>
      <c r="O92" s="54"/>
      <c r="P92" s="54"/>
    </row>
    <row r="93">
      <c r="A93" s="54"/>
      <c r="B93" s="96" t="s">
        <v>395</v>
      </c>
      <c r="C93" s="96"/>
      <c r="D93" s="95"/>
      <c r="E93" s="128">
        <v>1993312.0</v>
      </c>
      <c r="F93" s="96">
        <v>189.0</v>
      </c>
      <c r="G93" s="96">
        <v>460.0</v>
      </c>
      <c r="H93" s="97">
        <v>76.0</v>
      </c>
      <c r="I93" s="97">
        <v>69.5</v>
      </c>
      <c r="J93" s="97">
        <f t="shared" si="8"/>
        <v>6.5</v>
      </c>
      <c r="K93" s="97">
        <v>36.77</v>
      </c>
      <c r="L93" s="54"/>
      <c r="M93" s="54"/>
      <c r="N93" s="54"/>
      <c r="O93" s="54"/>
      <c r="P93" s="54"/>
    </row>
    <row r="94">
      <c r="A94" s="54"/>
      <c r="B94" s="96" t="s">
        <v>141</v>
      </c>
      <c r="C94" s="96"/>
      <c r="D94" s="95"/>
      <c r="E94" s="96">
        <v>1994497.0</v>
      </c>
      <c r="F94" s="96">
        <v>1185.0</v>
      </c>
      <c r="G94" s="96">
        <v>460.0</v>
      </c>
      <c r="H94" s="97">
        <v>343.0</v>
      </c>
      <c r="I94" s="97">
        <v>360.0</v>
      </c>
      <c r="J94" s="97">
        <f t="shared" si="8"/>
        <v>-17</v>
      </c>
      <c r="K94" s="97">
        <v>30.38</v>
      </c>
      <c r="L94" s="54"/>
      <c r="M94" s="54"/>
      <c r="N94" s="54"/>
      <c r="O94" s="63"/>
      <c r="P94" s="54"/>
    </row>
    <row r="95">
      <c r="A95" s="54"/>
      <c r="B95" s="110">
        <v>45484.0</v>
      </c>
      <c r="C95" s="110"/>
      <c r="D95" s="99"/>
      <c r="E95" s="104">
        <v>1995873.0</v>
      </c>
      <c r="F95" s="99">
        <f t="shared" ref="F95:F100" si="9">E95-E94</f>
        <v>1376</v>
      </c>
      <c r="G95" s="100">
        <v>460.0</v>
      </c>
      <c r="H95" s="101">
        <v>384.0</v>
      </c>
      <c r="I95" s="101">
        <v>400.0</v>
      </c>
      <c r="J95" s="97">
        <f t="shared" si="8"/>
        <v>-16</v>
      </c>
      <c r="K95" s="103">
        <f t="shared" ref="K95:K100" si="10">I95/F95*100</f>
        <v>29.06976744</v>
      </c>
      <c r="L95" s="54"/>
      <c r="M95" s="54"/>
      <c r="N95" s="54"/>
      <c r="O95" s="54"/>
      <c r="P95" s="54"/>
    </row>
    <row r="96">
      <c r="A96" s="54"/>
      <c r="B96" s="98">
        <v>45485.0</v>
      </c>
      <c r="C96" s="98"/>
      <c r="D96" s="99"/>
      <c r="E96" s="104">
        <v>1996301.0</v>
      </c>
      <c r="F96" s="99">
        <f t="shared" si="9"/>
        <v>428</v>
      </c>
      <c r="G96" s="100">
        <v>460.0</v>
      </c>
      <c r="H96" s="101">
        <v>175.0</v>
      </c>
      <c r="I96" s="101">
        <v>178.97</v>
      </c>
      <c r="J96" s="97">
        <f t="shared" si="8"/>
        <v>-3.97</v>
      </c>
      <c r="K96" s="103">
        <f t="shared" si="10"/>
        <v>41.81542056</v>
      </c>
      <c r="L96" s="54"/>
      <c r="M96" s="54"/>
      <c r="N96" s="54"/>
      <c r="O96" s="54"/>
      <c r="P96" s="54"/>
    </row>
    <row r="97">
      <c r="A97" s="54"/>
      <c r="B97" s="98">
        <v>45486.0</v>
      </c>
      <c r="C97" s="98"/>
      <c r="D97" s="99"/>
      <c r="E97" s="104">
        <v>1997536.0</v>
      </c>
      <c r="F97" s="99">
        <f t="shared" si="9"/>
        <v>1235</v>
      </c>
      <c r="G97" s="100">
        <v>460.0</v>
      </c>
      <c r="H97" s="101">
        <v>338.0</v>
      </c>
      <c r="I97" s="101">
        <v>363.51</v>
      </c>
      <c r="J97" s="97">
        <f t="shared" si="8"/>
        <v>-25.51</v>
      </c>
      <c r="K97" s="103">
        <f t="shared" si="10"/>
        <v>29.4340081</v>
      </c>
      <c r="L97" s="54"/>
      <c r="M97" s="54"/>
      <c r="N97" s="54"/>
      <c r="O97" s="54"/>
      <c r="P97" s="54"/>
    </row>
    <row r="98">
      <c r="A98" s="54"/>
      <c r="B98" s="98">
        <v>45487.0</v>
      </c>
      <c r="C98" s="98"/>
      <c r="D98" s="99"/>
      <c r="E98" s="104">
        <v>1998093.0</v>
      </c>
      <c r="F98" s="99">
        <f t="shared" si="9"/>
        <v>557</v>
      </c>
      <c r="G98" s="100">
        <v>460.0</v>
      </c>
      <c r="H98" s="101">
        <v>154.0</v>
      </c>
      <c r="I98" s="101">
        <v>178.02</v>
      </c>
      <c r="J98" s="97">
        <f t="shared" si="8"/>
        <v>-24.02</v>
      </c>
      <c r="K98" s="103">
        <f t="shared" si="10"/>
        <v>31.96050269</v>
      </c>
      <c r="L98" s="54"/>
      <c r="M98" s="54"/>
      <c r="N98" s="54"/>
      <c r="O98" s="54"/>
      <c r="P98" s="54"/>
    </row>
    <row r="99">
      <c r="A99" s="54"/>
      <c r="B99" s="98">
        <v>45497.0</v>
      </c>
      <c r="C99" s="98"/>
      <c r="D99" s="101" t="s">
        <v>436</v>
      </c>
      <c r="E99" s="131">
        <v>1999407.0</v>
      </c>
      <c r="F99" s="99">
        <f t="shared" si="9"/>
        <v>1314</v>
      </c>
      <c r="G99" s="100">
        <v>460.0</v>
      </c>
      <c r="H99" s="101">
        <v>347.0</v>
      </c>
      <c r="I99" s="101">
        <v>352.56</v>
      </c>
      <c r="J99" s="102">
        <f t="shared" si="8"/>
        <v>-5.56</v>
      </c>
      <c r="K99" s="103">
        <f t="shared" si="10"/>
        <v>26.83105023</v>
      </c>
      <c r="L99" s="54"/>
      <c r="M99" s="54"/>
      <c r="N99" s="54"/>
      <c r="O99" s="54"/>
      <c r="P99" s="54"/>
    </row>
    <row r="100">
      <c r="A100" s="54"/>
      <c r="B100" s="98">
        <v>45504.0</v>
      </c>
      <c r="C100" s="98"/>
      <c r="D100" s="99"/>
      <c r="E100" s="130">
        <v>2000797.0</v>
      </c>
      <c r="F100" s="99">
        <f t="shared" si="9"/>
        <v>1390</v>
      </c>
      <c r="G100" s="100">
        <v>433.0</v>
      </c>
      <c r="H100" s="101">
        <v>396.0</v>
      </c>
      <c r="I100" s="101">
        <v>400.0</v>
      </c>
      <c r="J100" s="102">
        <f t="shared" si="8"/>
        <v>-4</v>
      </c>
      <c r="K100" s="103">
        <f t="shared" si="10"/>
        <v>28.77697842</v>
      </c>
      <c r="L100" s="54"/>
      <c r="M100" s="54"/>
      <c r="N100" s="54"/>
      <c r="O100" s="54"/>
      <c r="P100" s="54"/>
    </row>
    <row r="101">
      <c r="A101" s="66"/>
      <c r="B101" s="67" t="s">
        <v>95</v>
      </c>
      <c r="J101" s="66"/>
      <c r="K101" s="66"/>
      <c r="L101" s="66"/>
      <c r="M101" s="66"/>
      <c r="N101" s="66"/>
      <c r="O101" s="66"/>
      <c r="P101" s="66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</row>
    <row r="102">
      <c r="A102" s="54"/>
      <c r="B102" s="98">
        <v>45505.0</v>
      </c>
      <c r="C102" s="98"/>
      <c r="D102" s="99"/>
      <c r="E102" s="100">
        <v>2001716.0</v>
      </c>
      <c r="F102" s="99">
        <f>E102-E100</f>
        <v>919</v>
      </c>
      <c r="G102" s="100">
        <v>460.0</v>
      </c>
      <c r="H102" s="101">
        <v>299.0</v>
      </c>
      <c r="I102" s="101">
        <v>310.0</v>
      </c>
      <c r="J102" s="102">
        <f t="shared" ref="J102:J115" si="11">H102-I102</f>
        <v>-11</v>
      </c>
      <c r="K102" s="103">
        <f t="shared" ref="K102:K115" si="12">I102/F102*100</f>
        <v>33.73231774</v>
      </c>
      <c r="L102" s="54"/>
      <c r="M102" s="82" t="str">
        <f>"тотал"&amp;" "&amp;B101</f>
        <v>тотал АВГУСТ</v>
      </c>
      <c r="N102" s="75"/>
      <c r="O102" s="76"/>
      <c r="P102" s="54"/>
    </row>
    <row r="103">
      <c r="A103" s="54"/>
      <c r="B103" s="98">
        <v>45505.0</v>
      </c>
      <c r="C103" s="98"/>
      <c r="D103" s="99"/>
      <c r="E103" s="130">
        <v>2002075.0</v>
      </c>
      <c r="F103" s="99">
        <f t="shared" ref="F103:F110" si="13">E103-E102</f>
        <v>359</v>
      </c>
      <c r="G103" s="100">
        <v>443.0</v>
      </c>
      <c r="H103" s="101">
        <v>99.0</v>
      </c>
      <c r="I103" s="101">
        <v>90.0</v>
      </c>
      <c r="J103" s="102">
        <f t="shared" si="11"/>
        <v>9</v>
      </c>
      <c r="K103" s="103">
        <f t="shared" si="12"/>
        <v>25.06963788</v>
      </c>
      <c r="L103" s="54"/>
      <c r="M103" s="83" t="s">
        <v>70</v>
      </c>
      <c r="N103" s="83" t="s">
        <v>71</v>
      </c>
      <c r="O103" s="83" t="s">
        <v>27</v>
      </c>
      <c r="P103" s="54"/>
    </row>
    <row r="104">
      <c r="A104" s="54"/>
      <c r="B104" s="98">
        <v>45507.0</v>
      </c>
      <c r="C104" s="98"/>
      <c r="D104" s="99"/>
      <c r="E104" s="130">
        <v>2003373.0</v>
      </c>
      <c r="F104" s="99">
        <f t="shared" si="13"/>
        <v>1298</v>
      </c>
      <c r="G104" s="100">
        <v>449.0</v>
      </c>
      <c r="H104" s="101">
        <v>395.0</v>
      </c>
      <c r="I104" s="101">
        <v>400.0</v>
      </c>
      <c r="J104" s="102">
        <f t="shared" si="11"/>
        <v>-5</v>
      </c>
      <c r="K104" s="103">
        <f t="shared" si="12"/>
        <v>30.81664099</v>
      </c>
      <c r="L104" s="54"/>
      <c r="M104" s="84">
        <f>SUM(F102:F113)</f>
        <v>12886.01</v>
      </c>
      <c r="N104" s="84">
        <f>SUM(I102:I113)</f>
        <v>3906.61</v>
      </c>
      <c r="O104" s="85">
        <f>N104/M104*100</f>
        <v>30.31667677</v>
      </c>
      <c r="P104" s="54"/>
    </row>
    <row r="105">
      <c r="A105" s="54"/>
      <c r="B105" s="98">
        <v>45508.0</v>
      </c>
      <c r="C105" s="98"/>
      <c r="D105" s="99"/>
      <c r="E105" s="130">
        <v>2004669.0</v>
      </c>
      <c r="F105" s="99">
        <f t="shared" si="13"/>
        <v>1296</v>
      </c>
      <c r="G105" s="100">
        <v>460.0</v>
      </c>
      <c r="H105" s="101">
        <v>379.0</v>
      </c>
      <c r="I105" s="101">
        <v>400.0</v>
      </c>
      <c r="J105" s="102">
        <f t="shared" si="11"/>
        <v>-21</v>
      </c>
      <c r="K105" s="103">
        <f t="shared" si="12"/>
        <v>30.86419753</v>
      </c>
      <c r="L105" s="54"/>
      <c r="M105" s="54"/>
      <c r="N105" s="54"/>
      <c r="O105" s="54"/>
      <c r="P105" s="54"/>
    </row>
    <row r="106">
      <c r="A106" s="54"/>
      <c r="B106" s="98">
        <v>45511.0</v>
      </c>
      <c r="C106" s="98"/>
      <c r="D106" s="99"/>
      <c r="E106" s="104">
        <v>2005993.0</v>
      </c>
      <c r="F106" s="99">
        <f t="shared" si="13"/>
        <v>1324</v>
      </c>
      <c r="G106" s="100">
        <v>456.0</v>
      </c>
      <c r="H106" s="101">
        <v>370.0</v>
      </c>
      <c r="I106" s="101">
        <v>400.0</v>
      </c>
      <c r="J106" s="102">
        <f t="shared" si="11"/>
        <v>-30</v>
      </c>
      <c r="K106" s="103">
        <f t="shared" si="12"/>
        <v>30.21148036</v>
      </c>
      <c r="L106" s="54"/>
      <c r="M106" s="54"/>
      <c r="N106" s="54"/>
      <c r="O106" s="54"/>
      <c r="P106" s="54"/>
    </row>
    <row r="107">
      <c r="A107" s="54"/>
      <c r="B107" s="98">
        <v>45512.0</v>
      </c>
      <c r="C107" s="98"/>
      <c r="D107" s="99"/>
      <c r="E107" s="104">
        <v>2007209.0</v>
      </c>
      <c r="F107" s="99">
        <f t="shared" si="13"/>
        <v>1216</v>
      </c>
      <c r="G107" s="100">
        <v>460.0</v>
      </c>
      <c r="H107" s="101">
        <v>367.0</v>
      </c>
      <c r="I107" s="101">
        <v>382.58</v>
      </c>
      <c r="J107" s="102">
        <f t="shared" si="11"/>
        <v>-15.58</v>
      </c>
      <c r="K107" s="103">
        <f t="shared" si="12"/>
        <v>31.46217105</v>
      </c>
      <c r="L107" s="54"/>
      <c r="M107" s="54"/>
      <c r="N107" s="54"/>
      <c r="O107" s="54"/>
      <c r="P107" s="54"/>
    </row>
    <row r="108">
      <c r="A108" s="54"/>
      <c r="B108" s="98">
        <v>45514.0</v>
      </c>
      <c r="C108" s="98"/>
      <c r="D108" s="99"/>
      <c r="E108" s="100">
        <v>2008559.0</v>
      </c>
      <c r="F108" s="99">
        <f t="shared" si="13"/>
        <v>1350</v>
      </c>
      <c r="G108" s="100">
        <v>497.0</v>
      </c>
      <c r="H108" s="101">
        <v>328.0</v>
      </c>
      <c r="I108" s="101">
        <v>340.0</v>
      </c>
      <c r="J108" s="102">
        <f t="shared" si="11"/>
        <v>-12</v>
      </c>
      <c r="K108" s="103">
        <f t="shared" si="12"/>
        <v>25.18518519</v>
      </c>
      <c r="L108" s="54"/>
      <c r="M108" s="54"/>
      <c r="N108" s="54"/>
      <c r="O108" s="54"/>
      <c r="P108" s="54"/>
    </row>
    <row r="109">
      <c r="A109" s="54"/>
      <c r="B109" s="98">
        <v>45514.0</v>
      </c>
      <c r="C109" s="98"/>
      <c r="D109" s="99"/>
      <c r="E109" s="131">
        <v>2008919.0</v>
      </c>
      <c r="F109" s="99">
        <f t="shared" si="13"/>
        <v>360</v>
      </c>
      <c r="G109" s="100">
        <v>358.0</v>
      </c>
      <c r="H109" s="101">
        <v>67.0</v>
      </c>
      <c r="I109" s="101">
        <v>60.0</v>
      </c>
      <c r="J109" s="102">
        <f t="shared" si="11"/>
        <v>7</v>
      </c>
      <c r="K109" s="103">
        <f t="shared" si="12"/>
        <v>16.66666667</v>
      </c>
      <c r="L109" s="54"/>
      <c r="M109" s="54"/>
      <c r="N109" s="54"/>
      <c r="O109" s="54"/>
      <c r="P109" s="54"/>
    </row>
    <row r="110">
      <c r="A110" s="54"/>
      <c r="B110" s="98">
        <v>45518.0</v>
      </c>
      <c r="C110" s="98"/>
      <c r="D110" s="99"/>
      <c r="E110" s="100">
        <v>2009925.0</v>
      </c>
      <c r="F110" s="99">
        <f t="shared" si="13"/>
        <v>1006</v>
      </c>
      <c r="G110" s="100">
        <v>460.0</v>
      </c>
      <c r="H110" s="101">
        <v>389.0</v>
      </c>
      <c r="I110" s="101">
        <v>386.53</v>
      </c>
      <c r="J110" s="102">
        <f t="shared" si="11"/>
        <v>2.47</v>
      </c>
      <c r="K110" s="103">
        <f t="shared" si="12"/>
        <v>38.42246521</v>
      </c>
      <c r="L110" s="54"/>
      <c r="M110" s="54"/>
      <c r="N110" s="54"/>
      <c r="O110" s="54"/>
      <c r="P110" s="54"/>
    </row>
    <row r="111">
      <c r="A111" s="54"/>
      <c r="B111" s="98">
        <v>45523.0</v>
      </c>
      <c r="C111" s="98"/>
      <c r="D111" s="102"/>
      <c r="E111" s="102"/>
      <c r="F111" s="100">
        <v>1252.67</v>
      </c>
      <c r="G111" s="102"/>
      <c r="H111" s="102"/>
      <c r="I111" s="101">
        <v>395.64</v>
      </c>
      <c r="J111" s="102">
        <f t="shared" si="11"/>
        <v>-395.64</v>
      </c>
      <c r="K111" s="103">
        <f t="shared" si="12"/>
        <v>31.58373714</v>
      </c>
      <c r="L111" s="54"/>
      <c r="M111" s="54"/>
      <c r="N111" s="54"/>
      <c r="O111" s="54"/>
      <c r="P111" s="54"/>
    </row>
    <row r="112">
      <c r="A112" s="54"/>
      <c r="B112" s="98">
        <v>45524.0</v>
      </c>
      <c r="C112" s="98"/>
      <c r="D112" s="102"/>
      <c r="E112" s="102"/>
      <c r="F112" s="100">
        <v>1252.67</v>
      </c>
      <c r="G112" s="102"/>
      <c r="H112" s="102"/>
      <c r="I112" s="101">
        <v>341.86</v>
      </c>
      <c r="J112" s="102">
        <f t="shared" si="11"/>
        <v>-341.86</v>
      </c>
      <c r="K112" s="103">
        <f t="shared" si="12"/>
        <v>27.29050748</v>
      </c>
      <c r="L112" s="54"/>
      <c r="M112" s="54"/>
      <c r="N112" s="54"/>
      <c r="O112" s="54"/>
      <c r="P112" s="54"/>
    </row>
    <row r="113">
      <c r="A113" s="54"/>
      <c r="B113" s="98">
        <v>45526.0</v>
      </c>
      <c r="C113" s="98"/>
      <c r="D113" s="102"/>
      <c r="E113" s="102"/>
      <c r="F113" s="100">
        <v>1252.67</v>
      </c>
      <c r="G113" s="102"/>
      <c r="H113" s="102"/>
      <c r="I113" s="101">
        <v>400.0</v>
      </c>
      <c r="J113" s="102">
        <f t="shared" si="11"/>
        <v>-400</v>
      </c>
      <c r="K113" s="103">
        <f t="shared" si="12"/>
        <v>31.93179369</v>
      </c>
      <c r="L113" s="54"/>
      <c r="M113" s="54"/>
      <c r="N113" s="54"/>
      <c r="O113" s="54"/>
      <c r="P113" s="54"/>
    </row>
    <row r="114">
      <c r="A114" s="54"/>
      <c r="B114" s="98">
        <v>45527.0</v>
      </c>
      <c r="C114" s="98"/>
      <c r="D114" s="102"/>
      <c r="E114" s="102"/>
      <c r="F114" s="100">
        <v>1252.67</v>
      </c>
      <c r="G114" s="102"/>
      <c r="H114" s="102"/>
      <c r="I114" s="101">
        <v>394.15</v>
      </c>
      <c r="J114" s="102">
        <f t="shared" si="11"/>
        <v>-394.15</v>
      </c>
      <c r="K114" s="103">
        <f t="shared" si="12"/>
        <v>31.46479121</v>
      </c>
      <c r="L114" s="54"/>
      <c r="M114" s="54"/>
      <c r="N114" s="54"/>
      <c r="O114" s="54"/>
      <c r="P114" s="54"/>
    </row>
    <row r="115">
      <c r="A115" s="54"/>
      <c r="B115" s="98">
        <v>45529.0</v>
      </c>
      <c r="C115" s="98"/>
      <c r="D115" s="102"/>
      <c r="E115" s="102"/>
      <c r="F115" s="100">
        <v>1252.67</v>
      </c>
      <c r="G115" s="102"/>
      <c r="H115" s="102"/>
      <c r="I115" s="101">
        <v>400.0</v>
      </c>
      <c r="J115" s="102">
        <f t="shared" si="11"/>
        <v>-400</v>
      </c>
      <c r="K115" s="103">
        <f t="shared" si="12"/>
        <v>31.93179369</v>
      </c>
      <c r="L115" s="54"/>
      <c r="M115" s="54"/>
      <c r="N115" s="54"/>
      <c r="O115" s="54"/>
      <c r="P115" s="54"/>
    </row>
    <row r="116">
      <c r="A116" s="66"/>
      <c r="B116" s="67" t="s">
        <v>104</v>
      </c>
      <c r="J116" s="66"/>
      <c r="K116" s="66"/>
      <c r="L116" s="66"/>
      <c r="M116" s="66"/>
      <c r="N116" s="66"/>
      <c r="O116" s="66"/>
      <c r="P116" s="66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</row>
    <row r="117">
      <c r="A117" s="54"/>
      <c r="B117" s="98">
        <v>45560.0</v>
      </c>
      <c r="C117" s="98"/>
      <c r="D117" s="99"/>
      <c r="E117" s="100">
        <v>2017441.0</v>
      </c>
      <c r="F117" s="100">
        <v>1252.67</v>
      </c>
      <c r="G117" s="100">
        <v>460.0</v>
      </c>
      <c r="H117" s="101">
        <v>321.0</v>
      </c>
      <c r="I117" s="101">
        <v>342.32</v>
      </c>
      <c r="J117" s="102">
        <f t="shared" ref="J117:J121" si="14">H117-I117</f>
        <v>-21.32</v>
      </c>
      <c r="K117" s="103">
        <f t="shared" ref="K117:K121" si="15">I117/F117*100</f>
        <v>27.32722904</v>
      </c>
      <c r="L117" s="54"/>
      <c r="M117" s="82" t="str">
        <f>"тотал"&amp;" "&amp;B116</f>
        <v>тотал СЕНТЯБРЬ</v>
      </c>
      <c r="N117" s="75"/>
      <c r="O117" s="76"/>
      <c r="P117" s="54"/>
    </row>
    <row r="118">
      <c r="A118" s="54"/>
      <c r="B118" s="98">
        <v>45562.0</v>
      </c>
      <c r="C118" s="98"/>
      <c r="D118" s="99"/>
      <c r="E118" s="453">
        <v>2018416.0</v>
      </c>
      <c r="F118" s="100">
        <f t="shared" ref="F118:F121" si="16">E118-E117</f>
        <v>975</v>
      </c>
      <c r="G118" s="100">
        <v>460.0</v>
      </c>
      <c r="H118" s="101">
        <v>336.0</v>
      </c>
      <c r="I118" s="101">
        <v>355.49</v>
      </c>
      <c r="J118" s="102">
        <f t="shared" si="14"/>
        <v>-19.49</v>
      </c>
      <c r="K118" s="103">
        <f t="shared" si="15"/>
        <v>36.46051282</v>
      </c>
      <c r="L118" s="54"/>
      <c r="M118" s="83" t="s">
        <v>70</v>
      </c>
      <c r="N118" s="83" t="s">
        <v>71</v>
      </c>
      <c r="O118" s="83" t="s">
        <v>27</v>
      </c>
      <c r="P118" s="54"/>
    </row>
    <row r="119">
      <c r="A119" s="54"/>
      <c r="B119" s="98">
        <v>45564.0</v>
      </c>
      <c r="C119" s="98"/>
      <c r="D119" s="99"/>
      <c r="E119" s="100">
        <v>2019516.0</v>
      </c>
      <c r="F119" s="100">
        <f t="shared" si="16"/>
        <v>1100</v>
      </c>
      <c r="G119" s="100">
        <v>459.0</v>
      </c>
      <c r="H119" s="101">
        <v>351.0</v>
      </c>
      <c r="I119" s="101">
        <v>360.0</v>
      </c>
      <c r="J119" s="102">
        <f t="shared" si="14"/>
        <v>-9</v>
      </c>
      <c r="K119" s="103">
        <f t="shared" si="15"/>
        <v>32.72727273</v>
      </c>
      <c r="L119" s="54"/>
      <c r="M119" s="84">
        <f>SUM(F117:F121)</f>
        <v>4612.67</v>
      </c>
      <c r="N119" s="84">
        <f>SUM(I117:I121)</f>
        <v>1482.11</v>
      </c>
      <c r="O119" s="85">
        <f>N119/M119*100</f>
        <v>32.13128188</v>
      </c>
      <c r="P119" s="54"/>
    </row>
    <row r="120">
      <c r="A120" s="54"/>
      <c r="B120" s="98">
        <v>45564.0</v>
      </c>
      <c r="C120" s="98"/>
      <c r="D120" s="99"/>
      <c r="E120" s="100">
        <v>2020123.0</v>
      </c>
      <c r="F120" s="100">
        <f t="shared" si="16"/>
        <v>607</v>
      </c>
      <c r="G120" s="100">
        <v>299.0</v>
      </c>
      <c r="H120" s="101">
        <v>48.0</v>
      </c>
      <c r="I120" s="101">
        <v>40.0</v>
      </c>
      <c r="J120" s="102">
        <f t="shared" si="14"/>
        <v>8</v>
      </c>
      <c r="K120" s="103">
        <f t="shared" si="15"/>
        <v>6.589785832</v>
      </c>
      <c r="L120" s="54"/>
      <c r="N120" s="54"/>
      <c r="O120" s="54"/>
      <c r="P120" s="54"/>
    </row>
    <row r="121">
      <c r="A121" s="54"/>
      <c r="B121" s="98">
        <v>45565.0</v>
      </c>
      <c r="C121" s="98"/>
      <c r="D121" s="99"/>
      <c r="E121" s="100">
        <v>2020801.0</v>
      </c>
      <c r="F121" s="100">
        <f t="shared" si="16"/>
        <v>678</v>
      </c>
      <c r="G121" s="100">
        <v>460.0</v>
      </c>
      <c r="H121" s="101">
        <v>361.0</v>
      </c>
      <c r="I121" s="101">
        <v>384.3</v>
      </c>
      <c r="J121" s="102">
        <f t="shared" si="14"/>
        <v>-23.3</v>
      </c>
      <c r="K121" s="103">
        <f t="shared" si="15"/>
        <v>56.68141593</v>
      </c>
      <c r="L121" s="54"/>
      <c r="M121" s="54"/>
      <c r="N121" s="54"/>
      <c r="O121" s="54"/>
      <c r="P121" s="54"/>
    </row>
    <row r="122">
      <c r="A122" s="66"/>
      <c r="B122" s="67" t="s">
        <v>96</v>
      </c>
      <c r="J122" s="66"/>
      <c r="K122" s="66"/>
      <c r="L122" s="66"/>
      <c r="M122" s="66"/>
      <c r="N122" s="66"/>
      <c r="O122" s="66"/>
      <c r="P122" s="66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</row>
    <row r="123">
      <c r="A123" s="54"/>
      <c r="B123" s="98">
        <v>45567.0</v>
      </c>
      <c r="C123" s="98"/>
      <c r="D123" s="99"/>
      <c r="E123" s="100">
        <v>2021875.0</v>
      </c>
      <c r="F123" s="99">
        <f>E123-E121</f>
        <v>1074</v>
      </c>
      <c r="G123" s="100">
        <v>460.0</v>
      </c>
      <c r="H123" s="101">
        <v>329.0</v>
      </c>
      <c r="I123" s="101">
        <v>345.0</v>
      </c>
      <c r="J123" s="102">
        <f t="shared" ref="J123:J143" si="17">H123-I123</f>
        <v>-16</v>
      </c>
      <c r="K123" s="103">
        <f t="shared" ref="K123:K140" si="18">I123/F123*100</f>
        <v>32.12290503</v>
      </c>
      <c r="L123" s="54"/>
      <c r="M123" s="205" t="str">
        <f>"тотал"&amp;" "&amp;B122&amp;" "&amp;RIGHT(YEAR(B123),2)</f>
        <v>тотал ОКТЯБРЬ 24</v>
      </c>
      <c r="N123" s="75"/>
      <c r="O123" s="75"/>
      <c r="P123" s="75"/>
      <c r="Q123" s="76"/>
    </row>
    <row r="124">
      <c r="A124" s="54"/>
      <c r="B124" s="98">
        <v>45569.0</v>
      </c>
      <c r="C124" s="98"/>
      <c r="D124" s="99"/>
      <c r="E124" s="100">
        <v>2023125.0</v>
      </c>
      <c r="F124" s="99">
        <f t="shared" ref="F124:F140" si="19">E124-E123</f>
        <v>1250</v>
      </c>
      <c r="G124" s="100">
        <v>456.0</v>
      </c>
      <c r="H124" s="101">
        <v>387.0</v>
      </c>
      <c r="I124" s="101">
        <v>400.0</v>
      </c>
      <c r="J124" s="102">
        <f t="shared" si="17"/>
        <v>-13</v>
      </c>
      <c r="K124" s="103">
        <f t="shared" si="18"/>
        <v>32</v>
      </c>
      <c r="L124" s="54"/>
      <c r="M124" s="83" t="s">
        <v>70</v>
      </c>
      <c r="N124" s="83" t="s">
        <v>71</v>
      </c>
      <c r="O124" s="83" t="s">
        <v>27</v>
      </c>
      <c r="P124" s="83" t="s">
        <v>28</v>
      </c>
      <c r="Q124" s="321" t="s">
        <v>78</v>
      </c>
    </row>
    <row r="125">
      <c r="A125" s="54"/>
      <c r="B125" s="98">
        <v>45570.0</v>
      </c>
      <c r="C125" s="98"/>
      <c r="D125" s="99"/>
      <c r="E125" s="100">
        <v>2024087.0</v>
      </c>
      <c r="F125" s="99">
        <f t="shared" si="19"/>
        <v>962</v>
      </c>
      <c r="G125" s="100">
        <v>393.0</v>
      </c>
      <c r="H125" s="101">
        <v>243.0</v>
      </c>
      <c r="I125" s="101">
        <v>260.0</v>
      </c>
      <c r="J125" s="102">
        <f t="shared" si="17"/>
        <v>-17</v>
      </c>
      <c r="K125" s="103">
        <f t="shared" si="18"/>
        <v>27.02702703</v>
      </c>
      <c r="L125" s="54"/>
      <c r="M125" s="84">
        <f>SUM(F123:F143)</f>
        <v>16550</v>
      </c>
      <c r="N125" s="84">
        <f>SUM(I123:I143)</f>
        <v>5365.13</v>
      </c>
      <c r="O125" s="85">
        <f>N125/M125*100</f>
        <v>32.41770393</v>
      </c>
      <c r="P125" s="84">
        <f>(M125/100)*(O125-Q125)</f>
        <v>400.13</v>
      </c>
      <c r="Q125" s="464">
        <v>30.0</v>
      </c>
    </row>
    <row r="126">
      <c r="A126" s="54"/>
      <c r="B126" s="98">
        <v>45570.0</v>
      </c>
      <c r="C126" s="98"/>
      <c r="D126" s="99"/>
      <c r="E126" s="100">
        <v>2024476.0</v>
      </c>
      <c r="F126" s="99">
        <f t="shared" si="19"/>
        <v>389</v>
      </c>
      <c r="G126" s="100">
        <v>412.0</v>
      </c>
      <c r="H126" s="101">
        <v>144.0</v>
      </c>
      <c r="I126" s="101">
        <v>140.0</v>
      </c>
      <c r="J126" s="102">
        <f t="shared" si="17"/>
        <v>4</v>
      </c>
      <c r="K126" s="103">
        <f t="shared" si="18"/>
        <v>35.98971722</v>
      </c>
      <c r="L126" s="54"/>
      <c r="M126" s="54"/>
      <c r="N126" s="54"/>
      <c r="O126" s="54"/>
      <c r="P126" s="54"/>
    </row>
    <row r="127">
      <c r="A127" s="54"/>
      <c r="B127" s="98">
        <v>45571.0</v>
      </c>
      <c r="C127" s="98"/>
      <c r="D127" s="99"/>
      <c r="E127" s="100">
        <v>2025307.0</v>
      </c>
      <c r="F127" s="99">
        <f t="shared" si="19"/>
        <v>831</v>
      </c>
      <c r="G127" s="100">
        <v>460.0</v>
      </c>
      <c r="H127" s="101">
        <v>317.0</v>
      </c>
      <c r="I127" s="101">
        <v>335.06</v>
      </c>
      <c r="J127" s="102">
        <f t="shared" si="17"/>
        <v>-18.06</v>
      </c>
      <c r="K127" s="103">
        <f t="shared" si="18"/>
        <v>40.32009627</v>
      </c>
      <c r="L127" s="54"/>
      <c r="M127" s="54"/>
      <c r="N127" s="54"/>
      <c r="O127" s="54"/>
      <c r="P127" s="54"/>
    </row>
    <row r="128">
      <c r="A128" s="54"/>
      <c r="B128" s="98">
        <v>45573.0</v>
      </c>
      <c r="C128" s="98"/>
      <c r="D128" s="99"/>
      <c r="E128" s="100">
        <v>2026716.0</v>
      </c>
      <c r="F128" s="99">
        <f t="shared" si="19"/>
        <v>1409</v>
      </c>
      <c r="G128" s="100">
        <v>445.0</v>
      </c>
      <c r="H128" s="101">
        <v>385.0</v>
      </c>
      <c r="I128" s="101">
        <v>400.0</v>
      </c>
      <c r="J128" s="102">
        <f t="shared" si="17"/>
        <v>-15</v>
      </c>
      <c r="K128" s="103">
        <f t="shared" si="18"/>
        <v>28.38892832</v>
      </c>
      <c r="L128" s="54"/>
      <c r="M128" s="54"/>
      <c r="N128" s="54"/>
      <c r="O128" s="54"/>
      <c r="P128" s="54"/>
    </row>
    <row r="129">
      <c r="A129" s="54"/>
      <c r="B129" s="98">
        <v>45574.0</v>
      </c>
      <c r="C129" s="98"/>
      <c r="D129" s="99"/>
      <c r="E129" s="100">
        <v>2027777.0</v>
      </c>
      <c r="F129" s="99">
        <f t="shared" si="19"/>
        <v>1061</v>
      </c>
      <c r="G129" s="100">
        <v>456.0</v>
      </c>
      <c r="H129" s="101">
        <v>327.0</v>
      </c>
      <c r="I129" s="101">
        <v>349.99</v>
      </c>
      <c r="J129" s="102">
        <f t="shared" si="17"/>
        <v>-22.99</v>
      </c>
      <c r="K129" s="103">
        <f t="shared" si="18"/>
        <v>32.9868049</v>
      </c>
      <c r="L129" s="54"/>
      <c r="M129" s="54"/>
      <c r="N129" s="54"/>
      <c r="O129" s="54"/>
      <c r="P129" s="54"/>
    </row>
    <row r="130">
      <c r="A130" s="54"/>
      <c r="B130" s="98">
        <v>45574.0</v>
      </c>
      <c r="C130" s="98"/>
      <c r="D130" s="99"/>
      <c r="E130" s="100">
        <v>2028052.0</v>
      </c>
      <c r="F130" s="99">
        <f t="shared" si="19"/>
        <v>275</v>
      </c>
      <c r="G130" s="100">
        <v>424.0</v>
      </c>
      <c r="H130" s="101">
        <v>57.0</v>
      </c>
      <c r="I130" s="101">
        <v>50.0</v>
      </c>
      <c r="J130" s="102">
        <f t="shared" si="17"/>
        <v>7</v>
      </c>
      <c r="K130" s="103">
        <f t="shared" si="18"/>
        <v>18.18181818</v>
      </c>
      <c r="L130" s="54"/>
      <c r="M130" s="54"/>
      <c r="N130" s="54"/>
      <c r="O130" s="54"/>
      <c r="P130" s="54"/>
    </row>
    <row r="131">
      <c r="A131" s="54"/>
      <c r="B131" s="98">
        <v>45575.0</v>
      </c>
      <c r="C131" s="98"/>
      <c r="D131" s="99"/>
      <c r="E131" s="100">
        <v>2028940.0</v>
      </c>
      <c r="F131" s="99">
        <f t="shared" si="19"/>
        <v>888</v>
      </c>
      <c r="G131" s="100">
        <v>456.0</v>
      </c>
      <c r="H131" s="101">
        <v>325.0</v>
      </c>
      <c r="I131" s="101">
        <v>345.21</v>
      </c>
      <c r="J131" s="102">
        <f t="shared" si="17"/>
        <v>-20.21</v>
      </c>
      <c r="K131" s="103">
        <f t="shared" si="18"/>
        <v>38.875</v>
      </c>
      <c r="L131" s="54"/>
      <c r="M131" s="54"/>
      <c r="N131" s="54"/>
      <c r="O131" s="54"/>
      <c r="P131" s="54"/>
    </row>
    <row r="132">
      <c r="A132" s="54"/>
      <c r="B132" s="98">
        <v>45577.0</v>
      </c>
      <c r="C132" s="98"/>
      <c r="D132" s="99"/>
      <c r="E132" s="111">
        <v>2030173.0</v>
      </c>
      <c r="F132" s="99">
        <f t="shared" si="19"/>
        <v>1233</v>
      </c>
      <c r="G132" s="100">
        <v>450.0</v>
      </c>
      <c r="H132" s="101">
        <v>373.0</v>
      </c>
      <c r="I132" s="101">
        <v>400.0</v>
      </c>
      <c r="J132" s="102">
        <f t="shared" si="17"/>
        <v>-27</v>
      </c>
      <c r="K132" s="103">
        <f t="shared" si="18"/>
        <v>32.44120032</v>
      </c>
      <c r="L132" s="54"/>
      <c r="M132" s="54"/>
      <c r="N132" s="54"/>
      <c r="O132" s="54"/>
      <c r="P132" s="54"/>
    </row>
    <row r="133">
      <c r="A133" s="54"/>
      <c r="B133" s="98">
        <v>45578.0</v>
      </c>
      <c r="C133" s="98"/>
      <c r="D133" s="99"/>
      <c r="E133" s="100">
        <v>2031186.0</v>
      </c>
      <c r="F133" s="99">
        <f t="shared" si="19"/>
        <v>1013</v>
      </c>
      <c r="G133" s="100">
        <v>426.0</v>
      </c>
      <c r="H133" s="101">
        <v>293.0</v>
      </c>
      <c r="I133" s="101">
        <v>319.99</v>
      </c>
      <c r="J133" s="102">
        <f t="shared" si="17"/>
        <v>-26.99</v>
      </c>
      <c r="K133" s="103">
        <f t="shared" si="18"/>
        <v>31.58835143</v>
      </c>
      <c r="L133" s="54"/>
      <c r="M133" s="54"/>
      <c r="N133" s="54"/>
      <c r="O133" s="54"/>
      <c r="P133" s="54"/>
    </row>
    <row r="134">
      <c r="A134" s="54"/>
      <c r="B134" s="98">
        <v>45578.0</v>
      </c>
      <c r="C134" s="98"/>
      <c r="D134" s="99"/>
      <c r="E134" s="100">
        <v>2031511.0</v>
      </c>
      <c r="F134" s="99">
        <f t="shared" si="19"/>
        <v>325</v>
      </c>
      <c r="G134" s="100">
        <v>408.0</v>
      </c>
      <c r="H134" s="101">
        <v>87.0</v>
      </c>
      <c r="I134" s="101">
        <v>80.0</v>
      </c>
      <c r="J134" s="102">
        <f t="shared" si="17"/>
        <v>7</v>
      </c>
      <c r="K134" s="103">
        <f t="shared" si="18"/>
        <v>24.61538462</v>
      </c>
      <c r="L134" s="54"/>
      <c r="M134" s="54"/>
      <c r="N134" s="54"/>
      <c r="O134" s="54"/>
      <c r="P134" s="54"/>
    </row>
    <row r="135">
      <c r="A135" s="54"/>
      <c r="B135" s="98">
        <v>45579.0</v>
      </c>
      <c r="C135" s="98"/>
      <c r="D135" s="99"/>
      <c r="E135" s="100">
        <v>2032324.0</v>
      </c>
      <c r="F135" s="99">
        <f t="shared" si="19"/>
        <v>813</v>
      </c>
      <c r="G135" s="100">
        <v>431.0</v>
      </c>
      <c r="H135" s="101">
        <v>272.0</v>
      </c>
      <c r="I135" s="101">
        <v>298.88</v>
      </c>
      <c r="J135" s="102">
        <f t="shared" si="17"/>
        <v>-26.88</v>
      </c>
      <c r="K135" s="103">
        <f t="shared" si="18"/>
        <v>36.76260763</v>
      </c>
      <c r="L135" s="54"/>
      <c r="M135" s="54"/>
      <c r="N135" s="54"/>
      <c r="O135" s="54"/>
      <c r="P135" s="54"/>
    </row>
    <row r="136">
      <c r="A136" s="54"/>
      <c r="B136" s="98">
        <v>45580.0</v>
      </c>
      <c r="C136" s="98"/>
      <c r="D136" s="99"/>
      <c r="E136" s="100">
        <v>2032770.0</v>
      </c>
      <c r="F136" s="99">
        <f t="shared" si="19"/>
        <v>446</v>
      </c>
      <c r="G136" s="100">
        <v>373.0</v>
      </c>
      <c r="H136" s="101">
        <v>104.0</v>
      </c>
      <c r="I136" s="101">
        <v>101.0</v>
      </c>
      <c r="J136" s="102">
        <f t="shared" si="17"/>
        <v>3</v>
      </c>
      <c r="K136" s="103">
        <f t="shared" si="18"/>
        <v>22.64573991</v>
      </c>
      <c r="L136" s="54"/>
      <c r="M136" s="54"/>
      <c r="N136" s="54"/>
      <c r="O136" s="54"/>
      <c r="P136" s="54"/>
    </row>
    <row r="137">
      <c r="A137" s="54"/>
      <c r="B137" s="98">
        <v>45581.0</v>
      </c>
      <c r="C137" s="98"/>
      <c r="D137" s="99"/>
      <c r="E137" s="100">
        <v>2033381.0</v>
      </c>
      <c r="F137" s="99">
        <f t="shared" si="19"/>
        <v>611</v>
      </c>
      <c r="G137" s="100">
        <v>456.0</v>
      </c>
      <c r="H137" s="101">
        <v>278.0</v>
      </c>
      <c r="I137" s="101">
        <v>300.0</v>
      </c>
      <c r="J137" s="102">
        <f t="shared" si="17"/>
        <v>-22</v>
      </c>
      <c r="K137" s="103">
        <f t="shared" si="18"/>
        <v>49.09983633</v>
      </c>
      <c r="L137" s="54"/>
      <c r="M137" s="54"/>
      <c r="N137" s="54"/>
      <c r="O137" s="54"/>
      <c r="P137" s="54"/>
    </row>
    <row r="138">
      <c r="A138" s="54"/>
      <c r="B138" s="98">
        <v>45581.0</v>
      </c>
      <c r="C138" s="98"/>
      <c r="D138" s="99"/>
      <c r="E138" s="100">
        <v>2033823.0</v>
      </c>
      <c r="F138" s="99">
        <f t="shared" si="19"/>
        <v>442</v>
      </c>
      <c r="G138" s="100">
        <v>415.0</v>
      </c>
      <c r="H138" s="101">
        <v>102.0</v>
      </c>
      <c r="I138" s="101">
        <v>100.0</v>
      </c>
      <c r="J138" s="102">
        <f t="shared" si="17"/>
        <v>2</v>
      </c>
      <c r="K138" s="103">
        <f t="shared" si="18"/>
        <v>22.62443439</v>
      </c>
      <c r="L138" s="54"/>
      <c r="M138" s="54"/>
      <c r="N138" s="54"/>
      <c r="O138" s="54"/>
      <c r="P138" s="54"/>
    </row>
    <row r="139">
      <c r="A139" s="54"/>
      <c r="B139" s="98">
        <v>45593.0</v>
      </c>
      <c r="C139" s="98"/>
      <c r="D139" s="99"/>
      <c r="E139" s="100">
        <v>2034691.0</v>
      </c>
      <c r="F139" s="99">
        <f t="shared" si="19"/>
        <v>868</v>
      </c>
      <c r="G139" s="100">
        <v>457.0</v>
      </c>
      <c r="H139" s="101">
        <v>318.0</v>
      </c>
      <c r="I139" s="101">
        <v>340.0</v>
      </c>
      <c r="J139" s="102">
        <f t="shared" si="17"/>
        <v>-22</v>
      </c>
      <c r="K139" s="103">
        <f t="shared" si="18"/>
        <v>39.17050691</v>
      </c>
      <c r="L139" s="54"/>
      <c r="M139" s="54"/>
      <c r="N139" s="54"/>
      <c r="O139" s="54"/>
      <c r="P139" s="54"/>
    </row>
    <row r="140">
      <c r="A140" s="54"/>
      <c r="B140" s="98">
        <v>45594.0</v>
      </c>
      <c r="C140" s="98"/>
      <c r="D140" s="99"/>
      <c r="E140" s="100">
        <v>2035859.0</v>
      </c>
      <c r="F140" s="99">
        <f t="shared" si="19"/>
        <v>1168</v>
      </c>
      <c r="G140" s="100">
        <v>460.0</v>
      </c>
      <c r="H140" s="101">
        <v>356.0</v>
      </c>
      <c r="I140" s="101">
        <v>380.0</v>
      </c>
      <c r="J140" s="102">
        <f t="shared" si="17"/>
        <v>-24</v>
      </c>
      <c r="K140" s="103">
        <f t="shared" si="18"/>
        <v>32.53424658</v>
      </c>
      <c r="L140" s="54"/>
      <c r="M140" s="54"/>
      <c r="N140" s="54"/>
      <c r="O140" s="54"/>
      <c r="P140" s="54"/>
    </row>
    <row r="141">
      <c r="A141" s="54"/>
      <c r="B141" s="98">
        <v>45595.0</v>
      </c>
      <c r="C141" s="98"/>
      <c r="D141" s="99"/>
      <c r="E141" s="99"/>
      <c r="F141" s="99"/>
      <c r="G141" s="100"/>
      <c r="H141" s="102"/>
      <c r="I141" s="101">
        <v>20.0</v>
      </c>
      <c r="J141" s="102">
        <f t="shared" si="17"/>
        <v>-20</v>
      </c>
      <c r="K141" s="103"/>
      <c r="L141" s="54"/>
      <c r="M141" s="54"/>
      <c r="N141" s="54"/>
      <c r="O141" s="54"/>
      <c r="P141" s="54"/>
    </row>
    <row r="142">
      <c r="A142" s="54"/>
      <c r="B142" s="98">
        <v>45596.0</v>
      </c>
      <c r="C142" s="98"/>
      <c r="D142" s="99"/>
      <c r="E142" s="100">
        <v>2037011.0</v>
      </c>
      <c r="F142" s="99">
        <f>E142-E140</f>
        <v>1152</v>
      </c>
      <c r="G142" s="100">
        <v>460.0</v>
      </c>
      <c r="H142" s="101">
        <v>342.0</v>
      </c>
      <c r="I142" s="101">
        <v>360.01</v>
      </c>
      <c r="J142" s="102">
        <f t="shared" si="17"/>
        <v>-18.01</v>
      </c>
      <c r="K142" s="103">
        <f t="shared" ref="K142:K143" si="20">I142/F142*100</f>
        <v>31.25086806</v>
      </c>
      <c r="L142" s="54"/>
      <c r="M142" s="54"/>
      <c r="N142" s="54"/>
      <c r="O142" s="54"/>
      <c r="P142" s="54"/>
    </row>
    <row r="143">
      <c r="A143" s="54"/>
      <c r="B143" s="98">
        <v>45596.0</v>
      </c>
      <c r="C143" s="98"/>
      <c r="D143" s="99"/>
      <c r="E143" s="100">
        <v>2037351.0</v>
      </c>
      <c r="F143" s="99">
        <f>E143-E142</f>
        <v>340</v>
      </c>
      <c r="G143" s="100">
        <v>384.0</v>
      </c>
      <c r="H143" s="101">
        <v>45.0</v>
      </c>
      <c r="I143" s="101">
        <v>39.99</v>
      </c>
      <c r="J143" s="102">
        <f t="shared" si="17"/>
        <v>5.01</v>
      </c>
      <c r="K143" s="103">
        <f t="shared" si="20"/>
        <v>11.76176471</v>
      </c>
      <c r="L143" s="54"/>
      <c r="M143" s="54"/>
      <c r="N143" s="54"/>
      <c r="O143" s="54"/>
      <c r="P143" s="54"/>
    </row>
    <row r="144">
      <c r="A144" s="66"/>
      <c r="B144" s="67" t="s">
        <v>97</v>
      </c>
      <c r="J144" s="66"/>
      <c r="K144" s="66"/>
      <c r="L144" s="66"/>
      <c r="M144" s="66"/>
      <c r="N144" s="66"/>
      <c r="O144" s="66"/>
      <c r="P144" s="66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</row>
    <row r="145">
      <c r="A145" s="54"/>
      <c r="B145" s="98">
        <v>45597.0</v>
      </c>
      <c r="C145" s="98"/>
      <c r="D145" s="99"/>
      <c r="E145" s="100">
        <v>2038228.0</v>
      </c>
      <c r="F145" s="99">
        <f>E145-E143</f>
        <v>877</v>
      </c>
      <c r="G145" s="100">
        <v>460.0</v>
      </c>
      <c r="H145" s="101">
        <v>349.0</v>
      </c>
      <c r="I145" s="101">
        <v>378.77</v>
      </c>
      <c r="J145" s="102">
        <f t="shared" ref="J145:J158" si="21">H145-I145</f>
        <v>-29.77</v>
      </c>
      <c r="K145" s="103">
        <f t="shared" ref="K145:K158" si="22">I145/F145*100</f>
        <v>43.18928164</v>
      </c>
      <c r="L145" s="54"/>
      <c r="M145" s="205" t="str">
        <f>"тотал"&amp;" "&amp;B144&amp;" "&amp;RIGHT(YEAR(B145),2)</f>
        <v>тотал НОЯБРЬ 24</v>
      </c>
      <c r="N145" s="75"/>
      <c r="O145" s="75"/>
      <c r="P145" s="75"/>
      <c r="Q145" s="76"/>
    </row>
    <row r="146">
      <c r="A146" s="54"/>
      <c r="B146" s="98">
        <v>45599.0</v>
      </c>
      <c r="C146" s="98"/>
      <c r="D146" s="99"/>
      <c r="E146" s="100">
        <v>2039418.0</v>
      </c>
      <c r="F146" s="99">
        <f t="shared" ref="F146:F158" si="23">E146-E145</f>
        <v>1190</v>
      </c>
      <c r="G146" s="100">
        <v>460.0</v>
      </c>
      <c r="H146" s="101">
        <v>381.0</v>
      </c>
      <c r="I146" s="101">
        <v>399.42</v>
      </c>
      <c r="J146" s="102">
        <f t="shared" si="21"/>
        <v>-18.42</v>
      </c>
      <c r="K146" s="103">
        <f t="shared" si="22"/>
        <v>33.56470588</v>
      </c>
      <c r="L146" s="54"/>
      <c r="M146" s="83" t="s">
        <v>70</v>
      </c>
      <c r="N146" s="83" t="s">
        <v>71</v>
      </c>
      <c r="O146" s="83" t="s">
        <v>27</v>
      </c>
      <c r="P146" s="83" t="s">
        <v>28</v>
      </c>
      <c r="Q146" s="321" t="s">
        <v>78</v>
      </c>
    </row>
    <row r="147">
      <c r="A147" s="54"/>
      <c r="B147" s="98">
        <v>45600.0</v>
      </c>
      <c r="C147" s="98"/>
      <c r="D147" s="99"/>
      <c r="E147" s="100">
        <v>2040466.0</v>
      </c>
      <c r="F147" s="99">
        <f t="shared" si="23"/>
        <v>1048</v>
      </c>
      <c r="G147" s="100">
        <v>460.0</v>
      </c>
      <c r="H147" s="101">
        <v>322.0</v>
      </c>
      <c r="I147" s="101">
        <v>345.0</v>
      </c>
      <c r="J147" s="102">
        <f t="shared" si="21"/>
        <v>-23</v>
      </c>
      <c r="K147" s="103">
        <f t="shared" si="22"/>
        <v>32.91984733</v>
      </c>
      <c r="L147" s="54"/>
      <c r="M147" s="84">
        <f>SUM(F145:F158)</f>
        <v>13139</v>
      </c>
      <c r="N147" s="84">
        <f>SUM(I145:I158)</f>
        <v>4410.26</v>
      </c>
      <c r="O147" s="85">
        <f>N147/M147*100</f>
        <v>33.56617703</v>
      </c>
      <c r="P147" s="84">
        <f>(M147/100)*(O147-Q147)</f>
        <v>468.56</v>
      </c>
      <c r="Q147" s="464">
        <v>30.0</v>
      </c>
    </row>
    <row r="148">
      <c r="A148" s="54"/>
      <c r="B148" s="98">
        <v>45600.0</v>
      </c>
      <c r="C148" s="98"/>
      <c r="D148" s="99"/>
      <c r="E148" s="100">
        <v>2040806.0</v>
      </c>
      <c r="F148" s="99">
        <f t="shared" si="23"/>
        <v>340</v>
      </c>
      <c r="G148" s="100">
        <v>415.0</v>
      </c>
      <c r="H148" s="101">
        <v>59.0</v>
      </c>
      <c r="I148" s="101">
        <v>55.0</v>
      </c>
      <c r="J148" s="102">
        <f t="shared" si="21"/>
        <v>4</v>
      </c>
      <c r="K148" s="103">
        <f t="shared" si="22"/>
        <v>16.17647059</v>
      </c>
      <c r="L148" s="54"/>
      <c r="M148" s="54"/>
      <c r="N148" s="54"/>
      <c r="O148" s="54"/>
      <c r="P148" s="54"/>
    </row>
    <row r="149">
      <c r="A149" s="54"/>
      <c r="B149" s="98">
        <v>45602.0</v>
      </c>
      <c r="C149" s="98"/>
      <c r="D149" s="99"/>
      <c r="E149" s="100">
        <v>2041699.0</v>
      </c>
      <c r="F149" s="99">
        <f t="shared" si="23"/>
        <v>893</v>
      </c>
      <c r="G149" s="100">
        <v>460.0</v>
      </c>
      <c r="H149" s="101">
        <v>315.0</v>
      </c>
      <c r="I149" s="101">
        <v>335.0</v>
      </c>
      <c r="J149" s="102">
        <f t="shared" si="21"/>
        <v>-20</v>
      </c>
      <c r="K149" s="103">
        <f t="shared" si="22"/>
        <v>37.51399776</v>
      </c>
      <c r="L149" s="54"/>
      <c r="M149" s="54"/>
      <c r="N149" s="54"/>
      <c r="O149" s="54"/>
      <c r="P149" s="54"/>
    </row>
    <row r="150">
      <c r="A150" s="54"/>
      <c r="B150" s="98">
        <v>45603.0</v>
      </c>
      <c r="C150" s="98"/>
      <c r="D150" s="99"/>
      <c r="E150" s="100">
        <v>2042532.0</v>
      </c>
      <c r="F150" s="99">
        <f t="shared" si="23"/>
        <v>833</v>
      </c>
      <c r="G150" s="100">
        <v>261.0</v>
      </c>
      <c r="H150" s="101">
        <v>67.0</v>
      </c>
      <c r="I150" s="101">
        <v>65.0</v>
      </c>
      <c r="J150" s="102">
        <f t="shared" si="21"/>
        <v>2</v>
      </c>
      <c r="K150" s="103">
        <f t="shared" si="22"/>
        <v>7.803121248</v>
      </c>
      <c r="L150" s="54"/>
      <c r="M150" s="54"/>
      <c r="N150" s="54"/>
      <c r="O150" s="54"/>
      <c r="P150" s="54"/>
    </row>
    <row r="151">
      <c r="A151" s="54"/>
      <c r="B151" s="98">
        <v>45604.0</v>
      </c>
      <c r="C151" s="98"/>
      <c r="D151" s="99"/>
      <c r="E151" s="100">
        <v>2043074.0</v>
      </c>
      <c r="F151" s="99">
        <f t="shared" si="23"/>
        <v>542</v>
      </c>
      <c r="G151" s="100">
        <v>460.0</v>
      </c>
      <c r="H151" s="101">
        <v>372.0</v>
      </c>
      <c r="I151" s="101">
        <v>400.0</v>
      </c>
      <c r="J151" s="102">
        <f t="shared" si="21"/>
        <v>-28</v>
      </c>
      <c r="K151" s="103">
        <f t="shared" si="22"/>
        <v>73.80073801</v>
      </c>
      <c r="L151" s="54"/>
      <c r="M151" s="54"/>
      <c r="N151" s="54"/>
      <c r="O151" s="54"/>
      <c r="P151" s="54"/>
    </row>
    <row r="152">
      <c r="A152" s="54"/>
      <c r="B152" s="98">
        <v>45605.0</v>
      </c>
      <c r="C152" s="98"/>
      <c r="D152" s="99"/>
      <c r="E152" s="100">
        <v>2044238.0</v>
      </c>
      <c r="F152" s="99">
        <f t="shared" si="23"/>
        <v>1164</v>
      </c>
      <c r="G152" s="100">
        <v>460.0</v>
      </c>
      <c r="H152" s="101">
        <v>354.0</v>
      </c>
      <c r="I152" s="101">
        <v>370.49</v>
      </c>
      <c r="J152" s="102">
        <f t="shared" si="21"/>
        <v>-16.49</v>
      </c>
      <c r="K152" s="103">
        <f t="shared" si="22"/>
        <v>31.8290378</v>
      </c>
      <c r="L152" s="54"/>
      <c r="M152" s="54"/>
      <c r="N152" s="54"/>
      <c r="O152" s="54"/>
      <c r="P152" s="54"/>
    </row>
    <row r="153">
      <c r="A153" s="54"/>
      <c r="B153" s="98">
        <v>45606.0</v>
      </c>
      <c r="C153" s="98"/>
      <c r="D153" s="99"/>
      <c r="E153" s="100">
        <v>2045169.0</v>
      </c>
      <c r="F153" s="99">
        <f t="shared" si="23"/>
        <v>931</v>
      </c>
      <c r="G153" s="100">
        <v>372.0</v>
      </c>
      <c r="H153" s="101">
        <v>199.0</v>
      </c>
      <c r="I153" s="101">
        <v>200.0</v>
      </c>
      <c r="J153" s="102">
        <f t="shared" si="21"/>
        <v>-1</v>
      </c>
      <c r="K153" s="103">
        <f t="shared" si="22"/>
        <v>21.48227712</v>
      </c>
      <c r="L153" s="54"/>
      <c r="M153" s="54"/>
      <c r="N153" s="54"/>
      <c r="O153" s="54"/>
      <c r="P153" s="54"/>
    </row>
    <row r="154">
      <c r="A154" s="54"/>
      <c r="B154" s="98">
        <v>45608.0</v>
      </c>
      <c r="C154" s="98"/>
      <c r="D154" s="99"/>
      <c r="E154" s="100">
        <v>2045999.0</v>
      </c>
      <c r="F154" s="99">
        <f t="shared" si="23"/>
        <v>830</v>
      </c>
      <c r="G154" s="100">
        <v>460.0</v>
      </c>
      <c r="H154" s="101">
        <v>354.0</v>
      </c>
      <c r="I154" s="101">
        <v>374.28</v>
      </c>
      <c r="J154" s="102">
        <f t="shared" si="21"/>
        <v>-20.28</v>
      </c>
      <c r="K154" s="103">
        <f t="shared" si="22"/>
        <v>45.0939759</v>
      </c>
      <c r="L154" s="54"/>
      <c r="M154" s="54"/>
      <c r="N154" s="54"/>
      <c r="O154" s="54"/>
      <c r="P154" s="54"/>
    </row>
    <row r="155">
      <c r="A155" s="54"/>
      <c r="B155" s="98">
        <v>45622.0</v>
      </c>
      <c r="C155" s="98"/>
      <c r="D155" s="99"/>
      <c r="E155" s="100">
        <v>2047031.0</v>
      </c>
      <c r="F155" s="99">
        <f t="shared" si="23"/>
        <v>1032</v>
      </c>
      <c r="G155" s="100">
        <v>459.0</v>
      </c>
      <c r="H155" s="101">
        <v>342.0</v>
      </c>
      <c r="I155" s="101">
        <v>371.71</v>
      </c>
      <c r="J155" s="102">
        <f t="shared" si="21"/>
        <v>-29.71</v>
      </c>
      <c r="K155" s="103">
        <f t="shared" si="22"/>
        <v>36.01841085</v>
      </c>
      <c r="L155" s="54"/>
      <c r="M155" s="54"/>
      <c r="N155" s="54"/>
      <c r="O155" s="54"/>
      <c r="P155" s="54"/>
    </row>
    <row r="156">
      <c r="A156" s="54"/>
      <c r="B156" s="98">
        <v>45624.0</v>
      </c>
      <c r="C156" s="98"/>
      <c r="D156" s="99"/>
      <c r="E156" s="100">
        <v>2048338.0</v>
      </c>
      <c r="F156" s="99">
        <f t="shared" si="23"/>
        <v>1307</v>
      </c>
      <c r="G156" s="100">
        <v>452.0</v>
      </c>
      <c r="H156" s="101">
        <v>377.0</v>
      </c>
      <c r="I156" s="101">
        <v>400.0</v>
      </c>
      <c r="J156" s="102">
        <f t="shared" si="21"/>
        <v>-23</v>
      </c>
      <c r="K156" s="103">
        <f t="shared" si="22"/>
        <v>30.60443764</v>
      </c>
      <c r="L156" s="54"/>
      <c r="M156" s="54"/>
      <c r="N156" s="54"/>
      <c r="O156" s="54"/>
      <c r="P156" s="54"/>
    </row>
    <row r="157">
      <c r="A157" s="54"/>
      <c r="B157" s="98">
        <v>45625.0</v>
      </c>
      <c r="C157" s="98"/>
      <c r="D157" s="99"/>
      <c r="E157" s="100">
        <v>2049435.0</v>
      </c>
      <c r="F157" s="99">
        <f t="shared" si="23"/>
        <v>1097</v>
      </c>
      <c r="G157" s="100">
        <v>445.0</v>
      </c>
      <c r="H157" s="101">
        <v>322.0</v>
      </c>
      <c r="I157" s="101">
        <v>365.51</v>
      </c>
      <c r="J157" s="102">
        <f t="shared" si="21"/>
        <v>-43.51</v>
      </c>
      <c r="K157" s="103">
        <f t="shared" si="22"/>
        <v>33.31905196</v>
      </c>
      <c r="L157" s="54"/>
      <c r="M157" s="54"/>
      <c r="N157" s="54"/>
      <c r="O157" s="54"/>
      <c r="P157" s="54"/>
    </row>
    <row r="158">
      <c r="A158" s="54"/>
      <c r="B158" s="98">
        <v>45626.0</v>
      </c>
      <c r="C158" s="98"/>
      <c r="D158" s="99"/>
      <c r="E158" s="100">
        <v>2050490.0</v>
      </c>
      <c r="F158" s="99">
        <f t="shared" si="23"/>
        <v>1055</v>
      </c>
      <c r="G158" s="100">
        <v>444.0</v>
      </c>
      <c r="H158" s="101">
        <v>319.0</v>
      </c>
      <c r="I158" s="101">
        <v>350.08</v>
      </c>
      <c r="J158" s="102">
        <f t="shared" si="21"/>
        <v>-31.08</v>
      </c>
      <c r="K158" s="103">
        <f t="shared" si="22"/>
        <v>33.18293839</v>
      </c>
      <c r="L158" s="54"/>
      <c r="M158" s="54"/>
      <c r="N158" s="54"/>
      <c r="O158" s="54"/>
      <c r="P158" s="54"/>
    </row>
    <row r="159">
      <c r="A159" s="66"/>
      <c r="B159" s="67" t="s">
        <v>98</v>
      </c>
      <c r="J159" s="66"/>
      <c r="K159" s="66"/>
      <c r="L159" s="66"/>
      <c r="M159" s="66"/>
      <c r="N159" s="66"/>
      <c r="O159" s="66"/>
      <c r="P159" s="66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</row>
    <row r="160">
      <c r="A160" s="54"/>
      <c r="B160" s="98">
        <v>45627.0</v>
      </c>
      <c r="C160" s="98"/>
      <c r="D160" s="99"/>
      <c r="E160" s="100">
        <v>2050642.0</v>
      </c>
      <c r="F160" s="99">
        <f>E160-E158</f>
        <v>152</v>
      </c>
      <c r="G160" s="100">
        <v>444.0</v>
      </c>
      <c r="H160" s="101">
        <v>58.0</v>
      </c>
      <c r="I160" s="101">
        <v>49.0</v>
      </c>
      <c r="J160" s="102">
        <f t="shared" ref="J160:J177" si="24">H160-I160</f>
        <v>9</v>
      </c>
      <c r="K160" s="103">
        <f t="shared" ref="K160:K177" si="25">I160/F160*100</f>
        <v>32.23684211</v>
      </c>
      <c r="L160" s="54"/>
      <c r="M160" s="205" t="str">
        <f>"тотал"&amp;" "&amp;B159&amp;" "&amp;RIGHT(YEAR(B160),2)</f>
        <v>тотал ДЕКАБРЬ 24</v>
      </c>
      <c r="N160" s="75"/>
      <c r="O160" s="75"/>
      <c r="P160" s="75"/>
      <c r="Q160" s="76"/>
    </row>
    <row r="161">
      <c r="A161" s="54"/>
      <c r="B161" s="98">
        <v>45628.0</v>
      </c>
      <c r="C161" s="98"/>
      <c r="D161" s="99"/>
      <c r="E161" s="100">
        <v>2051673.0</v>
      </c>
      <c r="F161" s="99">
        <f t="shared" ref="F161:F177" si="26">E161-E160</f>
        <v>1031</v>
      </c>
      <c r="G161" s="100">
        <v>444.0</v>
      </c>
      <c r="H161" s="101">
        <v>313.0</v>
      </c>
      <c r="I161" s="101">
        <v>340.0</v>
      </c>
      <c r="J161" s="102">
        <f t="shared" si="24"/>
        <v>-27</v>
      </c>
      <c r="K161" s="103">
        <f t="shared" si="25"/>
        <v>32.97769156</v>
      </c>
      <c r="L161" s="54"/>
      <c r="M161" s="83" t="s">
        <v>70</v>
      </c>
      <c r="N161" s="83" t="s">
        <v>71</v>
      </c>
      <c r="O161" s="83" t="s">
        <v>27</v>
      </c>
      <c r="P161" s="83" t="s">
        <v>28</v>
      </c>
      <c r="Q161" s="321" t="s">
        <v>78</v>
      </c>
    </row>
    <row r="162">
      <c r="A162" s="54"/>
      <c r="B162" s="98">
        <v>45628.0</v>
      </c>
      <c r="C162" s="98"/>
      <c r="D162" s="99"/>
      <c r="E162" s="100">
        <v>2051966.0</v>
      </c>
      <c r="F162" s="99">
        <f t="shared" si="26"/>
        <v>293</v>
      </c>
      <c r="G162" s="100">
        <v>412.0</v>
      </c>
      <c r="H162" s="101">
        <v>62.0</v>
      </c>
      <c r="I162" s="101">
        <v>60.0</v>
      </c>
      <c r="J162" s="102">
        <f t="shared" si="24"/>
        <v>2</v>
      </c>
      <c r="K162" s="103">
        <f t="shared" si="25"/>
        <v>20.4778157</v>
      </c>
      <c r="L162" s="54"/>
      <c r="M162" s="84">
        <f>SUM(F160:F177)</f>
        <v>13230</v>
      </c>
      <c r="N162" s="84">
        <f>SUM(I160:I177)</f>
        <v>4192.9</v>
      </c>
      <c r="O162" s="85">
        <f>N162/M162*100</f>
        <v>31.69236584</v>
      </c>
      <c r="P162" s="84">
        <f>(M162/100)*(O162-Q162)</f>
        <v>223.9</v>
      </c>
      <c r="Q162" s="464">
        <v>30.0</v>
      </c>
    </row>
    <row r="163">
      <c r="A163" s="54"/>
      <c r="B163" s="98">
        <v>45629.0</v>
      </c>
      <c r="C163" s="98"/>
      <c r="D163" s="99"/>
      <c r="E163" s="100">
        <v>2052962.0</v>
      </c>
      <c r="F163" s="99">
        <f t="shared" si="26"/>
        <v>996</v>
      </c>
      <c r="G163" s="100">
        <v>452.0</v>
      </c>
      <c r="H163" s="101">
        <v>331.0</v>
      </c>
      <c r="I163" s="101">
        <v>360.91</v>
      </c>
      <c r="J163" s="102">
        <f t="shared" si="24"/>
        <v>-29.91</v>
      </c>
      <c r="K163" s="103">
        <f t="shared" si="25"/>
        <v>36.23594378</v>
      </c>
      <c r="L163" s="54"/>
      <c r="M163" s="54"/>
      <c r="N163" s="54"/>
      <c r="O163" s="54"/>
      <c r="P163" s="54"/>
    </row>
    <row r="164">
      <c r="A164" s="54"/>
      <c r="B164" s="98">
        <v>45630.0</v>
      </c>
      <c r="C164" s="98"/>
      <c r="D164" s="99"/>
      <c r="E164" s="100">
        <v>2053868.0</v>
      </c>
      <c r="F164" s="99">
        <f t="shared" si="26"/>
        <v>906</v>
      </c>
      <c r="G164" s="100">
        <v>377.0</v>
      </c>
      <c r="H164" s="101">
        <v>213.0</v>
      </c>
      <c r="I164" s="101">
        <v>250.0</v>
      </c>
      <c r="J164" s="102">
        <f t="shared" si="24"/>
        <v>-37</v>
      </c>
      <c r="K164" s="103">
        <f t="shared" si="25"/>
        <v>27.59381898</v>
      </c>
      <c r="L164" s="54"/>
      <c r="M164" s="54"/>
      <c r="N164" s="54"/>
      <c r="O164" s="54"/>
      <c r="P164" s="54"/>
    </row>
    <row r="165">
      <c r="A165" s="54"/>
      <c r="B165" s="98">
        <v>45631.0</v>
      </c>
      <c r="C165" s="98"/>
      <c r="D165" s="99"/>
      <c r="E165" s="100">
        <v>2054175.0</v>
      </c>
      <c r="F165" s="99">
        <f t="shared" si="26"/>
        <v>307</v>
      </c>
      <c r="G165" s="100">
        <v>436.0</v>
      </c>
      <c r="H165" s="101">
        <v>144.0</v>
      </c>
      <c r="I165" s="101">
        <v>150.0</v>
      </c>
      <c r="J165" s="102">
        <f t="shared" si="24"/>
        <v>-6</v>
      </c>
      <c r="K165" s="103">
        <f t="shared" si="25"/>
        <v>48.85993485</v>
      </c>
      <c r="L165" s="54"/>
      <c r="M165" s="54"/>
      <c r="N165" s="54"/>
      <c r="O165" s="54"/>
      <c r="P165" s="54"/>
    </row>
    <row r="166">
      <c r="A166" s="54"/>
      <c r="B166" s="98">
        <v>45632.0</v>
      </c>
      <c r="C166" s="98"/>
      <c r="D166" s="99"/>
      <c r="E166" s="100">
        <v>2055154.0</v>
      </c>
      <c r="F166" s="99">
        <f t="shared" si="26"/>
        <v>979</v>
      </c>
      <c r="G166" s="100">
        <v>312.0</v>
      </c>
      <c r="H166" s="101">
        <v>165.0</v>
      </c>
      <c r="I166" s="101">
        <v>200.0</v>
      </c>
      <c r="J166" s="102">
        <f t="shared" si="24"/>
        <v>-35</v>
      </c>
      <c r="K166" s="103">
        <f t="shared" si="25"/>
        <v>20.42900919</v>
      </c>
      <c r="L166" s="54"/>
      <c r="M166" s="54"/>
      <c r="N166" s="54"/>
      <c r="O166" s="54"/>
      <c r="P166" s="54"/>
    </row>
    <row r="167">
      <c r="A167" s="54"/>
      <c r="B167" s="98">
        <v>45632.0</v>
      </c>
      <c r="C167" s="98"/>
      <c r="D167" s="99"/>
      <c r="E167" s="100">
        <v>2055869.0</v>
      </c>
      <c r="F167" s="99">
        <f t="shared" si="26"/>
        <v>715</v>
      </c>
      <c r="G167" s="100">
        <v>316.0</v>
      </c>
      <c r="H167" s="101">
        <v>199.0</v>
      </c>
      <c r="I167" s="101">
        <v>200.0</v>
      </c>
      <c r="J167" s="102">
        <f t="shared" si="24"/>
        <v>-1</v>
      </c>
      <c r="K167" s="103">
        <f t="shared" si="25"/>
        <v>27.97202797</v>
      </c>
      <c r="L167" s="54"/>
      <c r="M167" s="54"/>
      <c r="N167" s="54"/>
      <c r="O167" s="54"/>
      <c r="P167" s="54"/>
    </row>
    <row r="168">
      <c r="A168" s="54"/>
      <c r="B168" s="98">
        <v>45641.0</v>
      </c>
      <c r="C168" s="98"/>
      <c r="D168" s="99"/>
      <c r="E168" s="100">
        <v>2056650.0</v>
      </c>
      <c r="F168" s="99">
        <f t="shared" si="26"/>
        <v>781</v>
      </c>
      <c r="G168" s="100">
        <v>446.0</v>
      </c>
      <c r="H168" s="101">
        <v>375.0</v>
      </c>
      <c r="I168" s="101">
        <v>400.0</v>
      </c>
      <c r="J168" s="102">
        <f t="shared" si="24"/>
        <v>-25</v>
      </c>
      <c r="K168" s="103">
        <f t="shared" si="25"/>
        <v>51.21638924</v>
      </c>
      <c r="L168" s="54"/>
      <c r="M168" s="54"/>
      <c r="N168" s="54"/>
      <c r="O168" s="54"/>
      <c r="P168" s="54"/>
    </row>
    <row r="169">
      <c r="A169" s="54"/>
      <c r="B169" s="98">
        <v>45642.0</v>
      </c>
      <c r="C169" s="98"/>
      <c r="D169" s="99"/>
      <c r="E169" s="100">
        <v>2057651.0</v>
      </c>
      <c r="F169" s="99">
        <f t="shared" si="26"/>
        <v>1001</v>
      </c>
      <c r="G169" s="100">
        <v>389.0</v>
      </c>
      <c r="H169" s="101">
        <v>258.0</v>
      </c>
      <c r="I169" s="102">
        <f>144.57*2</f>
        <v>289.14</v>
      </c>
      <c r="J169" s="102">
        <f t="shared" si="24"/>
        <v>-31.14</v>
      </c>
      <c r="K169" s="103">
        <f t="shared" si="25"/>
        <v>28.88511489</v>
      </c>
      <c r="L169" s="54"/>
      <c r="M169" s="54"/>
      <c r="N169" s="54"/>
      <c r="O169" s="54"/>
      <c r="P169" s="54"/>
    </row>
    <row r="170">
      <c r="A170" s="54"/>
      <c r="B170" s="98">
        <v>45643.0</v>
      </c>
      <c r="C170" s="98"/>
      <c r="D170" s="99"/>
      <c r="E170" s="100">
        <v>2058120.0</v>
      </c>
      <c r="F170" s="99">
        <f t="shared" si="26"/>
        <v>469</v>
      </c>
      <c r="G170" s="100">
        <v>348.0</v>
      </c>
      <c r="H170" s="101">
        <v>111.0</v>
      </c>
      <c r="I170" s="101">
        <v>110.86</v>
      </c>
      <c r="J170" s="102">
        <f t="shared" si="24"/>
        <v>0.14</v>
      </c>
      <c r="K170" s="103">
        <f t="shared" si="25"/>
        <v>23.63752665</v>
      </c>
      <c r="L170" s="54"/>
      <c r="M170" s="54"/>
      <c r="N170" s="54"/>
      <c r="O170" s="54"/>
      <c r="P170" s="54"/>
    </row>
    <row r="171">
      <c r="A171" s="54"/>
      <c r="B171" s="98">
        <v>45644.0</v>
      </c>
      <c r="C171" s="98"/>
      <c r="D171" s="99"/>
      <c r="E171" s="100">
        <v>2059303.0</v>
      </c>
      <c r="F171" s="99">
        <f t="shared" si="26"/>
        <v>1183</v>
      </c>
      <c r="G171" s="100">
        <v>348.0</v>
      </c>
      <c r="H171" s="101">
        <v>173.0</v>
      </c>
      <c r="I171" s="101">
        <v>200.0</v>
      </c>
      <c r="J171" s="102">
        <f t="shared" si="24"/>
        <v>-27</v>
      </c>
      <c r="K171" s="103">
        <f t="shared" si="25"/>
        <v>16.90617075</v>
      </c>
      <c r="L171" s="54"/>
      <c r="M171" s="54"/>
      <c r="N171" s="54"/>
      <c r="O171" s="54"/>
      <c r="P171" s="54"/>
    </row>
    <row r="172">
      <c r="A172" s="54"/>
      <c r="B172" s="98">
        <v>45645.0</v>
      </c>
      <c r="C172" s="98"/>
      <c r="D172" s="99"/>
      <c r="E172" s="100">
        <v>2059876.0</v>
      </c>
      <c r="F172" s="99">
        <f t="shared" si="26"/>
        <v>573</v>
      </c>
      <c r="G172" s="100">
        <v>447.0</v>
      </c>
      <c r="H172" s="101">
        <v>288.0</v>
      </c>
      <c r="I172" s="101">
        <v>319.0</v>
      </c>
      <c r="J172" s="102">
        <f t="shared" si="24"/>
        <v>-31</v>
      </c>
      <c r="K172" s="103">
        <f t="shared" si="25"/>
        <v>55.67190227</v>
      </c>
      <c r="L172" s="54"/>
      <c r="M172" s="54"/>
      <c r="N172" s="54"/>
      <c r="O172" s="54"/>
      <c r="P172" s="54"/>
    </row>
    <row r="173">
      <c r="A173" s="54"/>
      <c r="B173" s="98">
        <v>45645.0</v>
      </c>
      <c r="C173" s="98"/>
      <c r="D173" s="99"/>
      <c r="E173" s="100">
        <v>2060230.0</v>
      </c>
      <c r="F173" s="99">
        <f t="shared" si="26"/>
        <v>354</v>
      </c>
      <c r="G173" s="100">
        <v>414.0</v>
      </c>
      <c r="H173" s="101">
        <v>87.0</v>
      </c>
      <c r="I173" s="101">
        <v>81.0</v>
      </c>
      <c r="J173" s="102">
        <f t="shared" si="24"/>
        <v>6</v>
      </c>
      <c r="K173" s="103">
        <f t="shared" si="25"/>
        <v>22.88135593</v>
      </c>
      <c r="L173" s="54"/>
      <c r="M173" s="54"/>
      <c r="N173" s="54"/>
      <c r="O173" s="54"/>
      <c r="P173" s="54"/>
    </row>
    <row r="174">
      <c r="A174" s="54"/>
      <c r="B174" s="98">
        <v>45650.0</v>
      </c>
      <c r="C174" s="98"/>
      <c r="D174" s="99"/>
      <c r="E174" s="100">
        <v>2061270.0</v>
      </c>
      <c r="F174" s="99">
        <f t="shared" si="26"/>
        <v>1040</v>
      </c>
      <c r="G174" s="100">
        <v>441.0</v>
      </c>
      <c r="H174" s="101">
        <v>366.0</v>
      </c>
      <c r="I174" s="101">
        <v>399.9</v>
      </c>
      <c r="J174" s="102">
        <f t="shared" si="24"/>
        <v>-33.9</v>
      </c>
      <c r="K174" s="103">
        <f t="shared" si="25"/>
        <v>38.45192308</v>
      </c>
      <c r="L174" s="54"/>
      <c r="M174" s="54"/>
      <c r="N174" s="54"/>
      <c r="O174" s="54"/>
      <c r="P174" s="54"/>
    </row>
    <row r="175">
      <c r="A175" s="54"/>
      <c r="B175" s="98">
        <v>45652.0</v>
      </c>
      <c r="C175" s="98"/>
      <c r="D175" s="99"/>
      <c r="E175" s="480">
        <v>2062371.0</v>
      </c>
      <c r="F175" s="99">
        <f t="shared" si="26"/>
        <v>1101</v>
      </c>
      <c r="G175" s="100">
        <v>450.0</v>
      </c>
      <c r="H175" s="101">
        <v>353.0</v>
      </c>
      <c r="I175" s="101">
        <v>383.1</v>
      </c>
      <c r="J175" s="102">
        <f t="shared" si="24"/>
        <v>-30.1</v>
      </c>
      <c r="K175" s="103">
        <f t="shared" si="25"/>
        <v>34.79564033</v>
      </c>
      <c r="L175" s="54"/>
      <c r="M175" s="54"/>
      <c r="N175" s="54"/>
      <c r="O175" s="54"/>
      <c r="P175" s="54"/>
    </row>
    <row r="176">
      <c r="A176" s="54"/>
      <c r="B176" s="98">
        <v>45653.0</v>
      </c>
      <c r="C176" s="98"/>
      <c r="D176" s="99"/>
      <c r="E176" s="100">
        <v>2063309.0</v>
      </c>
      <c r="F176" s="99">
        <f t="shared" si="26"/>
        <v>938</v>
      </c>
      <c r="G176" s="100">
        <v>430.0</v>
      </c>
      <c r="H176" s="101">
        <v>275.0</v>
      </c>
      <c r="I176" s="101">
        <v>299.99</v>
      </c>
      <c r="J176" s="102">
        <f t="shared" si="24"/>
        <v>-24.99</v>
      </c>
      <c r="K176" s="103">
        <f t="shared" si="25"/>
        <v>31.98187633</v>
      </c>
      <c r="L176" s="54"/>
      <c r="M176" s="54"/>
      <c r="N176" s="54"/>
      <c r="O176" s="54"/>
      <c r="P176" s="54"/>
    </row>
    <row r="177">
      <c r="A177" s="54"/>
      <c r="B177" s="110">
        <v>46018.0</v>
      </c>
      <c r="C177" s="110"/>
      <c r="D177" s="99"/>
      <c r="E177" s="100">
        <v>2063720.0</v>
      </c>
      <c r="F177" s="99">
        <f t="shared" si="26"/>
        <v>411</v>
      </c>
      <c r="G177" s="100">
        <v>409.0</v>
      </c>
      <c r="H177" s="101">
        <v>103.0</v>
      </c>
      <c r="I177" s="101">
        <v>100.0</v>
      </c>
      <c r="J177" s="102">
        <f t="shared" si="24"/>
        <v>3</v>
      </c>
      <c r="K177" s="103">
        <f t="shared" si="25"/>
        <v>24.33090024</v>
      </c>
      <c r="L177" s="54"/>
      <c r="M177" s="54"/>
      <c r="N177" s="54"/>
      <c r="O177" s="54"/>
      <c r="P177" s="54"/>
    </row>
    <row r="178">
      <c r="A178" s="66"/>
      <c r="B178" s="191">
        <v>2025.0</v>
      </c>
      <c r="J178" s="66"/>
      <c r="K178" s="66"/>
      <c r="L178" s="66"/>
      <c r="M178" s="66"/>
      <c r="N178" s="66"/>
      <c r="O178" s="66"/>
      <c r="P178" s="66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</row>
    <row r="179">
      <c r="A179" s="66"/>
      <c r="B179" s="67" t="s">
        <v>66</v>
      </c>
      <c r="J179" s="66"/>
      <c r="K179" s="66"/>
      <c r="L179" s="66"/>
      <c r="M179" s="66"/>
      <c r="N179" s="66"/>
      <c r="O179" s="66"/>
      <c r="P179" s="66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54"/>
      <c r="B180" s="110">
        <v>45660.0</v>
      </c>
      <c r="C180" s="110"/>
      <c r="D180" s="99"/>
      <c r="E180" s="100">
        <v>2064666.0</v>
      </c>
      <c r="F180" s="99">
        <f>E180-E177</f>
        <v>946</v>
      </c>
      <c r="G180" s="100">
        <v>452.0</v>
      </c>
      <c r="H180" s="101">
        <v>337.0</v>
      </c>
      <c r="I180" s="101">
        <v>373.04</v>
      </c>
      <c r="J180" s="102">
        <f t="shared" ref="J180:J207" si="27">H180-I180</f>
        <v>-36.04</v>
      </c>
      <c r="K180" s="103">
        <f t="shared" ref="K180:K207" si="28">I180/F180*100</f>
        <v>39.43340381</v>
      </c>
      <c r="L180" s="54"/>
      <c r="M180" s="205" t="str">
        <f>"тотал"&amp;" "&amp;B179&amp;" "&amp;RIGHT(YEAR(B180),2)</f>
        <v>тотал ЯНВАРЬ 25</v>
      </c>
      <c r="N180" s="75"/>
      <c r="O180" s="75"/>
      <c r="P180" s="75"/>
      <c r="Q180" s="76"/>
    </row>
    <row r="181">
      <c r="A181" s="54"/>
      <c r="B181" s="110">
        <v>45661.0</v>
      </c>
      <c r="C181" s="110"/>
      <c r="D181" s="99"/>
      <c r="E181" s="100">
        <v>2065634.0</v>
      </c>
      <c r="F181" s="99">
        <f t="shared" ref="F181:F207" si="29">E181-E180</f>
        <v>968</v>
      </c>
      <c r="G181" s="100">
        <v>423.0</v>
      </c>
      <c r="H181" s="101">
        <v>270.0</v>
      </c>
      <c r="I181" s="101">
        <v>300.0</v>
      </c>
      <c r="J181" s="102">
        <f t="shared" si="27"/>
        <v>-30</v>
      </c>
      <c r="K181" s="103">
        <f t="shared" si="28"/>
        <v>30.99173554</v>
      </c>
      <c r="L181" s="54"/>
      <c r="M181" s="83" t="s">
        <v>70</v>
      </c>
      <c r="N181" s="83" t="s">
        <v>71</v>
      </c>
      <c r="O181" s="83" t="s">
        <v>27</v>
      </c>
      <c r="P181" s="83" t="s">
        <v>28</v>
      </c>
      <c r="Q181" s="321" t="s">
        <v>78</v>
      </c>
    </row>
    <row r="182">
      <c r="A182" s="54"/>
      <c r="B182" s="110">
        <v>45662.0</v>
      </c>
      <c r="C182" s="110"/>
      <c r="D182" s="99"/>
      <c r="E182" s="100">
        <v>2065977.0</v>
      </c>
      <c r="F182" s="99">
        <f t="shared" si="29"/>
        <v>343</v>
      </c>
      <c r="G182" s="100">
        <v>413.0</v>
      </c>
      <c r="H182" s="101">
        <v>102.0</v>
      </c>
      <c r="I182" s="101">
        <v>100.0</v>
      </c>
      <c r="J182" s="102">
        <f t="shared" si="27"/>
        <v>2</v>
      </c>
      <c r="K182" s="103">
        <f t="shared" si="28"/>
        <v>29.15451895</v>
      </c>
      <c r="L182" s="54"/>
      <c r="M182" s="84">
        <f>SUM(F180:F207)</f>
        <v>22238</v>
      </c>
      <c r="N182" s="84">
        <f>SUM(I180:I207)</f>
        <v>7169.99</v>
      </c>
      <c r="O182" s="85">
        <f>N182/M182*100</f>
        <v>32.24206314</v>
      </c>
      <c r="P182" s="84">
        <f>(M182/100)*(O182-Q182)</f>
        <v>498.59</v>
      </c>
      <c r="Q182" s="464">
        <v>30.0</v>
      </c>
    </row>
    <row r="183">
      <c r="A183" s="54"/>
      <c r="B183" s="110">
        <v>45663.0</v>
      </c>
      <c r="C183" s="110"/>
      <c r="D183" s="99"/>
      <c r="E183" s="100">
        <v>2067057.0</v>
      </c>
      <c r="F183" s="99">
        <f t="shared" si="29"/>
        <v>1080</v>
      </c>
      <c r="G183" s="100">
        <v>446.0</v>
      </c>
      <c r="H183" s="101">
        <v>369.0</v>
      </c>
      <c r="I183" s="101">
        <v>400.0</v>
      </c>
      <c r="J183" s="102">
        <f t="shared" si="27"/>
        <v>-31</v>
      </c>
      <c r="K183" s="103">
        <f t="shared" si="28"/>
        <v>37.03703704</v>
      </c>
      <c r="L183" s="54"/>
      <c r="M183" s="54"/>
      <c r="N183" s="54"/>
      <c r="O183" s="54"/>
      <c r="P183" s="54"/>
    </row>
    <row r="184">
      <c r="A184" s="54"/>
      <c r="B184" s="110">
        <v>45664.0</v>
      </c>
      <c r="C184" s="110"/>
      <c r="D184" s="99"/>
      <c r="E184" s="100">
        <v>2067856.0</v>
      </c>
      <c r="F184" s="99">
        <f t="shared" si="29"/>
        <v>799</v>
      </c>
      <c r="G184" s="100">
        <v>447.0</v>
      </c>
      <c r="H184" s="101">
        <v>244.0</v>
      </c>
      <c r="I184" s="101">
        <v>268.82</v>
      </c>
      <c r="J184" s="102">
        <f t="shared" si="27"/>
        <v>-24.82</v>
      </c>
      <c r="K184" s="103">
        <f t="shared" si="28"/>
        <v>33.64455569</v>
      </c>
      <c r="L184" s="54"/>
      <c r="M184" s="54"/>
      <c r="N184" s="54"/>
      <c r="O184" s="54"/>
      <c r="P184" s="54"/>
    </row>
    <row r="185">
      <c r="A185" s="54"/>
      <c r="B185" s="110">
        <v>45664.0</v>
      </c>
      <c r="C185" s="110"/>
      <c r="D185" s="99"/>
      <c r="E185" s="100">
        <v>2068179.0</v>
      </c>
      <c r="F185" s="99">
        <f t="shared" si="29"/>
        <v>323</v>
      </c>
      <c r="G185" s="100">
        <v>445.0</v>
      </c>
      <c r="H185" s="101">
        <v>91.0</v>
      </c>
      <c r="I185" s="101">
        <v>90.79</v>
      </c>
      <c r="J185" s="102">
        <f t="shared" si="27"/>
        <v>0.21</v>
      </c>
      <c r="K185" s="103">
        <f t="shared" si="28"/>
        <v>28.10835913</v>
      </c>
      <c r="L185" s="54"/>
      <c r="M185" s="54"/>
      <c r="N185" s="54"/>
      <c r="O185" s="54"/>
      <c r="P185" s="54"/>
    </row>
    <row r="186">
      <c r="A186" s="54"/>
      <c r="B186" s="110">
        <v>45665.0</v>
      </c>
      <c r="C186" s="110"/>
      <c r="D186" s="99"/>
      <c r="E186" s="100">
        <v>2069161.0</v>
      </c>
      <c r="F186" s="99">
        <f t="shared" si="29"/>
        <v>982</v>
      </c>
      <c r="G186" s="100">
        <v>447.0</v>
      </c>
      <c r="H186" s="101">
        <v>289.0</v>
      </c>
      <c r="I186" s="101">
        <v>330.0</v>
      </c>
      <c r="J186" s="102">
        <f t="shared" si="27"/>
        <v>-41</v>
      </c>
      <c r="K186" s="103">
        <f t="shared" si="28"/>
        <v>33.60488798</v>
      </c>
      <c r="L186" s="54"/>
      <c r="M186" s="54"/>
      <c r="N186" s="54"/>
      <c r="O186" s="54"/>
      <c r="P186" s="54"/>
    </row>
    <row r="187">
      <c r="A187" s="54"/>
      <c r="B187" s="110">
        <v>45667.0</v>
      </c>
      <c r="C187" s="110"/>
      <c r="D187" s="99"/>
      <c r="E187" s="100">
        <v>2070236.0</v>
      </c>
      <c r="F187" s="99">
        <f t="shared" si="29"/>
        <v>1075</v>
      </c>
      <c r="G187" s="100">
        <v>445.0</v>
      </c>
      <c r="H187" s="101">
        <v>321.0</v>
      </c>
      <c r="I187" s="101">
        <v>356.93</v>
      </c>
      <c r="J187" s="102">
        <f t="shared" si="27"/>
        <v>-35.93</v>
      </c>
      <c r="K187" s="103">
        <f t="shared" si="28"/>
        <v>33.2027907</v>
      </c>
      <c r="L187" s="54"/>
      <c r="M187" s="54"/>
      <c r="N187" s="54"/>
      <c r="O187" s="54"/>
      <c r="P187" s="54"/>
    </row>
    <row r="188">
      <c r="A188" s="54"/>
      <c r="B188" s="110">
        <v>45668.0</v>
      </c>
      <c r="C188" s="110"/>
      <c r="D188" s="99"/>
      <c r="E188" s="100">
        <v>2071098.0</v>
      </c>
      <c r="F188" s="99">
        <f t="shared" si="29"/>
        <v>862</v>
      </c>
      <c r="G188" s="100">
        <v>451.0</v>
      </c>
      <c r="H188" s="101">
        <v>268.0</v>
      </c>
      <c r="I188" s="101">
        <v>270.0</v>
      </c>
      <c r="J188" s="102">
        <f t="shared" si="27"/>
        <v>-2</v>
      </c>
      <c r="K188" s="103">
        <f t="shared" si="28"/>
        <v>31.3225058</v>
      </c>
      <c r="L188" s="54"/>
      <c r="M188" s="54"/>
      <c r="N188" s="54"/>
      <c r="O188" s="54"/>
      <c r="P188" s="54"/>
    </row>
    <row r="189">
      <c r="A189" s="54"/>
      <c r="B189" s="110">
        <v>45668.0</v>
      </c>
      <c r="C189" s="110"/>
      <c r="D189" s="99"/>
      <c r="E189" s="100">
        <v>2071672.0</v>
      </c>
      <c r="F189" s="99">
        <f t="shared" si="29"/>
        <v>574</v>
      </c>
      <c r="G189" s="100">
        <v>398.0</v>
      </c>
      <c r="H189" s="101">
        <v>109.0</v>
      </c>
      <c r="I189" s="101">
        <v>130.0</v>
      </c>
      <c r="J189" s="102">
        <f t="shared" si="27"/>
        <v>-21</v>
      </c>
      <c r="K189" s="103">
        <f t="shared" si="28"/>
        <v>22.64808362</v>
      </c>
      <c r="L189" s="54"/>
      <c r="M189" s="54"/>
      <c r="N189" s="54"/>
      <c r="O189" s="54"/>
      <c r="P189" s="54"/>
    </row>
    <row r="190">
      <c r="A190" s="54"/>
      <c r="B190" s="110">
        <v>45669.0</v>
      </c>
      <c r="C190" s="110"/>
      <c r="D190" s="99"/>
      <c r="E190" s="100">
        <v>2072626.0</v>
      </c>
      <c r="F190" s="99">
        <f t="shared" si="29"/>
        <v>954</v>
      </c>
      <c r="G190" s="100">
        <v>450.0</v>
      </c>
      <c r="H190" s="101">
        <v>359.0</v>
      </c>
      <c r="I190" s="101">
        <v>394.65</v>
      </c>
      <c r="J190" s="102">
        <f t="shared" si="27"/>
        <v>-35.65</v>
      </c>
      <c r="K190" s="103">
        <f t="shared" si="28"/>
        <v>41.36792453</v>
      </c>
      <c r="L190" s="54"/>
      <c r="M190" s="54"/>
      <c r="N190" s="54"/>
      <c r="O190" s="54"/>
      <c r="P190" s="54"/>
    </row>
    <row r="191">
      <c r="A191" s="54"/>
      <c r="B191" s="110">
        <v>45671.0</v>
      </c>
      <c r="C191" s="110"/>
      <c r="D191" s="99"/>
      <c r="E191" s="111">
        <v>2073660.0</v>
      </c>
      <c r="F191" s="99">
        <f t="shared" si="29"/>
        <v>1034</v>
      </c>
      <c r="G191" s="100">
        <v>442.0</v>
      </c>
      <c r="H191" s="101">
        <v>314.0</v>
      </c>
      <c r="I191" s="101">
        <v>352.48</v>
      </c>
      <c r="J191" s="102">
        <f t="shared" si="27"/>
        <v>-38.48</v>
      </c>
      <c r="K191" s="103">
        <f t="shared" si="28"/>
        <v>34.08897485</v>
      </c>
      <c r="L191" s="54"/>
      <c r="M191" s="54"/>
      <c r="N191" s="54"/>
      <c r="O191" s="54"/>
      <c r="P191" s="54"/>
    </row>
    <row r="192">
      <c r="A192" s="54"/>
      <c r="B192" s="110">
        <v>45674.0</v>
      </c>
      <c r="C192" s="110"/>
      <c r="D192" s="99"/>
      <c r="E192" s="100">
        <v>2074501.0</v>
      </c>
      <c r="F192" s="99">
        <f t="shared" si="29"/>
        <v>841</v>
      </c>
      <c r="G192" s="100">
        <v>450.0</v>
      </c>
      <c r="H192" s="101">
        <v>277.0</v>
      </c>
      <c r="I192" s="101">
        <v>283.21</v>
      </c>
      <c r="J192" s="102">
        <f t="shared" si="27"/>
        <v>-6.21</v>
      </c>
      <c r="K192" s="103">
        <f t="shared" si="28"/>
        <v>33.67538644</v>
      </c>
      <c r="L192" s="54"/>
      <c r="M192" s="54"/>
      <c r="N192" s="54"/>
      <c r="O192" s="54"/>
      <c r="P192" s="54"/>
    </row>
    <row r="193">
      <c r="A193" s="54"/>
      <c r="B193" s="110">
        <v>45675.0</v>
      </c>
      <c r="C193" s="110"/>
      <c r="D193" s="99"/>
      <c r="E193" s="100">
        <v>2074831.0</v>
      </c>
      <c r="F193" s="99">
        <f t="shared" si="29"/>
        <v>330</v>
      </c>
      <c r="G193" s="100">
        <v>447.0</v>
      </c>
      <c r="H193" s="101">
        <v>77.0</v>
      </c>
      <c r="I193" s="101">
        <v>73.73</v>
      </c>
      <c r="J193" s="102">
        <f t="shared" si="27"/>
        <v>3.27</v>
      </c>
      <c r="K193" s="103">
        <f t="shared" si="28"/>
        <v>22.34242424</v>
      </c>
      <c r="L193" s="54"/>
      <c r="M193" s="54"/>
      <c r="N193" s="54"/>
      <c r="O193" s="54"/>
      <c r="P193" s="54"/>
    </row>
    <row r="194">
      <c r="A194" s="54"/>
      <c r="B194" s="110">
        <v>45675.0</v>
      </c>
      <c r="C194" s="110"/>
      <c r="D194" s="99"/>
      <c r="E194" s="100">
        <v>2075905.0</v>
      </c>
      <c r="F194" s="99">
        <f t="shared" si="29"/>
        <v>1074</v>
      </c>
      <c r="G194" s="100">
        <v>448.0</v>
      </c>
      <c r="H194" s="101">
        <v>269.0</v>
      </c>
      <c r="I194" s="101">
        <v>274.04</v>
      </c>
      <c r="J194" s="102">
        <f t="shared" si="27"/>
        <v>-5.04</v>
      </c>
      <c r="K194" s="103">
        <f t="shared" si="28"/>
        <v>25.51582868</v>
      </c>
      <c r="L194" s="54"/>
      <c r="M194" s="54"/>
      <c r="N194" s="54"/>
      <c r="O194" s="54"/>
      <c r="P194" s="54"/>
    </row>
    <row r="195">
      <c r="A195" s="54"/>
      <c r="B195" s="110">
        <v>45678.0</v>
      </c>
      <c r="C195" s="110"/>
      <c r="D195" s="99"/>
      <c r="E195" s="100">
        <v>2076827.0</v>
      </c>
      <c r="F195" s="99">
        <f t="shared" si="29"/>
        <v>922</v>
      </c>
      <c r="G195" s="100">
        <v>450.0</v>
      </c>
      <c r="H195" s="178">
        <v>259.0</v>
      </c>
      <c r="I195" s="101">
        <v>284.97</v>
      </c>
      <c r="J195" s="102">
        <f t="shared" si="27"/>
        <v>-25.97</v>
      </c>
      <c r="K195" s="103">
        <f t="shared" si="28"/>
        <v>30.90780911</v>
      </c>
      <c r="L195" s="54"/>
      <c r="M195" s="54"/>
      <c r="N195" s="54"/>
      <c r="O195" s="54"/>
      <c r="P195" s="54"/>
    </row>
    <row r="196">
      <c r="A196" s="54"/>
      <c r="B196" s="110">
        <v>45678.0</v>
      </c>
      <c r="C196" s="110"/>
      <c r="D196" s="99"/>
      <c r="E196" s="100">
        <v>2077294.0</v>
      </c>
      <c r="F196" s="99">
        <f t="shared" si="29"/>
        <v>467</v>
      </c>
      <c r="G196" s="100">
        <v>418.0</v>
      </c>
      <c r="H196" s="178">
        <v>112.0</v>
      </c>
      <c r="I196" s="101">
        <v>115.0</v>
      </c>
      <c r="J196" s="102">
        <f t="shared" si="27"/>
        <v>-3</v>
      </c>
      <c r="K196" s="103">
        <f t="shared" si="28"/>
        <v>24.62526767</v>
      </c>
      <c r="L196" s="54"/>
      <c r="M196" s="54"/>
      <c r="N196" s="54"/>
      <c r="O196" s="54"/>
      <c r="P196" s="54"/>
    </row>
    <row r="197">
      <c r="A197" s="54"/>
      <c r="B197" s="110">
        <v>45679.0</v>
      </c>
      <c r="C197" s="110"/>
      <c r="D197" s="99"/>
      <c r="E197" s="100">
        <v>2078260.0</v>
      </c>
      <c r="F197" s="99">
        <f t="shared" si="29"/>
        <v>966</v>
      </c>
      <c r="G197" s="100">
        <v>449.0</v>
      </c>
      <c r="H197" s="178">
        <v>357.0</v>
      </c>
      <c r="I197" s="101">
        <v>389.08</v>
      </c>
      <c r="J197" s="102">
        <f t="shared" si="27"/>
        <v>-32.08</v>
      </c>
      <c r="K197" s="103">
        <f t="shared" si="28"/>
        <v>40.27743271</v>
      </c>
      <c r="L197" s="54"/>
      <c r="M197" s="54"/>
      <c r="N197" s="54"/>
      <c r="O197" s="54"/>
      <c r="P197" s="54"/>
    </row>
    <row r="198">
      <c r="A198" s="54"/>
      <c r="B198" s="110">
        <v>45681.0</v>
      </c>
      <c r="C198" s="110"/>
      <c r="D198" s="99"/>
      <c r="E198" s="100">
        <v>2079454.0</v>
      </c>
      <c r="F198" s="99">
        <f t="shared" si="29"/>
        <v>1194</v>
      </c>
      <c r="G198" s="100">
        <v>448.0</v>
      </c>
      <c r="H198" s="101">
        <v>357.0</v>
      </c>
      <c r="I198" s="101">
        <v>398.04</v>
      </c>
      <c r="J198" s="102">
        <f t="shared" si="27"/>
        <v>-41.04</v>
      </c>
      <c r="K198" s="103">
        <f t="shared" si="28"/>
        <v>33.33668342</v>
      </c>
      <c r="L198" s="54"/>
      <c r="M198" s="54"/>
      <c r="N198" s="54"/>
      <c r="O198" s="54"/>
      <c r="P198" s="54"/>
    </row>
    <row r="199">
      <c r="A199" s="54"/>
      <c r="B199" s="110">
        <v>45681.0</v>
      </c>
      <c r="C199" s="110"/>
      <c r="D199" s="99"/>
      <c r="E199" s="100">
        <v>2079948.0</v>
      </c>
      <c r="F199" s="99">
        <f t="shared" si="29"/>
        <v>494</v>
      </c>
      <c r="G199" s="100">
        <v>449.0</v>
      </c>
      <c r="H199" s="101">
        <v>159.0</v>
      </c>
      <c r="I199" s="101">
        <v>160.0</v>
      </c>
      <c r="J199" s="102">
        <f t="shared" si="27"/>
        <v>-1</v>
      </c>
      <c r="K199" s="103">
        <f t="shared" si="28"/>
        <v>32.38866397</v>
      </c>
      <c r="L199" s="54"/>
      <c r="M199" s="54"/>
      <c r="N199" s="54"/>
      <c r="O199" s="54"/>
      <c r="P199" s="54"/>
    </row>
    <row r="200">
      <c r="A200" s="54"/>
      <c r="B200" s="110">
        <v>45682.0</v>
      </c>
      <c r="C200" s="110"/>
      <c r="D200" s="99"/>
      <c r="E200" s="100">
        <v>2080752.0</v>
      </c>
      <c r="F200" s="99">
        <f t="shared" si="29"/>
        <v>804</v>
      </c>
      <c r="G200" s="100">
        <v>440.0</v>
      </c>
      <c r="H200" s="101">
        <v>213.0</v>
      </c>
      <c r="I200" s="101">
        <v>240.0</v>
      </c>
      <c r="J200" s="102">
        <f t="shared" si="27"/>
        <v>-27</v>
      </c>
      <c r="K200" s="103">
        <f t="shared" si="28"/>
        <v>29.85074627</v>
      </c>
      <c r="L200" s="54"/>
      <c r="M200" s="54"/>
      <c r="N200" s="54"/>
      <c r="O200" s="54"/>
      <c r="P200" s="54"/>
    </row>
    <row r="201">
      <c r="A201" s="54"/>
      <c r="B201" s="110">
        <v>45683.0</v>
      </c>
      <c r="C201" s="110"/>
      <c r="D201" s="99"/>
      <c r="E201" s="100">
        <v>2081616.0</v>
      </c>
      <c r="F201" s="99">
        <f t="shared" si="29"/>
        <v>864</v>
      </c>
      <c r="G201" s="100">
        <v>450.0</v>
      </c>
      <c r="H201" s="101">
        <v>296.0</v>
      </c>
      <c r="I201" s="101">
        <v>329.56</v>
      </c>
      <c r="J201" s="102">
        <f t="shared" si="27"/>
        <v>-33.56</v>
      </c>
      <c r="K201" s="103">
        <f t="shared" si="28"/>
        <v>38.14351852</v>
      </c>
      <c r="L201" s="54"/>
      <c r="M201" s="54"/>
      <c r="N201" s="54"/>
      <c r="O201" s="54"/>
      <c r="P201" s="54"/>
    </row>
    <row r="202">
      <c r="A202" s="54"/>
      <c r="B202" s="110">
        <v>45684.0</v>
      </c>
      <c r="C202" s="110"/>
      <c r="D202" s="99"/>
      <c r="E202" s="100">
        <v>2082413.0</v>
      </c>
      <c r="F202" s="99">
        <f t="shared" si="29"/>
        <v>797</v>
      </c>
      <c r="G202" s="100">
        <v>299.0</v>
      </c>
      <c r="H202" s="101">
        <v>72.0</v>
      </c>
      <c r="I202" s="101">
        <v>70.0</v>
      </c>
      <c r="J202" s="102">
        <f t="shared" si="27"/>
        <v>2</v>
      </c>
      <c r="K202" s="103">
        <f t="shared" si="28"/>
        <v>8.78293601</v>
      </c>
      <c r="L202" s="54"/>
      <c r="M202" s="54"/>
      <c r="N202" s="54"/>
      <c r="O202" s="54"/>
      <c r="P202" s="54"/>
    </row>
    <row r="203">
      <c r="A203" s="54"/>
      <c r="B203" s="110">
        <v>45685.0</v>
      </c>
      <c r="C203" s="110"/>
      <c r="D203" s="99"/>
      <c r="E203" s="100">
        <v>2083090.0</v>
      </c>
      <c r="F203" s="99">
        <f t="shared" si="29"/>
        <v>677</v>
      </c>
      <c r="G203" s="100">
        <v>442.0</v>
      </c>
      <c r="H203" s="101">
        <v>348.0</v>
      </c>
      <c r="I203" s="101">
        <v>385.66</v>
      </c>
      <c r="J203" s="102">
        <f t="shared" si="27"/>
        <v>-37.66</v>
      </c>
      <c r="K203" s="103">
        <f t="shared" si="28"/>
        <v>56.96602659</v>
      </c>
      <c r="L203" s="54"/>
      <c r="M203" s="54"/>
      <c r="N203" s="54"/>
      <c r="O203" s="54"/>
      <c r="P203" s="54"/>
    </row>
    <row r="204">
      <c r="A204" s="54"/>
      <c r="B204" s="110">
        <v>45686.0</v>
      </c>
      <c r="C204" s="110"/>
      <c r="D204" s="99"/>
      <c r="E204" s="100">
        <v>2084192.0</v>
      </c>
      <c r="F204" s="99">
        <f t="shared" si="29"/>
        <v>1102</v>
      </c>
      <c r="G204" s="100">
        <v>450.0</v>
      </c>
      <c r="H204" s="101">
        <v>313.0</v>
      </c>
      <c r="I204" s="101">
        <v>339.24</v>
      </c>
      <c r="J204" s="102">
        <f t="shared" si="27"/>
        <v>-26.24</v>
      </c>
      <c r="K204" s="103">
        <f t="shared" si="28"/>
        <v>30.78402904</v>
      </c>
      <c r="L204" s="54"/>
      <c r="M204" s="54"/>
      <c r="N204" s="54"/>
      <c r="O204" s="54"/>
      <c r="P204" s="54"/>
    </row>
    <row r="205">
      <c r="A205" s="54"/>
      <c r="B205" s="110">
        <v>45687.0</v>
      </c>
      <c r="C205" s="110"/>
      <c r="D205" s="99"/>
      <c r="E205" s="100">
        <v>2084870.0</v>
      </c>
      <c r="F205" s="99">
        <f t="shared" si="29"/>
        <v>678</v>
      </c>
      <c r="G205" s="100">
        <v>295.0</v>
      </c>
      <c r="H205" s="101">
        <v>68.0</v>
      </c>
      <c r="I205" s="101">
        <v>60.76</v>
      </c>
      <c r="J205" s="102">
        <f t="shared" si="27"/>
        <v>7.24</v>
      </c>
      <c r="K205" s="103">
        <f t="shared" si="28"/>
        <v>8.961651917</v>
      </c>
      <c r="L205" s="54"/>
      <c r="M205" s="54"/>
      <c r="N205" s="54"/>
      <c r="O205" s="54"/>
      <c r="P205" s="54"/>
    </row>
    <row r="206">
      <c r="A206" s="54"/>
      <c r="B206" s="110">
        <v>45687.0</v>
      </c>
      <c r="C206" s="110"/>
      <c r="D206" s="99"/>
      <c r="E206" s="100">
        <v>2085158.0</v>
      </c>
      <c r="F206" s="99">
        <f t="shared" si="29"/>
        <v>288</v>
      </c>
      <c r="G206" s="100">
        <v>453.0</v>
      </c>
      <c r="H206" s="101">
        <v>258.0</v>
      </c>
      <c r="I206" s="101">
        <v>280.0</v>
      </c>
      <c r="J206" s="102">
        <f t="shared" si="27"/>
        <v>-22</v>
      </c>
      <c r="K206" s="103">
        <f t="shared" si="28"/>
        <v>97.22222222</v>
      </c>
      <c r="L206" s="54"/>
      <c r="M206" s="54"/>
      <c r="N206" s="54"/>
      <c r="O206" s="54"/>
      <c r="P206" s="54"/>
    </row>
    <row r="207">
      <c r="A207" s="54"/>
      <c r="B207" s="110">
        <v>45688.0</v>
      </c>
      <c r="C207" s="110"/>
      <c r="D207" s="99"/>
      <c r="E207" s="100">
        <v>2085958.0</v>
      </c>
      <c r="F207" s="99">
        <f t="shared" si="29"/>
        <v>800</v>
      </c>
      <c r="G207" s="100">
        <v>349.0</v>
      </c>
      <c r="H207" s="101">
        <v>121.0</v>
      </c>
      <c r="I207" s="101">
        <v>119.99</v>
      </c>
      <c r="J207" s="102">
        <f t="shared" si="27"/>
        <v>1.01</v>
      </c>
      <c r="K207" s="103">
        <f t="shared" si="28"/>
        <v>14.99875</v>
      </c>
      <c r="L207" s="54"/>
      <c r="M207" s="54"/>
      <c r="N207" s="54"/>
      <c r="O207" s="54"/>
      <c r="P207" s="54"/>
    </row>
    <row r="208">
      <c r="A208" s="68"/>
      <c r="B208" s="203" t="str">
        <f>IF(L208=4,"АПРЕЛЬ",IF(L208=5,"МАЙ",IF(L208=1,"ЯНВАРЬ",IF(L208=2,"ФЕВРАЛЬ",IF(L208=3,"МАРТ",IF(L208=6,"ИЮНЬ",IF(L208=7,"ИЮЛЬ",IF(L208=8,"АВГУСТ",IF(L208=9,"СЕНТЯБРЬ",IF(L208=10,"ОКТЯБРЬ",IF(L208=11,"НОЯБРЬ",IF(L208=12,"ДЕКАБРЬ"))))))))))))</f>
        <v>ФЕВРАЛЬ</v>
      </c>
      <c r="J208" s="88"/>
      <c r="K208" s="204"/>
      <c r="L208" s="91">
        <f>MONTH(B209)</f>
        <v>2</v>
      </c>
      <c r="M208" s="66"/>
      <c r="N208" s="66"/>
      <c r="O208" s="66"/>
      <c r="P208" s="66"/>
      <c r="Q208" s="66"/>
    </row>
    <row r="209">
      <c r="A209" s="54"/>
      <c r="B209" s="110">
        <v>45689.0</v>
      </c>
      <c r="C209" s="110"/>
      <c r="D209" s="99"/>
      <c r="E209" s="100">
        <v>2086808.0</v>
      </c>
      <c r="F209" s="99">
        <f>E209-E207</f>
        <v>850</v>
      </c>
      <c r="G209" s="100">
        <v>435.0</v>
      </c>
      <c r="H209" s="101">
        <v>365.0</v>
      </c>
      <c r="I209" s="101">
        <v>400.0</v>
      </c>
      <c r="J209" s="102">
        <f t="shared" ref="J209:J224" si="30">H209-I209</f>
        <v>-35</v>
      </c>
      <c r="K209" s="103">
        <f t="shared" ref="K209:K224" si="31">I209/F209*100</f>
        <v>47.05882353</v>
      </c>
      <c r="L209" s="54"/>
      <c r="M209" s="205" t="str">
        <f>"тотал"&amp;" "&amp;B208&amp;" "&amp;RIGHT(YEAR(B209),2)</f>
        <v>тотал ФЕВРАЛЬ 25</v>
      </c>
      <c r="N209" s="75"/>
      <c r="O209" s="75"/>
      <c r="P209" s="75"/>
      <c r="Q209" s="76"/>
    </row>
    <row r="210">
      <c r="A210" s="54"/>
      <c r="B210" s="110">
        <v>45691.0</v>
      </c>
      <c r="C210" s="110"/>
      <c r="D210" s="99"/>
      <c r="E210" s="100">
        <v>2087979.0</v>
      </c>
      <c r="F210" s="99">
        <f t="shared" ref="F210:F224" si="32">E210-E209</f>
        <v>1171</v>
      </c>
      <c r="G210" s="100">
        <v>447.0</v>
      </c>
      <c r="H210" s="101">
        <v>372.0</v>
      </c>
      <c r="I210" s="101">
        <v>400.0</v>
      </c>
      <c r="J210" s="102">
        <f t="shared" si="30"/>
        <v>-28</v>
      </c>
      <c r="K210" s="103">
        <f t="shared" si="31"/>
        <v>34.1588386</v>
      </c>
      <c r="L210" s="54"/>
      <c r="M210" s="83" t="s">
        <v>70</v>
      </c>
      <c r="N210" s="83" t="s">
        <v>71</v>
      </c>
      <c r="O210" s="83" t="s">
        <v>27</v>
      </c>
      <c r="P210" s="83" t="s">
        <v>28</v>
      </c>
      <c r="Q210" s="321" t="s">
        <v>78</v>
      </c>
    </row>
    <row r="211">
      <c r="A211" s="54"/>
      <c r="B211" s="110">
        <v>45692.0</v>
      </c>
      <c r="C211" s="110"/>
      <c r="D211" s="99"/>
      <c r="E211" s="100">
        <v>2089304.0</v>
      </c>
      <c r="F211" s="99">
        <f t="shared" si="32"/>
        <v>1325</v>
      </c>
      <c r="G211" s="100">
        <v>419.0</v>
      </c>
      <c r="H211" s="101">
        <v>201.0</v>
      </c>
      <c r="I211" s="101">
        <v>206.0</v>
      </c>
      <c r="J211" s="102">
        <f t="shared" si="30"/>
        <v>-5</v>
      </c>
      <c r="K211" s="103">
        <f t="shared" si="31"/>
        <v>15.54716981</v>
      </c>
      <c r="L211" s="54"/>
      <c r="M211" s="84">
        <f>SUM(F209:F224)</f>
        <v>13441</v>
      </c>
      <c r="N211" s="84">
        <f>SUM(I209:I224)</f>
        <v>4451.42</v>
      </c>
      <c r="O211" s="85">
        <f>N211/M211*100</f>
        <v>33.11822037</v>
      </c>
      <c r="P211" s="84">
        <f>(M211/100)*(O211-Q211)</f>
        <v>419.12</v>
      </c>
      <c r="Q211" s="464">
        <v>30.0</v>
      </c>
    </row>
    <row r="212">
      <c r="A212" s="54"/>
      <c r="B212" s="110">
        <v>45693.0</v>
      </c>
      <c r="C212" s="110"/>
      <c r="D212" s="99"/>
      <c r="E212" s="100">
        <v>2090176.0</v>
      </c>
      <c r="F212" s="99">
        <f t="shared" si="32"/>
        <v>872</v>
      </c>
      <c r="G212" s="100">
        <v>450.0</v>
      </c>
      <c r="H212" s="101">
        <v>315.0</v>
      </c>
      <c r="I212" s="101">
        <v>347.31</v>
      </c>
      <c r="J212" s="102">
        <f t="shared" si="30"/>
        <v>-32.31</v>
      </c>
      <c r="K212" s="103">
        <f t="shared" si="31"/>
        <v>39.82912844</v>
      </c>
      <c r="L212" s="54"/>
      <c r="M212" s="54"/>
      <c r="N212" s="54"/>
      <c r="O212" s="54"/>
      <c r="P212" s="54"/>
    </row>
    <row r="213">
      <c r="A213" s="54"/>
      <c r="B213" s="110">
        <v>45695.0</v>
      </c>
      <c r="C213" s="110"/>
      <c r="D213" s="99"/>
      <c r="E213" s="100">
        <v>2091363.0</v>
      </c>
      <c r="F213" s="99">
        <f t="shared" si="32"/>
        <v>1187</v>
      </c>
      <c r="G213" s="100">
        <v>449.0</v>
      </c>
      <c r="H213" s="101">
        <v>355.0</v>
      </c>
      <c r="I213" s="101">
        <v>392.0</v>
      </c>
      <c r="J213" s="102">
        <f t="shared" si="30"/>
        <v>-37</v>
      </c>
      <c r="K213" s="103">
        <f t="shared" si="31"/>
        <v>33.02443134</v>
      </c>
      <c r="L213" s="54"/>
      <c r="M213" s="54"/>
      <c r="N213" s="54"/>
      <c r="O213" s="54"/>
      <c r="P213" s="54"/>
    </row>
    <row r="214">
      <c r="A214" s="54"/>
      <c r="B214" s="110">
        <v>45695.0</v>
      </c>
      <c r="C214" s="110"/>
      <c r="D214" s="99"/>
      <c r="E214" s="100">
        <v>2091843.0</v>
      </c>
      <c r="F214" s="99">
        <f t="shared" si="32"/>
        <v>480</v>
      </c>
      <c r="G214" s="100">
        <v>447.0</v>
      </c>
      <c r="H214" s="101">
        <v>153.0</v>
      </c>
      <c r="I214" s="101">
        <v>154.0</v>
      </c>
      <c r="J214" s="102">
        <f t="shared" si="30"/>
        <v>-1</v>
      </c>
      <c r="K214" s="103">
        <f t="shared" si="31"/>
        <v>32.08333333</v>
      </c>
      <c r="L214" s="54"/>
      <c r="M214" s="54"/>
      <c r="N214" s="54"/>
      <c r="O214" s="54"/>
      <c r="P214" s="54"/>
    </row>
    <row r="215">
      <c r="A215" s="54"/>
      <c r="B215" s="110">
        <v>45696.0</v>
      </c>
      <c r="C215" s="110"/>
      <c r="D215" s="99"/>
      <c r="E215" s="100">
        <v>2092646.0</v>
      </c>
      <c r="F215" s="99">
        <f t="shared" si="32"/>
        <v>803</v>
      </c>
      <c r="G215" s="100">
        <v>425.0</v>
      </c>
      <c r="H215" s="101">
        <v>224.0</v>
      </c>
      <c r="I215" s="101">
        <v>246.0</v>
      </c>
      <c r="J215" s="102">
        <f t="shared" si="30"/>
        <v>-22</v>
      </c>
      <c r="K215" s="103">
        <f t="shared" si="31"/>
        <v>30.63511831</v>
      </c>
      <c r="L215" s="54"/>
      <c r="M215" s="54"/>
      <c r="N215" s="54"/>
      <c r="O215" s="54"/>
      <c r="P215" s="54"/>
    </row>
    <row r="216">
      <c r="A216" s="54"/>
      <c r="B216" s="110">
        <v>45708.0</v>
      </c>
      <c r="C216" s="110"/>
      <c r="D216" s="99"/>
      <c r="E216" s="100">
        <v>2093621.0</v>
      </c>
      <c r="F216" s="99">
        <f t="shared" si="32"/>
        <v>975</v>
      </c>
      <c r="G216" s="100">
        <v>455.0</v>
      </c>
      <c r="H216" s="101">
        <v>362.0</v>
      </c>
      <c r="I216" s="101">
        <v>389.34</v>
      </c>
      <c r="J216" s="102">
        <f t="shared" si="30"/>
        <v>-27.34</v>
      </c>
      <c r="K216" s="103">
        <f t="shared" si="31"/>
        <v>39.93230769</v>
      </c>
      <c r="L216" s="54"/>
      <c r="M216" s="54"/>
      <c r="N216" s="54"/>
      <c r="O216" s="54"/>
      <c r="P216" s="54"/>
    </row>
    <row r="217">
      <c r="A217" s="54"/>
      <c r="B217" s="110">
        <v>45709.0</v>
      </c>
      <c r="C217" s="110"/>
      <c r="D217" s="99"/>
      <c r="E217" s="100">
        <v>2094416.0</v>
      </c>
      <c r="F217" s="99">
        <f t="shared" si="32"/>
        <v>795</v>
      </c>
      <c r="G217" s="100">
        <v>448.0</v>
      </c>
      <c r="H217" s="101">
        <v>243.0</v>
      </c>
      <c r="I217" s="101">
        <v>275.0</v>
      </c>
      <c r="J217" s="102">
        <f t="shared" si="30"/>
        <v>-32</v>
      </c>
      <c r="K217" s="103">
        <f t="shared" si="31"/>
        <v>34.59119497</v>
      </c>
      <c r="L217" s="54"/>
      <c r="M217" s="54"/>
      <c r="N217" s="54"/>
      <c r="O217" s="54"/>
      <c r="P217" s="54"/>
    </row>
    <row r="218">
      <c r="A218" s="54"/>
      <c r="B218" s="110">
        <v>45710.0</v>
      </c>
      <c r="C218" s="110"/>
      <c r="D218" s="99"/>
      <c r="E218" s="100">
        <v>2094971.0</v>
      </c>
      <c r="F218" s="99">
        <f t="shared" si="32"/>
        <v>555</v>
      </c>
      <c r="G218" s="100">
        <v>397.0</v>
      </c>
      <c r="H218" s="101">
        <v>129.0</v>
      </c>
      <c r="I218" s="101">
        <v>125.0</v>
      </c>
      <c r="J218" s="102">
        <f t="shared" si="30"/>
        <v>4</v>
      </c>
      <c r="K218" s="103">
        <f t="shared" si="31"/>
        <v>22.52252252</v>
      </c>
      <c r="L218" s="54"/>
      <c r="M218" s="54"/>
      <c r="N218" s="54"/>
      <c r="O218" s="54"/>
      <c r="P218" s="54"/>
    </row>
    <row r="219">
      <c r="A219" s="54"/>
      <c r="B219" s="110">
        <v>45711.0</v>
      </c>
      <c r="C219" s="110"/>
      <c r="D219" s="99"/>
      <c r="E219" s="100">
        <v>2095543.0</v>
      </c>
      <c r="F219" s="99">
        <f t="shared" si="32"/>
        <v>572</v>
      </c>
      <c r="G219" s="100">
        <v>433.0</v>
      </c>
      <c r="H219" s="101">
        <v>217.0</v>
      </c>
      <c r="I219" s="102">
        <f>400-143</f>
        <v>257</v>
      </c>
      <c r="J219" s="102">
        <f t="shared" si="30"/>
        <v>-40</v>
      </c>
      <c r="K219" s="103">
        <f t="shared" si="31"/>
        <v>44.93006993</v>
      </c>
      <c r="L219" s="54"/>
      <c r="M219" s="54"/>
      <c r="N219" s="54"/>
      <c r="O219" s="54"/>
      <c r="P219" s="54"/>
    </row>
    <row r="220">
      <c r="A220" s="54"/>
      <c r="B220" s="110">
        <v>45711.0</v>
      </c>
      <c r="C220" s="110"/>
      <c r="D220" s="99"/>
      <c r="E220" s="100">
        <v>2096018.0</v>
      </c>
      <c r="F220" s="99">
        <f t="shared" si="32"/>
        <v>475</v>
      </c>
      <c r="G220" s="100">
        <v>438.0</v>
      </c>
      <c r="H220" s="101">
        <v>140.0</v>
      </c>
      <c r="I220" s="101">
        <v>141.7</v>
      </c>
      <c r="J220" s="102">
        <f t="shared" si="30"/>
        <v>-1.7</v>
      </c>
      <c r="K220" s="103">
        <f t="shared" si="31"/>
        <v>29.83157895</v>
      </c>
      <c r="L220" s="54"/>
      <c r="M220" s="54"/>
      <c r="N220" s="54"/>
      <c r="O220" s="54"/>
      <c r="P220" s="54"/>
    </row>
    <row r="221">
      <c r="A221" s="54"/>
      <c r="B221" s="110">
        <v>45713.0</v>
      </c>
      <c r="C221" s="110"/>
      <c r="D221" s="99"/>
      <c r="E221" s="100">
        <v>2096930.0</v>
      </c>
      <c r="F221" s="99">
        <f t="shared" si="32"/>
        <v>912</v>
      </c>
      <c r="G221" s="100">
        <v>447.0</v>
      </c>
      <c r="H221" s="101">
        <v>303.0</v>
      </c>
      <c r="I221" s="101">
        <v>330.0</v>
      </c>
      <c r="J221" s="102">
        <f t="shared" si="30"/>
        <v>-27</v>
      </c>
      <c r="K221" s="103">
        <f t="shared" si="31"/>
        <v>36.18421053</v>
      </c>
      <c r="L221" s="54"/>
      <c r="M221" s="54"/>
      <c r="N221" s="54"/>
      <c r="O221" s="54"/>
      <c r="P221" s="54"/>
    </row>
    <row r="222">
      <c r="A222" s="54"/>
      <c r="B222" s="110">
        <v>45714.0</v>
      </c>
      <c r="C222" s="110"/>
      <c r="D222" s="99"/>
      <c r="E222" s="100">
        <v>2097732.0</v>
      </c>
      <c r="F222" s="99">
        <f t="shared" si="32"/>
        <v>802</v>
      </c>
      <c r="G222" s="100">
        <v>302.0</v>
      </c>
      <c r="H222" s="101">
        <v>76.0</v>
      </c>
      <c r="I222" s="101">
        <v>70.0</v>
      </c>
      <c r="J222" s="102">
        <f t="shared" si="30"/>
        <v>6</v>
      </c>
      <c r="K222" s="103">
        <f t="shared" si="31"/>
        <v>8.728179551</v>
      </c>
      <c r="L222" s="54"/>
      <c r="M222" s="54"/>
      <c r="N222" s="54"/>
      <c r="O222" s="54"/>
      <c r="P222" s="54"/>
    </row>
    <row r="223">
      <c r="A223" s="54"/>
      <c r="B223" s="110">
        <v>45715.0</v>
      </c>
      <c r="C223" s="110"/>
      <c r="D223" s="99"/>
      <c r="E223" s="100">
        <v>2098410.0</v>
      </c>
      <c r="F223" s="99">
        <f t="shared" si="32"/>
        <v>678</v>
      </c>
      <c r="G223" s="100">
        <v>442.0</v>
      </c>
      <c r="H223" s="101">
        <v>358.0</v>
      </c>
      <c r="I223" s="101">
        <v>388.07</v>
      </c>
      <c r="J223" s="102">
        <f t="shared" si="30"/>
        <v>-30.07</v>
      </c>
      <c r="K223" s="103">
        <f t="shared" si="31"/>
        <v>57.23746313</v>
      </c>
      <c r="L223" s="54"/>
      <c r="M223" s="54"/>
      <c r="N223" s="54"/>
      <c r="O223" s="54"/>
      <c r="P223" s="54"/>
    </row>
    <row r="224">
      <c r="A224" s="54"/>
      <c r="B224" s="110">
        <v>45716.0</v>
      </c>
      <c r="C224" s="110"/>
      <c r="D224" s="99"/>
      <c r="E224" s="100">
        <v>2099399.0</v>
      </c>
      <c r="F224" s="99">
        <f t="shared" si="32"/>
        <v>989</v>
      </c>
      <c r="G224" s="100">
        <v>447.0</v>
      </c>
      <c r="H224" s="101">
        <v>305.0</v>
      </c>
      <c r="I224" s="101">
        <v>330.0</v>
      </c>
      <c r="J224" s="102">
        <f t="shared" si="30"/>
        <v>-25</v>
      </c>
      <c r="K224" s="103">
        <f t="shared" si="31"/>
        <v>33.36703741</v>
      </c>
      <c r="L224" s="54"/>
      <c r="M224" s="54"/>
      <c r="N224" s="54"/>
      <c r="O224" s="54"/>
      <c r="P224" s="54"/>
    </row>
    <row r="225">
      <c r="A225" s="68"/>
      <c r="B225" s="203" t="str">
        <f>IF(L225=4,"АПРЕЛЬ",IF(L225=5,"МАЙ",IF(L225=1,"ЯНВАРЬ",IF(L225=2,"ФЕВРАЛЬ",IF(L225=3,"МАРТ",IF(L225=6,"ИЮНЬ",IF(L225=7,"ИЮЛЬ",IF(L225=8,"АВГУСТ",IF(L225=9,"СЕНТЯБРЬ",IF(L225=10,"ОКТЯБРЬ",IF(L225=11,"НОЯБРЬ",IF(L225=12,"ДЕКАБРЬ"))))))))))))</f>
        <v>МАРТ</v>
      </c>
      <c r="J225" s="88"/>
      <c r="K225" s="204"/>
      <c r="L225" s="91">
        <f>MONTH(B226)</f>
        <v>3</v>
      </c>
      <c r="M225" s="66"/>
      <c r="N225" s="66"/>
      <c r="O225" s="66"/>
      <c r="P225" s="66"/>
      <c r="Q225" s="66"/>
    </row>
    <row r="226">
      <c r="A226" s="54"/>
      <c r="B226" s="110">
        <v>45717.0</v>
      </c>
      <c r="C226" s="110"/>
      <c r="D226" s="99"/>
      <c r="E226" s="100">
        <v>2100077.0</v>
      </c>
      <c r="F226" s="99">
        <f>E226-E224</f>
        <v>678</v>
      </c>
      <c r="G226" s="100">
        <v>315.0</v>
      </c>
      <c r="H226" s="101">
        <v>77.0</v>
      </c>
      <c r="I226" s="101">
        <v>70.0</v>
      </c>
      <c r="J226" s="102">
        <f t="shared" ref="J226:J237" si="33">H226-I226</f>
        <v>7</v>
      </c>
      <c r="K226" s="103">
        <f t="shared" ref="K226:K237" si="34">I226/F226*100</f>
        <v>10.32448378</v>
      </c>
      <c r="L226" s="54"/>
      <c r="M226" s="205" t="str">
        <f>"тотал"&amp;" "&amp;B225&amp;" "&amp;RIGHT(YEAR(B226),2)</f>
        <v>тотал МАРТ 25</v>
      </c>
      <c r="N226" s="75"/>
      <c r="O226" s="75"/>
      <c r="P226" s="75"/>
      <c r="Q226" s="76"/>
    </row>
    <row r="227">
      <c r="A227" s="54"/>
      <c r="B227" s="110">
        <v>45718.0</v>
      </c>
      <c r="C227" s="110"/>
      <c r="D227" s="99"/>
      <c r="E227" s="111">
        <v>2100586.0</v>
      </c>
      <c r="F227" s="99">
        <f t="shared" ref="F227:F237" si="35">E227-E226</f>
        <v>509</v>
      </c>
      <c r="G227" s="100">
        <v>448.0</v>
      </c>
      <c r="H227" s="101">
        <v>307.0</v>
      </c>
      <c r="I227" s="101">
        <v>330.0</v>
      </c>
      <c r="J227" s="102">
        <f t="shared" si="33"/>
        <v>-23</v>
      </c>
      <c r="K227" s="103">
        <f t="shared" si="34"/>
        <v>64.83300589</v>
      </c>
      <c r="L227" s="54"/>
      <c r="M227" s="83" t="s">
        <v>70</v>
      </c>
      <c r="N227" s="83" t="s">
        <v>71</v>
      </c>
      <c r="O227" s="83" t="s">
        <v>27</v>
      </c>
      <c r="P227" s="83" t="s">
        <v>28</v>
      </c>
      <c r="Q227" s="321" t="s">
        <v>78</v>
      </c>
    </row>
    <row r="228">
      <c r="A228" s="54"/>
      <c r="B228" s="110">
        <v>45718.0</v>
      </c>
      <c r="C228" s="110"/>
      <c r="D228" s="99"/>
      <c r="E228" s="100">
        <v>2101030.0</v>
      </c>
      <c r="F228" s="99">
        <f t="shared" si="35"/>
        <v>444</v>
      </c>
      <c r="G228" s="100">
        <v>394.0</v>
      </c>
      <c r="H228" s="101">
        <v>77.0</v>
      </c>
      <c r="I228" s="101">
        <v>70.0</v>
      </c>
      <c r="J228" s="102">
        <f t="shared" si="33"/>
        <v>7</v>
      </c>
      <c r="K228" s="103">
        <f t="shared" si="34"/>
        <v>15.76576577</v>
      </c>
      <c r="L228" s="54"/>
      <c r="M228" s="84">
        <f>SUM(F226:F237)</f>
        <v>8346</v>
      </c>
      <c r="N228" s="84">
        <f>SUM(I226:I237)</f>
        <v>2604.1</v>
      </c>
      <c r="O228" s="85">
        <f>N228/M228*100</f>
        <v>31.2017733</v>
      </c>
      <c r="P228" s="84">
        <f>(M228/100)*(O228-Q228)</f>
        <v>100.3</v>
      </c>
      <c r="Q228" s="464">
        <v>30.0</v>
      </c>
    </row>
    <row r="229">
      <c r="A229" s="54"/>
      <c r="B229" s="110">
        <v>45719.0</v>
      </c>
      <c r="C229" s="110"/>
      <c r="D229" s="99"/>
      <c r="E229" s="100">
        <v>2101958.0</v>
      </c>
      <c r="F229" s="99">
        <f t="shared" si="35"/>
        <v>928</v>
      </c>
      <c r="G229" s="100">
        <v>439.0</v>
      </c>
      <c r="H229" s="101">
        <v>366.0</v>
      </c>
      <c r="I229" s="101">
        <v>400.0</v>
      </c>
      <c r="J229" s="102">
        <f t="shared" si="33"/>
        <v>-34</v>
      </c>
      <c r="K229" s="103">
        <f t="shared" si="34"/>
        <v>43.10344828</v>
      </c>
      <c r="L229" s="54"/>
      <c r="M229" s="54"/>
      <c r="N229" s="54"/>
      <c r="O229" s="54"/>
      <c r="P229" s="54"/>
    </row>
    <row r="230">
      <c r="A230" s="54"/>
      <c r="B230" s="110">
        <v>45720.0</v>
      </c>
      <c r="C230" s="110"/>
      <c r="D230" s="99"/>
      <c r="E230" s="100">
        <v>2102762.0</v>
      </c>
      <c r="F230" s="99">
        <f t="shared" si="35"/>
        <v>804</v>
      </c>
      <c r="G230" s="100">
        <v>432.0</v>
      </c>
      <c r="H230" s="101">
        <v>235.0</v>
      </c>
      <c r="I230" s="101">
        <v>260.0</v>
      </c>
      <c r="J230" s="102">
        <f t="shared" si="33"/>
        <v>-25</v>
      </c>
      <c r="K230" s="103">
        <f t="shared" si="34"/>
        <v>32.33830846</v>
      </c>
      <c r="L230" s="54"/>
      <c r="M230" s="54"/>
      <c r="N230" s="54"/>
      <c r="O230" s="54"/>
      <c r="P230" s="54"/>
    </row>
    <row r="231">
      <c r="A231" s="54"/>
      <c r="B231" s="110">
        <v>45721.0</v>
      </c>
      <c r="C231" s="110"/>
      <c r="D231" s="99"/>
      <c r="E231" s="100">
        <v>2103441.0</v>
      </c>
      <c r="F231" s="99">
        <f t="shared" si="35"/>
        <v>679</v>
      </c>
      <c r="G231" s="100">
        <v>362.0</v>
      </c>
      <c r="H231" s="101">
        <v>129.0</v>
      </c>
      <c r="I231" s="101">
        <v>140.0</v>
      </c>
      <c r="J231" s="102">
        <f t="shared" si="33"/>
        <v>-11</v>
      </c>
      <c r="K231" s="103">
        <f t="shared" si="34"/>
        <v>20.6185567</v>
      </c>
      <c r="L231" s="54"/>
      <c r="M231" s="54"/>
      <c r="N231" s="54"/>
      <c r="O231" s="54"/>
      <c r="P231" s="54"/>
    </row>
    <row r="232">
      <c r="A232" s="54"/>
      <c r="B232" s="110">
        <v>45721.0</v>
      </c>
      <c r="C232" s="110"/>
      <c r="D232" s="99"/>
      <c r="E232" s="100">
        <v>2103635.0</v>
      </c>
      <c r="F232" s="99">
        <f t="shared" si="35"/>
        <v>194</v>
      </c>
      <c r="G232" s="100">
        <v>436.0</v>
      </c>
      <c r="H232" s="101">
        <v>141.0</v>
      </c>
      <c r="I232" s="101">
        <v>170.0</v>
      </c>
      <c r="J232" s="102">
        <f t="shared" si="33"/>
        <v>-29</v>
      </c>
      <c r="K232" s="103">
        <f t="shared" si="34"/>
        <v>87.62886598</v>
      </c>
      <c r="L232" s="54"/>
      <c r="M232" s="54"/>
      <c r="N232" s="54"/>
      <c r="O232" s="54"/>
      <c r="P232" s="54"/>
    </row>
    <row r="233">
      <c r="A233" s="54"/>
      <c r="B233" s="110">
        <v>45722.0</v>
      </c>
      <c r="C233" s="110"/>
      <c r="D233" s="99"/>
      <c r="E233" s="100">
        <v>2104439.0</v>
      </c>
      <c r="F233" s="99">
        <f t="shared" si="35"/>
        <v>804</v>
      </c>
      <c r="G233" s="100">
        <v>422.0</v>
      </c>
      <c r="H233" s="101">
        <v>219.0</v>
      </c>
      <c r="I233" s="101">
        <v>230.0</v>
      </c>
      <c r="J233" s="102">
        <f t="shared" si="33"/>
        <v>-11</v>
      </c>
      <c r="K233" s="103">
        <f t="shared" si="34"/>
        <v>28.60696517</v>
      </c>
      <c r="L233" s="54"/>
      <c r="M233" s="54"/>
      <c r="N233" s="54"/>
      <c r="O233" s="54"/>
      <c r="P233" s="54"/>
    </row>
    <row r="234">
      <c r="A234" s="54"/>
      <c r="B234" s="110">
        <v>45726.0</v>
      </c>
      <c r="C234" s="110"/>
      <c r="D234" s="99"/>
      <c r="E234" s="100">
        <v>2105524.0</v>
      </c>
      <c r="F234" s="99">
        <f t="shared" si="35"/>
        <v>1085</v>
      </c>
      <c r="G234" s="100">
        <v>460.0</v>
      </c>
      <c r="H234" s="101">
        <v>368.0</v>
      </c>
      <c r="I234" s="101">
        <v>356.8</v>
      </c>
      <c r="J234" s="102">
        <f t="shared" si="33"/>
        <v>11.2</v>
      </c>
      <c r="K234" s="103">
        <f t="shared" si="34"/>
        <v>32.88479263</v>
      </c>
      <c r="L234" s="54"/>
      <c r="M234" s="54"/>
      <c r="N234" s="54"/>
      <c r="O234" s="54"/>
      <c r="P234" s="54"/>
    </row>
    <row r="235">
      <c r="A235" s="54"/>
      <c r="B235" s="110">
        <v>45726.0</v>
      </c>
      <c r="C235" s="110"/>
      <c r="D235" s="99"/>
      <c r="E235" s="100">
        <v>2106041.0</v>
      </c>
      <c r="F235" s="99">
        <f t="shared" si="35"/>
        <v>517</v>
      </c>
      <c r="G235" s="100">
        <v>460.0</v>
      </c>
      <c r="H235" s="101">
        <v>130.0</v>
      </c>
      <c r="I235" s="101">
        <v>130.86</v>
      </c>
      <c r="J235" s="102">
        <f t="shared" si="33"/>
        <v>-0.86</v>
      </c>
      <c r="K235" s="103">
        <f t="shared" si="34"/>
        <v>25.31141199</v>
      </c>
      <c r="L235" s="54"/>
      <c r="M235" s="54"/>
      <c r="N235" s="54"/>
      <c r="O235" s="54"/>
      <c r="P235" s="54"/>
    </row>
    <row r="236">
      <c r="A236" s="54"/>
      <c r="B236" s="110">
        <v>45727.0</v>
      </c>
      <c r="C236" s="110"/>
      <c r="D236" s="99"/>
      <c r="E236" s="100">
        <v>2106955.0</v>
      </c>
      <c r="F236" s="99">
        <f t="shared" si="35"/>
        <v>914</v>
      </c>
      <c r="G236" s="100">
        <v>456.0</v>
      </c>
      <c r="H236" s="101">
        <v>218.0</v>
      </c>
      <c r="I236" s="101">
        <v>213.05</v>
      </c>
      <c r="J236" s="102">
        <f t="shared" si="33"/>
        <v>4.95</v>
      </c>
      <c r="K236" s="103">
        <f t="shared" si="34"/>
        <v>23.30962801</v>
      </c>
      <c r="L236" s="54"/>
      <c r="M236" s="54"/>
      <c r="N236" s="54"/>
      <c r="O236" s="54"/>
      <c r="P236" s="54"/>
    </row>
    <row r="237">
      <c r="A237" s="54"/>
      <c r="B237" s="110">
        <v>45747.0</v>
      </c>
      <c r="C237" s="110"/>
      <c r="D237" s="99"/>
      <c r="E237" s="100">
        <v>2107745.0</v>
      </c>
      <c r="F237" s="99">
        <f t="shared" si="35"/>
        <v>790</v>
      </c>
      <c r="G237" s="100">
        <v>460.0</v>
      </c>
      <c r="H237" s="101">
        <v>222.0</v>
      </c>
      <c r="I237" s="101">
        <v>233.39</v>
      </c>
      <c r="J237" s="102">
        <f t="shared" si="33"/>
        <v>-11.39</v>
      </c>
      <c r="K237" s="103">
        <f t="shared" si="34"/>
        <v>29.54303797</v>
      </c>
      <c r="L237" s="54"/>
      <c r="M237" s="54"/>
      <c r="N237" s="54"/>
      <c r="O237" s="54"/>
      <c r="P237" s="54"/>
    </row>
    <row r="238">
      <c r="A238" s="68"/>
      <c r="B238" s="203" t="str">
        <f>IF(L238=4,"АПРЕЛЬ",IF(L238=5,"МАЙ",IF(L238=1,"ЯНВАРЬ",IF(L238=2,"ФЕВРАЛЬ",IF(L238=3,"МАРТ",IF(L238=6,"ИЮНЬ",IF(L238=7,"ИЮЛЬ",IF(L238=8,"АВГУСТ",IF(L238=9,"СЕНТЯБРЬ",IF(L238=10,"ОКТЯБРЬ",IF(L238=11,"НОЯБРЬ",IF(L238=12,"ДЕКАБРЬ"))))))))))))</f>
        <v>АПРЕЛЬ</v>
      </c>
      <c r="J238" s="88"/>
      <c r="K238" s="204"/>
      <c r="L238" s="91">
        <f>MONTH(B239)</f>
        <v>4</v>
      </c>
      <c r="M238" s="66"/>
      <c r="N238" s="66"/>
      <c r="O238" s="66"/>
      <c r="P238" s="66"/>
      <c r="Q238" s="66"/>
    </row>
    <row r="239">
      <c r="A239" s="54"/>
      <c r="B239" s="110">
        <v>45748.0</v>
      </c>
      <c r="C239" s="110"/>
      <c r="D239" s="99"/>
      <c r="E239" s="100">
        <v>2108569.0</v>
      </c>
      <c r="F239" s="99">
        <f>E239-E237</f>
        <v>824</v>
      </c>
      <c r="G239" s="100">
        <v>403.0</v>
      </c>
      <c r="H239" s="101">
        <v>168.0</v>
      </c>
      <c r="I239" s="101">
        <v>166.51</v>
      </c>
      <c r="J239" s="102">
        <f t="shared" ref="J239:J250" si="36">H239-I239</f>
        <v>1.49</v>
      </c>
      <c r="K239" s="103">
        <f t="shared" ref="K239:K250" si="37">I239/F239*100</f>
        <v>20.20752427</v>
      </c>
      <c r="L239" s="54"/>
      <c r="M239" s="205" t="str">
        <f>"тотал"&amp;" "&amp;B238&amp;" "&amp;RIGHT(YEAR(B239),2)</f>
        <v>тотал АПРЕЛЬ 25</v>
      </c>
      <c r="N239" s="75"/>
      <c r="O239" s="75"/>
      <c r="P239" s="75"/>
      <c r="Q239" s="76"/>
    </row>
    <row r="240">
      <c r="A240" s="54"/>
      <c r="B240" s="110">
        <v>45749.0</v>
      </c>
      <c r="C240" s="110"/>
      <c r="D240" s="99"/>
      <c r="E240" s="100">
        <v>2109364.0</v>
      </c>
      <c r="F240" s="99">
        <f t="shared" ref="F240:F250" si="38">E240-E239</f>
        <v>795</v>
      </c>
      <c r="G240" s="100">
        <v>460.0</v>
      </c>
      <c r="H240" s="101">
        <v>288.0</v>
      </c>
      <c r="I240" s="101">
        <v>307.78</v>
      </c>
      <c r="J240" s="102">
        <f t="shared" si="36"/>
        <v>-19.78</v>
      </c>
      <c r="K240" s="103">
        <f t="shared" si="37"/>
        <v>38.71446541</v>
      </c>
      <c r="L240" s="54"/>
      <c r="M240" s="83" t="s">
        <v>70</v>
      </c>
      <c r="N240" s="83" t="s">
        <v>71</v>
      </c>
      <c r="O240" s="83" t="s">
        <v>27</v>
      </c>
      <c r="P240" s="83" t="s">
        <v>28</v>
      </c>
      <c r="Q240" s="321" t="s">
        <v>78</v>
      </c>
    </row>
    <row r="241">
      <c r="A241" s="54"/>
      <c r="B241" s="110">
        <v>45750.0</v>
      </c>
      <c r="C241" s="110"/>
      <c r="D241" s="99"/>
      <c r="E241" s="100">
        <v>2110153.0</v>
      </c>
      <c r="F241" s="99">
        <f t="shared" si="38"/>
        <v>789</v>
      </c>
      <c r="G241" s="100">
        <v>435.0</v>
      </c>
      <c r="H241" s="101">
        <v>196.0</v>
      </c>
      <c r="I241" s="101">
        <v>200.0</v>
      </c>
      <c r="J241" s="102">
        <f t="shared" si="36"/>
        <v>-4</v>
      </c>
      <c r="K241" s="103">
        <f t="shared" si="37"/>
        <v>25.34854246</v>
      </c>
      <c r="L241" s="54"/>
      <c r="M241" s="84">
        <f>SUM(F239:F250)</f>
        <v>9962</v>
      </c>
      <c r="N241" s="84">
        <f>SUM(I239:I250)</f>
        <v>3049.66</v>
      </c>
      <c r="O241" s="85">
        <f>N241/M241*100</f>
        <v>30.61292913</v>
      </c>
      <c r="P241" s="84">
        <f>(M241/100)*(O241-Q241)</f>
        <v>61.06</v>
      </c>
      <c r="Q241" s="464">
        <v>30.0</v>
      </c>
    </row>
    <row r="242">
      <c r="A242" s="54"/>
      <c r="B242" s="110">
        <v>45751.0</v>
      </c>
      <c r="C242" s="110"/>
      <c r="D242" s="99"/>
      <c r="E242" s="100">
        <v>2110949.0</v>
      </c>
      <c r="F242" s="99">
        <f t="shared" si="38"/>
        <v>796</v>
      </c>
      <c r="G242" s="100">
        <v>460.0</v>
      </c>
      <c r="H242" s="101">
        <v>267.0</v>
      </c>
      <c r="I242" s="101">
        <v>285.0</v>
      </c>
      <c r="J242" s="102">
        <f t="shared" si="36"/>
        <v>-18</v>
      </c>
      <c r="K242" s="103">
        <f t="shared" si="37"/>
        <v>35.8040201</v>
      </c>
      <c r="L242" s="54"/>
      <c r="M242" s="54"/>
      <c r="N242" s="54"/>
      <c r="O242" s="54"/>
      <c r="P242" s="54"/>
    </row>
    <row r="243">
      <c r="A243" s="54"/>
      <c r="B243" s="110">
        <v>45752.0</v>
      </c>
      <c r="C243" s="110"/>
      <c r="D243" s="99"/>
      <c r="E243" s="100">
        <v>2111737.0</v>
      </c>
      <c r="F243" s="99">
        <f t="shared" si="38"/>
        <v>788</v>
      </c>
      <c r="G243" s="100">
        <v>419.0</v>
      </c>
      <c r="H243" s="101">
        <v>195.0</v>
      </c>
      <c r="I243" s="101">
        <v>199.98</v>
      </c>
      <c r="J243" s="102">
        <f t="shared" si="36"/>
        <v>-4.98</v>
      </c>
      <c r="K243" s="103">
        <f t="shared" si="37"/>
        <v>25.37817259</v>
      </c>
      <c r="L243" s="54"/>
      <c r="M243" s="54"/>
      <c r="N243" s="54"/>
      <c r="O243" s="54"/>
      <c r="P243" s="54"/>
    </row>
    <row r="244">
      <c r="A244" s="54"/>
      <c r="B244" s="110">
        <v>45754.0</v>
      </c>
      <c r="C244" s="110"/>
      <c r="D244" s="99"/>
      <c r="E244" s="100">
        <v>2112692.0</v>
      </c>
      <c r="F244" s="99">
        <f t="shared" si="38"/>
        <v>955</v>
      </c>
      <c r="G244" s="100">
        <v>460.0</v>
      </c>
      <c r="H244" s="101">
        <v>319.0</v>
      </c>
      <c r="I244" s="101">
        <v>342.3</v>
      </c>
      <c r="J244" s="102">
        <f t="shared" si="36"/>
        <v>-23.3</v>
      </c>
      <c r="K244" s="103">
        <f t="shared" si="37"/>
        <v>35.84293194</v>
      </c>
      <c r="L244" s="54"/>
      <c r="M244" s="54"/>
      <c r="N244" s="54"/>
      <c r="O244" s="54"/>
      <c r="P244" s="54"/>
    </row>
    <row r="245">
      <c r="A245" s="54"/>
      <c r="B245" s="110">
        <v>45755.0</v>
      </c>
      <c r="C245" s="110"/>
      <c r="D245" s="99"/>
      <c r="E245" s="100">
        <v>2113481.0</v>
      </c>
      <c r="F245" s="99">
        <f t="shared" si="38"/>
        <v>789</v>
      </c>
      <c r="G245" s="100">
        <v>419.0</v>
      </c>
      <c r="H245" s="101">
        <v>192.0</v>
      </c>
      <c r="I245" s="101">
        <v>200.0</v>
      </c>
      <c r="J245" s="102">
        <f t="shared" si="36"/>
        <v>-8</v>
      </c>
      <c r="K245" s="103">
        <f t="shared" si="37"/>
        <v>25.34854246</v>
      </c>
      <c r="L245" s="54"/>
      <c r="M245" s="54"/>
      <c r="N245" s="54"/>
      <c r="O245" s="54"/>
      <c r="P245" s="54"/>
    </row>
    <row r="246">
      <c r="A246" s="54"/>
      <c r="B246" s="110">
        <v>45756.0</v>
      </c>
      <c r="C246" s="110"/>
      <c r="D246" s="99"/>
      <c r="E246" s="100">
        <v>2114277.0</v>
      </c>
      <c r="F246" s="99">
        <f t="shared" si="38"/>
        <v>796</v>
      </c>
      <c r="G246" s="100">
        <v>458.0</v>
      </c>
      <c r="H246" s="101">
        <v>264.0</v>
      </c>
      <c r="I246" s="101">
        <v>288.06</v>
      </c>
      <c r="J246" s="102">
        <f t="shared" si="36"/>
        <v>-24.06</v>
      </c>
      <c r="K246" s="103">
        <f t="shared" si="37"/>
        <v>36.18844221</v>
      </c>
      <c r="L246" s="54"/>
      <c r="M246" s="54"/>
      <c r="N246" s="54"/>
      <c r="O246" s="54"/>
      <c r="P246" s="54"/>
    </row>
    <row r="247">
      <c r="A247" s="54"/>
      <c r="B247" s="110">
        <v>45757.0</v>
      </c>
      <c r="C247" s="110"/>
      <c r="D247" s="99"/>
      <c r="E247" s="100">
        <v>2115066.0</v>
      </c>
      <c r="F247" s="99">
        <f t="shared" si="38"/>
        <v>789</v>
      </c>
      <c r="G247" s="100">
        <v>414.0</v>
      </c>
      <c r="H247" s="101">
        <v>195.0</v>
      </c>
      <c r="I247" s="101">
        <v>200.0</v>
      </c>
      <c r="J247" s="102">
        <f t="shared" si="36"/>
        <v>-5</v>
      </c>
      <c r="K247" s="103">
        <f t="shared" si="37"/>
        <v>25.34854246</v>
      </c>
      <c r="L247" s="54"/>
      <c r="M247" s="54"/>
      <c r="N247" s="54"/>
      <c r="O247" s="54"/>
      <c r="P247" s="54"/>
    </row>
    <row r="248">
      <c r="A248" s="54"/>
      <c r="B248" s="110">
        <v>45758.0</v>
      </c>
      <c r="C248" s="110"/>
      <c r="D248" s="99"/>
      <c r="E248" s="100">
        <v>2115857.0</v>
      </c>
      <c r="F248" s="99">
        <f t="shared" si="38"/>
        <v>791</v>
      </c>
      <c r="G248" s="100">
        <v>460.0</v>
      </c>
      <c r="H248" s="101">
        <v>277.0</v>
      </c>
      <c r="I248" s="101">
        <v>300.03</v>
      </c>
      <c r="J248" s="102">
        <f t="shared" si="36"/>
        <v>-23.03</v>
      </c>
      <c r="K248" s="103">
        <f t="shared" si="37"/>
        <v>37.93046776</v>
      </c>
      <c r="L248" s="54"/>
      <c r="M248" s="54"/>
      <c r="N248" s="54"/>
      <c r="O248" s="54"/>
      <c r="P248" s="54"/>
    </row>
    <row r="249">
      <c r="A249" s="54"/>
      <c r="B249" s="110">
        <v>45759.0</v>
      </c>
      <c r="C249" s="110"/>
      <c r="D249" s="99"/>
      <c r="E249" s="100">
        <v>2116645.0</v>
      </c>
      <c r="F249" s="99">
        <f t="shared" si="38"/>
        <v>788</v>
      </c>
      <c r="G249" s="100">
        <v>413.0</v>
      </c>
      <c r="H249" s="101">
        <v>196.0</v>
      </c>
      <c r="I249" s="101">
        <v>200.0</v>
      </c>
      <c r="J249" s="102">
        <f t="shared" si="36"/>
        <v>-4</v>
      </c>
      <c r="K249" s="103">
        <f t="shared" si="37"/>
        <v>25.38071066</v>
      </c>
      <c r="L249" s="54"/>
      <c r="M249" s="54"/>
      <c r="N249" s="54"/>
      <c r="O249" s="54"/>
      <c r="P249" s="54"/>
    </row>
    <row r="250">
      <c r="A250" s="54"/>
      <c r="B250" s="110">
        <v>45760.0</v>
      </c>
      <c r="C250" s="110"/>
      <c r="D250" s="99"/>
      <c r="E250" s="100">
        <v>2117707.0</v>
      </c>
      <c r="F250" s="99">
        <f t="shared" si="38"/>
        <v>1062</v>
      </c>
      <c r="G250" s="100">
        <v>460.0</v>
      </c>
      <c r="H250" s="101">
        <v>343.0</v>
      </c>
      <c r="I250" s="101">
        <v>360.0</v>
      </c>
      <c r="J250" s="102">
        <f t="shared" si="36"/>
        <v>-17</v>
      </c>
      <c r="K250" s="103">
        <f t="shared" si="37"/>
        <v>33.89830508</v>
      </c>
      <c r="L250" s="54"/>
      <c r="M250" s="54"/>
      <c r="N250" s="54"/>
      <c r="O250" s="54"/>
      <c r="P250" s="54"/>
    </row>
    <row r="251">
      <c r="A251" s="68"/>
      <c r="B251" s="203" t="str">
        <f>IF(L251=4,"АПРЕЛЬ",IF(L251=5,"МАЙ",IF(L251=1,"ЯНВАРЬ",IF(L251=2,"ФЕВРАЛЬ",IF(L251=3,"МАРТ",IF(L251=6,"ИЮНЬ",IF(L251=7,"ИЮЛЬ",IF(L251=8,"АВГУСТ",IF(L251=9,"СЕНТЯБРЬ",IF(L251=10,"ОКТЯБРЬ",IF(L251=11,"НОЯБРЬ",IF(L251=12,"ДЕКАБРЬ"))))))))))))</f>
        <v>МАЙ</v>
      </c>
      <c r="J251" s="88"/>
      <c r="K251" s="204"/>
      <c r="L251" s="91">
        <f>MONTH(B252)</f>
        <v>5</v>
      </c>
      <c r="M251" s="66"/>
      <c r="N251" s="66"/>
      <c r="O251" s="66"/>
      <c r="P251" s="66"/>
      <c r="Q251" s="66"/>
    </row>
    <row r="252">
      <c r="A252" s="60">
        <v>8378.0</v>
      </c>
      <c r="B252" s="110">
        <v>45782.0</v>
      </c>
      <c r="C252" s="110"/>
      <c r="D252" s="99"/>
      <c r="E252" s="99"/>
      <c r="F252" s="99"/>
      <c r="G252" s="99"/>
      <c r="H252" s="102"/>
      <c r="I252" s="101">
        <v>180.0</v>
      </c>
      <c r="J252" s="102"/>
      <c r="K252" s="102"/>
      <c r="L252" s="481" t="s">
        <v>437</v>
      </c>
      <c r="O252" s="54"/>
      <c r="P252" s="54"/>
    </row>
    <row r="253">
      <c r="A253" s="476" t="s">
        <v>430</v>
      </c>
      <c r="B253" s="110">
        <v>45784.0</v>
      </c>
      <c r="C253" s="110"/>
      <c r="D253" s="99"/>
      <c r="E253" s="99"/>
      <c r="F253" s="99"/>
      <c r="G253" s="99"/>
      <c r="H253" s="102"/>
      <c r="I253" s="101">
        <v>480.01</v>
      </c>
      <c r="J253" s="102"/>
      <c r="K253" s="102"/>
      <c r="O253" s="54"/>
      <c r="P253" s="54"/>
    </row>
    <row r="254">
      <c r="A254" s="60">
        <v>8378.0</v>
      </c>
      <c r="B254" s="110">
        <v>45788.0</v>
      </c>
      <c r="C254" s="110"/>
      <c r="D254" s="99"/>
      <c r="E254" s="99"/>
      <c r="F254" s="99"/>
      <c r="G254" s="99"/>
      <c r="H254" s="102"/>
      <c r="I254" s="101">
        <v>497.0</v>
      </c>
      <c r="J254" s="102"/>
      <c r="K254" s="102"/>
      <c r="O254" s="54"/>
      <c r="P254" s="54"/>
    </row>
    <row r="255">
      <c r="A255" s="60">
        <v>8378.0</v>
      </c>
      <c r="B255" s="110">
        <v>45789.0</v>
      </c>
      <c r="C255" s="110"/>
      <c r="D255" s="99"/>
      <c r="E255" s="99"/>
      <c r="F255" s="99"/>
      <c r="G255" s="99"/>
      <c r="H255" s="102"/>
      <c r="I255" s="101">
        <v>100.0</v>
      </c>
      <c r="J255" s="102"/>
      <c r="K255" s="102"/>
      <c r="O255" s="54"/>
      <c r="P255" s="54"/>
    </row>
    <row r="256">
      <c r="A256" s="476" t="s">
        <v>430</v>
      </c>
      <c r="B256" s="110">
        <v>45791.0</v>
      </c>
      <c r="C256" s="110"/>
      <c r="D256" s="99"/>
      <c r="E256" s="99"/>
      <c r="F256" s="99"/>
      <c r="G256" s="99"/>
      <c r="H256" s="102"/>
      <c r="I256" s="101">
        <v>447.0</v>
      </c>
      <c r="J256" s="102"/>
      <c r="K256" s="102"/>
      <c r="O256" s="54"/>
      <c r="P256" s="54"/>
    </row>
    <row r="257">
      <c r="A257" s="60">
        <v>8378.0</v>
      </c>
      <c r="B257" s="110">
        <v>45793.0</v>
      </c>
      <c r="C257" s="110"/>
      <c r="D257" s="99"/>
      <c r="E257" s="99"/>
      <c r="F257" s="99"/>
      <c r="G257" s="99"/>
      <c r="H257" s="102"/>
      <c r="I257" s="102">
        <f>500-65</f>
        <v>435</v>
      </c>
      <c r="J257" s="102"/>
      <c r="K257" s="102"/>
      <c r="O257" s="54"/>
      <c r="P257" s="54"/>
    </row>
    <row r="258">
      <c r="A258" s="476" t="s">
        <v>430</v>
      </c>
      <c r="B258" s="110">
        <v>45796.0</v>
      </c>
      <c r="C258" s="110"/>
      <c r="D258" s="99"/>
      <c r="E258" s="99"/>
      <c r="F258" s="99"/>
      <c r="G258" s="99"/>
      <c r="H258" s="102"/>
      <c r="I258" s="101">
        <v>500.0</v>
      </c>
      <c r="J258" s="102"/>
      <c r="K258" s="102"/>
      <c r="O258" s="54"/>
      <c r="P258" s="54"/>
    </row>
    <row r="259">
      <c r="A259" s="60">
        <v>8378.0</v>
      </c>
      <c r="B259" s="110">
        <v>45799.0</v>
      </c>
      <c r="C259" s="110"/>
      <c r="D259" s="99"/>
      <c r="E259" s="99"/>
      <c r="F259" s="99"/>
      <c r="G259" s="99"/>
      <c r="H259" s="102"/>
      <c r="I259" s="102">
        <f>500-9.99</f>
        <v>490.01</v>
      </c>
      <c r="J259" s="102"/>
      <c r="K259" s="102"/>
      <c r="O259" s="54"/>
      <c r="P259" s="54"/>
    </row>
    <row r="260">
      <c r="A260" s="60">
        <v>8378.0</v>
      </c>
      <c r="B260" s="110">
        <v>45803.0</v>
      </c>
      <c r="C260" s="110"/>
      <c r="D260" s="99"/>
      <c r="E260" s="99"/>
      <c r="F260" s="99"/>
      <c r="G260" s="99"/>
      <c r="H260" s="102"/>
      <c r="I260" s="101">
        <v>460.0</v>
      </c>
      <c r="J260" s="102"/>
      <c r="K260" s="102"/>
      <c r="O260" s="54"/>
      <c r="P260" s="54"/>
    </row>
    <row r="261">
      <c r="A261" s="60">
        <v>8378.0</v>
      </c>
      <c r="B261" s="110">
        <v>45805.0</v>
      </c>
      <c r="C261" s="110"/>
      <c r="D261" s="99"/>
      <c r="E261" s="99"/>
      <c r="F261" s="99"/>
      <c r="G261" s="99"/>
      <c r="H261" s="102"/>
      <c r="I261" s="101">
        <f>500-55.36</f>
        <v>444.64</v>
      </c>
      <c r="J261" s="102"/>
      <c r="K261" s="102"/>
      <c r="O261" s="54"/>
      <c r="P261" s="54"/>
    </row>
    <row r="262">
      <c r="A262" s="60">
        <v>8378.0</v>
      </c>
      <c r="B262" s="110">
        <v>45807.0</v>
      </c>
      <c r="C262" s="110"/>
      <c r="D262" s="99"/>
      <c r="E262" s="99"/>
      <c r="F262" s="99"/>
      <c r="G262" s="99"/>
      <c r="H262" s="102"/>
      <c r="I262" s="102">
        <f>141.6*2+141.38</f>
        <v>424.58</v>
      </c>
      <c r="J262" s="102"/>
      <c r="K262" s="102"/>
      <c r="O262" s="54"/>
      <c r="P262" s="54"/>
    </row>
    <row r="263">
      <c r="A263" s="68"/>
      <c r="B263" s="203" t="str">
        <f>IF(L263=4,"АПРЕЛЬ",IF(L263=5,"МАЙ",IF(L263=1,"ЯНВАРЬ",IF(L263=2,"ФЕВРАЛЬ",IF(L263=3,"МАРТ",IF(L263=6,"ИЮНЬ",IF(L263=7,"ИЮЛЬ",IF(L263=8,"АВГУСТ",IF(L263=9,"СЕНТЯБРЬ",IF(L263=10,"ОКТЯБРЬ",IF(L263=11,"НОЯБРЬ",IF(L263=12,"ДЕКАБРЬ"))))))))))))</f>
        <v>ИЮНЬ</v>
      </c>
      <c r="J263" s="88"/>
      <c r="K263" s="204"/>
      <c r="L263" s="91">
        <f>MONTH(B264)</f>
        <v>6</v>
      </c>
      <c r="M263" s="66"/>
      <c r="N263" s="66"/>
      <c r="O263" s="66"/>
      <c r="P263" s="66"/>
      <c r="Q263" s="66"/>
    </row>
    <row r="264">
      <c r="A264" s="54"/>
      <c r="B264" s="110">
        <v>45814.0</v>
      </c>
      <c r="C264" s="100" t="s">
        <v>147</v>
      </c>
      <c r="D264" s="100" t="s">
        <v>291</v>
      </c>
      <c r="E264" s="100">
        <v>2118831.0</v>
      </c>
      <c r="F264" s="99">
        <f>E264-E250</f>
        <v>1124</v>
      </c>
      <c r="G264" s="100">
        <v>460.0</v>
      </c>
      <c r="H264" s="101">
        <v>351.0</v>
      </c>
      <c r="I264" s="102">
        <f>400-29.99</f>
        <v>370.01</v>
      </c>
      <c r="J264" s="102">
        <f t="shared" ref="J264:J279" si="39">H264-I264</f>
        <v>-19.01</v>
      </c>
      <c r="K264" s="103">
        <f t="shared" ref="K264:K279" si="40">I264/F264*100</f>
        <v>32.91903915</v>
      </c>
      <c r="L264" s="54"/>
      <c r="M264" s="205" t="str">
        <f>"тотал"&amp;" "&amp;B263&amp;" "&amp;RIGHT(YEAR(B264),2)</f>
        <v>тотал ИЮНЬ 25</v>
      </c>
      <c r="N264" s="75"/>
      <c r="O264" s="75"/>
      <c r="P264" s="75"/>
      <c r="Q264" s="76"/>
    </row>
    <row r="265">
      <c r="A265" s="54"/>
      <c r="B265" s="110">
        <v>45817.0</v>
      </c>
      <c r="C265" s="100" t="s">
        <v>147</v>
      </c>
      <c r="D265" s="100" t="s">
        <v>291</v>
      </c>
      <c r="E265" s="100">
        <v>2120277.0</v>
      </c>
      <c r="F265" s="99">
        <f t="shared" ref="F265:F279" si="41">E265-E264</f>
        <v>1446</v>
      </c>
      <c r="G265" s="100">
        <v>460.0</v>
      </c>
      <c r="H265" s="101">
        <v>343.0</v>
      </c>
      <c r="I265" s="102">
        <f>400-39</f>
        <v>361</v>
      </c>
      <c r="J265" s="102">
        <f t="shared" si="39"/>
        <v>-18</v>
      </c>
      <c r="K265" s="103">
        <f t="shared" si="40"/>
        <v>24.96542185</v>
      </c>
      <c r="L265" s="54"/>
      <c r="M265" s="83" t="s">
        <v>70</v>
      </c>
      <c r="N265" s="83" t="s">
        <v>71</v>
      </c>
      <c r="O265" s="83" t="s">
        <v>27</v>
      </c>
      <c r="P265" s="83" t="s">
        <v>28</v>
      </c>
      <c r="Q265" s="321" t="s">
        <v>78</v>
      </c>
    </row>
    <row r="266">
      <c r="A266" s="54"/>
      <c r="B266" s="110">
        <v>45820.0</v>
      </c>
      <c r="C266" s="100" t="s">
        <v>147</v>
      </c>
      <c r="D266" s="100" t="s">
        <v>291</v>
      </c>
      <c r="E266" s="100">
        <v>2121544.0</v>
      </c>
      <c r="F266" s="99">
        <f t="shared" si="41"/>
        <v>1267</v>
      </c>
      <c r="G266" s="100">
        <v>460.0</v>
      </c>
      <c r="H266" s="101">
        <v>297.0</v>
      </c>
      <c r="I266" s="101">
        <v>320.0</v>
      </c>
      <c r="J266" s="102">
        <f t="shared" si="39"/>
        <v>-23</v>
      </c>
      <c r="K266" s="103">
        <f t="shared" si="40"/>
        <v>25.25651144</v>
      </c>
      <c r="L266" s="54"/>
      <c r="M266" s="84">
        <f>SUM(F264:F280)</f>
        <v>16480</v>
      </c>
      <c r="N266" s="84">
        <f>SUM(I264:I280)</f>
        <v>3859.43</v>
      </c>
      <c r="O266" s="85">
        <f>N266/M266*100</f>
        <v>23.41887136</v>
      </c>
      <c r="P266" s="84">
        <f>(M266/100)*(O266-Q266)</f>
        <v>-95.77</v>
      </c>
      <c r="Q266" s="464">
        <v>24.0</v>
      </c>
    </row>
    <row r="267">
      <c r="A267" s="54"/>
      <c r="B267" s="110">
        <v>45823.0</v>
      </c>
      <c r="C267" s="100" t="s">
        <v>147</v>
      </c>
      <c r="D267" s="100" t="s">
        <v>291</v>
      </c>
      <c r="E267" s="100">
        <v>2122610.0</v>
      </c>
      <c r="F267" s="99">
        <f t="shared" si="41"/>
        <v>1066</v>
      </c>
      <c r="G267" s="100">
        <v>460.0</v>
      </c>
      <c r="H267" s="101">
        <v>263.0</v>
      </c>
      <c r="I267" s="101">
        <v>272.27</v>
      </c>
      <c r="J267" s="102">
        <f t="shared" si="39"/>
        <v>-9.27</v>
      </c>
      <c r="K267" s="103">
        <f t="shared" si="40"/>
        <v>25.5412758</v>
      </c>
      <c r="L267" s="54"/>
      <c r="M267" s="54"/>
      <c r="N267" s="54"/>
      <c r="O267" s="54"/>
      <c r="P267" s="54"/>
    </row>
    <row r="268">
      <c r="A268" s="54"/>
      <c r="B268" s="110">
        <v>45824.0</v>
      </c>
      <c r="C268" s="100" t="s">
        <v>152</v>
      </c>
      <c r="D268" s="100" t="s">
        <v>155</v>
      </c>
      <c r="E268" s="100">
        <v>2123924.0</v>
      </c>
      <c r="F268" s="99">
        <f t="shared" si="41"/>
        <v>1314</v>
      </c>
      <c r="G268" s="100">
        <v>460.0</v>
      </c>
      <c r="H268" s="101">
        <v>270.0</v>
      </c>
      <c r="I268" s="101">
        <v>272.79</v>
      </c>
      <c r="J268" s="102">
        <f t="shared" si="39"/>
        <v>-2.79</v>
      </c>
      <c r="K268" s="103">
        <f t="shared" si="40"/>
        <v>20.76027397</v>
      </c>
      <c r="L268" s="54"/>
      <c r="M268" s="54"/>
      <c r="N268" s="54"/>
      <c r="O268" s="54"/>
      <c r="P268" s="54"/>
    </row>
    <row r="269">
      <c r="A269" s="54"/>
      <c r="B269" s="110">
        <v>45826.0</v>
      </c>
      <c r="C269" s="100" t="s">
        <v>152</v>
      </c>
      <c r="D269" s="100" t="s">
        <v>155</v>
      </c>
      <c r="E269" s="100">
        <v>2125034.0</v>
      </c>
      <c r="F269" s="99">
        <f t="shared" si="41"/>
        <v>1110</v>
      </c>
      <c r="G269" s="100">
        <v>460.0</v>
      </c>
      <c r="H269" s="101">
        <v>227.0</v>
      </c>
      <c r="I269" s="101">
        <v>230.01</v>
      </c>
      <c r="J269" s="102">
        <f t="shared" si="39"/>
        <v>-3.01</v>
      </c>
      <c r="K269" s="103">
        <f t="shared" si="40"/>
        <v>20.72162162</v>
      </c>
      <c r="L269" s="54"/>
      <c r="M269" s="54"/>
      <c r="N269" s="54"/>
      <c r="O269" s="54"/>
      <c r="P269" s="54"/>
    </row>
    <row r="270">
      <c r="A270" s="54"/>
      <c r="B270" s="110">
        <v>45827.0</v>
      </c>
      <c r="C270" s="100" t="s">
        <v>152</v>
      </c>
      <c r="D270" s="100" t="s">
        <v>155</v>
      </c>
      <c r="E270" s="100">
        <v>2126054.0</v>
      </c>
      <c r="F270" s="99">
        <f t="shared" si="41"/>
        <v>1020</v>
      </c>
      <c r="G270" s="100">
        <v>460.0</v>
      </c>
      <c r="H270" s="101">
        <v>220.0</v>
      </c>
      <c r="I270" s="101">
        <v>227.34</v>
      </c>
      <c r="J270" s="102">
        <f t="shared" si="39"/>
        <v>-7.34</v>
      </c>
      <c r="K270" s="103">
        <f t="shared" si="40"/>
        <v>22.28823529</v>
      </c>
      <c r="L270" s="54"/>
      <c r="M270" s="54"/>
      <c r="N270" s="54"/>
      <c r="O270" s="54"/>
      <c r="P270" s="54"/>
    </row>
    <row r="271">
      <c r="A271" s="54"/>
      <c r="B271" s="110">
        <v>45828.0</v>
      </c>
      <c r="C271" s="100" t="s">
        <v>152</v>
      </c>
      <c r="D271" s="100" t="s">
        <v>155</v>
      </c>
      <c r="E271" s="100">
        <v>2127462.0</v>
      </c>
      <c r="F271" s="99">
        <f t="shared" si="41"/>
        <v>1408</v>
      </c>
      <c r="G271" s="100">
        <v>460.0</v>
      </c>
      <c r="H271" s="101">
        <v>319.0</v>
      </c>
      <c r="I271" s="101">
        <v>327.0</v>
      </c>
      <c r="J271" s="102">
        <f t="shared" si="39"/>
        <v>-8</v>
      </c>
      <c r="K271" s="103">
        <f t="shared" si="40"/>
        <v>23.22443182</v>
      </c>
      <c r="L271" s="54"/>
      <c r="M271" s="54"/>
      <c r="N271" s="54"/>
      <c r="O271" s="54"/>
      <c r="P271" s="54"/>
    </row>
    <row r="272">
      <c r="A272" s="54"/>
      <c r="B272" s="110">
        <v>45829.0</v>
      </c>
      <c r="C272" s="100" t="s">
        <v>152</v>
      </c>
      <c r="D272" s="100" t="s">
        <v>155</v>
      </c>
      <c r="E272" s="100">
        <v>2127918.0</v>
      </c>
      <c r="F272" s="99">
        <f t="shared" si="41"/>
        <v>456</v>
      </c>
      <c r="G272" s="100">
        <v>453.0</v>
      </c>
      <c r="H272" s="101">
        <v>81.0</v>
      </c>
      <c r="I272" s="101">
        <v>73.0</v>
      </c>
      <c r="J272" s="102">
        <f t="shared" si="39"/>
        <v>8</v>
      </c>
      <c r="K272" s="103">
        <f t="shared" si="40"/>
        <v>16.00877193</v>
      </c>
      <c r="L272" s="54"/>
      <c r="M272" s="54"/>
      <c r="N272" s="54"/>
      <c r="O272" s="54"/>
      <c r="P272" s="54"/>
    </row>
    <row r="273">
      <c r="A273" s="54"/>
      <c r="B273" s="110">
        <v>45831.0</v>
      </c>
      <c r="C273" s="100" t="s">
        <v>152</v>
      </c>
      <c r="D273" s="100" t="s">
        <v>155</v>
      </c>
      <c r="E273" s="100">
        <v>2128816.0</v>
      </c>
      <c r="F273" s="99">
        <f t="shared" si="41"/>
        <v>898</v>
      </c>
      <c r="G273" s="100">
        <v>460.0</v>
      </c>
      <c r="H273" s="101">
        <v>213.0</v>
      </c>
      <c r="I273" s="101">
        <v>224.0</v>
      </c>
      <c r="J273" s="102">
        <f t="shared" si="39"/>
        <v>-11</v>
      </c>
      <c r="K273" s="103">
        <f t="shared" si="40"/>
        <v>24.94432071</v>
      </c>
      <c r="L273" s="54"/>
      <c r="M273" s="54"/>
      <c r="N273" s="54"/>
      <c r="O273" s="54"/>
      <c r="P273" s="54"/>
    </row>
    <row r="274">
      <c r="A274" s="54"/>
      <c r="B274" s="110">
        <v>45832.0</v>
      </c>
      <c r="C274" s="100" t="s">
        <v>152</v>
      </c>
      <c r="D274" s="100" t="s">
        <v>155</v>
      </c>
      <c r="E274" s="100">
        <v>2130005.0</v>
      </c>
      <c r="F274" s="99">
        <f t="shared" si="41"/>
        <v>1189</v>
      </c>
      <c r="G274" s="100">
        <v>460.0</v>
      </c>
      <c r="H274" s="101">
        <v>248.0</v>
      </c>
      <c r="I274" s="102">
        <f>3.53+250</f>
        <v>253.53</v>
      </c>
      <c r="J274" s="102">
        <f t="shared" si="39"/>
        <v>-5.53</v>
      </c>
      <c r="K274" s="103">
        <f t="shared" si="40"/>
        <v>21.32296047</v>
      </c>
      <c r="L274" s="54"/>
      <c r="M274" s="54"/>
      <c r="N274" s="54"/>
      <c r="O274" s="54"/>
      <c r="P274" s="54"/>
    </row>
    <row r="275">
      <c r="A275" s="54"/>
      <c r="B275" s="110">
        <v>45833.0</v>
      </c>
      <c r="C275" s="100" t="s">
        <v>152</v>
      </c>
      <c r="D275" s="100" t="s">
        <v>155</v>
      </c>
      <c r="E275" s="100">
        <v>2130610.0</v>
      </c>
      <c r="F275" s="99">
        <f t="shared" si="41"/>
        <v>605</v>
      </c>
      <c r="G275" s="100">
        <v>460.0</v>
      </c>
      <c r="H275" s="101">
        <v>132.0</v>
      </c>
      <c r="I275" s="101">
        <v>138.48</v>
      </c>
      <c r="J275" s="102">
        <f t="shared" si="39"/>
        <v>-6.48</v>
      </c>
      <c r="K275" s="103">
        <f t="shared" si="40"/>
        <v>22.8892562</v>
      </c>
      <c r="L275" s="54"/>
      <c r="M275" s="54"/>
      <c r="N275" s="54"/>
      <c r="O275" s="54"/>
      <c r="P275" s="54"/>
    </row>
    <row r="276">
      <c r="A276" s="54"/>
      <c r="B276" s="110">
        <v>45834.0</v>
      </c>
      <c r="C276" s="100" t="s">
        <v>152</v>
      </c>
      <c r="D276" s="100" t="s">
        <v>155</v>
      </c>
      <c r="E276" s="100">
        <v>2131817.0</v>
      </c>
      <c r="F276" s="99">
        <f t="shared" si="41"/>
        <v>1207</v>
      </c>
      <c r="G276" s="100">
        <v>449.0</v>
      </c>
      <c r="H276" s="101">
        <v>251.0</v>
      </c>
      <c r="I276" s="101">
        <v>250.0</v>
      </c>
      <c r="J276" s="102">
        <f t="shared" si="39"/>
        <v>1</v>
      </c>
      <c r="K276" s="103">
        <f t="shared" si="40"/>
        <v>20.71251036</v>
      </c>
      <c r="L276" s="54"/>
      <c r="M276" s="54"/>
      <c r="N276" s="54"/>
      <c r="O276" s="54"/>
      <c r="P276" s="54"/>
    </row>
    <row r="277">
      <c r="A277" s="54"/>
      <c r="B277" s="110">
        <v>45835.0</v>
      </c>
      <c r="C277" s="100" t="s">
        <v>152</v>
      </c>
      <c r="D277" s="100" t="s">
        <v>155</v>
      </c>
      <c r="E277" s="100">
        <v>2132421.0</v>
      </c>
      <c r="F277" s="99">
        <f t="shared" si="41"/>
        <v>604</v>
      </c>
      <c r="G277" s="100">
        <v>460.0</v>
      </c>
      <c r="H277" s="101">
        <v>136.0</v>
      </c>
      <c r="I277" s="101">
        <v>140.0</v>
      </c>
      <c r="J277" s="102">
        <f t="shared" si="39"/>
        <v>-4</v>
      </c>
      <c r="K277" s="103">
        <f t="shared" si="40"/>
        <v>23.17880795</v>
      </c>
      <c r="L277" s="54"/>
      <c r="M277" s="54"/>
      <c r="N277" s="54"/>
      <c r="O277" s="54"/>
      <c r="P277" s="54"/>
    </row>
    <row r="278">
      <c r="A278" s="54"/>
      <c r="B278" s="110">
        <v>45837.0</v>
      </c>
      <c r="C278" s="100" t="s">
        <v>152</v>
      </c>
      <c r="D278" s="100" t="s">
        <v>155</v>
      </c>
      <c r="E278" s="100">
        <v>2133581.0</v>
      </c>
      <c r="F278" s="99">
        <f t="shared" si="41"/>
        <v>1160</v>
      </c>
      <c r="G278" s="100">
        <v>450.0</v>
      </c>
      <c r="H278" s="101">
        <v>256.0</v>
      </c>
      <c r="I278" s="101">
        <v>250.0</v>
      </c>
      <c r="J278" s="102">
        <f t="shared" si="39"/>
        <v>6</v>
      </c>
      <c r="K278" s="103">
        <f t="shared" si="40"/>
        <v>21.55172414</v>
      </c>
      <c r="L278" s="54"/>
      <c r="M278" s="54"/>
      <c r="N278" s="54"/>
      <c r="O278" s="54"/>
      <c r="P278" s="54"/>
    </row>
    <row r="279">
      <c r="A279" s="54"/>
      <c r="B279" s="110">
        <v>45838.0</v>
      </c>
      <c r="C279" s="100" t="s">
        <v>152</v>
      </c>
      <c r="D279" s="100" t="s">
        <v>155</v>
      </c>
      <c r="E279" s="100">
        <v>2134187.0</v>
      </c>
      <c r="F279" s="99">
        <f t="shared" si="41"/>
        <v>606</v>
      </c>
      <c r="G279" s="100">
        <v>460.0</v>
      </c>
      <c r="H279" s="101">
        <v>152.0</v>
      </c>
      <c r="I279" s="101">
        <v>150.0</v>
      </c>
      <c r="J279" s="102">
        <f t="shared" si="39"/>
        <v>2</v>
      </c>
      <c r="K279" s="103">
        <f t="shared" si="40"/>
        <v>24.75247525</v>
      </c>
      <c r="L279" s="54"/>
      <c r="M279" s="54"/>
      <c r="N279" s="54"/>
      <c r="O279" s="54"/>
      <c r="P279" s="54"/>
    </row>
    <row r="280">
      <c r="A280" s="68"/>
      <c r="B280" s="203" t="str">
        <f>IF(L280=4,"АПРЕЛЬ",IF(L280=5,"МАЙ",IF(L280=1,"ЯНВАРЬ",IF(L280=2,"ФЕВРАЛЬ",IF(L280=3,"МАРТ",IF(L280=6,"ИЮНЬ",IF(L280=7,"ИЮЛЬ",IF(L280=8,"АВГУСТ",IF(L280=9,"СЕНТЯБРЬ",IF(L280=10,"ОКТЯБРЬ",IF(L280=11,"НОЯБРЬ",IF(L280=12,"ДЕКАБРЬ"))))))))))))</f>
        <v>ИЮЛЬ</v>
      </c>
      <c r="J280" s="88"/>
      <c r="K280" s="204"/>
      <c r="L280" s="91">
        <f>MONTH(B281)</f>
        <v>7</v>
      </c>
      <c r="M280" s="66"/>
      <c r="N280" s="66"/>
      <c r="O280" s="66"/>
      <c r="P280" s="66"/>
      <c r="Q280" s="66"/>
    </row>
    <row r="281">
      <c r="A281" s="54"/>
      <c r="B281" s="110">
        <v>45839.0</v>
      </c>
      <c r="C281" s="321" t="s">
        <v>152</v>
      </c>
      <c r="D281" s="321" t="s">
        <v>155</v>
      </c>
      <c r="E281" s="100">
        <v>2135397.0</v>
      </c>
      <c r="F281" s="99">
        <f>E281-E279</f>
        <v>1210</v>
      </c>
      <c r="G281" s="100">
        <v>427.0</v>
      </c>
      <c r="H281" s="101">
        <v>260.0</v>
      </c>
      <c r="I281" s="101">
        <v>250.0</v>
      </c>
      <c r="J281" s="102">
        <f t="shared" ref="J281:J307" si="42">H281-I281</f>
        <v>10</v>
      </c>
      <c r="K281" s="103">
        <f t="shared" ref="K281:K307" si="43">I281/F281*100</f>
        <v>20.66115702</v>
      </c>
      <c r="L281" s="54"/>
      <c r="M281" s="205" t="str">
        <f>"тотал"&amp;" "&amp;B280&amp;" "&amp;RIGHT(YEAR(B281),2)</f>
        <v>тотал ИЮЛЬ 25</v>
      </c>
      <c r="N281" s="75"/>
      <c r="O281" s="75"/>
      <c r="P281" s="75"/>
      <c r="Q281" s="76"/>
    </row>
    <row r="282">
      <c r="A282" s="54"/>
      <c r="B282" s="110">
        <v>45840.0</v>
      </c>
      <c r="C282" s="321" t="s">
        <v>152</v>
      </c>
      <c r="D282" s="321" t="s">
        <v>155</v>
      </c>
      <c r="E282" s="100">
        <v>2136002.0</v>
      </c>
      <c r="F282" s="99">
        <f t="shared" ref="F282:F307" si="44">E282-E281</f>
        <v>605</v>
      </c>
      <c r="G282" s="100">
        <v>460.0</v>
      </c>
      <c r="H282" s="101">
        <v>163.0</v>
      </c>
      <c r="I282" s="101">
        <v>168.0</v>
      </c>
      <c r="J282" s="102">
        <f t="shared" si="42"/>
        <v>-5</v>
      </c>
      <c r="K282" s="103">
        <f t="shared" si="43"/>
        <v>27.76859504</v>
      </c>
      <c r="L282" s="54"/>
      <c r="M282" s="83" t="s">
        <v>70</v>
      </c>
      <c r="N282" s="83" t="s">
        <v>71</v>
      </c>
      <c r="O282" s="83" t="s">
        <v>27</v>
      </c>
      <c r="P282" s="83" t="s">
        <v>28</v>
      </c>
      <c r="Q282" s="321" t="s">
        <v>78</v>
      </c>
    </row>
    <row r="283">
      <c r="A283" s="54"/>
      <c r="B283" s="110">
        <v>45841.0</v>
      </c>
      <c r="C283" s="321" t="s">
        <v>152</v>
      </c>
      <c r="D283" s="321" t="s">
        <v>155</v>
      </c>
      <c r="E283" s="100">
        <v>2137181.0</v>
      </c>
      <c r="F283" s="99">
        <f t="shared" si="44"/>
        <v>1179</v>
      </c>
      <c r="G283" s="100">
        <v>455.0</v>
      </c>
      <c r="H283" s="101">
        <v>258.0</v>
      </c>
      <c r="I283" s="101">
        <v>250.0</v>
      </c>
      <c r="J283" s="102">
        <f t="shared" si="42"/>
        <v>8</v>
      </c>
      <c r="K283" s="103">
        <f t="shared" si="43"/>
        <v>21.20441052</v>
      </c>
      <c r="L283" s="54"/>
      <c r="M283" s="84">
        <f>SUM(F281:F307)</f>
        <v>24967</v>
      </c>
      <c r="N283" s="84">
        <f>SUM(I281:I307)</f>
        <v>5317.71</v>
      </c>
      <c r="O283" s="85">
        <f>N283/M283*100</f>
        <v>21.29895462</v>
      </c>
      <c r="P283" s="84">
        <f>(M283/100)*(O283-Q283)</f>
        <v>-674.37</v>
      </c>
      <c r="Q283" s="464">
        <v>24.0</v>
      </c>
    </row>
    <row r="284">
      <c r="A284" s="54"/>
      <c r="B284" s="110">
        <v>45842.0</v>
      </c>
      <c r="C284" s="321" t="s">
        <v>152</v>
      </c>
      <c r="D284" s="321" t="s">
        <v>155</v>
      </c>
      <c r="E284" s="100">
        <v>2137786.0</v>
      </c>
      <c r="F284" s="99">
        <f t="shared" si="44"/>
        <v>605</v>
      </c>
      <c r="G284" s="100">
        <v>460.0</v>
      </c>
      <c r="H284" s="101">
        <v>142.0</v>
      </c>
      <c r="I284" s="101">
        <v>148.0</v>
      </c>
      <c r="J284" s="102">
        <f t="shared" si="42"/>
        <v>-6</v>
      </c>
      <c r="K284" s="103">
        <f t="shared" si="43"/>
        <v>24.46280992</v>
      </c>
      <c r="L284" s="54"/>
      <c r="M284" s="54"/>
      <c r="N284" s="54"/>
      <c r="O284" s="54"/>
      <c r="P284" s="54"/>
    </row>
    <row r="285">
      <c r="A285" s="54"/>
      <c r="B285" s="110">
        <v>45844.0</v>
      </c>
      <c r="C285" s="321" t="s">
        <v>152</v>
      </c>
      <c r="D285" s="321" t="s">
        <v>155</v>
      </c>
      <c r="E285" s="100">
        <v>2139170.0</v>
      </c>
      <c r="F285" s="99">
        <f t="shared" si="44"/>
        <v>1384</v>
      </c>
      <c r="G285" s="100">
        <v>435.0</v>
      </c>
      <c r="H285" s="101">
        <v>261.0</v>
      </c>
      <c r="I285" s="101">
        <v>250.0</v>
      </c>
      <c r="J285" s="102">
        <f t="shared" si="42"/>
        <v>11</v>
      </c>
      <c r="K285" s="103">
        <f t="shared" si="43"/>
        <v>18.06358382</v>
      </c>
      <c r="L285" s="54"/>
      <c r="M285" s="54"/>
      <c r="N285" s="54"/>
      <c r="O285" s="54"/>
      <c r="P285" s="54"/>
    </row>
    <row r="286">
      <c r="A286" s="54"/>
      <c r="B286" s="110">
        <v>45845.0</v>
      </c>
      <c r="C286" s="321" t="s">
        <v>152</v>
      </c>
      <c r="D286" s="321" t="s">
        <v>155</v>
      </c>
      <c r="E286" s="100">
        <v>2139776.0</v>
      </c>
      <c r="F286" s="99">
        <f t="shared" si="44"/>
        <v>606</v>
      </c>
      <c r="G286" s="100">
        <v>460.0</v>
      </c>
      <c r="H286" s="101">
        <v>170.0</v>
      </c>
      <c r="I286" s="101">
        <v>177.91</v>
      </c>
      <c r="J286" s="102">
        <f t="shared" si="42"/>
        <v>-7.91</v>
      </c>
      <c r="K286" s="103">
        <f t="shared" si="43"/>
        <v>29.35808581</v>
      </c>
      <c r="L286" s="54"/>
      <c r="M286" s="54"/>
      <c r="N286" s="54"/>
      <c r="O286" s="54"/>
      <c r="P286" s="54"/>
    </row>
    <row r="287">
      <c r="A287" s="54"/>
      <c r="B287" s="110">
        <v>45846.0</v>
      </c>
      <c r="C287" s="321" t="s">
        <v>152</v>
      </c>
      <c r="D287" s="321" t="s">
        <v>155</v>
      </c>
      <c r="E287" s="100">
        <v>2140939.0</v>
      </c>
      <c r="F287" s="99">
        <f t="shared" si="44"/>
        <v>1163</v>
      </c>
      <c r="G287" s="100">
        <v>422.0</v>
      </c>
      <c r="H287" s="101">
        <v>216.0</v>
      </c>
      <c r="I287" s="101">
        <v>200.0</v>
      </c>
      <c r="J287" s="102">
        <f t="shared" si="42"/>
        <v>16</v>
      </c>
      <c r="K287" s="103">
        <f t="shared" si="43"/>
        <v>17.19690456</v>
      </c>
      <c r="L287" s="54"/>
      <c r="M287" s="54"/>
      <c r="N287" s="54"/>
      <c r="O287" s="54"/>
      <c r="P287" s="54"/>
    </row>
    <row r="288">
      <c r="A288" s="54"/>
      <c r="B288" s="110">
        <v>45847.0</v>
      </c>
      <c r="C288" s="321" t="s">
        <v>152</v>
      </c>
      <c r="D288" s="321" t="s">
        <v>155</v>
      </c>
      <c r="E288" s="100">
        <v>2141545.0</v>
      </c>
      <c r="F288" s="99">
        <f t="shared" si="44"/>
        <v>606</v>
      </c>
      <c r="G288" s="100">
        <v>460.0</v>
      </c>
      <c r="H288" s="101">
        <v>169.0</v>
      </c>
      <c r="I288" s="101">
        <v>172.0</v>
      </c>
      <c r="J288" s="102">
        <f t="shared" si="42"/>
        <v>-3</v>
      </c>
      <c r="K288" s="103">
        <f t="shared" si="43"/>
        <v>28.38283828</v>
      </c>
      <c r="L288" s="54"/>
      <c r="M288" s="60"/>
      <c r="N288" s="60"/>
      <c r="O288" s="54"/>
      <c r="P288" s="54"/>
    </row>
    <row r="289">
      <c r="A289" s="54"/>
      <c r="B289" s="110">
        <v>45848.0</v>
      </c>
      <c r="C289" s="321" t="s">
        <v>152</v>
      </c>
      <c r="D289" s="321" t="s">
        <v>155</v>
      </c>
      <c r="E289" s="100">
        <v>2142707.0</v>
      </c>
      <c r="F289" s="99">
        <f t="shared" si="44"/>
        <v>1162</v>
      </c>
      <c r="G289" s="100">
        <v>431.0</v>
      </c>
      <c r="H289" s="101">
        <v>211.0</v>
      </c>
      <c r="I289" s="101">
        <v>200.0</v>
      </c>
      <c r="J289" s="102">
        <f t="shared" si="42"/>
        <v>11</v>
      </c>
      <c r="K289" s="103">
        <f t="shared" si="43"/>
        <v>17.21170396</v>
      </c>
      <c r="L289" s="54"/>
      <c r="M289" s="54"/>
      <c r="N289" s="54"/>
      <c r="O289" s="54"/>
      <c r="P289" s="54"/>
    </row>
    <row r="290">
      <c r="A290" s="54"/>
      <c r="B290" s="110">
        <v>45849.0</v>
      </c>
      <c r="C290" s="321" t="s">
        <v>152</v>
      </c>
      <c r="D290" s="321" t="s">
        <v>155</v>
      </c>
      <c r="E290" s="100">
        <v>2143312.0</v>
      </c>
      <c r="F290" s="99">
        <f t="shared" si="44"/>
        <v>605</v>
      </c>
      <c r="G290" s="100">
        <v>460.0</v>
      </c>
      <c r="H290" s="101">
        <v>159.0</v>
      </c>
      <c r="I290" s="101">
        <v>160.79</v>
      </c>
      <c r="J290" s="102">
        <f t="shared" si="42"/>
        <v>-1.79</v>
      </c>
      <c r="K290" s="103">
        <f t="shared" si="43"/>
        <v>26.5768595</v>
      </c>
      <c r="L290" s="54"/>
      <c r="M290" s="54"/>
      <c r="N290" s="54"/>
      <c r="O290" s="54"/>
      <c r="P290" s="54"/>
    </row>
    <row r="291">
      <c r="A291" s="54"/>
      <c r="B291" s="110">
        <v>45852.0</v>
      </c>
      <c r="C291" s="321" t="s">
        <v>152</v>
      </c>
      <c r="D291" s="321" t="s">
        <v>155</v>
      </c>
      <c r="E291" s="100">
        <v>2144726.0</v>
      </c>
      <c r="F291" s="99">
        <f t="shared" si="44"/>
        <v>1414</v>
      </c>
      <c r="G291" s="100">
        <v>414.0</v>
      </c>
      <c r="H291" s="101">
        <v>257.0</v>
      </c>
      <c r="I291" s="101">
        <v>250.0</v>
      </c>
      <c r="J291" s="102">
        <f t="shared" si="42"/>
        <v>7</v>
      </c>
      <c r="K291" s="103">
        <f t="shared" si="43"/>
        <v>17.68033946</v>
      </c>
      <c r="L291" s="54"/>
      <c r="M291" s="54"/>
      <c r="N291" s="54"/>
      <c r="O291" s="54"/>
      <c r="P291" s="54"/>
    </row>
    <row r="292">
      <c r="A292" s="54"/>
      <c r="B292" s="110">
        <v>45853.0</v>
      </c>
      <c r="C292" s="321" t="s">
        <v>152</v>
      </c>
      <c r="D292" s="321" t="s">
        <v>155</v>
      </c>
      <c r="E292" s="100">
        <v>2145333.0</v>
      </c>
      <c r="F292" s="99">
        <f t="shared" si="44"/>
        <v>607</v>
      </c>
      <c r="G292" s="100">
        <v>460.0</v>
      </c>
      <c r="H292" s="101">
        <v>184.0</v>
      </c>
      <c r="I292" s="101">
        <v>182.0</v>
      </c>
      <c r="J292" s="102">
        <f t="shared" si="42"/>
        <v>2</v>
      </c>
      <c r="K292" s="103">
        <f t="shared" si="43"/>
        <v>29.98352554</v>
      </c>
      <c r="L292" s="54"/>
      <c r="M292" s="54"/>
      <c r="N292" s="54"/>
      <c r="O292" s="54"/>
      <c r="P292" s="54"/>
    </row>
    <row r="293">
      <c r="A293" s="54"/>
      <c r="B293" s="110">
        <v>45854.0</v>
      </c>
      <c r="C293" s="321" t="s">
        <v>152</v>
      </c>
      <c r="D293" s="321" t="s">
        <v>155</v>
      </c>
      <c r="E293" s="100">
        <v>2146552.0</v>
      </c>
      <c r="F293" s="99">
        <f t="shared" si="44"/>
        <v>1219</v>
      </c>
      <c r="G293" s="100">
        <v>441.0</v>
      </c>
      <c r="H293" s="101">
        <v>256.0</v>
      </c>
      <c r="I293" s="101">
        <v>250.0</v>
      </c>
      <c r="J293" s="102">
        <f t="shared" si="42"/>
        <v>6</v>
      </c>
      <c r="K293" s="103">
        <f t="shared" si="43"/>
        <v>20.50861362</v>
      </c>
      <c r="L293" s="54"/>
      <c r="M293" s="54"/>
      <c r="N293" s="54"/>
      <c r="O293" s="54"/>
      <c r="P293" s="54"/>
    </row>
    <row r="294">
      <c r="A294" s="54"/>
      <c r="B294" s="110">
        <v>45855.0</v>
      </c>
      <c r="C294" s="321" t="s">
        <v>152</v>
      </c>
      <c r="D294" s="321" t="s">
        <v>155</v>
      </c>
      <c r="E294" s="100">
        <v>2147158.0</v>
      </c>
      <c r="F294" s="99">
        <f t="shared" si="44"/>
        <v>606</v>
      </c>
      <c r="G294" s="100">
        <v>460.0</v>
      </c>
      <c r="H294" s="101">
        <v>147.0</v>
      </c>
      <c r="I294" s="101">
        <v>145.0</v>
      </c>
      <c r="J294" s="102">
        <f t="shared" si="42"/>
        <v>2</v>
      </c>
      <c r="K294" s="103">
        <f t="shared" si="43"/>
        <v>23.92739274</v>
      </c>
      <c r="L294" s="54"/>
      <c r="M294" s="54"/>
      <c r="N294" s="54"/>
      <c r="O294" s="54"/>
      <c r="P294" s="54"/>
    </row>
    <row r="295">
      <c r="A295" s="54"/>
      <c r="B295" s="110">
        <v>45856.0</v>
      </c>
      <c r="C295" s="321" t="s">
        <v>152</v>
      </c>
      <c r="D295" s="321" t="s">
        <v>155</v>
      </c>
      <c r="E295" s="100">
        <v>2148326.0</v>
      </c>
      <c r="F295" s="99">
        <f t="shared" si="44"/>
        <v>1168</v>
      </c>
      <c r="G295" s="100">
        <v>460.0</v>
      </c>
      <c r="H295" s="101">
        <v>256.0</v>
      </c>
      <c r="I295" s="101">
        <v>250.0</v>
      </c>
      <c r="J295" s="102">
        <f t="shared" si="42"/>
        <v>6</v>
      </c>
      <c r="K295" s="103">
        <f t="shared" si="43"/>
        <v>21.40410959</v>
      </c>
      <c r="L295" s="54"/>
      <c r="M295" s="54"/>
      <c r="N295" s="54"/>
      <c r="O295" s="54"/>
      <c r="P295" s="54"/>
    </row>
    <row r="296">
      <c r="A296" s="54"/>
      <c r="B296" s="110">
        <v>45857.0</v>
      </c>
      <c r="C296" s="321" t="s">
        <v>152</v>
      </c>
      <c r="D296" s="321" t="s">
        <v>155</v>
      </c>
      <c r="E296" s="100">
        <v>2148932.0</v>
      </c>
      <c r="F296" s="99">
        <f t="shared" si="44"/>
        <v>606</v>
      </c>
      <c r="G296" s="100">
        <v>460.0</v>
      </c>
      <c r="H296" s="101">
        <v>141.0</v>
      </c>
      <c r="I296" s="101">
        <v>134.0</v>
      </c>
      <c r="J296" s="102">
        <f t="shared" si="42"/>
        <v>7</v>
      </c>
      <c r="K296" s="103">
        <f t="shared" si="43"/>
        <v>22.11221122</v>
      </c>
      <c r="L296" s="54"/>
      <c r="M296" s="54"/>
      <c r="N296" s="54"/>
      <c r="O296" s="54"/>
      <c r="P296" s="54"/>
    </row>
    <row r="297">
      <c r="A297" s="54"/>
      <c r="B297" s="110">
        <v>45859.0</v>
      </c>
      <c r="C297" s="321" t="s">
        <v>152</v>
      </c>
      <c r="D297" s="321" t="s">
        <v>155</v>
      </c>
      <c r="E297" s="100">
        <v>2150122.0</v>
      </c>
      <c r="F297" s="99">
        <f t="shared" si="44"/>
        <v>1190</v>
      </c>
      <c r="G297" s="100">
        <v>418.0</v>
      </c>
      <c r="H297" s="101">
        <v>202.0</v>
      </c>
      <c r="I297" s="101">
        <v>200.0</v>
      </c>
      <c r="J297" s="102">
        <f t="shared" si="42"/>
        <v>2</v>
      </c>
      <c r="K297" s="103">
        <f t="shared" si="43"/>
        <v>16.80672269</v>
      </c>
      <c r="L297" s="54"/>
      <c r="M297" s="54"/>
      <c r="N297" s="54"/>
      <c r="O297" s="54"/>
      <c r="P297" s="54"/>
    </row>
    <row r="298">
      <c r="A298" s="54"/>
      <c r="B298" s="110">
        <v>45860.0</v>
      </c>
      <c r="C298" s="321" t="s">
        <v>152</v>
      </c>
      <c r="D298" s="321" t="s">
        <v>155</v>
      </c>
      <c r="E298" s="100">
        <v>2150728.0</v>
      </c>
      <c r="F298" s="99">
        <f t="shared" si="44"/>
        <v>606</v>
      </c>
      <c r="G298" s="100">
        <v>460.0</v>
      </c>
      <c r="H298" s="101">
        <v>186.0</v>
      </c>
      <c r="I298" s="101">
        <v>185.0</v>
      </c>
      <c r="J298" s="102">
        <f t="shared" si="42"/>
        <v>1</v>
      </c>
      <c r="K298" s="103">
        <f t="shared" si="43"/>
        <v>30.52805281</v>
      </c>
      <c r="L298" s="54"/>
      <c r="M298" s="54"/>
      <c r="N298" s="54"/>
      <c r="O298" s="54"/>
      <c r="P298" s="54"/>
    </row>
    <row r="299">
      <c r="A299" s="54"/>
      <c r="B299" s="110">
        <v>45861.0</v>
      </c>
      <c r="C299" s="321" t="s">
        <v>152</v>
      </c>
      <c r="D299" s="321" t="s">
        <v>155</v>
      </c>
      <c r="E299" s="100">
        <v>2151974.0</v>
      </c>
      <c r="F299" s="99">
        <f t="shared" si="44"/>
        <v>1246</v>
      </c>
      <c r="G299" s="100">
        <v>326.0</v>
      </c>
      <c r="H299" s="101">
        <v>154.0</v>
      </c>
      <c r="I299" s="101">
        <v>141.09</v>
      </c>
      <c r="J299" s="102">
        <f t="shared" si="42"/>
        <v>12.91</v>
      </c>
      <c r="K299" s="103">
        <f t="shared" si="43"/>
        <v>11.32343499</v>
      </c>
      <c r="L299" s="54"/>
      <c r="M299" s="54"/>
      <c r="N299" s="54"/>
      <c r="O299" s="54"/>
      <c r="P299" s="54"/>
    </row>
    <row r="300">
      <c r="A300" s="54"/>
      <c r="B300" s="110">
        <v>45862.0</v>
      </c>
      <c r="C300" s="321" t="s">
        <v>152</v>
      </c>
      <c r="D300" s="321" t="s">
        <v>155</v>
      </c>
      <c r="E300" s="100">
        <v>2152580.0</v>
      </c>
      <c r="F300" s="99">
        <f t="shared" si="44"/>
        <v>606</v>
      </c>
      <c r="G300" s="100">
        <v>460.0</v>
      </c>
      <c r="H300" s="101">
        <v>272.0</v>
      </c>
      <c r="I300" s="101">
        <v>268.91</v>
      </c>
      <c r="J300" s="102">
        <f t="shared" si="42"/>
        <v>3.09</v>
      </c>
      <c r="K300" s="103">
        <f t="shared" si="43"/>
        <v>44.37458746</v>
      </c>
      <c r="L300" s="54"/>
      <c r="M300" s="54"/>
      <c r="N300" s="54"/>
      <c r="O300" s="54"/>
      <c r="P300" s="54"/>
    </row>
    <row r="301">
      <c r="A301" s="54"/>
      <c r="B301" s="110">
        <v>45863.0</v>
      </c>
      <c r="C301" s="321" t="s">
        <v>152</v>
      </c>
      <c r="D301" s="321" t="s">
        <v>155</v>
      </c>
      <c r="E301" s="100">
        <v>2153743.0</v>
      </c>
      <c r="F301" s="99">
        <f t="shared" si="44"/>
        <v>1163</v>
      </c>
      <c r="G301" s="100">
        <v>422.0</v>
      </c>
      <c r="H301" s="101">
        <v>206.0</v>
      </c>
      <c r="I301" s="101">
        <v>200.0</v>
      </c>
      <c r="J301" s="102">
        <f t="shared" si="42"/>
        <v>6</v>
      </c>
      <c r="K301" s="103">
        <f t="shared" si="43"/>
        <v>17.19690456</v>
      </c>
      <c r="L301" s="54"/>
      <c r="M301" s="54"/>
      <c r="N301" s="54"/>
      <c r="O301" s="54"/>
      <c r="P301" s="54"/>
    </row>
    <row r="302">
      <c r="A302" s="54"/>
      <c r="B302" s="110">
        <v>45864.0</v>
      </c>
      <c r="C302" s="321" t="s">
        <v>152</v>
      </c>
      <c r="D302" s="321" t="s">
        <v>155</v>
      </c>
      <c r="E302" s="100">
        <v>2154350.0</v>
      </c>
      <c r="F302" s="99">
        <f t="shared" si="44"/>
        <v>607</v>
      </c>
      <c r="G302" s="100">
        <v>460.0</v>
      </c>
      <c r="H302" s="101">
        <v>181.0</v>
      </c>
      <c r="I302" s="101">
        <v>178.0</v>
      </c>
      <c r="J302" s="102">
        <f t="shared" si="42"/>
        <v>3</v>
      </c>
      <c r="K302" s="103">
        <f t="shared" si="43"/>
        <v>29.32454695</v>
      </c>
      <c r="L302" s="54"/>
      <c r="M302" s="54"/>
      <c r="N302" s="54"/>
      <c r="O302" s="54"/>
      <c r="P302" s="54"/>
    </row>
    <row r="303">
      <c r="A303" s="54"/>
      <c r="B303" s="110">
        <v>45865.0</v>
      </c>
      <c r="C303" s="321" t="s">
        <v>152</v>
      </c>
      <c r="D303" s="321" t="s">
        <v>155</v>
      </c>
      <c r="E303" s="100">
        <v>2155512.0</v>
      </c>
      <c r="F303" s="99">
        <f t="shared" si="44"/>
        <v>1162</v>
      </c>
      <c r="G303" s="100">
        <v>421.0</v>
      </c>
      <c r="H303" s="101">
        <v>208.0</v>
      </c>
      <c r="I303" s="101">
        <v>200.0</v>
      </c>
      <c r="J303" s="102">
        <f t="shared" si="42"/>
        <v>8</v>
      </c>
      <c r="K303" s="103">
        <f t="shared" si="43"/>
        <v>17.21170396</v>
      </c>
      <c r="L303" s="54"/>
      <c r="M303" s="54"/>
      <c r="N303" s="54"/>
      <c r="O303" s="54"/>
      <c r="P303" s="54"/>
    </row>
    <row r="304">
      <c r="A304" s="54"/>
      <c r="B304" s="110">
        <v>45866.0</v>
      </c>
      <c r="C304" s="321" t="s">
        <v>152</v>
      </c>
      <c r="D304" s="321" t="s">
        <v>155</v>
      </c>
      <c r="E304" s="100">
        <v>2156118.0</v>
      </c>
      <c r="F304" s="99">
        <f t="shared" si="44"/>
        <v>606</v>
      </c>
      <c r="G304" s="100">
        <v>460.0</v>
      </c>
      <c r="H304" s="101">
        <v>173.0</v>
      </c>
      <c r="I304" s="101">
        <v>174.01</v>
      </c>
      <c r="J304" s="102">
        <f t="shared" si="42"/>
        <v>-1.01</v>
      </c>
      <c r="K304" s="103">
        <f t="shared" si="43"/>
        <v>28.71452145</v>
      </c>
      <c r="L304" s="54"/>
      <c r="M304" s="54"/>
      <c r="N304" s="54"/>
      <c r="O304" s="54"/>
      <c r="P304" s="54"/>
    </row>
    <row r="305">
      <c r="A305" s="54"/>
      <c r="B305" s="110">
        <v>45867.0</v>
      </c>
      <c r="C305" s="321" t="s">
        <v>152</v>
      </c>
      <c r="D305" s="321" t="s">
        <v>155</v>
      </c>
      <c r="E305" s="100">
        <v>2157281.0</v>
      </c>
      <c r="F305" s="99">
        <f t="shared" si="44"/>
        <v>1163</v>
      </c>
      <c r="G305" s="100">
        <v>414.0</v>
      </c>
      <c r="H305" s="101">
        <v>206.0</v>
      </c>
      <c r="I305" s="101">
        <v>200.0</v>
      </c>
      <c r="J305" s="102">
        <f t="shared" si="42"/>
        <v>6</v>
      </c>
      <c r="K305" s="103">
        <f t="shared" si="43"/>
        <v>17.19690456</v>
      </c>
      <c r="L305" s="54"/>
      <c r="M305" s="54"/>
      <c r="N305" s="54"/>
      <c r="O305" s="54"/>
      <c r="P305" s="54"/>
    </row>
    <row r="306">
      <c r="A306" s="54"/>
      <c r="B306" s="110">
        <v>45868.0</v>
      </c>
      <c r="C306" s="321" t="s">
        <v>152</v>
      </c>
      <c r="D306" s="321" t="s">
        <v>155</v>
      </c>
      <c r="E306" s="100">
        <v>2157886.0</v>
      </c>
      <c r="F306" s="99">
        <f t="shared" si="44"/>
        <v>605</v>
      </c>
      <c r="G306" s="100">
        <v>460.0</v>
      </c>
      <c r="H306" s="101">
        <v>184.0</v>
      </c>
      <c r="I306" s="101">
        <v>183.0</v>
      </c>
      <c r="J306" s="102">
        <f t="shared" si="42"/>
        <v>1</v>
      </c>
      <c r="K306" s="103">
        <f t="shared" si="43"/>
        <v>30.24793388</v>
      </c>
      <c r="L306" s="54"/>
      <c r="M306" s="54"/>
      <c r="N306" s="54"/>
      <c r="O306" s="54"/>
      <c r="P306" s="54"/>
    </row>
    <row r="307">
      <c r="A307" s="54"/>
      <c r="B307" s="110">
        <v>45869.0</v>
      </c>
      <c r="C307" s="321" t="s">
        <v>152</v>
      </c>
      <c r="D307" s="321" t="s">
        <v>155</v>
      </c>
      <c r="E307" s="100">
        <v>2159154.0</v>
      </c>
      <c r="F307" s="99">
        <f t="shared" si="44"/>
        <v>1268</v>
      </c>
      <c r="G307" s="100">
        <v>385.0</v>
      </c>
      <c r="H307" s="101">
        <v>212.0</v>
      </c>
      <c r="I307" s="101">
        <v>200.0</v>
      </c>
      <c r="J307" s="102">
        <f t="shared" si="42"/>
        <v>12</v>
      </c>
      <c r="K307" s="103">
        <f t="shared" si="43"/>
        <v>15.77287066</v>
      </c>
      <c r="L307" s="54"/>
      <c r="M307" s="54"/>
      <c r="N307" s="54"/>
      <c r="O307" s="54"/>
      <c r="P307" s="54"/>
    </row>
    <row r="308">
      <c r="A308" s="68"/>
      <c r="B308" s="203" t="str">
        <f>IF(L308=4,"АПРЕЛЬ",IF(L308=5,"МАЙ",IF(L308=1,"ЯНВАРЬ",IF(L308=2,"ФЕВРАЛЬ",IF(L308=3,"МАРТ",IF(L308=6,"ИЮНЬ",IF(L308=7,"ИЮЛЬ",IF(L308=8,"АВГУСТ",IF(L308=9,"СЕНТЯБРЬ",IF(L308=10,"ОКТЯБРЬ",IF(L308=11,"НОЯБРЬ",IF(L308=12,"ДЕКАБРЬ"))))))))))))</f>
        <v>АВГУСТ</v>
      </c>
      <c r="J308" s="88"/>
      <c r="K308" s="204"/>
      <c r="L308" s="91">
        <f>MONTH(B309)</f>
        <v>8</v>
      </c>
      <c r="M308" s="66"/>
      <c r="N308" s="66"/>
      <c r="O308" s="66"/>
      <c r="P308" s="66"/>
      <c r="Q308" s="66"/>
    </row>
    <row r="309">
      <c r="A309" s="54"/>
      <c r="B309" s="110">
        <v>45870.0</v>
      </c>
      <c r="C309" s="321" t="s">
        <v>152</v>
      </c>
      <c r="D309" s="321" t="s">
        <v>155</v>
      </c>
      <c r="E309" s="100">
        <v>2159761.0</v>
      </c>
      <c r="F309" s="99">
        <f>E309-E307</f>
        <v>607</v>
      </c>
      <c r="G309" s="100">
        <v>460.0</v>
      </c>
      <c r="H309" s="101">
        <v>220.0</v>
      </c>
      <c r="I309" s="101">
        <v>218.0</v>
      </c>
      <c r="J309" s="102">
        <f t="shared" ref="J309:J324" si="45">H309-I309</f>
        <v>2</v>
      </c>
      <c r="K309" s="103">
        <f t="shared" ref="K309:K324" si="46">I309/F309*100</f>
        <v>35.91433278</v>
      </c>
      <c r="L309" s="54"/>
      <c r="M309" s="205" t="str">
        <f>"тотал"&amp;" "&amp;B308&amp;" "&amp;RIGHT(YEAR(B309),2)</f>
        <v>тотал АВГУСТ 25</v>
      </c>
      <c r="N309" s="75"/>
      <c r="O309" s="75"/>
      <c r="P309" s="75"/>
      <c r="Q309" s="76"/>
    </row>
    <row r="310">
      <c r="A310" s="54"/>
      <c r="B310" s="110">
        <v>45873.0</v>
      </c>
      <c r="C310" s="321" t="s">
        <v>152</v>
      </c>
      <c r="D310" s="321" t="s">
        <v>155</v>
      </c>
      <c r="E310" s="100">
        <v>2160950.0</v>
      </c>
      <c r="F310" s="99">
        <f t="shared" ref="F310:F324" si="47">E310-E309</f>
        <v>1189</v>
      </c>
      <c r="G310" s="100">
        <v>460.0</v>
      </c>
      <c r="H310" s="101">
        <v>252.0</v>
      </c>
      <c r="I310" s="101">
        <v>250.0</v>
      </c>
      <c r="J310" s="102">
        <f t="shared" si="45"/>
        <v>2</v>
      </c>
      <c r="K310" s="103">
        <f t="shared" si="46"/>
        <v>21.02607233</v>
      </c>
      <c r="L310" s="54"/>
      <c r="M310" s="83" t="s">
        <v>70</v>
      </c>
      <c r="N310" s="83" t="s">
        <v>71</v>
      </c>
      <c r="O310" s="83" t="s">
        <v>27</v>
      </c>
      <c r="P310" s="83" t="s">
        <v>28</v>
      </c>
      <c r="Q310" s="321" t="s">
        <v>78</v>
      </c>
    </row>
    <row r="311">
      <c r="A311" s="54"/>
      <c r="B311" s="110">
        <v>45874.0</v>
      </c>
      <c r="C311" s="321" t="s">
        <v>152</v>
      </c>
      <c r="D311" s="321" t="s">
        <v>155</v>
      </c>
      <c r="E311" s="100">
        <v>2161556.0</v>
      </c>
      <c r="F311" s="99">
        <f t="shared" si="47"/>
        <v>606</v>
      </c>
      <c r="G311" s="100">
        <v>460.0</v>
      </c>
      <c r="H311" s="101">
        <v>145.0</v>
      </c>
      <c r="I311" s="101">
        <v>144.0</v>
      </c>
      <c r="J311" s="102">
        <f t="shared" si="45"/>
        <v>1</v>
      </c>
      <c r="K311" s="103">
        <f t="shared" si="46"/>
        <v>23.76237624</v>
      </c>
      <c r="L311" s="54"/>
      <c r="M311" s="84">
        <f>SUM(F309:F324)</f>
        <v>14882</v>
      </c>
      <c r="N311" s="84">
        <f>SUM(I309:I324)</f>
        <v>3555.9</v>
      </c>
      <c r="O311" s="85">
        <f>N311/M311*100</f>
        <v>23.89396586</v>
      </c>
      <c r="P311" s="84">
        <f>(M311/100)*(O311-Q311)</f>
        <v>-127.395</v>
      </c>
      <c r="Q311" s="464">
        <v>24.75</v>
      </c>
    </row>
    <row r="312">
      <c r="A312" s="54"/>
      <c r="B312" s="110">
        <v>45875.0</v>
      </c>
      <c r="C312" s="321" t="s">
        <v>152</v>
      </c>
      <c r="D312" s="321" t="s">
        <v>155</v>
      </c>
      <c r="E312" s="100">
        <v>2162828.0</v>
      </c>
      <c r="F312" s="99">
        <f t="shared" si="47"/>
        <v>1272</v>
      </c>
      <c r="G312" s="100">
        <v>426.0</v>
      </c>
      <c r="H312" s="101">
        <v>253.0</v>
      </c>
      <c r="I312" s="101">
        <v>250.0</v>
      </c>
      <c r="J312" s="102">
        <f t="shared" si="45"/>
        <v>3</v>
      </c>
      <c r="K312" s="103">
        <f t="shared" si="46"/>
        <v>19.65408805</v>
      </c>
      <c r="L312" s="54"/>
      <c r="M312" s="482" t="s">
        <v>438</v>
      </c>
      <c r="N312" s="75"/>
      <c r="O312" s="75"/>
      <c r="P312" s="75"/>
      <c r="Q312" s="76"/>
    </row>
    <row r="313">
      <c r="A313" s="54"/>
      <c r="B313" s="110">
        <v>45876.0</v>
      </c>
      <c r="C313" s="321" t="s">
        <v>152</v>
      </c>
      <c r="D313" s="321" t="s">
        <v>155</v>
      </c>
      <c r="E313" s="100">
        <v>2163434.0</v>
      </c>
      <c r="F313" s="99">
        <f t="shared" si="47"/>
        <v>606</v>
      </c>
      <c r="G313" s="100">
        <v>460.0</v>
      </c>
      <c r="H313" s="101">
        <v>170.0</v>
      </c>
      <c r="I313" s="101">
        <v>168.0</v>
      </c>
      <c r="J313" s="102">
        <f t="shared" si="45"/>
        <v>2</v>
      </c>
      <c r="K313" s="103">
        <f t="shared" si="46"/>
        <v>27.72277228</v>
      </c>
      <c r="L313" s="54"/>
      <c r="M313" s="483" t="s">
        <v>70</v>
      </c>
      <c r="N313" s="86"/>
      <c r="O313" s="483" t="s">
        <v>27</v>
      </c>
      <c r="P313" s="77" t="s">
        <v>46</v>
      </c>
      <c r="Q313" s="44"/>
    </row>
    <row r="314">
      <c r="A314" s="54"/>
      <c r="B314" s="110">
        <v>45877.0</v>
      </c>
      <c r="C314" s="321" t="s">
        <v>152</v>
      </c>
      <c r="D314" s="321" t="s">
        <v>155</v>
      </c>
      <c r="E314" s="100">
        <v>2164597.0</v>
      </c>
      <c r="F314" s="99">
        <f t="shared" si="47"/>
        <v>1163</v>
      </c>
      <c r="G314" s="100">
        <v>403.0</v>
      </c>
      <c r="H314" s="101">
        <v>207.0</v>
      </c>
      <c r="I314" s="101">
        <v>200.0</v>
      </c>
      <c r="J314" s="102">
        <f t="shared" si="45"/>
        <v>7</v>
      </c>
      <c r="K314" s="103">
        <f t="shared" si="46"/>
        <v>17.19690456</v>
      </c>
      <c r="L314" s="54"/>
      <c r="M314" s="483">
        <v>14010.25</v>
      </c>
      <c r="N314" s="86"/>
      <c r="O314" s="214">
        <f>N311/M314*100</f>
        <v>25.38070341</v>
      </c>
      <c r="P314" s="214">
        <f>(M314/100)*(O314-Q311)</f>
        <v>88.363125</v>
      </c>
      <c r="Q314" s="44"/>
    </row>
    <row r="315">
      <c r="A315" s="54"/>
      <c r="B315" s="110">
        <v>45878.0</v>
      </c>
      <c r="C315" s="321" t="s">
        <v>152</v>
      </c>
      <c r="D315" s="321" t="s">
        <v>155</v>
      </c>
      <c r="E315" s="100">
        <v>2165204.0</v>
      </c>
      <c r="F315" s="99">
        <f t="shared" si="47"/>
        <v>607</v>
      </c>
      <c r="G315" s="100">
        <v>460.0</v>
      </c>
      <c r="H315" s="101">
        <v>194.0</v>
      </c>
      <c r="I315" s="101">
        <v>191.0</v>
      </c>
      <c r="J315" s="102">
        <f t="shared" si="45"/>
        <v>3</v>
      </c>
      <c r="K315" s="103">
        <f t="shared" si="46"/>
        <v>31.46622735</v>
      </c>
      <c r="L315" s="54"/>
      <c r="M315" s="60"/>
      <c r="N315" s="60"/>
      <c r="O315" s="54"/>
      <c r="P315" s="54"/>
    </row>
    <row r="316">
      <c r="A316" s="54"/>
      <c r="B316" s="110">
        <v>45880.0</v>
      </c>
      <c r="C316" s="321" t="s">
        <v>152</v>
      </c>
      <c r="D316" s="321" t="s">
        <v>155</v>
      </c>
      <c r="E316" s="100">
        <v>2166476.0</v>
      </c>
      <c r="F316" s="99">
        <f t="shared" si="47"/>
        <v>1272</v>
      </c>
      <c r="G316" s="100">
        <v>460.0</v>
      </c>
      <c r="H316" s="101">
        <v>268.0</v>
      </c>
      <c r="I316" s="101">
        <v>265.0</v>
      </c>
      <c r="J316" s="102">
        <f t="shared" si="45"/>
        <v>3</v>
      </c>
      <c r="K316" s="103">
        <f t="shared" si="46"/>
        <v>20.83333333</v>
      </c>
      <c r="L316" s="482" t="s">
        <v>439</v>
      </c>
      <c r="M316" s="75"/>
      <c r="N316" s="75"/>
      <c r="O316" s="75"/>
      <c r="P316" s="75"/>
      <c r="Q316" s="76"/>
    </row>
    <row r="317">
      <c r="A317" s="54"/>
      <c r="B317" s="110">
        <v>45883.0</v>
      </c>
      <c r="C317" s="321" t="s">
        <v>152</v>
      </c>
      <c r="D317" s="321" t="s">
        <v>155</v>
      </c>
      <c r="E317" s="100">
        <v>2167247.0</v>
      </c>
      <c r="F317" s="99">
        <f t="shared" si="47"/>
        <v>771</v>
      </c>
      <c r="G317" s="100">
        <v>443.0</v>
      </c>
      <c r="H317" s="101">
        <v>159.0</v>
      </c>
      <c r="I317" s="101">
        <v>150.0</v>
      </c>
      <c r="J317" s="102">
        <f t="shared" si="45"/>
        <v>9</v>
      </c>
      <c r="K317" s="103">
        <f t="shared" si="46"/>
        <v>19.45525292</v>
      </c>
      <c r="L317" s="101" t="s">
        <v>155</v>
      </c>
      <c r="M317" s="102">
        <f>SUM(F309:F319)</f>
        <v>9916</v>
      </c>
      <c r="N317" s="102">
        <f>SUM(I309:I319)</f>
        <v>2265.01</v>
      </c>
      <c r="O317" s="103">
        <f t="shared" ref="O317:O319" si="48">N317/M317*100</f>
        <v>22.84197257</v>
      </c>
      <c r="P317" s="103">
        <f t="shared" ref="P317:P319" si="49">M317/100*(O317-Q317)</f>
        <v>-114.83</v>
      </c>
      <c r="Q317" s="12">
        <v>24.0</v>
      </c>
    </row>
    <row r="318">
      <c r="A318" s="54"/>
      <c r="B318" s="110">
        <v>45884.0</v>
      </c>
      <c r="C318" s="321" t="s">
        <v>152</v>
      </c>
      <c r="D318" s="321" t="s">
        <v>155</v>
      </c>
      <c r="E318" s="100">
        <v>2168217.0</v>
      </c>
      <c r="F318" s="99">
        <f t="shared" si="47"/>
        <v>970</v>
      </c>
      <c r="G318" s="100">
        <v>460.0</v>
      </c>
      <c r="H318" s="101">
        <v>232.0</v>
      </c>
      <c r="I318" s="102">
        <f>1--232.01</f>
        <v>233.01</v>
      </c>
      <c r="J318" s="102">
        <f t="shared" si="45"/>
        <v>-1.01</v>
      </c>
      <c r="K318" s="103">
        <f t="shared" si="46"/>
        <v>24.02164948</v>
      </c>
      <c r="L318" s="101" t="s">
        <v>292</v>
      </c>
      <c r="M318" s="101">
        <f>SUM(F320:F321)</f>
        <v>2253</v>
      </c>
      <c r="N318" s="101">
        <f>SUM(I320:I321)</f>
        <v>373.36</v>
      </c>
      <c r="O318" s="103">
        <f t="shared" si="48"/>
        <v>16.5716822</v>
      </c>
      <c r="P318" s="103">
        <f t="shared" si="49"/>
        <v>-257.48</v>
      </c>
      <c r="Q318" s="12">
        <v>28.0</v>
      </c>
    </row>
    <row r="319">
      <c r="A319" s="54"/>
      <c r="B319" s="110">
        <v>45885.0</v>
      </c>
      <c r="C319" s="321" t="s">
        <v>152</v>
      </c>
      <c r="D319" s="321" t="s">
        <v>155</v>
      </c>
      <c r="E319" s="100">
        <v>2169070.0</v>
      </c>
      <c r="F319" s="99">
        <f t="shared" si="47"/>
        <v>853</v>
      </c>
      <c r="G319" s="100">
        <v>460.0</v>
      </c>
      <c r="H319" s="101">
        <v>201.0</v>
      </c>
      <c r="I319" s="101">
        <v>196.0</v>
      </c>
      <c r="J319" s="102">
        <f t="shared" si="45"/>
        <v>5</v>
      </c>
      <c r="K319" s="103">
        <f t="shared" si="46"/>
        <v>22.97772567</v>
      </c>
      <c r="L319" s="101" t="s">
        <v>291</v>
      </c>
      <c r="M319" s="102">
        <f>SUM(F322:F324)</f>
        <v>2713</v>
      </c>
      <c r="N319" s="103">
        <f>SUM(I322:I324)</f>
        <v>917.53</v>
      </c>
      <c r="O319" s="103">
        <f t="shared" si="48"/>
        <v>33.81975673</v>
      </c>
      <c r="P319" s="103">
        <f t="shared" si="49"/>
        <v>157.89</v>
      </c>
      <c r="Q319" s="12">
        <v>28.0</v>
      </c>
    </row>
    <row r="320">
      <c r="A320" s="54"/>
      <c r="B320" s="110">
        <v>45887.0</v>
      </c>
      <c r="C320" s="338" t="s">
        <v>440</v>
      </c>
      <c r="D320" s="338" t="s">
        <v>292</v>
      </c>
      <c r="E320" s="100">
        <v>2170342.0</v>
      </c>
      <c r="F320" s="99">
        <f t="shared" si="47"/>
        <v>1272</v>
      </c>
      <c r="G320" s="100">
        <v>460.0</v>
      </c>
      <c r="H320" s="101">
        <v>267.0</v>
      </c>
      <c r="I320" s="101">
        <v>275.03</v>
      </c>
      <c r="J320" s="102">
        <f t="shared" si="45"/>
        <v>-8.03</v>
      </c>
      <c r="K320" s="103">
        <f t="shared" si="46"/>
        <v>21.62185535</v>
      </c>
      <c r="L320" s="54"/>
      <c r="M320" s="54"/>
      <c r="N320" s="54"/>
      <c r="O320" s="54"/>
      <c r="P320" s="54"/>
    </row>
    <row r="321">
      <c r="A321" s="60" t="s">
        <v>441</v>
      </c>
      <c r="B321" s="98">
        <v>45889.0</v>
      </c>
      <c r="C321" s="338" t="s">
        <v>440</v>
      </c>
      <c r="D321" s="338" t="s">
        <v>292</v>
      </c>
      <c r="E321" s="100">
        <v>2171323.0</v>
      </c>
      <c r="F321" s="99">
        <f t="shared" si="47"/>
        <v>981</v>
      </c>
      <c r="G321" s="100">
        <v>351.0</v>
      </c>
      <c r="H321" s="101">
        <v>105.0</v>
      </c>
      <c r="I321" s="101">
        <v>98.33</v>
      </c>
      <c r="J321" s="102">
        <f t="shared" si="45"/>
        <v>6.67</v>
      </c>
      <c r="K321" s="103">
        <f t="shared" si="46"/>
        <v>10.02344546</v>
      </c>
      <c r="L321" s="482" t="s">
        <v>442</v>
      </c>
      <c r="M321" s="75"/>
      <c r="N321" s="75"/>
      <c r="O321" s="75"/>
      <c r="P321" s="75"/>
      <c r="Q321" s="76"/>
    </row>
    <row r="322">
      <c r="A322" s="54"/>
      <c r="B322" s="98">
        <v>45892.0</v>
      </c>
      <c r="C322" s="100" t="s">
        <v>123</v>
      </c>
      <c r="D322" s="100" t="s">
        <v>291</v>
      </c>
      <c r="E322" s="100">
        <v>2172018.0</v>
      </c>
      <c r="F322" s="99">
        <f t="shared" si="47"/>
        <v>695</v>
      </c>
      <c r="G322" s="100">
        <v>460.0</v>
      </c>
      <c r="H322" s="101">
        <v>274.0</v>
      </c>
      <c r="I322" s="102">
        <f>400-42.46</f>
        <v>357.54</v>
      </c>
      <c r="J322" s="102">
        <f t="shared" si="45"/>
        <v>-83.54</v>
      </c>
      <c r="K322" s="103">
        <f t="shared" si="46"/>
        <v>51.44460432</v>
      </c>
      <c r="L322" s="12" t="s">
        <v>155</v>
      </c>
      <c r="M322" s="18">
        <v>9335.146443514643</v>
      </c>
      <c r="N322" s="13">
        <f>SUM(I309:I319)</f>
        <v>2265.01</v>
      </c>
      <c r="O322" s="18">
        <f t="shared" ref="O322:O324" si="50">N322/M322*100</f>
        <v>24.26325086</v>
      </c>
      <c r="P322" s="18">
        <f>M322/100*(O322-Q322)</f>
        <v>24.57485356</v>
      </c>
      <c r="Q322" s="12">
        <v>24.0</v>
      </c>
    </row>
    <row r="323">
      <c r="A323" s="54"/>
      <c r="B323" s="98">
        <v>45893.0</v>
      </c>
      <c r="C323" s="100" t="s">
        <v>123</v>
      </c>
      <c r="D323" s="100" t="s">
        <v>291</v>
      </c>
      <c r="E323" s="100">
        <v>2172841.0</v>
      </c>
      <c r="F323" s="99">
        <f t="shared" si="47"/>
        <v>823</v>
      </c>
      <c r="G323" s="100">
        <v>460.0</v>
      </c>
      <c r="H323" s="101">
        <v>154.0</v>
      </c>
      <c r="I323" s="102">
        <f>130--69.99</f>
        <v>199.99</v>
      </c>
      <c r="J323" s="102">
        <f t="shared" si="45"/>
        <v>-45.99</v>
      </c>
      <c r="K323" s="103">
        <f t="shared" si="46"/>
        <v>24.30012151</v>
      </c>
      <c r="L323" s="12" t="s">
        <v>292</v>
      </c>
      <c r="M323" s="12">
        <v>2121.03</v>
      </c>
      <c r="N323" s="12">
        <f>SUM(I320:I321)</f>
        <v>373.36</v>
      </c>
      <c r="O323" s="18">
        <f t="shared" si="50"/>
        <v>17.60276847</v>
      </c>
      <c r="P323" s="18">
        <f t="shared" ref="P323:P324" si="51">M323/100*(O323-$Q$311)</f>
        <v>-151.594925</v>
      </c>
      <c r="Q323" s="12">
        <v>28.0</v>
      </c>
    </row>
    <row r="324">
      <c r="A324" s="54"/>
      <c r="B324" s="98">
        <v>45900.0</v>
      </c>
      <c r="C324" s="100" t="s">
        <v>123</v>
      </c>
      <c r="D324" s="100" t="s">
        <v>291</v>
      </c>
      <c r="E324" s="100">
        <v>2174036.0</v>
      </c>
      <c r="F324" s="99">
        <f t="shared" si="47"/>
        <v>1195</v>
      </c>
      <c r="G324" s="100">
        <v>460.0</v>
      </c>
      <c r="H324" s="101">
        <v>246.0</v>
      </c>
      <c r="I324" s="102">
        <f>400-40</f>
        <v>360</v>
      </c>
      <c r="J324" s="102">
        <f t="shared" si="45"/>
        <v>-114</v>
      </c>
      <c r="K324" s="103">
        <f t="shared" si="46"/>
        <v>30.12552301</v>
      </c>
      <c r="L324" s="12" t="s">
        <v>291</v>
      </c>
      <c r="M324" s="12">
        <v>2554.08</v>
      </c>
      <c r="N324" s="12">
        <f>SUM(I322:I324)</f>
        <v>917.53</v>
      </c>
      <c r="O324" s="18">
        <f t="shared" si="50"/>
        <v>35.92409008</v>
      </c>
      <c r="P324" s="18">
        <f t="shared" si="51"/>
        <v>285.3952</v>
      </c>
      <c r="Q324" s="12">
        <v>28.0</v>
      </c>
    </row>
    <row r="325">
      <c r="A325" s="68"/>
      <c r="B325" s="203" t="str">
        <f>IF(L325=4,"АПРЕЛЬ",IF(L325=5,"МАЙ",IF(L325=1,"ЯНВАРЬ",IF(L325=2,"ФЕВРАЛЬ",IF(L325=3,"МАРТ",IF(L325=6,"ИЮНЬ",IF(L325=7,"ИЮЛЬ",IF(L325=8,"АВГУСТ",IF(L325=9,"СЕНТЯБРЬ",IF(L325=10,"ОКТЯБРЬ",IF(L325=11,"НОЯБРЬ",IF(L325=12,"ДЕКАБРЬ"))))))))))))</f>
        <v>СЕНТЯБРЬ</v>
      </c>
      <c r="J325" s="88"/>
      <c r="K325" s="204"/>
      <c r="L325" s="91">
        <f>MONTH(B326)</f>
        <v>9</v>
      </c>
      <c r="M325" s="66"/>
      <c r="N325" s="66"/>
      <c r="O325" s="66"/>
      <c r="P325" s="66"/>
      <c r="Q325" s="66"/>
    </row>
    <row r="326">
      <c r="A326" s="54"/>
      <c r="B326" s="98">
        <v>45902.0</v>
      </c>
      <c r="C326" s="100" t="s">
        <v>123</v>
      </c>
      <c r="D326" s="100" t="s">
        <v>291</v>
      </c>
      <c r="E326" s="100">
        <v>2174859.0</v>
      </c>
      <c r="F326" s="99">
        <f>E326-E324</f>
        <v>823</v>
      </c>
      <c r="G326" s="100">
        <v>460.0</v>
      </c>
      <c r="H326" s="101">
        <v>160.0</v>
      </c>
      <c r="I326" s="102">
        <f>130--130</f>
        <v>260</v>
      </c>
      <c r="J326" s="102">
        <f t="shared" ref="J326:J337" si="52">H326-I326</f>
        <v>-100</v>
      </c>
      <c r="K326" s="103">
        <f t="shared" ref="K326:K342" si="53">I326/F326*100</f>
        <v>31.59173755</v>
      </c>
      <c r="L326" s="54"/>
      <c r="M326" s="205" t="str">
        <f>"тотал"&amp;" "&amp;B325&amp;" "&amp;RIGHT(YEAR(B326),2)</f>
        <v>тотал СЕНТЯБРЬ 25</v>
      </c>
      <c r="N326" s="75"/>
      <c r="O326" s="75"/>
      <c r="P326" s="75"/>
      <c r="Q326" s="76"/>
    </row>
    <row r="327">
      <c r="A327" s="54"/>
      <c r="B327" s="98">
        <v>45903.0</v>
      </c>
      <c r="C327" s="100" t="s">
        <v>123</v>
      </c>
      <c r="D327" s="100" t="s">
        <v>291</v>
      </c>
      <c r="E327" s="100">
        <v>2175630.0</v>
      </c>
      <c r="F327" s="99">
        <f t="shared" ref="F327:F342" si="54">E327-E326</f>
        <v>771</v>
      </c>
      <c r="G327" s="100">
        <v>460.0</v>
      </c>
      <c r="H327" s="101">
        <v>143.0</v>
      </c>
      <c r="I327" s="101">
        <v>140.0</v>
      </c>
      <c r="J327" s="102">
        <f t="shared" si="52"/>
        <v>3</v>
      </c>
      <c r="K327" s="103">
        <f t="shared" si="53"/>
        <v>18.15823606</v>
      </c>
      <c r="L327" s="54"/>
      <c r="M327" s="83" t="s">
        <v>70</v>
      </c>
      <c r="N327" s="83" t="s">
        <v>71</v>
      </c>
      <c r="O327" s="83" t="s">
        <v>27</v>
      </c>
      <c r="P327" s="83" t="s">
        <v>28</v>
      </c>
      <c r="Q327" s="321" t="s">
        <v>78</v>
      </c>
    </row>
    <row r="328">
      <c r="A328" s="54"/>
      <c r="B328" s="98">
        <v>45904.0</v>
      </c>
      <c r="C328" s="100" t="s">
        <v>123</v>
      </c>
      <c r="D328" s="100" t="s">
        <v>291</v>
      </c>
      <c r="E328" s="100">
        <v>2176430.0</v>
      </c>
      <c r="F328" s="99">
        <f t="shared" si="54"/>
        <v>800</v>
      </c>
      <c r="G328" s="100">
        <v>460.0</v>
      </c>
      <c r="H328" s="101">
        <v>205.0</v>
      </c>
      <c r="I328" s="103">
        <f>140.31*2</f>
        <v>280.62</v>
      </c>
      <c r="J328" s="103">
        <f t="shared" si="52"/>
        <v>-75.62</v>
      </c>
      <c r="K328" s="103">
        <f t="shared" si="53"/>
        <v>35.0775</v>
      </c>
      <c r="L328" s="54"/>
      <c r="M328" s="84">
        <f>SUM(F326:F342)</f>
        <v>15500</v>
      </c>
      <c r="N328" s="84">
        <f>SUM(I326:I342)</f>
        <v>4454.57</v>
      </c>
      <c r="O328" s="85">
        <f>N328/M328*100</f>
        <v>28.73916129</v>
      </c>
      <c r="P328" s="84">
        <f>(M328/100)*(O328-Q328)</f>
        <v>114.57</v>
      </c>
      <c r="Q328" s="464">
        <v>28.0</v>
      </c>
    </row>
    <row r="329">
      <c r="A329" s="54"/>
      <c r="B329" s="98">
        <v>45905.0</v>
      </c>
      <c r="C329" s="100" t="s">
        <v>123</v>
      </c>
      <c r="D329" s="100" t="s">
        <v>291</v>
      </c>
      <c r="E329" s="100">
        <v>2177198.0</v>
      </c>
      <c r="F329" s="99">
        <f t="shared" si="54"/>
        <v>768</v>
      </c>
      <c r="G329" s="100">
        <v>439.0</v>
      </c>
      <c r="H329" s="101">
        <v>127.0</v>
      </c>
      <c r="I329" s="101">
        <v>119.38</v>
      </c>
      <c r="J329" s="102">
        <f t="shared" si="52"/>
        <v>7.62</v>
      </c>
      <c r="K329" s="103">
        <f t="shared" si="53"/>
        <v>15.54427083</v>
      </c>
      <c r="L329" s="54"/>
      <c r="M329" s="54"/>
      <c r="N329" s="54"/>
      <c r="O329" s="54"/>
      <c r="P329" s="54"/>
    </row>
    <row r="330">
      <c r="A330" s="54"/>
      <c r="B330" s="98">
        <v>45906.0</v>
      </c>
      <c r="C330" s="100" t="s">
        <v>123</v>
      </c>
      <c r="D330" s="100" t="s">
        <v>291</v>
      </c>
      <c r="E330" s="100">
        <v>2178003.0</v>
      </c>
      <c r="F330" s="99">
        <f t="shared" si="54"/>
        <v>805</v>
      </c>
      <c r="G330" s="100">
        <v>460.0</v>
      </c>
      <c r="H330" s="101">
        <v>236.0</v>
      </c>
      <c r="I330" s="102">
        <f>140.31*2+32</f>
        <v>312.62</v>
      </c>
      <c r="J330" s="102">
        <f t="shared" si="52"/>
        <v>-76.62</v>
      </c>
      <c r="K330" s="103">
        <f t="shared" si="53"/>
        <v>38.83478261</v>
      </c>
      <c r="L330" s="54"/>
      <c r="M330" s="5"/>
      <c r="N330" s="5"/>
      <c r="O330" s="5"/>
      <c r="P330" s="5"/>
      <c r="Q330" s="5"/>
    </row>
    <row r="331">
      <c r="A331" s="54"/>
      <c r="B331" s="98">
        <v>45910.0</v>
      </c>
      <c r="C331" s="100" t="s">
        <v>123</v>
      </c>
      <c r="D331" s="100" t="s">
        <v>274</v>
      </c>
      <c r="E331" s="100">
        <v>2179144.0</v>
      </c>
      <c r="F331" s="99">
        <f t="shared" si="54"/>
        <v>1141</v>
      </c>
      <c r="G331" s="100">
        <v>460.0</v>
      </c>
      <c r="H331" s="101">
        <v>249.0</v>
      </c>
      <c r="I331" s="101">
        <v>309.37</v>
      </c>
      <c r="J331" s="102">
        <f t="shared" si="52"/>
        <v>-60.37</v>
      </c>
      <c r="K331" s="103">
        <f t="shared" si="53"/>
        <v>27.11393514</v>
      </c>
      <c r="L331" s="54"/>
      <c r="M331" s="5"/>
      <c r="N331" s="5"/>
      <c r="O331" s="5"/>
      <c r="P331" s="5"/>
      <c r="Q331" s="5"/>
    </row>
    <row r="332">
      <c r="A332" s="54"/>
      <c r="B332" s="98">
        <v>45911.0</v>
      </c>
      <c r="C332" s="100" t="s">
        <v>123</v>
      </c>
      <c r="D332" s="100" t="s">
        <v>274</v>
      </c>
      <c r="E332" s="100">
        <v>2180055.0</v>
      </c>
      <c r="F332" s="99">
        <f t="shared" si="54"/>
        <v>911</v>
      </c>
      <c r="G332" s="100">
        <v>460.0</v>
      </c>
      <c r="H332" s="101">
        <v>190.0</v>
      </c>
      <c r="I332" s="101">
        <v>247.06</v>
      </c>
      <c r="J332" s="102">
        <f t="shared" si="52"/>
        <v>-57.06</v>
      </c>
      <c r="K332" s="103">
        <f t="shared" si="53"/>
        <v>27.11964874</v>
      </c>
      <c r="L332" s="54"/>
      <c r="M332" s="5"/>
      <c r="N332" s="5"/>
      <c r="O332" s="5"/>
      <c r="P332" s="5"/>
      <c r="Q332" s="5"/>
    </row>
    <row r="333">
      <c r="A333" s="54"/>
      <c r="B333" s="98">
        <v>45912.0</v>
      </c>
      <c r="C333" s="100" t="s">
        <v>123</v>
      </c>
      <c r="D333" s="100" t="s">
        <v>274</v>
      </c>
      <c r="E333" s="100">
        <v>2180918.0</v>
      </c>
      <c r="F333" s="99">
        <f t="shared" si="54"/>
        <v>863</v>
      </c>
      <c r="G333" s="100">
        <v>460.0</v>
      </c>
      <c r="H333" s="101">
        <v>200.0</v>
      </c>
      <c r="I333" s="101">
        <v>200.0</v>
      </c>
      <c r="J333" s="102">
        <f t="shared" si="52"/>
        <v>0</v>
      </c>
      <c r="K333" s="103">
        <f t="shared" si="53"/>
        <v>23.17497103</v>
      </c>
      <c r="L333" s="54"/>
      <c r="M333" s="5"/>
      <c r="N333" s="5"/>
      <c r="O333" s="5"/>
      <c r="P333" s="5"/>
      <c r="Q333" s="5"/>
    </row>
    <row r="334">
      <c r="A334" s="54"/>
      <c r="B334" s="98">
        <v>45913.0</v>
      </c>
      <c r="C334" s="100" t="s">
        <v>123</v>
      </c>
      <c r="D334" s="100" t="s">
        <v>274</v>
      </c>
      <c r="E334" s="100">
        <v>2181834.0</v>
      </c>
      <c r="F334" s="99">
        <f t="shared" si="54"/>
        <v>916</v>
      </c>
      <c r="G334" s="100">
        <v>460.0</v>
      </c>
      <c r="H334" s="101">
        <v>278.0</v>
      </c>
      <c r="I334" s="102">
        <f>304.11--10.42</f>
        <v>314.53</v>
      </c>
      <c r="J334" s="102">
        <f t="shared" si="52"/>
        <v>-36.53</v>
      </c>
      <c r="K334" s="103">
        <f t="shared" si="53"/>
        <v>34.33733624</v>
      </c>
      <c r="L334" s="54"/>
      <c r="M334" s="54"/>
      <c r="N334" s="54"/>
      <c r="O334" s="54"/>
      <c r="P334" s="54"/>
    </row>
    <row r="335">
      <c r="A335" s="54"/>
      <c r="B335" s="98">
        <v>45920.0</v>
      </c>
      <c r="C335" s="100" t="s">
        <v>123</v>
      </c>
      <c r="D335" s="100" t="s">
        <v>291</v>
      </c>
      <c r="E335" s="100">
        <v>2182608.0</v>
      </c>
      <c r="F335" s="99">
        <f t="shared" si="54"/>
        <v>774</v>
      </c>
      <c r="G335" s="100">
        <v>460.0</v>
      </c>
      <c r="H335" s="101">
        <v>213.0</v>
      </c>
      <c r="I335" s="101">
        <v>227.0</v>
      </c>
      <c r="J335" s="102">
        <f t="shared" si="52"/>
        <v>-14</v>
      </c>
      <c r="K335" s="103">
        <f t="shared" si="53"/>
        <v>29.32816537</v>
      </c>
      <c r="L335" s="54"/>
      <c r="M335" s="54"/>
      <c r="N335" s="54"/>
      <c r="O335" s="54"/>
      <c r="P335" s="54"/>
    </row>
    <row r="336">
      <c r="A336" s="54"/>
      <c r="B336" s="98">
        <v>45921.0</v>
      </c>
      <c r="C336" s="100" t="s">
        <v>123</v>
      </c>
      <c r="D336" s="100" t="s">
        <v>291</v>
      </c>
      <c r="E336" s="100">
        <v>2183425.0</v>
      </c>
      <c r="F336" s="99">
        <f t="shared" si="54"/>
        <v>817</v>
      </c>
      <c r="G336" s="100">
        <v>460.0</v>
      </c>
      <c r="H336" s="101">
        <v>228.0</v>
      </c>
      <c r="I336" s="102">
        <f>139.72--104.97</f>
        <v>244.69</v>
      </c>
      <c r="J336" s="102">
        <f t="shared" si="52"/>
        <v>-16.69</v>
      </c>
      <c r="K336" s="103">
        <f t="shared" si="53"/>
        <v>29.9498164</v>
      </c>
      <c r="L336" s="54"/>
      <c r="M336" s="54"/>
      <c r="N336" s="54"/>
      <c r="O336" s="54"/>
      <c r="P336" s="54"/>
    </row>
    <row r="337">
      <c r="A337" s="54"/>
      <c r="B337" s="98">
        <v>45923.0</v>
      </c>
      <c r="C337" s="100" t="s">
        <v>123</v>
      </c>
      <c r="D337" s="100" t="s">
        <v>291</v>
      </c>
      <c r="E337" s="100">
        <v>2184685.0</v>
      </c>
      <c r="F337" s="99">
        <f t="shared" si="54"/>
        <v>1260</v>
      </c>
      <c r="G337" s="100">
        <v>460.0</v>
      </c>
      <c r="H337" s="101">
        <v>347.0</v>
      </c>
      <c r="I337" s="101">
        <v>350.0</v>
      </c>
      <c r="J337" s="102">
        <f t="shared" si="52"/>
        <v>-3</v>
      </c>
      <c r="K337" s="103">
        <f t="shared" si="53"/>
        <v>27.77777778</v>
      </c>
      <c r="L337" s="54"/>
      <c r="M337" s="54"/>
      <c r="N337" s="54"/>
      <c r="O337" s="54"/>
      <c r="P337" s="54"/>
    </row>
    <row r="338">
      <c r="A338" s="54"/>
      <c r="B338" s="98">
        <v>45925.0</v>
      </c>
      <c r="C338" s="100" t="s">
        <v>123</v>
      </c>
      <c r="D338" s="100" t="s">
        <v>291</v>
      </c>
      <c r="E338" s="100">
        <v>2185939.0</v>
      </c>
      <c r="F338" s="99">
        <f t="shared" si="54"/>
        <v>1254</v>
      </c>
      <c r="G338" s="100">
        <v>460.0</v>
      </c>
      <c r="H338" s="101">
        <v>380.0</v>
      </c>
      <c r="I338" s="102">
        <f>400-15.7</f>
        <v>384.3</v>
      </c>
      <c r="K338" s="103">
        <f t="shared" si="53"/>
        <v>30.64593301</v>
      </c>
      <c r="L338" s="54"/>
      <c r="M338" s="54"/>
      <c r="N338" s="54"/>
      <c r="O338" s="54"/>
      <c r="P338" s="54"/>
    </row>
    <row r="339">
      <c r="A339" s="54"/>
      <c r="B339" s="98">
        <v>45926.0</v>
      </c>
      <c r="C339" s="100" t="s">
        <v>123</v>
      </c>
      <c r="D339" s="100" t="s">
        <v>291</v>
      </c>
      <c r="E339" s="100">
        <v>2187104.0</v>
      </c>
      <c r="F339" s="99">
        <f t="shared" si="54"/>
        <v>1165</v>
      </c>
      <c r="G339" s="100">
        <v>457.0</v>
      </c>
      <c r="H339" s="101">
        <v>339.0</v>
      </c>
      <c r="I339" s="101">
        <v>340.0</v>
      </c>
      <c r="J339" s="102">
        <f>H338-I338</f>
        <v>-4.3</v>
      </c>
      <c r="K339" s="103">
        <f t="shared" si="53"/>
        <v>29.18454936</v>
      </c>
      <c r="L339" s="54"/>
      <c r="M339" s="54"/>
      <c r="N339" s="54"/>
      <c r="O339" s="54"/>
      <c r="P339" s="54"/>
    </row>
    <row r="340">
      <c r="A340" s="54"/>
      <c r="B340" s="98">
        <v>45927.0</v>
      </c>
      <c r="C340" s="100" t="s">
        <v>123</v>
      </c>
      <c r="D340" s="100" t="s">
        <v>291</v>
      </c>
      <c r="E340" s="100">
        <v>2187856.0</v>
      </c>
      <c r="F340" s="99">
        <f t="shared" si="54"/>
        <v>752</v>
      </c>
      <c r="G340" s="100">
        <v>460.0</v>
      </c>
      <c r="H340" s="101">
        <v>233.0</v>
      </c>
      <c r="I340" s="102">
        <f>100--130</f>
        <v>230</v>
      </c>
      <c r="J340" s="102">
        <f t="shared" ref="J340:J342" si="55">H340-I340</f>
        <v>3</v>
      </c>
      <c r="K340" s="103">
        <f t="shared" si="53"/>
        <v>30.58510638</v>
      </c>
      <c r="L340" s="54"/>
      <c r="M340" s="54"/>
      <c r="N340" s="54"/>
      <c r="O340" s="54"/>
      <c r="P340" s="54"/>
    </row>
    <row r="341">
      <c r="A341" s="54"/>
      <c r="B341" s="98">
        <v>45929.0</v>
      </c>
      <c r="C341" s="100" t="s">
        <v>123</v>
      </c>
      <c r="D341" s="100" t="s">
        <v>291</v>
      </c>
      <c r="E341" s="100">
        <v>2188722.0</v>
      </c>
      <c r="F341" s="99">
        <f t="shared" si="54"/>
        <v>866</v>
      </c>
      <c r="G341" s="100">
        <v>451.0</v>
      </c>
      <c r="H341" s="101">
        <v>250.0</v>
      </c>
      <c r="I341" s="101">
        <v>250.0</v>
      </c>
      <c r="J341" s="102">
        <f t="shared" si="55"/>
        <v>0</v>
      </c>
      <c r="K341" s="103">
        <f t="shared" si="53"/>
        <v>28.86836028</v>
      </c>
      <c r="L341" s="54"/>
      <c r="M341" s="54"/>
      <c r="N341" s="54"/>
      <c r="O341" s="54"/>
      <c r="P341" s="54"/>
    </row>
    <row r="342">
      <c r="A342" s="54"/>
      <c r="B342" s="98">
        <v>45930.0</v>
      </c>
      <c r="C342" s="100" t="s">
        <v>123</v>
      </c>
      <c r="D342" s="100" t="s">
        <v>291</v>
      </c>
      <c r="E342" s="100">
        <v>2189536.0</v>
      </c>
      <c r="F342" s="99">
        <f t="shared" si="54"/>
        <v>814</v>
      </c>
      <c r="G342" s="100">
        <v>454.0</v>
      </c>
      <c r="H342" s="101">
        <v>241.0</v>
      </c>
      <c r="I342" s="102">
        <f>130--115</f>
        <v>245</v>
      </c>
      <c r="J342" s="102">
        <f t="shared" si="55"/>
        <v>-4</v>
      </c>
      <c r="K342" s="103">
        <f t="shared" si="53"/>
        <v>30.0982801</v>
      </c>
      <c r="L342" s="54"/>
      <c r="M342" s="54"/>
      <c r="N342" s="54"/>
      <c r="O342" s="54"/>
      <c r="P342" s="54"/>
    </row>
    <row r="343">
      <c r="A343" s="68"/>
      <c r="B343" s="203" t="str">
        <f>IF(L343=4,"АПРЕЛЬ",IF(L343=5,"МАЙ",IF(L343=1,"ЯНВАРЬ",IF(L343=2,"ФЕВРАЛЬ",IF(L343=3,"МАРТ",IF(L343=6,"ИЮНЬ",IF(L343=7,"ИЮЛЬ",IF(L343=8,"АВГУСТ",IF(L343=9,"СЕНТЯБРЬ",IF(L343=10,"ОКТЯБРЬ",IF(L343=11,"НОЯБРЬ",IF(L343=12,"ДЕКАБРЬ"))))))))))))</f>
        <v>ОКТЯБРЬ</v>
      </c>
      <c r="J343" s="88"/>
      <c r="K343" s="204"/>
      <c r="L343" s="91">
        <f>MONTH(B344)</f>
        <v>10</v>
      </c>
      <c r="M343" s="66"/>
      <c r="N343" s="66"/>
      <c r="O343" s="66"/>
      <c r="P343" s="66"/>
      <c r="Q343" s="66"/>
    </row>
    <row r="344">
      <c r="A344" s="54"/>
      <c r="B344" s="98">
        <v>45931.0</v>
      </c>
      <c r="C344" s="100" t="s">
        <v>123</v>
      </c>
      <c r="D344" s="100" t="s">
        <v>291</v>
      </c>
      <c r="E344" s="100">
        <v>2190264.0</v>
      </c>
      <c r="F344" s="99">
        <f>E344-E342</f>
        <v>728</v>
      </c>
      <c r="G344" s="100">
        <v>446.0</v>
      </c>
      <c r="H344" s="101">
        <v>216.0</v>
      </c>
      <c r="I344" s="102">
        <f>139.82--77.12</f>
        <v>216.94</v>
      </c>
      <c r="J344" s="102">
        <f t="shared" ref="J344:J353" si="56">H344-I344</f>
        <v>-0.94</v>
      </c>
      <c r="K344" s="103">
        <f t="shared" ref="K344:K353" si="57">I344/F344*100</f>
        <v>29.79945055</v>
      </c>
      <c r="L344" s="54"/>
      <c r="M344" s="205" t="str">
        <f>"тотал"&amp;" "&amp;B343&amp;" "&amp;RIGHT(YEAR(B344),2)</f>
        <v>тотал ОКТЯБРЬ 25</v>
      </c>
      <c r="N344" s="75"/>
      <c r="O344" s="75"/>
      <c r="P344" s="75"/>
      <c r="Q344" s="76"/>
    </row>
    <row r="345">
      <c r="A345" s="54"/>
      <c r="B345" s="98">
        <v>45932.0</v>
      </c>
      <c r="C345" s="100" t="s">
        <v>123</v>
      </c>
      <c r="D345" s="100" t="s">
        <v>291</v>
      </c>
      <c r="E345" s="100">
        <v>2191015.0</v>
      </c>
      <c r="F345" s="99">
        <f t="shared" ref="F345:F353" si="58">E345-E344</f>
        <v>751</v>
      </c>
      <c r="G345" s="100">
        <v>450.0</v>
      </c>
      <c r="H345" s="101">
        <v>229.0</v>
      </c>
      <c r="I345" s="102">
        <f>135--100</f>
        <v>235</v>
      </c>
      <c r="J345" s="102">
        <f t="shared" si="56"/>
        <v>-6</v>
      </c>
      <c r="K345" s="103">
        <f t="shared" si="57"/>
        <v>31.29161119</v>
      </c>
      <c r="L345" s="54"/>
      <c r="M345" s="83" t="s">
        <v>70</v>
      </c>
      <c r="N345" s="83" t="s">
        <v>71</v>
      </c>
      <c r="O345" s="83" t="s">
        <v>27</v>
      </c>
      <c r="P345" s="83" t="s">
        <v>28</v>
      </c>
      <c r="Q345" s="321" t="s">
        <v>78</v>
      </c>
    </row>
    <row r="346">
      <c r="A346" s="54"/>
      <c r="B346" s="98">
        <v>45933.0</v>
      </c>
      <c r="C346" s="100" t="s">
        <v>123</v>
      </c>
      <c r="D346" s="100" t="s">
        <v>291</v>
      </c>
      <c r="E346" s="100">
        <v>2191742.0</v>
      </c>
      <c r="F346" s="99">
        <f t="shared" si="58"/>
        <v>727</v>
      </c>
      <c r="G346" s="100">
        <v>450.0</v>
      </c>
      <c r="H346" s="101">
        <v>221.0</v>
      </c>
      <c r="I346" s="102">
        <f>139.82--81.17</f>
        <v>220.99</v>
      </c>
      <c r="J346" s="102">
        <f t="shared" si="56"/>
        <v>0.01</v>
      </c>
      <c r="K346" s="103">
        <f t="shared" si="57"/>
        <v>30.39752407</v>
      </c>
      <c r="L346" s="54"/>
      <c r="M346" s="84">
        <f>SUM(F344:F360)</f>
        <v>7588</v>
      </c>
      <c r="N346" s="84">
        <f>SUM(I344:I360)</f>
        <v>2298.33</v>
      </c>
      <c r="O346" s="85">
        <f>N346/M346*100</f>
        <v>30.28900896</v>
      </c>
      <c r="P346" s="84">
        <f>(M346/100)*(O346-Q346)</f>
        <v>173.69</v>
      </c>
      <c r="Q346" s="464">
        <v>28.0</v>
      </c>
    </row>
    <row r="347">
      <c r="A347" s="54"/>
      <c r="B347" s="98">
        <v>45934.0</v>
      </c>
      <c r="C347" s="100" t="s">
        <v>123</v>
      </c>
      <c r="D347" s="100" t="s">
        <v>291</v>
      </c>
      <c r="E347" s="100">
        <v>2192493.0</v>
      </c>
      <c r="F347" s="99">
        <f t="shared" si="58"/>
        <v>751</v>
      </c>
      <c r="G347" s="100">
        <v>449.0</v>
      </c>
      <c r="H347" s="101">
        <v>230.0</v>
      </c>
      <c r="I347" s="102">
        <f>139.14--96</f>
        <v>235.14</v>
      </c>
      <c r="J347" s="102">
        <f t="shared" si="56"/>
        <v>-5.14</v>
      </c>
      <c r="K347" s="103">
        <f t="shared" si="57"/>
        <v>31.310253</v>
      </c>
      <c r="L347" s="54"/>
      <c r="M347" s="54"/>
      <c r="N347" s="54"/>
      <c r="O347" s="54"/>
      <c r="P347" s="54"/>
    </row>
    <row r="348">
      <c r="A348" s="54"/>
      <c r="B348" s="98">
        <v>45936.0</v>
      </c>
      <c r="C348" s="100" t="s">
        <v>123</v>
      </c>
      <c r="D348" s="100" t="s">
        <v>291</v>
      </c>
      <c r="E348" s="100">
        <v>2193396.0</v>
      </c>
      <c r="F348" s="99">
        <f t="shared" si="58"/>
        <v>903</v>
      </c>
      <c r="G348" s="100">
        <v>451.0</v>
      </c>
      <c r="H348" s="101">
        <v>252.0</v>
      </c>
      <c r="I348" s="101">
        <v>250.0</v>
      </c>
      <c r="J348" s="102">
        <f t="shared" si="56"/>
        <v>2</v>
      </c>
      <c r="K348" s="103">
        <f t="shared" si="57"/>
        <v>27.6854928</v>
      </c>
      <c r="L348" s="54"/>
      <c r="M348" s="54"/>
      <c r="N348" s="54"/>
      <c r="O348" s="54"/>
      <c r="P348" s="54"/>
    </row>
    <row r="349">
      <c r="A349" s="54"/>
      <c r="B349" s="98">
        <v>45937.0</v>
      </c>
      <c r="C349" s="100" t="s">
        <v>123</v>
      </c>
      <c r="D349" s="100" t="s">
        <v>291</v>
      </c>
      <c r="E349" s="100">
        <v>2194170.0</v>
      </c>
      <c r="F349" s="99">
        <f t="shared" si="58"/>
        <v>774</v>
      </c>
      <c r="G349" s="100">
        <v>460.0</v>
      </c>
      <c r="H349" s="101">
        <v>223.0</v>
      </c>
      <c r="I349" s="102">
        <f>130--110</f>
        <v>240</v>
      </c>
      <c r="J349" s="102">
        <f t="shared" si="56"/>
        <v>-17</v>
      </c>
      <c r="K349" s="103">
        <f t="shared" si="57"/>
        <v>31.00775194</v>
      </c>
      <c r="L349" s="54"/>
      <c r="M349" s="54"/>
      <c r="N349" s="54"/>
      <c r="O349" s="54"/>
      <c r="P349" s="54"/>
    </row>
    <row r="350">
      <c r="A350" s="54"/>
      <c r="B350" s="98">
        <v>45938.0</v>
      </c>
      <c r="C350" s="100" t="s">
        <v>123</v>
      </c>
      <c r="D350" s="100" t="s">
        <v>291</v>
      </c>
      <c r="E350" s="100">
        <v>2194897.0</v>
      </c>
      <c r="F350" s="99">
        <f t="shared" si="58"/>
        <v>727</v>
      </c>
      <c r="G350" s="100">
        <v>457.0</v>
      </c>
      <c r="H350" s="101">
        <v>220.0</v>
      </c>
      <c r="I350" s="101">
        <v>217.13</v>
      </c>
      <c r="J350" s="102">
        <f t="shared" si="56"/>
        <v>2.87</v>
      </c>
      <c r="K350" s="103">
        <f t="shared" si="57"/>
        <v>29.86657497</v>
      </c>
      <c r="L350" s="54"/>
      <c r="M350" s="54"/>
      <c r="N350" s="54"/>
      <c r="O350" s="54"/>
      <c r="P350" s="54"/>
    </row>
    <row r="351">
      <c r="A351" s="54"/>
      <c r="B351" s="98">
        <v>45939.0</v>
      </c>
      <c r="C351" s="100" t="s">
        <v>123</v>
      </c>
      <c r="D351" s="100" t="s">
        <v>291</v>
      </c>
      <c r="E351" s="100">
        <v>2195649.0</v>
      </c>
      <c r="F351" s="99">
        <f t="shared" si="58"/>
        <v>752</v>
      </c>
      <c r="G351" s="100">
        <v>460.0</v>
      </c>
      <c r="H351" s="101">
        <v>225.0</v>
      </c>
      <c r="I351" s="102">
        <f>135.01--94.99</f>
        <v>230</v>
      </c>
      <c r="J351" s="102">
        <f t="shared" si="56"/>
        <v>-5</v>
      </c>
      <c r="K351" s="103">
        <f t="shared" si="57"/>
        <v>30.58510638</v>
      </c>
      <c r="L351" s="54"/>
      <c r="M351" s="54"/>
      <c r="N351" s="54"/>
      <c r="O351" s="54"/>
      <c r="P351" s="54"/>
    </row>
    <row r="352">
      <c r="A352" s="54"/>
      <c r="B352" s="98">
        <v>45940.0</v>
      </c>
      <c r="C352" s="100" t="s">
        <v>123</v>
      </c>
      <c r="D352" s="100" t="s">
        <v>291</v>
      </c>
      <c r="E352" s="100">
        <v>2196371.0</v>
      </c>
      <c r="F352" s="99">
        <f t="shared" si="58"/>
        <v>722</v>
      </c>
      <c r="G352" s="100">
        <v>451.0</v>
      </c>
      <c r="H352" s="101">
        <v>214.0</v>
      </c>
      <c r="I352" s="101">
        <v>215.0</v>
      </c>
      <c r="J352" s="102">
        <f t="shared" si="56"/>
        <v>-1</v>
      </c>
      <c r="K352" s="103">
        <f t="shared" si="57"/>
        <v>29.77839335</v>
      </c>
      <c r="L352" s="54"/>
      <c r="M352" s="54"/>
      <c r="N352" s="54"/>
      <c r="O352" s="54"/>
      <c r="P352" s="54"/>
    </row>
    <row r="353">
      <c r="A353" s="54"/>
      <c r="B353" s="98">
        <v>45941.0</v>
      </c>
      <c r="C353" s="100" t="s">
        <v>123</v>
      </c>
      <c r="D353" s="100" t="s">
        <v>291</v>
      </c>
      <c r="E353" s="100">
        <v>2197124.0</v>
      </c>
      <c r="F353" s="99">
        <f t="shared" si="58"/>
        <v>753</v>
      </c>
      <c r="G353" s="100">
        <v>460.0</v>
      </c>
      <c r="H353" s="101">
        <v>233.0</v>
      </c>
      <c r="I353" s="102">
        <f>135--103.13</f>
        <v>238.13</v>
      </c>
      <c r="J353" s="102">
        <f t="shared" si="56"/>
        <v>-5.13</v>
      </c>
      <c r="K353" s="103">
        <f t="shared" si="57"/>
        <v>31.62416999</v>
      </c>
      <c r="L353" s="54"/>
      <c r="M353" s="54"/>
      <c r="N353" s="54"/>
      <c r="O353" s="54"/>
      <c r="P353" s="54"/>
    </row>
    <row r="354">
      <c r="A354" s="54"/>
      <c r="B354" s="99"/>
      <c r="C354" s="99"/>
      <c r="D354" s="99"/>
      <c r="E354" s="99"/>
      <c r="F354" s="99"/>
      <c r="G354" s="99"/>
      <c r="H354" s="102"/>
      <c r="I354" s="102"/>
      <c r="J354" s="102"/>
      <c r="K354" s="102"/>
      <c r="L354" s="54"/>
      <c r="M354" s="54"/>
      <c r="N354" s="54"/>
      <c r="O354" s="54"/>
      <c r="P354" s="54"/>
    </row>
    <row r="355">
      <c r="A355" s="54"/>
      <c r="B355" s="99"/>
      <c r="C355" s="99"/>
      <c r="D355" s="99"/>
      <c r="E355" s="99"/>
      <c r="F355" s="99"/>
      <c r="G355" s="99"/>
      <c r="H355" s="102"/>
      <c r="I355" s="102"/>
      <c r="J355" s="102"/>
      <c r="K355" s="102"/>
      <c r="L355" s="54"/>
      <c r="M355" s="54"/>
      <c r="N355" s="54"/>
      <c r="O355" s="54"/>
      <c r="P355" s="54"/>
    </row>
    <row r="356">
      <c r="A356" s="54"/>
      <c r="B356" s="99"/>
      <c r="C356" s="99"/>
      <c r="D356" s="99"/>
      <c r="E356" s="99"/>
      <c r="F356" s="99"/>
      <c r="G356" s="99"/>
      <c r="H356" s="102"/>
      <c r="I356" s="102"/>
      <c r="J356" s="102"/>
      <c r="K356" s="102"/>
      <c r="L356" s="54"/>
      <c r="M356" s="54"/>
      <c r="N356" s="54"/>
      <c r="O356" s="54"/>
      <c r="P356" s="54"/>
    </row>
    <row r="357">
      <c r="A357" s="54"/>
      <c r="B357" s="99"/>
      <c r="C357" s="99"/>
      <c r="D357" s="99"/>
      <c r="E357" s="99"/>
      <c r="F357" s="99"/>
      <c r="G357" s="99"/>
      <c r="H357" s="102"/>
      <c r="I357" s="102"/>
      <c r="J357" s="102"/>
      <c r="K357" s="102"/>
      <c r="L357" s="54"/>
      <c r="M357" s="54"/>
      <c r="N357" s="54"/>
      <c r="O357" s="54"/>
      <c r="P357" s="54"/>
    </row>
    <row r="358">
      <c r="A358" s="54"/>
      <c r="B358" s="99"/>
      <c r="C358" s="99"/>
      <c r="D358" s="99"/>
      <c r="E358" s="99"/>
      <c r="F358" s="99"/>
      <c r="G358" s="99"/>
      <c r="H358" s="102"/>
      <c r="I358" s="102"/>
      <c r="J358" s="102"/>
      <c r="K358" s="102"/>
      <c r="L358" s="54"/>
      <c r="M358" s="54"/>
      <c r="N358" s="54"/>
      <c r="O358" s="54"/>
      <c r="P358" s="54"/>
    </row>
    <row r="359">
      <c r="A359" s="54"/>
      <c r="B359" s="99"/>
      <c r="C359" s="99"/>
      <c r="D359" s="99"/>
      <c r="E359" s="99"/>
      <c r="F359" s="99"/>
      <c r="G359" s="99"/>
      <c r="H359" s="102"/>
      <c r="I359" s="102"/>
      <c r="J359" s="102"/>
      <c r="K359" s="102"/>
      <c r="L359" s="54"/>
      <c r="M359" s="54"/>
      <c r="N359" s="54"/>
      <c r="O359" s="54"/>
      <c r="P359" s="54"/>
    </row>
    <row r="360">
      <c r="A360" s="54"/>
      <c r="B360" s="99"/>
      <c r="C360" s="99"/>
      <c r="D360" s="99"/>
      <c r="E360" s="99"/>
      <c r="F360" s="99"/>
      <c r="G360" s="99"/>
      <c r="H360" s="102"/>
      <c r="I360" s="102"/>
      <c r="J360" s="102"/>
      <c r="K360" s="102"/>
      <c r="L360" s="54"/>
      <c r="M360" s="54"/>
      <c r="N360" s="54"/>
      <c r="O360" s="54"/>
      <c r="P360" s="54"/>
    </row>
    <row r="361">
      <c r="A361" s="54"/>
      <c r="B361" s="99"/>
      <c r="C361" s="99"/>
      <c r="D361" s="99"/>
      <c r="E361" s="99"/>
      <c r="F361" s="99"/>
      <c r="G361" s="99"/>
      <c r="H361" s="102"/>
      <c r="I361" s="102"/>
      <c r="J361" s="102"/>
      <c r="K361" s="102"/>
      <c r="L361" s="54"/>
      <c r="M361" s="54"/>
      <c r="N361" s="54"/>
      <c r="O361" s="54"/>
      <c r="P361" s="54"/>
    </row>
    <row r="362">
      <c r="A362" s="54"/>
      <c r="B362" s="99"/>
      <c r="C362" s="99"/>
      <c r="D362" s="99"/>
      <c r="E362" s="99"/>
      <c r="F362" s="99"/>
      <c r="G362" s="99"/>
      <c r="H362" s="102"/>
      <c r="I362" s="102"/>
      <c r="J362" s="102"/>
      <c r="K362" s="102"/>
      <c r="L362" s="54"/>
      <c r="M362" s="54"/>
      <c r="N362" s="54"/>
      <c r="O362" s="54"/>
      <c r="P362" s="54"/>
    </row>
    <row r="363">
      <c r="A363" s="54"/>
      <c r="B363" s="99"/>
      <c r="C363" s="99"/>
      <c r="D363" s="99"/>
      <c r="E363" s="99"/>
      <c r="F363" s="99"/>
      <c r="G363" s="99"/>
      <c r="H363" s="102"/>
      <c r="I363" s="102"/>
      <c r="J363" s="102"/>
      <c r="K363" s="102"/>
      <c r="L363" s="54"/>
      <c r="M363" s="54"/>
      <c r="N363" s="54"/>
      <c r="O363" s="54"/>
      <c r="P363" s="54"/>
    </row>
    <row r="364">
      <c r="A364" s="54"/>
      <c r="B364" s="99"/>
      <c r="C364" s="99"/>
      <c r="D364" s="99"/>
      <c r="E364" s="99"/>
      <c r="F364" s="99"/>
      <c r="G364" s="99"/>
      <c r="H364" s="102"/>
      <c r="I364" s="102"/>
      <c r="J364" s="102"/>
      <c r="K364" s="102"/>
      <c r="L364" s="54"/>
      <c r="M364" s="54"/>
      <c r="N364" s="54"/>
      <c r="O364" s="54"/>
      <c r="P364" s="54"/>
    </row>
    <row r="365">
      <c r="A365" s="54"/>
      <c r="B365" s="99"/>
      <c r="C365" s="99"/>
      <c r="D365" s="99"/>
      <c r="E365" s="99"/>
      <c r="F365" s="99"/>
      <c r="G365" s="99"/>
      <c r="H365" s="102"/>
      <c r="I365" s="102"/>
      <c r="J365" s="102"/>
      <c r="K365" s="102"/>
      <c r="L365" s="54"/>
      <c r="M365" s="54"/>
      <c r="N365" s="54"/>
      <c r="O365" s="54"/>
      <c r="P365" s="54"/>
    </row>
    <row r="366">
      <c r="A366" s="54"/>
      <c r="B366" s="99"/>
      <c r="C366" s="99"/>
      <c r="D366" s="99"/>
      <c r="E366" s="99"/>
      <c r="F366" s="99"/>
      <c r="G366" s="99"/>
      <c r="H366" s="102"/>
      <c r="I366" s="102"/>
      <c r="J366" s="102"/>
      <c r="K366" s="102"/>
      <c r="L366" s="54"/>
      <c r="M366" s="54"/>
      <c r="N366" s="54"/>
      <c r="O366" s="54"/>
      <c r="P366" s="54"/>
    </row>
    <row r="367">
      <c r="A367" s="54"/>
      <c r="B367" s="99"/>
      <c r="C367" s="99"/>
      <c r="D367" s="99"/>
      <c r="E367" s="99"/>
      <c r="F367" s="99"/>
      <c r="G367" s="99"/>
      <c r="H367" s="102"/>
      <c r="I367" s="102"/>
      <c r="J367" s="102"/>
      <c r="K367" s="102"/>
      <c r="L367" s="54"/>
      <c r="M367" s="54"/>
      <c r="N367" s="54"/>
      <c r="O367" s="54"/>
      <c r="P367" s="54"/>
    </row>
    <row r="368">
      <c r="A368" s="54"/>
      <c r="B368" s="99"/>
      <c r="C368" s="99"/>
      <c r="D368" s="99"/>
      <c r="E368" s="99"/>
      <c r="F368" s="99"/>
      <c r="G368" s="99"/>
      <c r="H368" s="102"/>
      <c r="I368" s="102"/>
      <c r="J368" s="102"/>
      <c r="K368" s="102"/>
      <c r="L368" s="54"/>
      <c r="M368" s="54"/>
      <c r="N368" s="54"/>
      <c r="O368" s="54"/>
      <c r="P368" s="54"/>
    </row>
    <row r="369">
      <c r="A369" s="54"/>
      <c r="B369" s="99"/>
      <c r="C369" s="99"/>
      <c r="D369" s="99"/>
      <c r="E369" s="99"/>
      <c r="F369" s="99"/>
      <c r="G369" s="99"/>
      <c r="H369" s="102"/>
      <c r="I369" s="102"/>
      <c r="J369" s="102"/>
      <c r="K369" s="102"/>
      <c r="L369" s="54"/>
      <c r="M369" s="54"/>
      <c r="N369" s="54"/>
      <c r="O369" s="54"/>
      <c r="P369" s="54"/>
    </row>
    <row r="370">
      <c r="A370" s="54"/>
      <c r="B370" s="99"/>
      <c r="C370" s="99"/>
      <c r="D370" s="99"/>
      <c r="E370" s="99"/>
      <c r="F370" s="99"/>
      <c r="G370" s="99"/>
      <c r="H370" s="102"/>
      <c r="I370" s="102"/>
      <c r="J370" s="102"/>
      <c r="K370" s="102"/>
      <c r="L370" s="54"/>
      <c r="M370" s="54"/>
      <c r="N370" s="54"/>
      <c r="O370" s="54"/>
      <c r="P370" s="54"/>
    </row>
    <row r="371">
      <c r="A371" s="54"/>
      <c r="B371" s="99"/>
      <c r="C371" s="99"/>
      <c r="D371" s="99"/>
      <c r="E371" s="99"/>
      <c r="F371" s="99"/>
      <c r="G371" s="99"/>
      <c r="H371" s="102"/>
      <c r="I371" s="102"/>
      <c r="J371" s="102"/>
      <c r="K371" s="102"/>
      <c r="L371" s="54"/>
      <c r="M371" s="54"/>
      <c r="N371" s="54"/>
      <c r="O371" s="54"/>
      <c r="P371" s="54"/>
    </row>
    <row r="372">
      <c r="A372" s="54"/>
      <c r="B372" s="99"/>
      <c r="C372" s="99"/>
      <c r="D372" s="99"/>
      <c r="E372" s="99"/>
      <c r="F372" s="99"/>
      <c r="G372" s="99"/>
      <c r="H372" s="102"/>
      <c r="I372" s="102"/>
      <c r="J372" s="102"/>
      <c r="K372" s="102"/>
      <c r="L372" s="54"/>
      <c r="M372" s="54"/>
      <c r="N372" s="54"/>
      <c r="O372" s="54"/>
      <c r="P372" s="54"/>
    </row>
    <row r="373">
      <c r="A373" s="54"/>
      <c r="B373" s="99"/>
      <c r="C373" s="99"/>
      <c r="D373" s="99"/>
      <c r="E373" s="99"/>
      <c r="F373" s="99"/>
      <c r="G373" s="99"/>
      <c r="H373" s="102"/>
      <c r="I373" s="102"/>
      <c r="J373" s="102"/>
      <c r="K373" s="102"/>
      <c r="L373" s="54"/>
      <c r="M373" s="54"/>
      <c r="N373" s="54"/>
      <c r="O373" s="54"/>
      <c r="P373" s="54"/>
    </row>
    <row r="374">
      <c r="A374" s="54"/>
      <c r="B374" s="99"/>
      <c r="C374" s="99"/>
      <c r="D374" s="99"/>
      <c r="E374" s="99"/>
      <c r="F374" s="99"/>
      <c r="G374" s="99"/>
      <c r="H374" s="102"/>
      <c r="I374" s="102"/>
      <c r="J374" s="102"/>
      <c r="K374" s="102"/>
      <c r="L374" s="54"/>
      <c r="M374" s="54"/>
      <c r="N374" s="54"/>
      <c r="O374" s="54"/>
      <c r="P374" s="54"/>
    </row>
    <row r="375">
      <c r="A375" s="54"/>
      <c r="B375" s="99"/>
      <c r="C375" s="99"/>
      <c r="D375" s="99"/>
      <c r="E375" s="99"/>
      <c r="F375" s="99"/>
      <c r="G375" s="99"/>
      <c r="H375" s="102"/>
      <c r="I375" s="102"/>
      <c r="J375" s="102"/>
      <c r="K375" s="102"/>
      <c r="L375" s="54"/>
      <c r="M375" s="54"/>
      <c r="N375" s="54"/>
      <c r="O375" s="54"/>
      <c r="P375" s="54"/>
    </row>
    <row r="376">
      <c r="A376" s="54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54"/>
      <c r="M376" s="54"/>
      <c r="N376" s="54"/>
      <c r="O376" s="54"/>
      <c r="P376" s="54"/>
    </row>
    <row r="377">
      <c r="A377" s="54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54"/>
      <c r="M377" s="54"/>
      <c r="N377" s="54"/>
      <c r="O377" s="54"/>
      <c r="P377" s="54"/>
    </row>
    <row r="378">
      <c r="A378" s="54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54"/>
      <c r="M378" s="54"/>
      <c r="N378" s="54"/>
      <c r="O378" s="54"/>
      <c r="P378" s="54"/>
    </row>
    <row r="379">
      <c r="A379" s="54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54"/>
      <c r="M379" s="54"/>
      <c r="N379" s="54"/>
      <c r="O379" s="54"/>
      <c r="P379" s="54"/>
    </row>
    <row r="380">
      <c r="A380" s="54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54"/>
      <c r="M380" s="54"/>
      <c r="N380" s="54"/>
      <c r="O380" s="54"/>
      <c r="P380" s="54"/>
    </row>
    <row r="381">
      <c r="A381" s="54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54"/>
      <c r="M381" s="54"/>
      <c r="N381" s="54"/>
      <c r="O381" s="54"/>
      <c r="P381" s="54"/>
    </row>
    <row r="382">
      <c r="A382" s="54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54"/>
      <c r="M382" s="54"/>
      <c r="N382" s="54"/>
      <c r="O382" s="54"/>
      <c r="P382" s="54"/>
    </row>
    <row r="383">
      <c r="A383" s="54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54"/>
      <c r="M383" s="54"/>
      <c r="N383" s="54"/>
      <c r="O383" s="54"/>
      <c r="P383" s="54"/>
    </row>
    <row r="384">
      <c r="A384" s="54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54"/>
      <c r="M384" s="54"/>
      <c r="N384" s="54"/>
      <c r="O384" s="54"/>
      <c r="P384" s="54"/>
    </row>
    <row r="385">
      <c r="A385" s="54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54"/>
      <c r="M385" s="54"/>
      <c r="N385" s="54"/>
      <c r="O385" s="54"/>
      <c r="P385" s="54"/>
    </row>
    <row r="386">
      <c r="A386" s="54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54"/>
      <c r="M386" s="54"/>
      <c r="N386" s="54"/>
      <c r="O386" s="54"/>
      <c r="P386" s="54"/>
    </row>
    <row r="387">
      <c r="A387" s="54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54"/>
      <c r="M387" s="54"/>
      <c r="N387" s="54"/>
      <c r="O387" s="54"/>
      <c r="P387" s="54"/>
    </row>
    <row r="388">
      <c r="A388" s="54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54"/>
      <c r="M388" s="54"/>
      <c r="N388" s="54"/>
      <c r="O388" s="54"/>
      <c r="P388" s="54"/>
    </row>
    <row r="389">
      <c r="A389" s="54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54"/>
      <c r="M389" s="54"/>
      <c r="N389" s="54"/>
      <c r="O389" s="54"/>
      <c r="P389" s="54"/>
    </row>
    <row r="390">
      <c r="A390" s="54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54"/>
      <c r="M390" s="54"/>
      <c r="N390" s="54"/>
      <c r="O390" s="54"/>
      <c r="P390" s="54"/>
    </row>
    <row r="391">
      <c r="A391" s="54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54"/>
      <c r="M391" s="54"/>
      <c r="N391" s="54"/>
      <c r="O391" s="54"/>
      <c r="P391" s="54"/>
    </row>
    <row r="392">
      <c r="A392" s="54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54"/>
      <c r="M392" s="54"/>
      <c r="N392" s="54"/>
      <c r="O392" s="54"/>
      <c r="P392" s="54"/>
    </row>
    <row r="393">
      <c r="A393" s="54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54"/>
      <c r="M393" s="54"/>
      <c r="N393" s="54"/>
      <c r="O393" s="54"/>
      <c r="P393" s="54"/>
    </row>
    <row r="394">
      <c r="A394" s="54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54"/>
      <c r="M394" s="54"/>
      <c r="N394" s="54"/>
      <c r="O394" s="54"/>
      <c r="P394" s="54"/>
    </row>
    <row r="395">
      <c r="A395" s="54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54"/>
      <c r="M395" s="54"/>
      <c r="N395" s="54"/>
      <c r="O395" s="54"/>
      <c r="P395" s="54"/>
    </row>
    <row r="396">
      <c r="A396" s="54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54"/>
      <c r="M396" s="54"/>
      <c r="N396" s="54"/>
      <c r="O396" s="54"/>
      <c r="P396" s="54"/>
    </row>
    <row r="397">
      <c r="A397" s="54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54"/>
      <c r="M397" s="54"/>
      <c r="N397" s="54"/>
      <c r="O397" s="54"/>
      <c r="P397" s="54"/>
    </row>
    <row r="398">
      <c r="A398" s="54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54"/>
      <c r="M398" s="54"/>
      <c r="N398" s="54"/>
      <c r="O398" s="54"/>
      <c r="P398" s="54"/>
    </row>
    <row r="399">
      <c r="A399" s="54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54"/>
      <c r="M399" s="54"/>
      <c r="N399" s="54"/>
      <c r="O399" s="54"/>
      <c r="P399" s="54"/>
    </row>
    <row r="400">
      <c r="A400" s="54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54"/>
      <c r="M400" s="54"/>
      <c r="N400" s="54"/>
      <c r="O400" s="54"/>
      <c r="P400" s="54"/>
    </row>
    <row r="401">
      <c r="A401" s="54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54"/>
      <c r="M401" s="54"/>
      <c r="N401" s="54"/>
      <c r="O401" s="54"/>
      <c r="P401" s="54"/>
    </row>
    <row r="402">
      <c r="A402" s="54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54"/>
      <c r="M402" s="54"/>
      <c r="N402" s="54"/>
      <c r="O402" s="54"/>
      <c r="P402" s="54"/>
    </row>
    <row r="403">
      <c r="A403" s="54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54"/>
      <c r="M403" s="54"/>
      <c r="N403" s="54"/>
      <c r="O403" s="54"/>
      <c r="P403" s="54"/>
    </row>
    <row r="404">
      <c r="A404" s="54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54"/>
      <c r="M404" s="54"/>
      <c r="N404" s="54"/>
      <c r="O404" s="54"/>
      <c r="P404" s="54"/>
    </row>
    <row r="405">
      <c r="A405" s="54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54"/>
      <c r="M405" s="54"/>
      <c r="N405" s="54"/>
      <c r="O405" s="54"/>
      <c r="P405" s="54"/>
    </row>
    <row r="406">
      <c r="A406" s="54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54"/>
      <c r="M406" s="54"/>
      <c r="N406" s="54"/>
      <c r="O406" s="54"/>
      <c r="P406" s="54"/>
    </row>
    <row r="407">
      <c r="A407" s="54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54"/>
      <c r="M407" s="54"/>
      <c r="N407" s="54"/>
      <c r="O407" s="54"/>
      <c r="P407" s="54"/>
    </row>
    <row r="408">
      <c r="A408" s="54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54"/>
      <c r="M408" s="54"/>
      <c r="N408" s="54"/>
      <c r="O408" s="54"/>
      <c r="P408" s="54"/>
    </row>
    <row r="409">
      <c r="A409" s="54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54"/>
      <c r="M409" s="54"/>
      <c r="N409" s="54"/>
      <c r="O409" s="54"/>
      <c r="P409" s="54"/>
    </row>
    <row r="410">
      <c r="A410" s="54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54"/>
      <c r="M410" s="54"/>
      <c r="N410" s="54"/>
      <c r="O410" s="54"/>
      <c r="P410" s="54"/>
    </row>
    <row r="411">
      <c r="A411" s="54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54"/>
      <c r="M411" s="54"/>
      <c r="N411" s="54"/>
      <c r="O411" s="54"/>
      <c r="P411" s="54"/>
    </row>
    <row r="412">
      <c r="A412" s="54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54"/>
      <c r="M412" s="54"/>
      <c r="N412" s="54"/>
      <c r="O412" s="54"/>
      <c r="P412" s="54"/>
    </row>
    <row r="413">
      <c r="A413" s="54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54"/>
      <c r="M413" s="54"/>
      <c r="N413" s="54"/>
      <c r="O413" s="54"/>
      <c r="P413" s="54"/>
    </row>
    <row r="414">
      <c r="A414" s="54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54"/>
      <c r="M414" s="54"/>
      <c r="N414" s="54"/>
      <c r="O414" s="54"/>
      <c r="P414" s="54"/>
    </row>
    <row r="415">
      <c r="A415" s="54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54"/>
      <c r="M415" s="54"/>
      <c r="N415" s="54"/>
      <c r="O415" s="54"/>
      <c r="P415" s="54"/>
    </row>
    <row r="416">
      <c r="A416" s="54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54"/>
      <c r="M416" s="54"/>
      <c r="N416" s="54"/>
      <c r="O416" s="54"/>
      <c r="P416" s="54"/>
    </row>
    <row r="417">
      <c r="A417" s="54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54"/>
      <c r="M417" s="54"/>
      <c r="N417" s="54"/>
      <c r="O417" s="54"/>
      <c r="P417" s="54"/>
    </row>
    <row r="418">
      <c r="A418" s="54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54"/>
      <c r="M418" s="54"/>
      <c r="N418" s="54"/>
      <c r="O418" s="54"/>
      <c r="P418" s="54"/>
    </row>
    <row r="419">
      <c r="A419" s="54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54"/>
      <c r="M419" s="54"/>
      <c r="N419" s="54"/>
      <c r="O419" s="54"/>
      <c r="P419" s="54"/>
    </row>
    <row r="420">
      <c r="A420" s="54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54"/>
      <c r="M420" s="54"/>
      <c r="N420" s="54"/>
      <c r="O420" s="54"/>
      <c r="P420" s="54"/>
    </row>
    <row r="421">
      <c r="A421" s="54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54"/>
      <c r="M421" s="54"/>
      <c r="N421" s="54"/>
      <c r="O421" s="54"/>
      <c r="P421" s="54"/>
    </row>
    <row r="422">
      <c r="A422" s="54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54"/>
      <c r="M422" s="54"/>
      <c r="N422" s="54"/>
      <c r="O422" s="54"/>
      <c r="P422" s="54"/>
    </row>
    <row r="423">
      <c r="A423" s="54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54"/>
      <c r="M423" s="54"/>
      <c r="N423" s="54"/>
      <c r="O423" s="54"/>
      <c r="P423" s="54"/>
    </row>
    <row r="424">
      <c r="A424" s="54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54"/>
      <c r="M424" s="54"/>
      <c r="N424" s="54"/>
      <c r="O424" s="54"/>
      <c r="P424" s="54"/>
    </row>
    <row r="425">
      <c r="A425" s="54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54"/>
      <c r="M425" s="54"/>
      <c r="N425" s="54"/>
      <c r="O425" s="54"/>
      <c r="P425" s="54"/>
    </row>
    <row r="426">
      <c r="A426" s="54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54"/>
      <c r="M426" s="54"/>
      <c r="N426" s="54"/>
      <c r="O426" s="54"/>
      <c r="P426" s="54"/>
    </row>
    <row r="427">
      <c r="A427" s="54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54"/>
      <c r="M427" s="54"/>
      <c r="N427" s="54"/>
      <c r="O427" s="54"/>
      <c r="P427" s="54"/>
    </row>
    <row r="428">
      <c r="A428" s="54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54"/>
      <c r="M428" s="54"/>
      <c r="N428" s="54"/>
      <c r="O428" s="54"/>
      <c r="P428" s="54"/>
    </row>
    <row r="429">
      <c r="A429" s="54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54"/>
      <c r="M429" s="54"/>
      <c r="N429" s="54"/>
      <c r="O429" s="54"/>
      <c r="P429" s="54"/>
    </row>
    <row r="430">
      <c r="A430" s="54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54"/>
      <c r="M430" s="54"/>
      <c r="N430" s="54"/>
      <c r="O430" s="54"/>
      <c r="P430" s="54"/>
    </row>
    <row r="431">
      <c r="A431" s="54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54"/>
      <c r="M431" s="54"/>
      <c r="N431" s="54"/>
      <c r="O431" s="54"/>
      <c r="P431" s="54"/>
    </row>
    <row r="432">
      <c r="A432" s="54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54"/>
      <c r="M432" s="54"/>
      <c r="N432" s="54"/>
      <c r="O432" s="54"/>
      <c r="P432" s="54"/>
    </row>
    <row r="433">
      <c r="A433" s="54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54"/>
      <c r="M433" s="54"/>
      <c r="N433" s="54"/>
      <c r="O433" s="54"/>
      <c r="P433" s="54"/>
    </row>
    <row r="434">
      <c r="A434" s="54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54"/>
      <c r="M434" s="54"/>
      <c r="N434" s="54"/>
      <c r="O434" s="54"/>
      <c r="P434" s="54"/>
    </row>
    <row r="435">
      <c r="A435" s="54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54"/>
      <c r="M435" s="54"/>
      <c r="N435" s="54"/>
      <c r="O435" s="54"/>
      <c r="P435" s="54"/>
    </row>
    <row r="436">
      <c r="A436" s="54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54"/>
      <c r="M436" s="54"/>
      <c r="N436" s="54"/>
      <c r="O436" s="54"/>
      <c r="P436" s="54"/>
    </row>
    <row r="437">
      <c r="A437" s="54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54"/>
      <c r="M437" s="54"/>
      <c r="N437" s="54"/>
      <c r="O437" s="54"/>
      <c r="P437" s="54"/>
    </row>
    <row r="438">
      <c r="A438" s="54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54"/>
      <c r="M438" s="54"/>
      <c r="N438" s="54"/>
      <c r="O438" s="54"/>
      <c r="P438" s="54"/>
    </row>
    <row r="439">
      <c r="A439" s="54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54"/>
      <c r="M439" s="54"/>
      <c r="N439" s="54"/>
      <c r="O439" s="54"/>
      <c r="P439" s="54"/>
    </row>
    <row r="440">
      <c r="A440" s="54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54"/>
      <c r="M440" s="54"/>
      <c r="N440" s="54"/>
      <c r="O440" s="54"/>
      <c r="P440" s="54"/>
    </row>
    <row r="441">
      <c r="A441" s="54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54"/>
      <c r="M441" s="54"/>
      <c r="N441" s="54"/>
      <c r="O441" s="54"/>
      <c r="P441" s="54"/>
    </row>
    <row r="442">
      <c r="A442" s="54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54"/>
      <c r="M442" s="54"/>
      <c r="N442" s="54"/>
      <c r="O442" s="54"/>
      <c r="P442" s="54"/>
    </row>
    <row r="443">
      <c r="A443" s="54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54"/>
      <c r="M443" s="54"/>
      <c r="N443" s="54"/>
      <c r="O443" s="54"/>
      <c r="P443" s="54"/>
    </row>
    <row r="444">
      <c r="A444" s="54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54"/>
      <c r="M444" s="54"/>
      <c r="N444" s="54"/>
      <c r="O444" s="54"/>
      <c r="P444" s="54"/>
    </row>
    <row r="445">
      <c r="A445" s="54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54"/>
      <c r="M445" s="54"/>
      <c r="N445" s="54"/>
      <c r="O445" s="54"/>
      <c r="P445" s="54"/>
    </row>
    <row r="446">
      <c r="A446" s="54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54"/>
      <c r="M446" s="54"/>
      <c r="N446" s="54"/>
      <c r="O446" s="54"/>
      <c r="P446" s="54"/>
    </row>
    <row r="447">
      <c r="A447" s="54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54"/>
      <c r="M447" s="54"/>
      <c r="N447" s="54"/>
      <c r="O447" s="54"/>
      <c r="P447" s="54"/>
    </row>
    <row r="448">
      <c r="A448" s="54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54"/>
      <c r="M448" s="54"/>
      <c r="N448" s="54"/>
      <c r="O448" s="54"/>
      <c r="P448" s="54"/>
    </row>
    <row r="449">
      <c r="A449" s="54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54"/>
      <c r="M449" s="54"/>
      <c r="N449" s="54"/>
      <c r="O449" s="54"/>
      <c r="P449" s="54"/>
    </row>
    <row r="450">
      <c r="A450" s="54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54"/>
      <c r="M450" s="54"/>
      <c r="N450" s="54"/>
      <c r="O450" s="54"/>
      <c r="P450" s="54"/>
    </row>
    <row r="451">
      <c r="A451" s="54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54"/>
      <c r="M451" s="54"/>
      <c r="N451" s="54"/>
      <c r="O451" s="54"/>
      <c r="P451" s="54"/>
    </row>
    <row r="452">
      <c r="A452" s="54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54"/>
      <c r="M452" s="54"/>
      <c r="N452" s="54"/>
      <c r="O452" s="54"/>
      <c r="P452" s="54"/>
    </row>
    <row r="453">
      <c r="A453" s="54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54"/>
      <c r="M453" s="54"/>
      <c r="N453" s="54"/>
      <c r="O453" s="54"/>
      <c r="P453" s="54"/>
    </row>
    <row r="454">
      <c r="A454" s="54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54"/>
      <c r="M454" s="54"/>
      <c r="N454" s="54"/>
      <c r="O454" s="54"/>
      <c r="P454" s="54"/>
    </row>
    <row r="455">
      <c r="A455" s="54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54"/>
      <c r="M455" s="54"/>
      <c r="N455" s="54"/>
      <c r="O455" s="54"/>
      <c r="P455" s="54"/>
    </row>
    <row r="456">
      <c r="A456" s="54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54"/>
      <c r="M456" s="54"/>
      <c r="N456" s="54"/>
      <c r="O456" s="54"/>
      <c r="P456" s="54"/>
    </row>
    <row r="457">
      <c r="A457" s="54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54"/>
      <c r="M457" s="54"/>
      <c r="N457" s="54"/>
      <c r="O457" s="54"/>
      <c r="P457" s="54"/>
    </row>
    <row r="458">
      <c r="A458" s="54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54"/>
      <c r="M458" s="54"/>
      <c r="N458" s="54"/>
      <c r="O458" s="54"/>
      <c r="P458" s="54"/>
    </row>
    <row r="459">
      <c r="A459" s="54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54"/>
      <c r="M459" s="54"/>
      <c r="N459" s="54"/>
      <c r="O459" s="54"/>
      <c r="P459" s="54"/>
    </row>
    <row r="460">
      <c r="A460" s="54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54"/>
      <c r="M460" s="54"/>
      <c r="N460" s="54"/>
      <c r="O460" s="54"/>
      <c r="P460" s="54"/>
    </row>
    <row r="461">
      <c r="A461" s="54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54"/>
      <c r="M461" s="54"/>
      <c r="N461" s="54"/>
      <c r="O461" s="54"/>
      <c r="P461" s="54"/>
    </row>
    <row r="462">
      <c r="A462" s="54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54"/>
      <c r="M462" s="54"/>
      <c r="N462" s="54"/>
      <c r="O462" s="54"/>
      <c r="P462" s="54"/>
    </row>
    <row r="463">
      <c r="A463" s="54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54"/>
      <c r="M463" s="54"/>
      <c r="N463" s="54"/>
      <c r="O463" s="54"/>
      <c r="P463" s="54"/>
    </row>
    <row r="464">
      <c r="A464" s="54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54"/>
      <c r="M464" s="54"/>
      <c r="N464" s="54"/>
      <c r="O464" s="54"/>
      <c r="P464" s="54"/>
    </row>
    <row r="465">
      <c r="A465" s="54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54"/>
      <c r="M465" s="54"/>
      <c r="N465" s="54"/>
      <c r="O465" s="54"/>
      <c r="P465" s="54"/>
    </row>
    <row r="466">
      <c r="A466" s="54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54"/>
      <c r="M466" s="54"/>
      <c r="N466" s="54"/>
      <c r="O466" s="54"/>
      <c r="P466" s="54"/>
    </row>
    <row r="467">
      <c r="A467" s="54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54"/>
      <c r="M467" s="54"/>
      <c r="N467" s="54"/>
      <c r="O467" s="54"/>
      <c r="P467" s="54"/>
    </row>
    <row r="468">
      <c r="A468" s="54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54"/>
      <c r="M468" s="54"/>
      <c r="N468" s="54"/>
      <c r="O468" s="54"/>
      <c r="P468" s="54"/>
    </row>
    <row r="469">
      <c r="A469" s="54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54"/>
      <c r="M469" s="54"/>
      <c r="N469" s="54"/>
      <c r="O469" s="54"/>
      <c r="P469" s="54"/>
    </row>
    <row r="470">
      <c r="A470" s="54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54"/>
      <c r="M470" s="54"/>
      <c r="N470" s="54"/>
      <c r="O470" s="54"/>
      <c r="P470" s="54"/>
    </row>
    <row r="471">
      <c r="A471" s="54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54"/>
      <c r="M471" s="54"/>
      <c r="N471" s="54"/>
      <c r="O471" s="54"/>
      <c r="P471" s="54"/>
    </row>
    <row r="472">
      <c r="A472" s="54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54"/>
      <c r="M472" s="54"/>
      <c r="N472" s="54"/>
      <c r="O472" s="54"/>
      <c r="P472" s="54"/>
    </row>
    <row r="473">
      <c r="A473" s="54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54"/>
      <c r="M473" s="54"/>
      <c r="N473" s="54"/>
      <c r="O473" s="54"/>
      <c r="P473" s="54"/>
    </row>
    <row r="474">
      <c r="A474" s="54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54"/>
      <c r="M474" s="54"/>
      <c r="N474" s="54"/>
      <c r="O474" s="54"/>
      <c r="P474" s="54"/>
    </row>
    <row r="475">
      <c r="A475" s="54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54"/>
      <c r="M475" s="54"/>
      <c r="N475" s="54"/>
      <c r="O475" s="54"/>
      <c r="P475" s="54"/>
    </row>
    <row r="476">
      <c r="A476" s="54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54"/>
      <c r="M476" s="54"/>
      <c r="N476" s="54"/>
      <c r="O476" s="54"/>
      <c r="P476" s="54"/>
    </row>
    <row r="477">
      <c r="A477" s="54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54"/>
      <c r="M477" s="54"/>
      <c r="N477" s="54"/>
      <c r="O477" s="54"/>
      <c r="P477" s="54"/>
    </row>
    <row r="478">
      <c r="A478" s="54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54"/>
      <c r="M478" s="54"/>
      <c r="N478" s="54"/>
      <c r="O478" s="54"/>
      <c r="P478" s="54"/>
    </row>
    <row r="479">
      <c r="A479" s="54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54"/>
      <c r="M479" s="54"/>
      <c r="N479" s="54"/>
      <c r="O479" s="54"/>
      <c r="P479" s="54"/>
    </row>
    <row r="480">
      <c r="A480" s="54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54"/>
      <c r="M480" s="54"/>
      <c r="N480" s="54"/>
      <c r="O480" s="54"/>
      <c r="P480" s="54"/>
    </row>
    <row r="481">
      <c r="A481" s="54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54"/>
      <c r="M481" s="54"/>
      <c r="N481" s="54"/>
      <c r="O481" s="54"/>
      <c r="P481" s="54"/>
    </row>
    <row r="482">
      <c r="A482" s="54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54"/>
      <c r="M482" s="54"/>
      <c r="N482" s="54"/>
      <c r="O482" s="54"/>
      <c r="P482" s="54"/>
    </row>
    <row r="483">
      <c r="A483" s="54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54"/>
      <c r="M483" s="54"/>
      <c r="N483" s="54"/>
      <c r="O483" s="54"/>
      <c r="P483" s="54"/>
    </row>
    <row r="484">
      <c r="A484" s="54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54"/>
      <c r="M484" s="54"/>
      <c r="N484" s="54"/>
      <c r="O484" s="54"/>
      <c r="P484" s="54"/>
    </row>
    <row r="485">
      <c r="A485" s="54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54"/>
      <c r="M485" s="54"/>
      <c r="N485" s="54"/>
      <c r="O485" s="54"/>
      <c r="P485" s="54"/>
    </row>
    <row r="486">
      <c r="A486" s="54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54"/>
      <c r="M486" s="54"/>
      <c r="N486" s="54"/>
      <c r="O486" s="54"/>
      <c r="P486" s="54"/>
    </row>
    <row r="487">
      <c r="A487" s="54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54"/>
      <c r="M487" s="54"/>
      <c r="N487" s="54"/>
      <c r="O487" s="54"/>
      <c r="P487" s="54"/>
    </row>
    <row r="488">
      <c r="A488" s="54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54"/>
      <c r="M488" s="54"/>
      <c r="N488" s="54"/>
      <c r="O488" s="54"/>
      <c r="P488" s="54"/>
    </row>
    <row r="489">
      <c r="A489" s="54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54"/>
      <c r="M489" s="54"/>
      <c r="N489" s="54"/>
      <c r="O489" s="54"/>
      <c r="P489" s="54"/>
    </row>
    <row r="490">
      <c r="A490" s="54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54"/>
      <c r="M490" s="54"/>
      <c r="N490" s="54"/>
      <c r="O490" s="54"/>
      <c r="P490" s="54"/>
    </row>
    <row r="491">
      <c r="A491" s="54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54"/>
      <c r="M491" s="54"/>
      <c r="N491" s="54"/>
      <c r="O491" s="54"/>
      <c r="P491" s="54"/>
    </row>
    <row r="492">
      <c r="A492" s="54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54"/>
      <c r="M492" s="54"/>
      <c r="N492" s="54"/>
      <c r="O492" s="54"/>
      <c r="P492" s="54"/>
    </row>
    <row r="493">
      <c r="A493" s="54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54"/>
      <c r="M493" s="54"/>
      <c r="N493" s="54"/>
      <c r="O493" s="54"/>
      <c r="P493" s="54"/>
    </row>
    <row r="494">
      <c r="A494" s="54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54"/>
      <c r="M494" s="54"/>
      <c r="N494" s="54"/>
      <c r="O494" s="54"/>
      <c r="P494" s="54"/>
    </row>
    <row r="495">
      <c r="A495" s="54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54"/>
      <c r="M495" s="54"/>
      <c r="N495" s="54"/>
      <c r="O495" s="54"/>
      <c r="P495" s="54"/>
    </row>
    <row r="496">
      <c r="A496" s="54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54"/>
      <c r="M496" s="54"/>
      <c r="N496" s="54"/>
      <c r="O496" s="54"/>
      <c r="P496" s="54"/>
    </row>
    <row r="497">
      <c r="A497" s="54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54"/>
      <c r="M497" s="54"/>
      <c r="N497" s="54"/>
      <c r="O497" s="54"/>
      <c r="P497" s="54"/>
    </row>
    <row r="498">
      <c r="A498" s="54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54"/>
      <c r="M498" s="54"/>
      <c r="N498" s="54"/>
      <c r="O498" s="54"/>
      <c r="P498" s="54"/>
    </row>
    <row r="499">
      <c r="A499" s="54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54"/>
      <c r="M499" s="54"/>
      <c r="N499" s="54"/>
      <c r="O499" s="54"/>
      <c r="P499" s="54"/>
    </row>
    <row r="500">
      <c r="A500" s="54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54"/>
      <c r="M500" s="54"/>
      <c r="N500" s="54"/>
      <c r="O500" s="54"/>
      <c r="P500" s="54"/>
    </row>
    <row r="501">
      <c r="A501" s="54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54"/>
      <c r="M501" s="54"/>
      <c r="N501" s="54"/>
      <c r="O501" s="54"/>
      <c r="P501" s="54"/>
    </row>
    <row r="502">
      <c r="A502" s="54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54"/>
      <c r="M502" s="54"/>
      <c r="N502" s="54"/>
      <c r="O502" s="54"/>
      <c r="P502" s="54"/>
    </row>
    <row r="503">
      <c r="A503" s="54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54"/>
      <c r="M503" s="54"/>
      <c r="N503" s="54"/>
      <c r="O503" s="54"/>
      <c r="P503" s="54"/>
    </row>
    <row r="504">
      <c r="A504" s="54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54"/>
      <c r="M504" s="54"/>
      <c r="N504" s="54"/>
      <c r="O504" s="54"/>
      <c r="P504" s="54"/>
    </row>
    <row r="505">
      <c r="A505" s="54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54"/>
      <c r="M505" s="54"/>
      <c r="N505" s="54"/>
      <c r="O505" s="54"/>
      <c r="P505" s="54"/>
    </row>
    <row r="506">
      <c r="A506" s="54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54"/>
      <c r="M506" s="54"/>
      <c r="N506" s="54"/>
      <c r="O506" s="54"/>
      <c r="P506" s="54"/>
    </row>
    <row r="507">
      <c r="A507" s="54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54"/>
      <c r="M507" s="54"/>
      <c r="N507" s="54"/>
      <c r="O507" s="54"/>
      <c r="P507" s="54"/>
    </row>
    <row r="508">
      <c r="A508" s="54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54"/>
      <c r="M508" s="54"/>
      <c r="N508" s="54"/>
      <c r="O508" s="54"/>
      <c r="P508" s="54"/>
    </row>
    <row r="509">
      <c r="A509" s="54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54"/>
      <c r="M509" s="54"/>
      <c r="N509" s="54"/>
      <c r="O509" s="54"/>
      <c r="P509" s="54"/>
    </row>
    <row r="510">
      <c r="A510" s="54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54"/>
      <c r="M510" s="54"/>
      <c r="N510" s="54"/>
      <c r="O510" s="54"/>
      <c r="P510" s="54"/>
    </row>
    <row r="511">
      <c r="A511" s="54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54"/>
      <c r="M511" s="54"/>
      <c r="N511" s="54"/>
      <c r="O511" s="54"/>
      <c r="P511" s="54"/>
    </row>
    <row r="512">
      <c r="A512" s="54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54"/>
      <c r="M512" s="54"/>
      <c r="N512" s="54"/>
      <c r="O512" s="54"/>
      <c r="P512" s="54"/>
    </row>
    <row r="513">
      <c r="A513" s="54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54"/>
      <c r="M513" s="54"/>
      <c r="N513" s="54"/>
      <c r="O513" s="54"/>
      <c r="P513" s="54"/>
    </row>
    <row r="514">
      <c r="A514" s="54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54"/>
      <c r="M514" s="54"/>
      <c r="N514" s="54"/>
      <c r="O514" s="54"/>
      <c r="P514" s="54"/>
    </row>
    <row r="515">
      <c r="A515" s="54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54"/>
      <c r="M515" s="54"/>
      <c r="N515" s="54"/>
      <c r="O515" s="54"/>
      <c r="P515" s="54"/>
    </row>
    <row r="516">
      <c r="A516" s="54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54"/>
      <c r="M516" s="54"/>
      <c r="N516" s="54"/>
      <c r="O516" s="54"/>
      <c r="P516" s="54"/>
    </row>
    <row r="517">
      <c r="A517" s="54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54"/>
      <c r="M517" s="54"/>
      <c r="N517" s="54"/>
      <c r="O517" s="54"/>
      <c r="P517" s="54"/>
    </row>
    <row r="518">
      <c r="A518" s="54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54"/>
      <c r="M518" s="54"/>
      <c r="N518" s="54"/>
      <c r="O518" s="54"/>
      <c r="P518" s="54"/>
    </row>
    <row r="519">
      <c r="A519" s="54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54"/>
      <c r="M519" s="54"/>
      <c r="N519" s="54"/>
      <c r="O519" s="54"/>
      <c r="P519" s="54"/>
    </row>
    <row r="520">
      <c r="A520" s="54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54"/>
      <c r="M520" s="54"/>
      <c r="N520" s="54"/>
      <c r="O520" s="54"/>
      <c r="P520" s="54"/>
    </row>
    <row r="521">
      <c r="A521" s="54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54"/>
      <c r="M521" s="54"/>
      <c r="N521" s="54"/>
      <c r="O521" s="54"/>
      <c r="P521" s="54"/>
    </row>
    <row r="522">
      <c r="A522" s="54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54"/>
      <c r="M522" s="54"/>
      <c r="N522" s="54"/>
      <c r="O522" s="54"/>
      <c r="P522" s="54"/>
    </row>
    <row r="523">
      <c r="A523" s="54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54"/>
      <c r="M523" s="54"/>
      <c r="N523" s="54"/>
      <c r="O523" s="54"/>
      <c r="P523" s="54"/>
    </row>
    <row r="524">
      <c r="A524" s="54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54"/>
      <c r="M524" s="54"/>
      <c r="N524" s="54"/>
      <c r="O524" s="54"/>
      <c r="P524" s="54"/>
    </row>
    <row r="525">
      <c r="A525" s="54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54"/>
      <c r="M525" s="54"/>
      <c r="N525" s="54"/>
      <c r="O525" s="54"/>
      <c r="P525" s="54"/>
    </row>
    <row r="526">
      <c r="A526" s="54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54"/>
      <c r="M526" s="54"/>
      <c r="N526" s="54"/>
      <c r="O526" s="54"/>
      <c r="P526" s="54"/>
    </row>
    <row r="527">
      <c r="A527" s="54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54"/>
      <c r="M527" s="54"/>
      <c r="N527" s="54"/>
      <c r="O527" s="54"/>
      <c r="P527" s="54"/>
    </row>
    <row r="528">
      <c r="A528" s="54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54"/>
      <c r="M528" s="54"/>
      <c r="N528" s="54"/>
      <c r="O528" s="54"/>
      <c r="P528" s="54"/>
    </row>
    <row r="529">
      <c r="A529" s="54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54"/>
      <c r="M529" s="54"/>
      <c r="N529" s="54"/>
      <c r="O529" s="54"/>
      <c r="P529" s="54"/>
    </row>
    <row r="530">
      <c r="A530" s="54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54"/>
      <c r="M530" s="54"/>
      <c r="N530" s="54"/>
      <c r="O530" s="54"/>
      <c r="P530" s="54"/>
    </row>
    <row r="531">
      <c r="A531" s="54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54"/>
      <c r="M531" s="54"/>
      <c r="N531" s="54"/>
      <c r="O531" s="54"/>
      <c r="P531" s="54"/>
    </row>
    <row r="532">
      <c r="A532" s="54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54"/>
      <c r="M532" s="54"/>
      <c r="N532" s="54"/>
      <c r="O532" s="54"/>
      <c r="P532" s="54"/>
    </row>
    <row r="533">
      <c r="A533" s="54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54"/>
      <c r="M533" s="54"/>
      <c r="N533" s="54"/>
      <c r="O533" s="54"/>
      <c r="P533" s="54"/>
    </row>
    <row r="534">
      <c r="A534" s="54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54"/>
      <c r="M534" s="54"/>
      <c r="N534" s="54"/>
      <c r="O534" s="54"/>
      <c r="P534" s="54"/>
    </row>
    <row r="535">
      <c r="A535" s="54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54"/>
      <c r="M535" s="54"/>
      <c r="N535" s="54"/>
      <c r="O535" s="54"/>
      <c r="P535" s="54"/>
    </row>
    <row r="536">
      <c r="A536" s="54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54"/>
      <c r="M536" s="54"/>
      <c r="N536" s="54"/>
      <c r="O536" s="54"/>
      <c r="P536" s="54"/>
    </row>
    <row r="537">
      <c r="A537" s="54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54"/>
      <c r="M537" s="54"/>
      <c r="N537" s="54"/>
      <c r="O537" s="54"/>
      <c r="P537" s="54"/>
    </row>
    <row r="538">
      <c r="A538" s="54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54"/>
      <c r="M538" s="54"/>
      <c r="N538" s="54"/>
      <c r="O538" s="54"/>
      <c r="P538" s="54"/>
    </row>
    <row r="539">
      <c r="A539" s="54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54"/>
      <c r="M539" s="54"/>
      <c r="N539" s="54"/>
      <c r="O539" s="54"/>
      <c r="P539" s="54"/>
    </row>
    <row r="540">
      <c r="A540" s="54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54"/>
      <c r="M540" s="54"/>
      <c r="N540" s="54"/>
      <c r="O540" s="54"/>
      <c r="P540" s="54"/>
    </row>
    <row r="541">
      <c r="A541" s="54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54"/>
      <c r="M541" s="54"/>
      <c r="N541" s="54"/>
      <c r="O541" s="54"/>
      <c r="P541" s="54"/>
    </row>
    <row r="542">
      <c r="A542" s="54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54"/>
      <c r="M542" s="54"/>
      <c r="N542" s="54"/>
      <c r="O542" s="54"/>
      <c r="P542" s="54"/>
    </row>
    <row r="543">
      <c r="A543" s="54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54"/>
      <c r="M543" s="54"/>
      <c r="N543" s="54"/>
      <c r="O543" s="54"/>
      <c r="P543" s="54"/>
    </row>
    <row r="544">
      <c r="A544" s="54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54"/>
      <c r="M544" s="54"/>
      <c r="N544" s="54"/>
      <c r="O544" s="54"/>
      <c r="P544" s="54"/>
    </row>
    <row r="545">
      <c r="A545" s="54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54"/>
      <c r="M545" s="54"/>
      <c r="N545" s="54"/>
      <c r="O545" s="54"/>
      <c r="P545" s="54"/>
    </row>
    <row r="546">
      <c r="A546" s="54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54"/>
      <c r="M546" s="54"/>
      <c r="N546" s="54"/>
      <c r="O546" s="54"/>
      <c r="P546" s="54"/>
    </row>
    <row r="547">
      <c r="A547" s="54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54"/>
      <c r="M547" s="54"/>
      <c r="N547" s="54"/>
      <c r="O547" s="54"/>
      <c r="P547" s="54"/>
    </row>
    <row r="548">
      <c r="A548" s="54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54"/>
      <c r="M548" s="54"/>
      <c r="N548" s="54"/>
      <c r="O548" s="54"/>
      <c r="P548" s="54"/>
    </row>
    <row r="549">
      <c r="A549" s="54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54"/>
      <c r="M549" s="54"/>
      <c r="N549" s="54"/>
      <c r="O549" s="54"/>
      <c r="P549" s="54"/>
    </row>
    <row r="550">
      <c r="A550" s="54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54"/>
      <c r="M550" s="54"/>
      <c r="N550" s="54"/>
      <c r="O550" s="54"/>
      <c r="P550" s="54"/>
    </row>
    <row r="551">
      <c r="A551" s="54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54"/>
      <c r="M551" s="54"/>
      <c r="N551" s="54"/>
      <c r="O551" s="54"/>
      <c r="P551" s="54"/>
    </row>
    <row r="552">
      <c r="A552" s="54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54"/>
      <c r="M552" s="54"/>
      <c r="N552" s="54"/>
      <c r="O552" s="54"/>
      <c r="P552" s="54"/>
    </row>
    <row r="553">
      <c r="A553" s="54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54"/>
      <c r="M553" s="54"/>
      <c r="N553" s="54"/>
      <c r="O553" s="54"/>
      <c r="P553" s="54"/>
    </row>
    <row r="554">
      <c r="A554" s="54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54"/>
      <c r="M554" s="54"/>
      <c r="N554" s="54"/>
      <c r="O554" s="54"/>
      <c r="P554" s="54"/>
    </row>
    <row r="555">
      <c r="A555" s="54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54"/>
      <c r="M555" s="54"/>
      <c r="N555" s="54"/>
      <c r="O555" s="54"/>
      <c r="P555" s="54"/>
    </row>
    <row r="556">
      <c r="A556" s="54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54"/>
      <c r="M556" s="54"/>
      <c r="N556" s="54"/>
      <c r="O556" s="54"/>
      <c r="P556" s="54"/>
    </row>
    <row r="557">
      <c r="A557" s="54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54"/>
      <c r="M557" s="54"/>
      <c r="N557" s="54"/>
      <c r="O557" s="54"/>
      <c r="P557" s="54"/>
    </row>
    <row r="558">
      <c r="A558" s="54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54"/>
      <c r="M558" s="54"/>
      <c r="N558" s="54"/>
      <c r="O558" s="54"/>
      <c r="P558" s="54"/>
    </row>
    <row r="559">
      <c r="A559" s="54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54"/>
      <c r="M559" s="54"/>
      <c r="N559" s="54"/>
      <c r="O559" s="54"/>
      <c r="P559" s="54"/>
    </row>
    <row r="560">
      <c r="A560" s="54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54"/>
      <c r="M560" s="54"/>
      <c r="N560" s="54"/>
      <c r="O560" s="54"/>
      <c r="P560" s="54"/>
    </row>
    <row r="561">
      <c r="A561" s="54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54"/>
      <c r="M561" s="54"/>
      <c r="N561" s="54"/>
      <c r="O561" s="54"/>
      <c r="P561" s="54"/>
    </row>
    <row r="562">
      <c r="A562" s="54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54"/>
      <c r="M562" s="54"/>
      <c r="N562" s="54"/>
      <c r="O562" s="54"/>
      <c r="P562" s="54"/>
    </row>
    <row r="563">
      <c r="A563" s="54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54"/>
      <c r="M563" s="54"/>
      <c r="N563" s="54"/>
      <c r="O563" s="54"/>
      <c r="P563" s="54"/>
    </row>
    <row r="564">
      <c r="A564" s="54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54"/>
      <c r="M564" s="54"/>
      <c r="N564" s="54"/>
      <c r="O564" s="54"/>
      <c r="P564" s="54"/>
    </row>
    <row r="565">
      <c r="A565" s="54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54"/>
      <c r="M565" s="54"/>
      <c r="N565" s="54"/>
      <c r="O565" s="54"/>
      <c r="P565" s="54"/>
    </row>
    <row r="566">
      <c r="A566" s="54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54"/>
      <c r="M566" s="54"/>
      <c r="N566" s="54"/>
      <c r="O566" s="54"/>
      <c r="P566" s="54"/>
    </row>
    <row r="567">
      <c r="A567" s="54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54"/>
      <c r="M567" s="54"/>
      <c r="N567" s="54"/>
      <c r="O567" s="54"/>
      <c r="P567" s="54"/>
    </row>
    <row r="568">
      <c r="A568" s="54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54"/>
      <c r="M568" s="54"/>
      <c r="N568" s="54"/>
      <c r="O568" s="54"/>
      <c r="P568" s="54"/>
    </row>
    <row r="569">
      <c r="A569" s="54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54"/>
      <c r="M569" s="54"/>
      <c r="N569" s="54"/>
      <c r="O569" s="54"/>
      <c r="P569" s="54"/>
    </row>
    <row r="570">
      <c r="A570" s="54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54"/>
      <c r="M570" s="54"/>
      <c r="N570" s="54"/>
      <c r="O570" s="54"/>
      <c r="P570" s="54"/>
    </row>
    <row r="571">
      <c r="A571" s="54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54"/>
      <c r="M571" s="54"/>
      <c r="N571" s="54"/>
      <c r="O571" s="54"/>
      <c r="P571" s="54"/>
    </row>
    <row r="572">
      <c r="A572" s="54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54"/>
      <c r="M572" s="54"/>
      <c r="N572" s="54"/>
      <c r="O572" s="54"/>
      <c r="P572" s="54"/>
    </row>
    <row r="573">
      <c r="A573" s="54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54"/>
      <c r="M573" s="54"/>
      <c r="N573" s="54"/>
      <c r="O573" s="54"/>
      <c r="P573" s="54"/>
    </row>
    <row r="574">
      <c r="A574" s="54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54"/>
      <c r="M574" s="54"/>
      <c r="N574" s="54"/>
      <c r="O574" s="54"/>
      <c r="P574" s="54"/>
    </row>
    <row r="575">
      <c r="A575" s="54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54"/>
      <c r="M575" s="54"/>
      <c r="N575" s="54"/>
      <c r="O575" s="54"/>
      <c r="P575" s="54"/>
    </row>
    <row r="576">
      <c r="A576" s="54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54"/>
      <c r="M576" s="54"/>
      <c r="N576" s="54"/>
      <c r="O576" s="54"/>
      <c r="P576" s="54"/>
    </row>
    <row r="577">
      <c r="A577" s="54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54"/>
      <c r="M577" s="54"/>
      <c r="N577" s="54"/>
      <c r="O577" s="54"/>
      <c r="P577" s="54"/>
    </row>
    <row r="578">
      <c r="A578" s="54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54"/>
      <c r="M578" s="54"/>
      <c r="N578" s="54"/>
      <c r="O578" s="54"/>
      <c r="P578" s="54"/>
    </row>
    <row r="579">
      <c r="A579" s="54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54"/>
      <c r="M579" s="54"/>
      <c r="N579" s="54"/>
      <c r="O579" s="54"/>
      <c r="P579" s="54"/>
    </row>
    <row r="580">
      <c r="A580" s="54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54"/>
      <c r="M580" s="54"/>
      <c r="N580" s="54"/>
      <c r="O580" s="54"/>
      <c r="P580" s="54"/>
    </row>
    <row r="581">
      <c r="A581" s="54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54"/>
      <c r="M581" s="54"/>
      <c r="N581" s="54"/>
      <c r="O581" s="54"/>
      <c r="P581" s="54"/>
    </row>
    <row r="582">
      <c r="A582" s="54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54"/>
      <c r="M582" s="54"/>
      <c r="N582" s="54"/>
      <c r="O582" s="54"/>
      <c r="P582" s="54"/>
    </row>
    <row r="583">
      <c r="A583" s="54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54"/>
      <c r="M583" s="54"/>
      <c r="N583" s="54"/>
      <c r="O583" s="54"/>
      <c r="P583" s="54"/>
    </row>
    <row r="584">
      <c r="A584" s="54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54"/>
      <c r="M584" s="54"/>
      <c r="N584" s="54"/>
      <c r="O584" s="54"/>
      <c r="P584" s="54"/>
    </row>
    <row r="585">
      <c r="A585" s="54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54"/>
      <c r="M585" s="54"/>
      <c r="N585" s="54"/>
      <c r="O585" s="54"/>
      <c r="P585" s="54"/>
    </row>
    <row r="586">
      <c r="A586" s="54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54"/>
      <c r="M586" s="54"/>
      <c r="N586" s="54"/>
      <c r="O586" s="54"/>
      <c r="P586" s="54"/>
    </row>
    <row r="587">
      <c r="A587" s="54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54"/>
      <c r="M587" s="54"/>
      <c r="N587" s="54"/>
      <c r="O587" s="54"/>
      <c r="P587" s="54"/>
    </row>
    <row r="588">
      <c r="A588" s="54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54"/>
      <c r="M588" s="54"/>
      <c r="N588" s="54"/>
      <c r="O588" s="54"/>
      <c r="P588" s="54"/>
    </row>
    <row r="589">
      <c r="A589" s="54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54"/>
      <c r="M589" s="54"/>
      <c r="N589" s="54"/>
      <c r="O589" s="54"/>
      <c r="P589" s="54"/>
    </row>
    <row r="590">
      <c r="A590" s="54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54"/>
      <c r="M590" s="54"/>
      <c r="N590" s="54"/>
      <c r="O590" s="54"/>
      <c r="P590" s="54"/>
    </row>
    <row r="591">
      <c r="A591" s="54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54"/>
      <c r="M591" s="54"/>
      <c r="N591" s="54"/>
      <c r="O591" s="54"/>
      <c r="P591" s="54"/>
    </row>
    <row r="592">
      <c r="A592" s="54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54"/>
      <c r="M592" s="54"/>
      <c r="N592" s="54"/>
      <c r="O592" s="54"/>
      <c r="P592" s="54"/>
    </row>
    <row r="593">
      <c r="A593" s="54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54"/>
      <c r="M593" s="54"/>
      <c r="N593" s="54"/>
      <c r="O593" s="54"/>
      <c r="P593" s="54"/>
    </row>
    <row r="594">
      <c r="A594" s="54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54"/>
      <c r="M594" s="54"/>
      <c r="N594" s="54"/>
      <c r="O594" s="54"/>
      <c r="P594" s="54"/>
    </row>
    <row r="595">
      <c r="A595" s="54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54"/>
      <c r="M595" s="54"/>
      <c r="N595" s="54"/>
      <c r="O595" s="54"/>
      <c r="P595" s="54"/>
    </row>
    <row r="596">
      <c r="A596" s="54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54"/>
      <c r="M596" s="54"/>
      <c r="N596" s="54"/>
      <c r="O596" s="54"/>
      <c r="P596" s="54"/>
    </row>
    <row r="597">
      <c r="A597" s="54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54"/>
      <c r="M597" s="54"/>
      <c r="N597" s="54"/>
      <c r="O597" s="54"/>
      <c r="P597" s="54"/>
    </row>
    <row r="598">
      <c r="A598" s="54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54"/>
      <c r="M598" s="54"/>
      <c r="N598" s="54"/>
      <c r="O598" s="54"/>
      <c r="P598" s="54"/>
    </row>
    <row r="599">
      <c r="A599" s="54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54"/>
      <c r="M599" s="54"/>
      <c r="N599" s="54"/>
      <c r="O599" s="54"/>
      <c r="P599" s="54"/>
    </row>
    <row r="600">
      <c r="A600" s="54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54"/>
      <c r="M600" s="54"/>
      <c r="N600" s="54"/>
      <c r="O600" s="54"/>
      <c r="P600" s="54"/>
    </row>
    <row r="601">
      <c r="A601" s="54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54"/>
      <c r="M601" s="54"/>
      <c r="N601" s="54"/>
      <c r="O601" s="54"/>
      <c r="P601" s="54"/>
    </row>
    <row r="602">
      <c r="A602" s="54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54"/>
      <c r="M602" s="54"/>
      <c r="N602" s="54"/>
      <c r="O602" s="54"/>
      <c r="P602" s="54"/>
    </row>
    <row r="603">
      <c r="A603" s="54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54"/>
      <c r="M603" s="54"/>
      <c r="N603" s="54"/>
      <c r="O603" s="54"/>
      <c r="P603" s="54"/>
    </row>
    <row r="604">
      <c r="A604" s="54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54"/>
      <c r="M604" s="54"/>
      <c r="N604" s="54"/>
      <c r="O604" s="54"/>
      <c r="P604" s="54"/>
    </row>
    <row r="605">
      <c r="A605" s="54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54"/>
      <c r="M605" s="54"/>
      <c r="N605" s="54"/>
      <c r="O605" s="54"/>
      <c r="P605" s="54"/>
    </row>
    <row r="606">
      <c r="A606" s="54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54"/>
      <c r="M606" s="54"/>
      <c r="N606" s="54"/>
      <c r="O606" s="54"/>
      <c r="P606" s="54"/>
    </row>
    <row r="607">
      <c r="A607" s="54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54"/>
      <c r="M607" s="54"/>
      <c r="N607" s="54"/>
      <c r="O607" s="54"/>
      <c r="P607" s="54"/>
    </row>
    <row r="608">
      <c r="A608" s="54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54"/>
      <c r="M608" s="54"/>
      <c r="N608" s="54"/>
      <c r="O608" s="54"/>
      <c r="P608" s="54"/>
    </row>
    <row r="609">
      <c r="A609" s="54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54"/>
      <c r="M609" s="54"/>
      <c r="N609" s="54"/>
      <c r="O609" s="54"/>
      <c r="P609" s="54"/>
    </row>
    <row r="610">
      <c r="A610" s="54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54"/>
      <c r="M610" s="54"/>
      <c r="N610" s="54"/>
      <c r="O610" s="54"/>
      <c r="P610" s="54"/>
    </row>
    <row r="611">
      <c r="A611" s="54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54"/>
      <c r="M611" s="54"/>
      <c r="N611" s="54"/>
      <c r="O611" s="54"/>
      <c r="P611" s="54"/>
    </row>
    <row r="612">
      <c r="A612" s="54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54"/>
      <c r="M612" s="54"/>
      <c r="N612" s="54"/>
      <c r="O612" s="54"/>
      <c r="P612" s="54"/>
    </row>
    <row r="613">
      <c r="A613" s="54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54"/>
      <c r="M613" s="54"/>
      <c r="N613" s="54"/>
      <c r="O613" s="54"/>
      <c r="P613" s="54"/>
    </row>
    <row r="614">
      <c r="A614" s="54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54"/>
      <c r="M614" s="54"/>
      <c r="N614" s="54"/>
      <c r="O614" s="54"/>
      <c r="P614" s="54"/>
    </row>
    <row r="615">
      <c r="A615" s="54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54"/>
      <c r="M615" s="54"/>
      <c r="N615" s="54"/>
      <c r="O615" s="54"/>
      <c r="P615" s="54"/>
    </row>
    <row r="616">
      <c r="A616" s="54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54"/>
      <c r="M616" s="54"/>
      <c r="N616" s="54"/>
      <c r="O616" s="54"/>
      <c r="P616" s="54"/>
    </row>
    <row r="617">
      <c r="A617" s="54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54"/>
      <c r="M617" s="54"/>
      <c r="N617" s="54"/>
      <c r="O617" s="54"/>
      <c r="P617" s="54"/>
    </row>
    <row r="618">
      <c r="A618" s="54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54"/>
      <c r="M618" s="54"/>
      <c r="N618" s="54"/>
      <c r="O618" s="54"/>
      <c r="P618" s="54"/>
    </row>
    <row r="619">
      <c r="A619" s="54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54"/>
      <c r="M619" s="54"/>
      <c r="N619" s="54"/>
      <c r="O619" s="54"/>
      <c r="P619" s="54"/>
    </row>
    <row r="620">
      <c r="A620" s="54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54"/>
      <c r="M620" s="54"/>
      <c r="N620" s="54"/>
      <c r="O620" s="54"/>
      <c r="P620" s="54"/>
    </row>
    <row r="621">
      <c r="A621" s="54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54"/>
      <c r="M621" s="54"/>
      <c r="N621" s="54"/>
      <c r="O621" s="54"/>
      <c r="P621" s="54"/>
    </row>
    <row r="622">
      <c r="A622" s="54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54"/>
      <c r="M622" s="54"/>
      <c r="N622" s="54"/>
      <c r="O622" s="54"/>
      <c r="P622" s="54"/>
    </row>
    <row r="623">
      <c r="A623" s="54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54"/>
      <c r="M623" s="54"/>
      <c r="N623" s="54"/>
      <c r="O623" s="54"/>
      <c r="P623" s="54"/>
    </row>
    <row r="624">
      <c r="A624" s="54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54"/>
      <c r="M624" s="54"/>
      <c r="N624" s="54"/>
      <c r="O624" s="54"/>
      <c r="P624" s="54"/>
    </row>
    <row r="625">
      <c r="A625" s="54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54"/>
      <c r="M625" s="54"/>
      <c r="N625" s="54"/>
      <c r="O625" s="54"/>
      <c r="P625" s="54"/>
    </row>
    <row r="626">
      <c r="A626" s="54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54"/>
      <c r="M626" s="54"/>
      <c r="N626" s="54"/>
      <c r="O626" s="54"/>
      <c r="P626" s="54"/>
    </row>
    <row r="627">
      <c r="A627" s="54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54"/>
      <c r="M627" s="54"/>
      <c r="N627" s="54"/>
      <c r="O627" s="54"/>
      <c r="P627" s="54"/>
    </row>
    <row r="628">
      <c r="A628" s="54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54"/>
      <c r="M628" s="54"/>
      <c r="N628" s="54"/>
      <c r="O628" s="54"/>
      <c r="P628" s="54"/>
    </row>
    <row r="629">
      <c r="A629" s="54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54"/>
      <c r="M629" s="54"/>
      <c r="N629" s="54"/>
      <c r="O629" s="54"/>
      <c r="P629" s="54"/>
    </row>
    <row r="630">
      <c r="A630" s="54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54"/>
      <c r="M630" s="54"/>
      <c r="N630" s="54"/>
      <c r="O630" s="54"/>
      <c r="P630" s="54"/>
    </row>
    <row r="631">
      <c r="A631" s="54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54"/>
      <c r="M631" s="54"/>
      <c r="N631" s="54"/>
      <c r="O631" s="54"/>
      <c r="P631" s="54"/>
    </row>
    <row r="632">
      <c r="A632" s="54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54"/>
      <c r="M632" s="54"/>
      <c r="N632" s="54"/>
      <c r="O632" s="54"/>
      <c r="P632" s="54"/>
    </row>
    <row r="633">
      <c r="A633" s="54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54"/>
      <c r="M633" s="54"/>
      <c r="N633" s="54"/>
      <c r="O633" s="54"/>
      <c r="P633" s="54"/>
    </row>
    <row r="634">
      <c r="A634" s="54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54"/>
      <c r="M634" s="54"/>
      <c r="N634" s="54"/>
      <c r="O634" s="54"/>
      <c r="P634" s="54"/>
    </row>
    <row r="635">
      <c r="A635" s="54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54"/>
      <c r="M635" s="54"/>
      <c r="N635" s="54"/>
      <c r="O635" s="54"/>
      <c r="P635" s="54"/>
    </row>
    <row r="636">
      <c r="A636" s="54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54"/>
      <c r="M636" s="54"/>
      <c r="N636" s="54"/>
      <c r="O636" s="54"/>
      <c r="P636" s="54"/>
    </row>
    <row r="637">
      <c r="A637" s="54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54"/>
      <c r="M637" s="54"/>
      <c r="N637" s="54"/>
      <c r="O637" s="54"/>
      <c r="P637" s="54"/>
    </row>
    <row r="638">
      <c r="A638" s="54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54"/>
      <c r="M638" s="54"/>
      <c r="N638" s="54"/>
      <c r="O638" s="54"/>
      <c r="P638" s="54"/>
    </row>
    <row r="639">
      <c r="A639" s="54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54"/>
      <c r="M639" s="54"/>
      <c r="N639" s="54"/>
      <c r="O639" s="54"/>
      <c r="P639" s="54"/>
    </row>
    <row r="640">
      <c r="A640" s="54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54"/>
      <c r="M640" s="54"/>
      <c r="N640" s="54"/>
      <c r="O640" s="54"/>
      <c r="P640" s="54"/>
    </row>
    <row r="641">
      <c r="A641" s="54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54"/>
      <c r="M641" s="54"/>
      <c r="N641" s="54"/>
      <c r="O641" s="54"/>
      <c r="P641" s="54"/>
    </row>
    <row r="642">
      <c r="A642" s="54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54"/>
      <c r="M642" s="54"/>
      <c r="N642" s="54"/>
      <c r="O642" s="54"/>
      <c r="P642" s="54"/>
    </row>
    <row r="643">
      <c r="A643" s="54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54"/>
      <c r="M643" s="54"/>
      <c r="N643" s="54"/>
      <c r="O643" s="54"/>
      <c r="P643" s="54"/>
    </row>
    <row r="644">
      <c r="A644" s="54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54"/>
      <c r="M644" s="54"/>
      <c r="N644" s="54"/>
      <c r="O644" s="54"/>
      <c r="P644" s="54"/>
    </row>
    <row r="645">
      <c r="A645" s="54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54"/>
      <c r="M645" s="54"/>
      <c r="N645" s="54"/>
      <c r="O645" s="54"/>
      <c r="P645" s="54"/>
    </row>
    <row r="646">
      <c r="A646" s="54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54"/>
      <c r="M646" s="54"/>
      <c r="N646" s="54"/>
      <c r="O646" s="54"/>
      <c r="P646" s="54"/>
    </row>
    <row r="647">
      <c r="A647" s="54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54"/>
      <c r="M647" s="54"/>
      <c r="N647" s="54"/>
      <c r="O647" s="54"/>
      <c r="P647" s="54"/>
    </row>
    <row r="648">
      <c r="A648" s="54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54"/>
      <c r="M648" s="54"/>
      <c r="N648" s="54"/>
      <c r="O648" s="54"/>
      <c r="P648" s="54"/>
    </row>
    <row r="649">
      <c r="A649" s="54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54"/>
      <c r="M649" s="54"/>
      <c r="N649" s="54"/>
      <c r="O649" s="54"/>
      <c r="P649" s="54"/>
    </row>
    <row r="650">
      <c r="A650" s="54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54"/>
      <c r="M650" s="54"/>
      <c r="N650" s="54"/>
      <c r="O650" s="54"/>
      <c r="P650" s="54"/>
    </row>
    <row r="651">
      <c r="A651" s="54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54"/>
      <c r="M651" s="54"/>
      <c r="N651" s="54"/>
      <c r="O651" s="54"/>
      <c r="P651" s="54"/>
    </row>
    <row r="652">
      <c r="A652" s="54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54"/>
      <c r="M652" s="54"/>
      <c r="N652" s="54"/>
      <c r="O652" s="54"/>
      <c r="P652" s="54"/>
    </row>
    <row r="653">
      <c r="A653" s="54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54"/>
      <c r="M653" s="54"/>
      <c r="N653" s="54"/>
      <c r="O653" s="54"/>
      <c r="P653" s="54"/>
    </row>
    <row r="654">
      <c r="A654" s="54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54"/>
      <c r="M654" s="54"/>
      <c r="N654" s="54"/>
      <c r="O654" s="54"/>
      <c r="P654" s="54"/>
    </row>
    <row r="655">
      <c r="A655" s="54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54"/>
      <c r="M655" s="54"/>
      <c r="N655" s="54"/>
      <c r="O655" s="54"/>
      <c r="P655" s="54"/>
    </row>
    <row r="656">
      <c r="A656" s="54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54"/>
      <c r="M656" s="54"/>
      <c r="N656" s="54"/>
      <c r="O656" s="54"/>
      <c r="P656" s="54"/>
    </row>
    <row r="657">
      <c r="A657" s="54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54"/>
      <c r="M657" s="54"/>
      <c r="N657" s="54"/>
      <c r="O657" s="54"/>
      <c r="P657" s="54"/>
    </row>
    <row r="658">
      <c r="A658" s="54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54"/>
      <c r="M658" s="54"/>
      <c r="N658" s="54"/>
      <c r="O658" s="54"/>
      <c r="P658" s="54"/>
    </row>
    <row r="659">
      <c r="A659" s="54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54"/>
      <c r="M659" s="54"/>
      <c r="N659" s="54"/>
      <c r="O659" s="54"/>
      <c r="P659" s="54"/>
    </row>
    <row r="660">
      <c r="A660" s="54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54"/>
      <c r="M660" s="54"/>
      <c r="N660" s="54"/>
      <c r="O660" s="54"/>
      <c r="P660" s="54"/>
    </row>
    <row r="661">
      <c r="A661" s="54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54"/>
      <c r="M661" s="54"/>
      <c r="N661" s="54"/>
      <c r="O661" s="54"/>
      <c r="P661" s="54"/>
    </row>
    <row r="662">
      <c r="A662" s="54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54"/>
      <c r="M662" s="54"/>
      <c r="N662" s="54"/>
      <c r="O662" s="54"/>
      <c r="P662" s="54"/>
    </row>
    <row r="663">
      <c r="A663" s="54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54"/>
      <c r="M663" s="54"/>
      <c r="N663" s="54"/>
      <c r="O663" s="54"/>
      <c r="P663" s="54"/>
    </row>
    <row r="664">
      <c r="A664" s="54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54"/>
      <c r="M664" s="54"/>
      <c r="N664" s="54"/>
      <c r="O664" s="54"/>
      <c r="P664" s="54"/>
    </row>
    <row r="665">
      <c r="A665" s="54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54"/>
      <c r="M665" s="54"/>
      <c r="N665" s="54"/>
      <c r="O665" s="54"/>
      <c r="P665" s="54"/>
    </row>
    <row r="666">
      <c r="A666" s="54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54"/>
      <c r="M666" s="54"/>
      <c r="N666" s="54"/>
      <c r="O666" s="54"/>
      <c r="P666" s="54"/>
    </row>
    <row r="667">
      <c r="A667" s="54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54"/>
      <c r="M667" s="54"/>
      <c r="N667" s="54"/>
      <c r="O667" s="54"/>
      <c r="P667" s="54"/>
    </row>
    <row r="668">
      <c r="A668" s="54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54"/>
      <c r="M668" s="54"/>
      <c r="N668" s="54"/>
      <c r="O668" s="54"/>
      <c r="P668" s="54"/>
    </row>
    <row r="669">
      <c r="A669" s="54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54"/>
      <c r="M669" s="54"/>
      <c r="N669" s="54"/>
      <c r="O669" s="54"/>
      <c r="P669" s="54"/>
    </row>
    <row r="670">
      <c r="A670" s="54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54"/>
      <c r="M670" s="54"/>
      <c r="N670" s="54"/>
      <c r="O670" s="54"/>
      <c r="P670" s="54"/>
    </row>
    <row r="671">
      <c r="A671" s="54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54"/>
      <c r="M671" s="54"/>
      <c r="N671" s="54"/>
      <c r="O671" s="54"/>
      <c r="P671" s="54"/>
    </row>
    <row r="672">
      <c r="A672" s="54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54"/>
      <c r="M672" s="54"/>
      <c r="N672" s="54"/>
      <c r="O672" s="54"/>
      <c r="P672" s="54"/>
    </row>
    <row r="673">
      <c r="A673" s="54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54"/>
      <c r="M673" s="54"/>
      <c r="N673" s="54"/>
      <c r="O673" s="54"/>
      <c r="P673" s="54"/>
    </row>
    <row r="674">
      <c r="A674" s="54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54"/>
      <c r="M674" s="54"/>
      <c r="N674" s="54"/>
      <c r="O674" s="54"/>
      <c r="P674" s="54"/>
    </row>
    <row r="675">
      <c r="A675" s="54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54"/>
      <c r="M675" s="54"/>
      <c r="N675" s="54"/>
      <c r="O675" s="54"/>
      <c r="P675" s="54"/>
    </row>
    <row r="676">
      <c r="A676" s="54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54"/>
      <c r="M676" s="54"/>
      <c r="N676" s="54"/>
      <c r="O676" s="54"/>
      <c r="P676" s="54"/>
    </row>
    <row r="677">
      <c r="A677" s="54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54"/>
      <c r="M677" s="54"/>
      <c r="N677" s="54"/>
      <c r="O677" s="54"/>
      <c r="P677" s="54"/>
    </row>
    <row r="678">
      <c r="A678" s="54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54"/>
      <c r="M678" s="54"/>
      <c r="N678" s="54"/>
      <c r="O678" s="54"/>
      <c r="P678" s="54"/>
    </row>
    <row r="679">
      <c r="A679" s="54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54"/>
      <c r="M679" s="54"/>
      <c r="N679" s="54"/>
      <c r="O679" s="54"/>
      <c r="P679" s="54"/>
    </row>
    <row r="680">
      <c r="A680" s="54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54"/>
      <c r="M680" s="54"/>
      <c r="N680" s="54"/>
      <c r="O680" s="54"/>
      <c r="P680" s="54"/>
    </row>
    <row r="681">
      <c r="A681" s="54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54"/>
      <c r="M681" s="54"/>
      <c r="N681" s="54"/>
      <c r="O681" s="54"/>
      <c r="P681" s="54"/>
    </row>
    <row r="682">
      <c r="A682" s="54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54"/>
      <c r="M682" s="54"/>
      <c r="N682" s="54"/>
      <c r="O682" s="54"/>
      <c r="P682" s="54"/>
    </row>
    <row r="683">
      <c r="A683" s="54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54"/>
      <c r="M683" s="54"/>
      <c r="N683" s="54"/>
      <c r="O683" s="54"/>
      <c r="P683" s="54"/>
    </row>
    <row r="684">
      <c r="A684" s="54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54"/>
      <c r="M684" s="54"/>
      <c r="N684" s="54"/>
      <c r="O684" s="54"/>
      <c r="P684" s="54"/>
    </row>
    <row r="685">
      <c r="A685" s="54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54"/>
      <c r="M685" s="54"/>
      <c r="N685" s="54"/>
      <c r="O685" s="54"/>
      <c r="P685" s="54"/>
    </row>
    <row r="686">
      <c r="A686" s="54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54"/>
      <c r="M686" s="54"/>
      <c r="N686" s="54"/>
      <c r="O686" s="54"/>
      <c r="P686" s="54"/>
    </row>
    <row r="687">
      <c r="A687" s="54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54"/>
      <c r="M687" s="54"/>
      <c r="N687" s="54"/>
      <c r="O687" s="54"/>
      <c r="P687" s="54"/>
    </row>
    <row r="688">
      <c r="A688" s="54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54"/>
      <c r="M688" s="54"/>
      <c r="N688" s="54"/>
      <c r="O688" s="54"/>
      <c r="P688" s="54"/>
    </row>
    <row r="689">
      <c r="A689" s="54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54"/>
      <c r="M689" s="54"/>
      <c r="N689" s="54"/>
      <c r="O689" s="54"/>
      <c r="P689" s="54"/>
    </row>
    <row r="690">
      <c r="A690" s="54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54"/>
      <c r="M690" s="54"/>
      <c r="N690" s="54"/>
      <c r="O690" s="54"/>
      <c r="P690" s="54"/>
    </row>
    <row r="691">
      <c r="A691" s="54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54"/>
      <c r="M691" s="54"/>
      <c r="N691" s="54"/>
      <c r="O691" s="54"/>
      <c r="P691" s="54"/>
    </row>
    <row r="692">
      <c r="A692" s="54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54"/>
      <c r="M692" s="54"/>
      <c r="N692" s="54"/>
      <c r="O692" s="54"/>
      <c r="P692" s="54"/>
    </row>
    <row r="693">
      <c r="A693" s="54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54"/>
      <c r="M693" s="54"/>
      <c r="N693" s="54"/>
      <c r="O693" s="54"/>
      <c r="P693" s="54"/>
    </row>
    <row r="694">
      <c r="A694" s="54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54"/>
      <c r="M694" s="54"/>
      <c r="N694" s="54"/>
      <c r="O694" s="54"/>
      <c r="P694" s="54"/>
    </row>
    <row r="695">
      <c r="A695" s="54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54"/>
      <c r="M695" s="54"/>
      <c r="N695" s="54"/>
      <c r="O695" s="54"/>
      <c r="P695" s="54"/>
    </row>
    <row r="696">
      <c r="A696" s="54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54"/>
      <c r="M696" s="54"/>
      <c r="N696" s="54"/>
      <c r="O696" s="54"/>
      <c r="P696" s="54"/>
    </row>
    <row r="697">
      <c r="A697" s="54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54"/>
      <c r="M697" s="54"/>
      <c r="N697" s="54"/>
      <c r="O697" s="54"/>
      <c r="P697" s="54"/>
    </row>
    <row r="698">
      <c r="A698" s="54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54"/>
      <c r="M698" s="54"/>
      <c r="N698" s="54"/>
      <c r="O698" s="54"/>
      <c r="P698" s="54"/>
    </row>
    <row r="699">
      <c r="A699" s="54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54"/>
      <c r="M699" s="54"/>
      <c r="N699" s="54"/>
      <c r="O699" s="54"/>
      <c r="P699" s="54"/>
    </row>
    <row r="700">
      <c r="A700" s="54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54"/>
      <c r="M700" s="54"/>
      <c r="N700" s="54"/>
      <c r="O700" s="54"/>
      <c r="P700" s="54"/>
    </row>
    <row r="701">
      <c r="A701" s="54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54"/>
      <c r="M701" s="54"/>
      <c r="N701" s="54"/>
      <c r="O701" s="54"/>
      <c r="P701" s="54"/>
    </row>
    <row r="702">
      <c r="A702" s="54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54"/>
      <c r="M702" s="54"/>
      <c r="N702" s="54"/>
      <c r="O702" s="54"/>
      <c r="P702" s="54"/>
    </row>
    <row r="703">
      <c r="A703" s="54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54"/>
      <c r="M703" s="54"/>
      <c r="N703" s="54"/>
      <c r="O703" s="54"/>
      <c r="P703" s="54"/>
    </row>
    <row r="704">
      <c r="A704" s="54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54"/>
      <c r="M704" s="54"/>
      <c r="N704" s="54"/>
      <c r="O704" s="54"/>
      <c r="P704" s="54"/>
    </row>
    <row r="705">
      <c r="A705" s="54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54"/>
      <c r="M705" s="54"/>
      <c r="N705" s="54"/>
      <c r="O705" s="54"/>
      <c r="P705" s="54"/>
    </row>
    <row r="706">
      <c r="A706" s="54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54"/>
      <c r="M706" s="54"/>
      <c r="N706" s="54"/>
      <c r="O706" s="54"/>
      <c r="P706" s="54"/>
    </row>
    <row r="707">
      <c r="A707" s="54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54"/>
      <c r="M707" s="54"/>
      <c r="N707" s="54"/>
      <c r="O707" s="54"/>
      <c r="P707" s="54"/>
    </row>
    <row r="708">
      <c r="A708" s="54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54"/>
      <c r="M708" s="54"/>
      <c r="N708" s="54"/>
      <c r="O708" s="54"/>
      <c r="P708" s="54"/>
    </row>
    <row r="709">
      <c r="A709" s="54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54"/>
      <c r="M709" s="54"/>
      <c r="N709" s="54"/>
      <c r="O709" s="54"/>
      <c r="P709" s="54"/>
    </row>
    <row r="710">
      <c r="A710" s="54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54"/>
      <c r="M710" s="54"/>
      <c r="N710" s="54"/>
      <c r="O710" s="54"/>
      <c r="P710" s="54"/>
    </row>
    <row r="711">
      <c r="A711" s="54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54"/>
      <c r="M711" s="54"/>
      <c r="N711" s="54"/>
      <c r="O711" s="54"/>
      <c r="P711" s="54"/>
    </row>
    <row r="712">
      <c r="A712" s="54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54"/>
      <c r="M712" s="54"/>
      <c r="N712" s="54"/>
      <c r="O712" s="54"/>
      <c r="P712" s="54"/>
    </row>
    <row r="713">
      <c r="A713" s="54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54"/>
      <c r="M713" s="54"/>
      <c r="N713" s="54"/>
      <c r="O713" s="54"/>
      <c r="P713" s="54"/>
    </row>
    <row r="714">
      <c r="A714" s="54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54"/>
      <c r="M714" s="54"/>
      <c r="N714" s="54"/>
      <c r="O714" s="54"/>
      <c r="P714" s="54"/>
    </row>
    <row r="715">
      <c r="A715" s="54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54"/>
      <c r="M715" s="54"/>
      <c r="N715" s="54"/>
      <c r="O715" s="54"/>
      <c r="P715" s="54"/>
    </row>
    <row r="716">
      <c r="A716" s="54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54"/>
      <c r="M716" s="54"/>
      <c r="N716" s="54"/>
      <c r="O716" s="54"/>
      <c r="P716" s="54"/>
    </row>
    <row r="717">
      <c r="A717" s="54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54"/>
      <c r="M717" s="54"/>
      <c r="N717" s="54"/>
      <c r="O717" s="54"/>
      <c r="P717" s="54"/>
    </row>
    <row r="718">
      <c r="A718" s="54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54"/>
      <c r="M718" s="54"/>
      <c r="N718" s="54"/>
      <c r="O718" s="54"/>
      <c r="P718" s="54"/>
    </row>
    <row r="719">
      <c r="A719" s="54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54"/>
      <c r="M719" s="54"/>
      <c r="N719" s="54"/>
      <c r="O719" s="54"/>
      <c r="P719" s="54"/>
    </row>
    <row r="720">
      <c r="A720" s="54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54"/>
      <c r="M720" s="54"/>
      <c r="N720" s="54"/>
      <c r="O720" s="54"/>
      <c r="P720" s="54"/>
    </row>
    <row r="721">
      <c r="A721" s="54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54"/>
      <c r="M721" s="54"/>
      <c r="N721" s="54"/>
      <c r="O721" s="54"/>
      <c r="P721" s="54"/>
    </row>
    <row r="722">
      <c r="A722" s="54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54"/>
      <c r="M722" s="54"/>
      <c r="N722" s="54"/>
      <c r="O722" s="54"/>
      <c r="P722" s="54"/>
    </row>
    <row r="723">
      <c r="A723" s="54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54"/>
      <c r="M723" s="54"/>
      <c r="N723" s="54"/>
      <c r="O723" s="54"/>
      <c r="P723" s="54"/>
    </row>
    <row r="724">
      <c r="A724" s="54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54"/>
      <c r="M724" s="54"/>
      <c r="N724" s="54"/>
      <c r="O724" s="54"/>
      <c r="P724" s="54"/>
    </row>
    <row r="725">
      <c r="A725" s="54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54"/>
      <c r="M725" s="54"/>
      <c r="N725" s="54"/>
      <c r="O725" s="54"/>
      <c r="P725" s="54"/>
    </row>
    <row r="726">
      <c r="A726" s="54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54"/>
      <c r="M726" s="54"/>
      <c r="N726" s="54"/>
      <c r="O726" s="54"/>
      <c r="P726" s="54"/>
    </row>
    <row r="727">
      <c r="A727" s="54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54"/>
      <c r="M727" s="54"/>
      <c r="N727" s="54"/>
      <c r="O727" s="54"/>
      <c r="P727" s="54"/>
    </row>
    <row r="728">
      <c r="A728" s="54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54"/>
      <c r="M728" s="54"/>
      <c r="N728" s="54"/>
      <c r="O728" s="54"/>
      <c r="P728" s="54"/>
    </row>
    <row r="729">
      <c r="A729" s="54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54"/>
      <c r="M729" s="54"/>
      <c r="N729" s="54"/>
      <c r="O729" s="54"/>
      <c r="P729" s="54"/>
    </row>
    <row r="730">
      <c r="A730" s="54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54"/>
      <c r="M730" s="54"/>
      <c r="N730" s="54"/>
      <c r="O730" s="54"/>
      <c r="P730" s="54"/>
    </row>
    <row r="731">
      <c r="A731" s="54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54"/>
      <c r="M731" s="54"/>
      <c r="N731" s="54"/>
      <c r="O731" s="54"/>
      <c r="P731" s="54"/>
    </row>
    <row r="732">
      <c r="A732" s="54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54"/>
      <c r="M732" s="54"/>
      <c r="N732" s="54"/>
      <c r="O732" s="54"/>
      <c r="P732" s="54"/>
    </row>
    <row r="733">
      <c r="A733" s="54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54"/>
      <c r="M733" s="54"/>
      <c r="N733" s="54"/>
      <c r="O733" s="54"/>
      <c r="P733" s="54"/>
    </row>
    <row r="734">
      <c r="A734" s="54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54"/>
      <c r="M734" s="54"/>
      <c r="N734" s="54"/>
      <c r="O734" s="54"/>
      <c r="P734" s="54"/>
    </row>
    <row r="735">
      <c r="A735" s="54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54"/>
      <c r="M735" s="54"/>
      <c r="N735" s="54"/>
      <c r="O735" s="54"/>
      <c r="P735" s="54"/>
    </row>
    <row r="736">
      <c r="A736" s="54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54"/>
      <c r="M736" s="54"/>
      <c r="N736" s="54"/>
      <c r="O736" s="54"/>
      <c r="P736" s="54"/>
    </row>
    <row r="737">
      <c r="A737" s="54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54"/>
      <c r="M737" s="54"/>
      <c r="N737" s="54"/>
      <c r="O737" s="54"/>
      <c r="P737" s="54"/>
    </row>
    <row r="738">
      <c r="A738" s="54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54"/>
      <c r="M738" s="54"/>
      <c r="N738" s="54"/>
      <c r="O738" s="54"/>
      <c r="P738" s="54"/>
    </row>
    <row r="739">
      <c r="A739" s="54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54"/>
      <c r="M739" s="54"/>
      <c r="N739" s="54"/>
      <c r="O739" s="54"/>
      <c r="P739" s="54"/>
    </row>
    <row r="740">
      <c r="A740" s="54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54"/>
      <c r="M740" s="54"/>
      <c r="N740" s="54"/>
      <c r="O740" s="54"/>
      <c r="P740" s="54"/>
    </row>
    <row r="741">
      <c r="A741" s="54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54"/>
      <c r="M741" s="54"/>
      <c r="N741" s="54"/>
      <c r="O741" s="54"/>
      <c r="P741" s="54"/>
    </row>
    <row r="742">
      <c r="A742" s="54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54"/>
      <c r="M742" s="54"/>
      <c r="N742" s="54"/>
      <c r="O742" s="54"/>
      <c r="P742" s="54"/>
    </row>
    <row r="743">
      <c r="A743" s="54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54"/>
      <c r="M743" s="54"/>
      <c r="N743" s="54"/>
      <c r="O743" s="54"/>
      <c r="P743" s="54"/>
    </row>
    <row r="744">
      <c r="A744" s="54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54"/>
      <c r="M744" s="54"/>
      <c r="N744" s="54"/>
      <c r="O744" s="54"/>
      <c r="P744" s="54"/>
    </row>
    <row r="745">
      <c r="A745" s="54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54"/>
      <c r="M745" s="54"/>
      <c r="N745" s="54"/>
      <c r="O745" s="54"/>
      <c r="P745" s="54"/>
    </row>
    <row r="746">
      <c r="A746" s="54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54"/>
      <c r="M746" s="54"/>
      <c r="N746" s="54"/>
      <c r="O746" s="54"/>
      <c r="P746" s="54"/>
    </row>
    <row r="747">
      <c r="A747" s="54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54"/>
      <c r="M747" s="54"/>
      <c r="N747" s="54"/>
      <c r="O747" s="54"/>
      <c r="P747" s="54"/>
    </row>
    <row r="748">
      <c r="A748" s="54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54"/>
      <c r="M748" s="54"/>
      <c r="N748" s="54"/>
      <c r="O748" s="54"/>
      <c r="P748" s="54"/>
    </row>
    <row r="749">
      <c r="A749" s="54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54"/>
      <c r="M749" s="54"/>
      <c r="N749" s="54"/>
      <c r="O749" s="54"/>
      <c r="P749" s="54"/>
    </row>
    <row r="750">
      <c r="A750" s="54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54"/>
      <c r="M750" s="54"/>
      <c r="N750" s="54"/>
      <c r="O750" s="54"/>
      <c r="P750" s="54"/>
    </row>
    <row r="751">
      <c r="A751" s="54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54"/>
      <c r="M751" s="54"/>
      <c r="N751" s="54"/>
      <c r="O751" s="54"/>
      <c r="P751" s="54"/>
    </row>
    <row r="752">
      <c r="A752" s="54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54"/>
      <c r="M752" s="54"/>
      <c r="N752" s="54"/>
      <c r="O752" s="54"/>
      <c r="P752" s="54"/>
    </row>
    <row r="753">
      <c r="A753" s="54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54"/>
      <c r="M753" s="54"/>
      <c r="N753" s="54"/>
      <c r="O753" s="54"/>
      <c r="P753" s="54"/>
    </row>
    <row r="754">
      <c r="A754" s="54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54"/>
      <c r="M754" s="54"/>
      <c r="N754" s="54"/>
      <c r="O754" s="54"/>
      <c r="P754" s="54"/>
    </row>
    <row r="755">
      <c r="A755" s="54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54"/>
      <c r="M755" s="54"/>
      <c r="N755" s="54"/>
      <c r="O755" s="54"/>
      <c r="P755" s="54"/>
    </row>
    <row r="756">
      <c r="A756" s="54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54"/>
      <c r="M756" s="54"/>
      <c r="N756" s="54"/>
      <c r="O756" s="54"/>
      <c r="P756" s="54"/>
    </row>
    <row r="757">
      <c r="A757" s="54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54"/>
      <c r="M757" s="54"/>
      <c r="N757" s="54"/>
      <c r="O757" s="54"/>
      <c r="P757" s="54"/>
    </row>
    <row r="758">
      <c r="A758" s="54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54"/>
      <c r="M758" s="54"/>
      <c r="N758" s="54"/>
      <c r="O758" s="54"/>
      <c r="P758" s="54"/>
    </row>
    <row r="759">
      <c r="A759" s="54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54"/>
      <c r="M759" s="54"/>
      <c r="N759" s="54"/>
      <c r="O759" s="54"/>
      <c r="P759" s="54"/>
    </row>
    <row r="760">
      <c r="A760" s="54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54"/>
      <c r="M760" s="54"/>
      <c r="N760" s="54"/>
      <c r="O760" s="54"/>
      <c r="P760" s="54"/>
    </row>
    <row r="761">
      <c r="A761" s="54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54"/>
      <c r="M761" s="54"/>
      <c r="N761" s="54"/>
      <c r="O761" s="54"/>
      <c r="P761" s="54"/>
    </row>
    <row r="762">
      <c r="A762" s="54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54"/>
      <c r="M762" s="54"/>
      <c r="N762" s="54"/>
      <c r="O762" s="54"/>
      <c r="P762" s="54"/>
    </row>
    <row r="763">
      <c r="A763" s="54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54"/>
      <c r="M763" s="54"/>
      <c r="N763" s="54"/>
      <c r="O763" s="54"/>
      <c r="P763" s="54"/>
    </row>
    <row r="764">
      <c r="A764" s="54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54"/>
      <c r="M764" s="54"/>
      <c r="N764" s="54"/>
      <c r="O764" s="54"/>
      <c r="P764" s="54"/>
    </row>
    <row r="765">
      <c r="A765" s="54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54"/>
      <c r="M765" s="54"/>
      <c r="N765" s="54"/>
      <c r="O765" s="54"/>
      <c r="P765" s="54"/>
    </row>
    <row r="766">
      <c r="A766" s="54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54"/>
      <c r="M766" s="54"/>
      <c r="N766" s="54"/>
      <c r="O766" s="54"/>
      <c r="P766" s="54"/>
    </row>
    <row r="767">
      <c r="A767" s="54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54"/>
      <c r="M767" s="54"/>
      <c r="N767" s="54"/>
      <c r="O767" s="54"/>
      <c r="P767" s="54"/>
    </row>
    <row r="768">
      <c r="A768" s="54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54"/>
      <c r="M768" s="54"/>
      <c r="N768" s="54"/>
      <c r="O768" s="54"/>
      <c r="P768" s="54"/>
    </row>
    <row r="769">
      <c r="A769" s="54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54"/>
      <c r="M769" s="54"/>
      <c r="N769" s="54"/>
      <c r="O769" s="54"/>
      <c r="P769" s="54"/>
    </row>
    <row r="770">
      <c r="A770" s="54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54"/>
      <c r="M770" s="54"/>
      <c r="N770" s="54"/>
      <c r="O770" s="54"/>
      <c r="P770" s="54"/>
    </row>
    <row r="771">
      <c r="A771" s="54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54"/>
      <c r="M771" s="54"/>
      <c r="N771" s="54"/>
      <c r="O771" s="54"/>
      <c r="P771" s="54"/>
    </row>
    <row r="772">
      <c r="A772" s="54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54"/>
      <c r="M772" s="54"/>
      <c r="N772" s="54"/>
      <c r="O772" s="54"/>
      <c r="P772" s="54"/>
    </row>
    <row r="773">
      <c r="A773" s="54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54"/>
      <c r="M773" s="54"/>
      <c r="N773" s="54"/>
      <c r="O773" s="54"/>
      <c r="P773" s="54"/>
    </row>
    <row r="774">
      <c r="A774" s="54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54"/>
      <c r="M774" s="54"/>
      <c r="N774" s="54"/>
      <c r="O774" s="54"/>
      <c r="P774" s="54"/>
    </row>
    <row r="775">
      <c r="A775" s="54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54"/>
      <c r="M775" s="54"/>
      <c r="N775" s="54"/>
      <c r="O775" s="54"/>
      <c r="P775" s="54"/>
    </row>
    <row r="776">
      <c r="A776" s="54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54"/>
      <c r="M776" s="54"/>
      <c r="N776" s="54"/>
      <c r="O776" s="54"/>
      <c r="P776" s="54"/>
    </row>
    <row r="777">
      <c r="A777" s="54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54"/>
      <c r="M777" s="54"/>
      <c r="N777" s="54"/>
      <c r="O777" s="54"/>
      <c r="P777" s="54"/>
    </row>
    <row r="778">
      <c r="A778" s="54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54"/>
      <c r="M778" s="54"/>
      <c r="N778" s="54"/>
      <c r="O778" s="54"/>
      <c r="P778" s="54"/>
    </row>
    <row r="779">
      <c r="A779" s="54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54"/>
      <c r="M779" s="54"/>
      <c r="N779" s="54"/>
      <c r="O779" s="54"/>
      <c r="P779" s="54"/>
    </row>
    <row r="780">
      <c r="A780" s="54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54"/>
      <c r="M780" s="54"/>
      <c r="N780" s="54"/>
      <c r="O780" s="54"/>
      <c r="P780" s="54"/>
    </row>
    <row r="781">
      <c r="A781" s="54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54"/>
      <c r="M781" s="54"/>
      <c r="N781" s="54"/>
      <c r="O781" s="54"/>
      <c r="P781" s="54"/>
    </row>
    <row r="782">
      <c r="A782" s="54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54"/>
      <c r="M782" s="54"/>
      <c r="N782" s="54"/>
      <c r="O782" s="54"/>
      <c r="P782" s="54"/>
    </row>
    <row r="783">
      <c r="A783" s="54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54"/>
      <c r="M783" s="54"/>
      <c r="N783" s="54"/>
      <c r="O783" s="54"/>
      <c r="P783" s="54"/>
    </row>
    <row r="784">
      <c r="A784" s="54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54"/>
      <c r="M784" s="54"/>
      <c r="N784" s="54"/>
      <c r="O784" s="54"/>
      <c r="P784" s="54"/>
    </row>
    <row r="785">
      <c r="A785" s="54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54"/>
      <c r="M785" s="54"/>
      <c r="N785" s="54"/>
      <c r="O785" s="54"/>
      <c r="P785" s="54"/>
    </row>
    <row r="786">
      <c r="A786" s="54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54"/>
      <c r="M786" s="54"/>
      <c r="N786" s="54"/>
      <c r="O786" s="54"/>
      <c r="P786" s="54"/>
    </row>
    <row r="787">
      <c r="A787" s="54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54"/>
      <c r="M787" s="54"/>
      <c r="N787" s="54"/>
      <c r="O787" s="54"/>
      <c r="P787" s="54"/>
    </row>
    <row r="788">
      <c r="A788" s="54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54"/>
      <c r="M788" s="54"/>
      <c r="N788" s="54"/>
      <c r="O788" s="54"/>
      <c r="P788" s="54"/>
    </row>
    <row r="789">
      <c r="A789" s="54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54"/>
      <c r="M789" s="54"/>
      <c r="N789" s="54"/>
      <c r="O789" s="54"/>
      <c r="P789" s="54"/>
    </row>
    <row r="790">
      <c r="A790" s="54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54"/>
      <c r="M790" s="54"/>
      <c r="N790" s="54"/>
      <c r="O790" s="54"/>
      <c r="P790" s="54"/>
    </row>
    <row r="791">
      <c r="A791" s="54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54"/>
      <c r="M791" s="54"/>
      <c r="N791" s="54"/>
      <c r="O791" s="54"/>
      <c r="P791" s="54"/>
    </row>
    <row r="792">
      <c r="A792" s="54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54"/>
      <c r="M792" s="54"/>
      <c r="N792" s="54"/>
      <c r="O792" s="54"/>
      <c r="P792" s="54"/>
    </row>
    <row r="793">
      <c r="A793" s="54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54"/>
      <c r="M793" s="54"/>
      <c r="N793" s="54"/>
      <c r="O793" s="54"/>
      <c r="P793" s="54"/>
    </row>
    <row r="794">
      <c r="A794" s="54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54"/>
      <c r="M794" s="54"/>
      <c r="N794" s="54"/>
      <c r="O794" s="54"/>
      <c r="P794" s="54"/>
    </row>
    <row r="795">
      <c r="A795" s="54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54"/>
      <c r="M795" s="54"/>
      <c r="N795" s="54"/>
      <c r="O795" s="54"/>
      <c r="P795" s="54"/>
    </row>
    <row r="796">
      <c r="A796" s="54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54"/>
      <c r="M796" s="54"/>
      <c r="N796" s="54"/>
      <c r="O796" s="54"/>
      <c r="P796" s="54"/>
    </row>
    <row r="797">
      <c r="A797" s="54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54"/>
      <c r="M797" s="54"/>
      <c r="N797" s="54"/>
      <c r="O797" s="54"/>
      <c r="P797" s="54"/>
    </row>
    <row r="798">
      <c r="A798" s="54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54"/>
      <c r="M798" s="54"/>
      <c r="N798" s="54"/>
      <c r="O798" s="54"/>
      <c r="P798" s="54"/>
    </row>
    <row r="799">
      <c r="A799" s="54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54"/>
      <c r="M799" s="54"/>
      <c r="N799" s="54"/>
      <c r="O799" s="54"/>
      <c r="P799" s="54"/>
    </row>
    <row r="800">
      <c r="A800" s="54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54"/>
      <c r="M800" s="54"/>
      <c r="N800" s="54"/>
      <c r="O800" s="54"/>
      <c r="P800" s="54"/>
    </row>
    <row r="801">
      <c r="A801" s="54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54"/>
      <c r="M801" s="54"/>
      <c r="N801" s="54"/>
      <c r="O801" s="54"/>
      <c r="P801" s="54"/>
    </row>
    <row r="802">
      <c r="A802" s="54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54"/>
      <c r="M802" s="54"/>
      <c r="N802" s="54"/>
      <c r="O802" s="54"/>
      <c r="P802" s="54"/>
    </row>
    <row r="803">
      <c r="A803" s="54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54"/>
      <c r="M803" s="54"/>
      <c r="N803" s="54"/>
      <c r="O803" s="54"/>
      <c r="P803" s="54"/>
    </row>
    <row r="804">
      <c r="A804" s="54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54"/>
      <c r="M804" s="54"/>
      <c r="N804" s="54"/>
      <c r="O804" s="54"/>
      <c r="P804" s="54"/>
    </row>
    <row r="805">
      <c r="A805" s="54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54"/>
      <c r="M805" s="54"/>
      <c r="N805" s="54"/>
      <c r="O805" s="54"/>
      <c r="P805" s="54"/>
    </row>
    <row r="806">
      <c r="A806" s="54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54"/>
      <c r="M806" s="54"/>
      <c r="N806" s="54"/>
      <c r="O806" s="54"/>
      <c r="P806" s="54"/>
    </row>
    <row r="807">
      <c r="A807" s="54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54"/>
      <c r="M807" s="54"/>
      <c r="N807" s="54"/>
      <c r="O807" s="54"/>
      <c r="P807" s="54"/>
    </row>
    <row r="808">
      <c r="A808" s="54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54"/>
      <c r="M808" s="54"/>
      <c r="N808" s="54"/>
      <c r="O808" s="54"/>
      <c r="P808" s="54"/>
    </row>
    <row r="809">
      <c r="A809" s="54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54"/>
      <c r="M809" s="54"/>
      <c r="N809" s="54"/>
      <c r="O809" s="54"/>
      <c r="P809" s="54"/>
    </row>
    <row r="810">
      <c r="A810" s="54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54"/>
      <c r="M810" s="54"/>
      <c r="N810" s="54"/>
      <c r="O810" s="54"/>
      <c r="P810" s="54"/>
    </row>
    <row r="811">
      <c r="A811" s="54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54"/>
      <c r="M811" s="54"/>
      <c r="N811" s="54"/>
      <c r="O811" s="54"/>
      <c r="P811" s="54"/>
    </row>
    <row r="812">
      <c r="A812" s="54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54"/>
      <c r="M812" s="54"/>
      <c r="N812" s="54"/>
      <c r="O812" s="54"/>
      <c r="P812" s="54"/>
    </row>
    <row r="813">
      <c r="A813" s="54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54"/>
      <c r="M813" s="54"/>
      <c r="N813" s="54"/>
      <c r="O813" s="54"/>
      <c r="P813" s="54"/>
    </row>
    <row r="814">
      <c r="A814" s="54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54"/>
      <c r="M814" s="54"/>
      <c r="N814" s="54"/>
      <c r="O814" s="54"/>
      <c r="P814" s="54"/>
    </row>
    <row r="815">
      <c r="A815" s="54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54"/>
      <c r="M815" s="54"/>
      <c r="N815" s="54"/>
      <c r="O815" s="54"/>
      <c r="P815" s="54"/>
    </row>
    <row r="816">
      <c r="A816" s="54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54"/>
      <c r="M816" s="54"/>
      <c r="N816" s="54"/>
      <c r="O816" s="54"/>
      <c r="P816" s="54"/>
    </row>
    <row r="817">
      <c r="A817" s="54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54"/>
      <c r="M817" s="54"/>
      <c r="N817" s="54"/>
      <c r="O817" s="54"/>
      <c r="P817" s="54"/>
    </row>
    <row r="818">
      <c r="A818" s="54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54"/>
      <c r="M818" s="54"/>
      <c r="N818" s="54"/>
      <c r="O818" s="54"/>
      <c r="P818" s="54"/>
    </row>
    <row r="819">
      <c r="A819" s="54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54"/>
      <c r="M819" s="54"/>
      <c r="N819" s="54"/>
      <c r="O819" s="54"/>
      <c r="P819" s="54"/>
    </row>
    <row r="820">
      <c r="A820" s="54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54"/>
      <c r="M820" s="54"/>
      <c r="N820" s="54"/>
      <c r="O820" s="54"/>
      <c r="P820" s="54"/>
    </row>
    <row r="821">
      <c r="A821" s="54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54"/>
      <c r="M821" s="54"/>
      <c r="N821" s="54"/>
      <c r="O821" s="54"/>
      <c r="P821" s="54"/>
    </row>
    <row r="822">
      <c r="A822" s="54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54"/>
      <c r="M822" s="54"/>
      <c r="N822" s="54"/>
      <c r="O822" s="54"/>
      <c r="P822" s="54"/>
    </row>
    <row r="823">
      <c r="A823" s="54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54"/>
      <c r="M823" s="54"/>
      <c r="N823" s="54"/>
      <c r="O823" s="54"/>
      <c r="P823" s="54"/>
    </row>
    <row r="824">
      <c r="A824" s="54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54"/>
      <c r="M824" s="54"/>
      <c r="N824" s="54"/>
      <c r="O824" s="54"/>
      <c r="P824" s="54"/>
    </row>
    <row r="825">
      <c r="A825" s="54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54"/>
      <c r="M825" s="54"/>
      <c r="N825" s="54"/>
      <c r="O825" s="54"/>
      <c r="P825" s="54"/>
    </row>
    <row r="826">
      <c r="A826" s="54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54"/>
      <c r="M826" s="54"/>
      <c r="N826" s="54"/>
      <c r="O826" s="54"/>
      <c r="P826" s="54"/>
    </row>
    <row r="827">
      <c r="A827" s="54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54"/>
      <c r="M827" s="54"/>
      <c r="N827" s="54"/>
      <c r="O827" s="54"/>
      <c r="P827" s="54"/>
    </row>
    <row r="828">
      <c r="A828" s="54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54"/>
      <c r="M828" s="54"/>
      <c r="N828" s="54"/>
      <c r="O828" s="54"/>
      <c r="P828" s="54"/>
    </row>
    <row r="829">
      <c r="A829" s="54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54"/>
      <c r="M829" s="54"/>
      <c r="N829" s="54"/>
      <c r="O829" s="54"/>
      <c r="P829" s="54"/>
    </row>
    <row r="830">
      <c r="A830" s="54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54"/>
      <c r="M830" s="54"/>
      <c r="N830" s="54"/>
      <c r="O830" s="54"/>
      <c r="P830" s="54"/>
    </row>
    <row r="831">
      <c r="A831" s="54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54"/>
      <c r="M831" s="54"/>
      <c r="N831" s="54"/>
      <c r="O831" s="54"/>
      <c r="P831" s="54"/>
    </row>
    <row r="832">
      <c r="A832" s="54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54"/>
      <c r="M832" s="54"/>
      <c r="N832" s="54"/>
      <c r="O832" s="54"/>
      <c r="P832" s="54"/>
    </row>
    <row r="833">
      <c r="A833" s="54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54"/>
      <c r="M833" s="54"/>
      <c r="N833" s="54"/>
      <c r="O833" s="54"/>
      <c r="P833" s="54"/>
    </row>
    <row r="834">
      <c r="A834" s="54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54"/>
      <c r="M834" s="54"/>
      <c r="N834" s="54"/>
      <c r="O834" s="54"/>
      <c r="P834" s="54"/>
    </row>
    <row r="835">
      <c r="A835" s="54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54"/>
      <c r="M835" s="54"/>
      <c r="N835" s="54"/>
      <c r="O835" s="54"/>
      <c r="P835" s="54"/>
    </row>
    <row r="836">
      <c r="A836" s="54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54"/>
      <c r="M836" s="54"/>
      <c r="N836" s="54"/>
      <c r="O836" s="54"/>
      <c r="P836" s="54"/>
    </row>
    <row r="837">
      <c r="A837" s="54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54"/>
      <c r="M837" s="54"/>
      <c r="N837" s="54"/>
      <c r="O837" s="54"/>
      <c r="P837" s="54"/>
    </row>
    <row r="838">
      <c r="A838" s="54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54"/>
      <c r="M838" s="54"/>
      <c r="N838" s="54"/>
      <c r="O838" s="54"/>
      <c r="P838" s="54"/>
    </row>
    <row r="839">
      <c r="A839" s="54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54"/>
      <c r="M839" s="54"/>
      <c r="N839" s="54"/>
      <c r="O839" s="54"/>
      <c r="P839" s="54"/>
    </row>
    <row r="840">
      <c r="A840" s="54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54"/>
      <c r="M840" s="54"/>
      <c r="N840" s="54"/>
      <c r="O840" s="54"/>
      <c r="P840" s="54"/>
    </row>
    <row r="841">
      <c r="A841" s="54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54"/>
      <c r="M841" s="54"/>
      <c r="N841" s="54"/>
      <c r="O841" s="54"/>
      <c r="P841" s="54"/>
    </row>
    <row r="842">
      <c r="A842" s="54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54"/>
      <c r="M842" s="54"/>
      <c r="N842" s="54"/>
      <c r="O842" s="54"/>
      <c r="P842" s="54"/>
    </row>
    <row r="843">
      <c r="A843" s="54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54"/>
      <c r="M843" s="54"/>
      <c r="N843" s="54"/>
      <c r="O843" s="54"/>
      <c r="P843" s="54"/>
    </row>
    <row r="844">
      <c r="A844" s="54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54"/>
      <c r="M844" s="54"/>
      <c r="N844" s="54"/>
      <c r="O844" s="54"/>
      <c r="P844" s="54"/>
    </row>
    <row r="845">
      <c r="A845" s="54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54"/>
      <c r="M845" s="54"/>
      <c r="N845" s="54"/>
      <c r="O845" s="54"/>
      <c r="P845" s="54"/>
    </row>
    <row r="846">
      <c r="A846" s="54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54"/>
      <c r="M846" s="54"/>
      <c r="N846" s="54"/>
      <c r="O846" s="54"/>
      <c r="P846" s="54"/>
    </row>
    <row r="847">
      <c r="A847" s="54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54"/>
      <c r="M847" s="54"/>
      <c r="N847" s="54"/>
      <c r="O847" s="54"/>
      <c r="P847" s="54"/>
    </row>
    <row r="848">
      <c r="A848" s="54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54"/>
      <c r="M848" s="54"/>
      <c r="N848" s="54"/>
      <c r="O848" s="54"/>
      <c r="P848" s="54"/>
    </row>
    <row r="849">
      <c r="A849" s="54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54"/>
      <c r="M849" s="54"/>
      <c r="N849" s="54"/>
      <c r="O849" s="54"/>
      <c r="P849" s="54"/>
    </row>
    <row r="850">
      <c r="A850" s="54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54"/>
      <c r="M850" s="54"/>
      <c r="N850" s="54"/>
      <c r="O850" s="54"/>
      <c r="P850" s="54"/>
    </row>
    <row r="851">
      <c r="A851" s="54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54"/>
      <c r="M851" s="54"/>
      <c r="N851" s="54"/>
      <c r="O851" s="54"/>
      <c r="P851" s="54"/>
    </row>
    <row r="852">
      <c r="A852" s="54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54"/>
      <c r="M852" s="54"/>
      <c r="N852" s="54"/>
      <c r="O852" s="54"/>
      <c r="P852" s="54"/>
    </row>
    <row r="853">
      <c r="A853" s="54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54"/>
      <c r="M853" s="54"/>
      <c r="N853" s="54"/>
      <c r="O853" s="54"/>
      <c r="P853" s="54"/>
    </row>
    <row r="854">
      <c r="A854" s="54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54"/>
      <c r="M854" s="54"/>
      <c r="N854" s="54"/>
      <c r="O854" s="54"/>
      <c r="P854" s="54"/>
    </row>
    <row r="855">
      <c r="A855" s="54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54"/>
      <c r="M855" s="54"/>
      <c r="N855" s="54"/>
      <c r="O855" s="54"/>
      <c r="P855" s="54"/>
    </row>
    <row r="856">
      <c r="A856" s="54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54"/>
      <c r="M856" s="54"/>
      <c r="N856" s="54"/>
      <c r="O856" s="54"/>
      <c r="P856" s="54"/>
    </row>
    <row r="857">
      <c r="A857" s="54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54"/>
      <c r="M857" s="54"/>
      <c r="N857" s="54"/>
      <c r="O857" s="54"/>
      <c r="P857" s="54"/>
    </row>
    <row r="858">
      <c r="A858" s="54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54"/>
      <c r="M858" s="54"/>
      <c r="N858" s="54"/>
      <c r="O858" s="54"/>
      <c r="P858" s="54"/>
    </row>
    <row r="859">
      <c r="A859" s="54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54"/>
      <c r="M859" s="54"/>
      <c r="N859" s="54"/>
      <c r="O859" s="54"/>
      <c r="P859" s="54"/>
    </row>
    <row r="860">
      <c r="A860" s="54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54"/>
      <c r="M860" s="54"/>
      <c r="N860" s="54"/>
      <c r="O860" s="54"/>
      <c r="P860" s="54"/>
    </row>
    <row r="861">
      <c r="A861" s="54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54"/>
      <c r="M861" s="54"/>
      <c r="N861" s="54"/>
      <c r="O861" s="54"/>
      <c r="P861" s="54"/>
    </row>
    <row r="862">
      <c r="A862" s="54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54"/>
      <c r="M862" s="54"/>
      <c r="N862" s="54"/>
      <c r="O862" s="54"/>
      <c r="P862" s="54"/>
    </row>
    <row r="863">
      <c r="A863" s="54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54"/>
      <c r="M863" s="54"/>
      <c r="N863" s="54"/>
      <c r="O863" s="54"/>
      <c r="P863" s="54"/>
    </row>
    <row r="864">
      <c r="A864" s="54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54"/>
      <c r="M864" s="54"/>
      <c r="N864" s="54"/>
      <c r="O864" s="54"/>
      <c r="P864" s="54"/>
    </row>
    <row r="865">
      <c r="A865" s="54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54"/>
      <c r="M865" s="54"/>
      <c r="N865" s="54"/>
      <c r="O865" s="54"/>
      <c r="P865" s="54"/>
    </row>
    <row r="866">
      <c r="A866" s="54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54"/>
      <c r="M866" s="54"/>
      <c r="N866" s="54"/>
      <c r="O866" s="54"/>
      <c r="P866" s="54"/>
    </row>
    <row r="867">
      <c r="A867" s="54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54"/>
      <c r="M867" s="54"/>
      <c r="N867" s="54"/>
      <c r="O867" s="54"/>
      <c r="P867" s="54"/>
    </row>
    <row r="868">
      <c r="A868" s="54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54"/>
      <c r="M868" s="54"/>
      <c r="N868" s="54"/>
      <c r="O868" s="54"/>
      <c r="P868" s="54"/>
    </row>
    <row r="869">
      <c r="A869" s="54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54"/>
      <c r="M869" s="54"/>
      <c r="N869" s="54"/>
      <c r="O869" s="54"/>
      <c r="P869" s="54"/>
    </row>
    <row r="870">
      <c r="A870" s="54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54"/>
      <c r="M870" s="54"/>
      <c r="N870" s="54"/>
      <c r="O870" s="54"/>
      <c r="P870" s="54"/>
    </row>
    <row r="871">
      <c r="A871" s="54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54"/>
      <c r="M871" s="54"/>
      <c r="N871" s="54"/>
      <c r="O871" s="54"/>
      <c r="P871" s="54"/>
    </row>
    <row r="872">
      <c r="A872" s="54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54"/>
      <c r="M872" s="54"/>
      <c r="N872" s="54"/>
      <c r="O872" s="54"/>
      <c r="P872" s="54"/>
    </row>
    <row r="873">
      <c r="A873" s="54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54"/>
      <c r="M873" s="54"/>
      <c r="N873" s="54"/>
      <c r="O873" s="54"/>
      <c r="P873" s="54"/>
    </row>
    <row r="874">
      <c r="A874" s="54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54"/>
      <c r="M874" s="54"/>
      <c r="N874" s="54"/>
      <c r="O874" s="54"/>
      <c r="P874" s="54"/>
    </row>
    <row r="875">
      <c r="A875" s="54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54"/>
      <c r="M875" s="54"/>
      <c r="N875" s="54"/>
      <c r="O875" s="54"/>
      <c r="P875" s="54"/>
    </row>
    <row r="876">
      <c r="A876" s="54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54"/>
      <c r="M876" s="54"/>
      <c r="N876" s="54"/>
      <c r="O876" s="54"/>
      <c r="P876" s="54"/>
    </row>
    <row r="877">
      <c r="A877" s="54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54"/>
      <c r="M877" s="54"/>
      <c r="N877" s="54"/>
      <c r="O877" s="54"/>
      <c r="P877" s="54"/>
    </row>
    <row r="878">
      <c r="A878" s="54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54"/>
      <c r="M878" s="54"/>
      <c r="N878" s="54"/>
      <c r="O878" s="54"/>
      <c r="P878" s="54"/>
    </row>
    <row r="879">
      <c r="A879" s="54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54"/>
      <c r="M879" s="54"/>
      <c r="N879" s="54"/>
      <c r="O879" s="54"/>
      <c r="P879" s="54"/>
    </row>
    <row r="880">
      <c r="A880" s="54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54"/>
      <c r="M880" s="54"/>
      <c r="N880" s="54"/>
      <c r="O880" s="54"/>
      <c r="P880" s="54"/>
    </row>
    <row r="881">
      <c r="A881" s="54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54"/>
      <c r="M881" s="54"/>
      <c r="N881" s="54"/>
      <c r="O881" s="54"/>
      <c r="P881" s="54"/>
    </row>
    <row r="882">
      <c r="A882" s="54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54"/>
      <c r="M882" s="54"/>
      <c r="N882" s="54"/>
      <c r="O882" s="54"/>
      <c r="P882" s="54"/>
    </row>
    <row r="883">
      <c r="A883" s="54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54"/>
      <c r="M883" s="54"/>
      <c r="N883" s="54"/>
      <c r="O883" s="54"/>
      <c r="P883" s="54"/>
    </row>
    <row r="884">
      <c r="A884" s="54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54"/>
      <c r="M884" s="54"/>
      <c r="N884" s="54"/>
      <c r="O884" s="54"/>
      <c r="P884" s="54"/>
    </row>
    <row r="885">
      <c r="A885" s="54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54"/>
      <c r="M885" s="54"/>
      <c r="N885" s="54"/>
      <c r="O885" s="54"/>
      <c r="P885" s="54"/>
    </row>
    <row r="886">
      <c r="A886" s="54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54"/>
      <c r="M886" s="54"/>
      <c r="N886" s="54"/>
      <c r="O886" s="54"/>
      <c r="P886" s="54"/>
    </row>
    <row r="887">
      <c r="A887" s="54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54"/>
      <c r="M887" s="54"/>
      <c r="N887" s="54"/>
      <c r="O887" s="54"/>
      <c r="P887" s="54"/>
    </row>
    <row r="888">
      <c r="A888" s="54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54"/>
      <c r="M888" s="54"/>
      <c r="N888" s="54"/>
      <c r="O888" s="54"/>
      <c r="P888" s="54"/>
    </row>
    <row r="889">
      <c r="A889" s="54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54"/>
      <c r="M889" s="54"/>
      <c r="N889" s="54"/>
      <c r="O889" s="54"/>
      <c r="P889" s="54"/>
    </row>
    <row r="890">
      <c r="A890" s="54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54"/>
      <c r="M890" s="54"/>
      <c r="N890" s="54"/>
      <c r="O890" s="54"/>
      <c r="P890" s="54"/>
    </row>
    <row r="891">
      <c r="A891" s="54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54"/>
      <c r="M891" s="54"/>
      <c r="N891" s="54"/>
      <c r="O891" s="54"/>
      <c r="P891" s="54"/>
    </row>
    <row r="892">
      <c r="A892" s="54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54"/>
      <c r="M892" s="54"/>
      <c r="N892" s="54"/>
      <c r="O892" s="54"/>
      <c r="P892" s="54"/>
    </row>
    <row r="893">
      <c r="A893" s="54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54"/>
      <c r="M893" s="54"/>
      <c r="N893" s="54"/>
      <c r="O893" s="54"/>
      <c r="P893" s="54"/>
    </row>
    <row r="894">
      <c r="A894" s="54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54"/>
      <c r="M894" s="54"/>
      <c r="N894" s="54"/>
      <c r="O894" s="54"/>
      <c r="P894" s="54"/>
    </row>
    <row r="895">
      <c r="A895" s="54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54"/>
      <c r="M895" s="54"/>
      <c r="N895" s="54"/>
      <c r="O895" s="54"/>
      <c r="P895" s="54"/>
    </row>
    <row r="896">
      <c r="A896" s="54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54"/>
      <c r="M896" s="54"/>
      <c r="N896" s="54"/>
      <c r="O896" s="54"/>
      <c r="P896" s="54"/>
    </row>
    <row r="897">
      <c r="A897" s="54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54"/>
      <c r="M897" s="54"/>
      <c r="N897" s="54"/>
      <c r="O897" s="54"/>
      <c r="P897" s="54"/>
    </row>
    <row r="898">
      <c r="A898" s="54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54"/>
      <c r="M898" s="54"/>
      <c r="N898" s="54"/>
      <c r="O898" s="54"/>
      <c r="P898" s="54"/>
    </row>
    <row r="899">
      <c r="A899" s="54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54"/>
      <c r="M899" s="54"/>
      <c r="N899" s="54"/>
      <c r="O899" s="54"/>
      <c r="P899" s="54"/>
    </row>
    <row r="900">
      <c r="A900" s="54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54"/>
      <c r="M900" s="54"/>
      <c r="N900" s="54"/>
      <c r="O900" s="54"/>
      <c r="P900" s="54"/>
    </row>
    <row r="901">
      <c r="A901" s="54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54"/>
      <c r="M901" s="54"/>
      <c r="N901" s="54"/>
      <c r="O901" s="54"/>
      <c r="P901" s="54"/>
    </row>
    <row r="902">
      <c r="A902" s="54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54"/>
      <c r="M902" s="54"/>
      <c r="N902" s="54"/>
      <c r="O902" s="54"/>
      <c r="P902" s="54"/>
    </row>
    <row r="903">
      <c r="A903" s="54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54"/>
      <c r="M903" s="54"/>
      <c r="N903" s="54"/>
      <c r="O903" s="54"/>
      <c r="P903" s="54"/>
    </row>
    <row r="904">
      <c r="A904" s="54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54"/>
      <c r="M904" s="54"/>
      <c r="N904" s="54"/>
      <c r="O904" s="54"/>
      <c r="P904" s="54"/>
    </row>
    <row r="905">
      <c r="A905" s="54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54"/>
      <c r="M905" s="54"/>
      <c r="N905" s="54"/>
      <c r="O905" s="54"/>
      <c r="P905" s="54"/>
    </row>
    <row r="906">
      <c r="A906" s="54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54"/>
      <c r="M906" s="54"/>
      <c r="N906" s="54"/>
      <c r="O906" s="54"/>
      <c r="P906" s="54"/>
    </row>
    <row r="907">
      <c r="A907" s="54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54"/>
      <c r="M907" s="54"/>
      <c r="N907" s="54"/>
      <c r="O907" s="54"/>
      <c r="P907" s="54"/>
    </row>
    <row r="908">
      <c r="A908" s="54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54"/>
      <c r="M908" s="54"/>
      <c r="N908" s="54"/>
      <c r="O908" s="54"/>
      <c r="P908" s="54"/>
    </row>
    <row r="909">
      <c r="A909" s="54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54"/>
      <c r="M909" s="54"/>
      <c r="N909" s="54"/>
      <c r="O909" s="54"/>
      <c r="P909" s="54"/>
    </row>
    <row r="910">
      <c r="A910" s="54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54"/>
      <c r="M910" s="54"/>
      <c r="N910" s="54"/>
      <c r="O910" s="54"/>
      <c r="P910" s="54"/>
    </row>
    <row r="911">
      <c r="A911" s="54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54"/>
      <c r="M911" s="54"/>
      <c r="N911" s="54"/>
      <c r="O911" s="54"/>
      <c r="P911" s="54"/>
    </row>
    <row r="912">
      <c r="A912" s="54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54"/>
      <c r="M912" s="54"/>
      <c r="N912" s="54"/>
      <c r="O912" s="54"/>
      <c r="P912" s="54"/>
    </row>
    <row r="913">
      <c r="A913" s="54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54"/>
      <c r="M913" s="54"/>
      <c r="N913" s="54"/>
      <c r="O913" s="54"/>
      <c r="P913" s="54"/>
    </row>
    <row r="914">
      <c r="A914" s="54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54"/>
      <c r="M914" s="54"/>
      <c r="N914" s="54"/>
      <c r="O914" s="54"/>
      <c r="P914" s="54"/>
    </row>
    <row r="915">
      <c r="A915" s="54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54"/>
      <c r="M915" s="54"/>
      <c r="N915" s="54"/>
      <c r="O915" s="54"/>
      <c r="P915" s="54"/>
    </row>
    <row r="916">
      <c r="A916" s="54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54"/>
      <c r="M916" s="54"/>
      <c r="N916" s="54"/>
      <c r="O916" s="54"/>
      <c r="P916" s="54"/>
    </row>
    <row r="917">
      <c r="A917" s="54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54"/>
      <c r="M917" s="54"/>
      <c r="N917" s="54"/>
      <c r="O917" s="54"/>
      <c r="P917" s="54"/>
    </row>
    <row r="918">
      <c r="A918" s="54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54"/>
      <c r="M918" s="54"/>
      <c r="N918" s="54"/>
      <c r="O918" s="54"/>
      <c r="P918" s="54"/>
    </row>
    <row r="919">
      <c r="A919" s="54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54"/>
      <c r="M919" s="54"/>
      <c r="N919" s="54"/>
      <c r="O919" s="54"/>
      <c r="P919" s="54"/>
    </row>
    <row r="920">
      <c r="A920" s="54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54"/>
      <c r="M920" s="54"/>
      <c r="N920" s="54"/>
      <c r="O920" s="54"/>
      <c r="P920" s="54"/>
    </row>
    <row r="921">
      <c r="A921" s="54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54"/>
      <c r="M921" s="54"/>
      <c r="N921" s="54"/>
      <c r="O921" s="54"/>
      <c r="P921" s="54"/>
    </row>
    <row r="922">
      <c r="A922" s="54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54"/>
      <c r="M922" s="54"/>
      <c r="N922" s="54"/>
      <c r="O922" s="54"/>
      <c r="P922" s="54"/>
    </row>
    <row r="923">
      <c r="A923" s="54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54"/>
      <c r="M923" s="54"/>
      <c r="N923" s="54"/>
      <c r="O923" s="54"/>
      <c r="P923" s="54"/>
    </row>
    <row r="924">
      <c r="A924" s="54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54"/>
      <c r="M924" s="54"/>
      <c r="N924" s="54"/>
      <c r="O924" s="54"/>
      <c r="P924" s="54"/>
    </row>
    <row r="925">
      <c r="A925" s="54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54"/>
      <c r="M925" s="54"/>
      <c r="N925" s="54"/>
      <c r="O925" s="54"/>
      <c r="P925" s="54"/>
    </row>
    <row r="926">
      <c r="A926" s="54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54"/>
      <c r="M926" s="54"/>
      <c r="N926" s="54"/>
      <c r="O926" s="54"/>
      <c r="P926" s="54"/>
    </row>
    <row r="927">
      <c r="A927" s="54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54"/>
      <c r="M927" s="54"/>
      <c r="N927" s="54"/>
      <c r="O927" s="54"/>
      <c r="P927" s="54"/>
    </row>
    <row r="928">
      <c r="A928" s="54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54"/>
      <c r="M928" s="54"/>
      <c r="N928" s="54"/>
      <c r="O928" s="54"/>
      <c r="P928" s="54"/>
    </row>
    <row r="929">
      <c r="A929" s="54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54"/>
      <c r="M929" s="54"/>
      <c r="N929" s="54"/>
      <c r="O929" s="54"/>
      <c r="P929" s="54"/>
    </row>
    <row r="930">
      <c r="A930" s="54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54"/>
      <c r="M930" s="54"/>
      <c r="N930" s="54"/>
      <c r="O930" s="54"/>
      <c r="P930" s="54"/>
    </row>
    <row r="931">
      <c r="A931" s="54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54"/>
      <c r="M931" s="54"/>
      <c r="N931" s="54"/>
      <c r="O931" s="54"/>
      <c r="P931" s="54"/>
    </row>
    <row r="932">
      <c r="A932" s="54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54"/>
      <c r="M932" s="54"/>
      <c r="N932" s="54"/>
      <c r="O932" s="54"/>
      <c r="P932" s="54"/>
    </row>
    <row r="933">
      <c r="A933" s="54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54"/>
      <c r="M933" s="54"/>
      <c r="N933" s="54"/>
      <c r="O933" s="54"/>
      <c r="P933" s="54"/>
    </row>
    <row r="934">
      <c r="A934" s="54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54"/>
      <c r="M934" s="54"/>
      <c r="N934" s="54"/>
      <c r="O934" s="54"/>
      <c r="P934" s="54"/>
    </row>
    <row r="935">
      <c r="A935" s="54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54"/>
      <c r="M935" s="54"/>
      <c r="N935" s="54"/>
      <c r="O935" s="54"/>
      <c r="P935" s="54"/>
    </row>
    <row r="936">
      <c r="A936" s="54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54"/>
      <c r="M936" s="54"/>
      <c r="N936" s="54"/>
      <c r="O936" s="54"/>
      <c r="P936" s="54"/>
    </row>
    <row r="937">
      <c r="A937" s="54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54"/>
      <c r="M937" s="54"/>
      <c r="N937" s="54"/>
      <c r="O937" s="54"/>
      <c r="P937" s="54"/>
    </row>
    <row r="938">
      <c r="A938" s="54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54"/>
      <c r="M938" s="54"/>
      <c r="N938" s="54"/>
      <c r="O938" s="54"/>
      <c r="P938" s="54"/>
    </row>
    <row r="939">
      <c r="A939" s="54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54"/>
      <c r="M939" s="54"/>
      <c r="N939" s="54"/>
      <c r="O939" s="54"/>
      <c r="P939" s="54"/>
    </row>
    <row r="940">
      <c r="A940" s="54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54"/>
      <c r="M940" s="54"/>
      <c r="N940" s="54"/>
      <c r="O940" s="54"/>
      <c r="P940" s="54"/>
    </row>
    <row r="941">
      <c r="A941" s="54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54"/>
      <c r="M941" s="54"/>
      <c r="N941" s="54"/>
      <c r="O941" s="54"/>
      <c r="P941" s="54"/>
    </row>
    <row r="942">
      <c r="A942" s="54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54"/>
      <c r="M942" s="54"/>
      <c r="N942" s="54"/>
      <c r="O942" s="54"/>
      <c r="P942" s="54"/>
    </row>
    <row r="943">
      <c r="A943" s="54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54"/>
      <c r="M943" s="54"/>
      <c r="N943" s="54"/>
      <c r="O943" s="54"/>
      <c r="P943" s="54"/>
    </row>
    <row r="944">
      <c r="A944" s="54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54"/>
      <c r="M944" s="54"/>
      <c r="N944" s="54"/>
      <c r="O944" s="54"/>
      <c r="P944" s="54"/>
    </row>
    <row r="945">
      <c r="A945" s="54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54"/>
      <c r="M945" s="54"/>
      <c r="N945" s="54"/>
      <c r="O945" s="54"/>
      <c r="P945" s="54"/>
    </row>
    <row r="946">
      <c r="A946" s="54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54"/>
      <c r="M946" s="54"/>
      <c r="N946" s="54"/>
      <c r="O946" s="54"/>
      <c r="P946" s="54"/>
    </row>
    <row r="947">
      <c r="A947" s="54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54"/>
      <c r="M947" s="54"/>
      <c r="N947" s="54"/>
      <c r="O947" s="54"/>
      <c r="P947" s="54"/>
    </row>
    <row r="948">
      <c r="A948" s="54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54"/>
      <c r="M948" s="54"/>
      <c r="N948" s="54"/>
      <c r="O948" s="54"/>
      <c r="P948" s="54"/>
    </row>
    <row r="949">
      <c r="A949" s="54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54"/>
      <c r="M949" s="54"/>
      <c r="N949" s="54"/>
      <c r="O949" s="54"/>
      <c r="P949" s="54"/>
    </row>
    <row r="950">
      <c r="A950" s="54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54"/>
      <c r="M950" s="54"/>
      <c r="N950" s="54"/>
      <c r="O950" s="54"/>
      <c r="P950" s="54"/>
    </row>
    <row r="951">
      <c r="A951" s="54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54"/>
      <c r="M951" s="54"/>
      <c r="N951" s="54"/>
      <c r="O951" s="54"/>
      <c r="P951" s="54"/>
    </row>
    <row r="952">
      <c r="A952" s="54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54"/>
      <c r="M952" s="54"/>
      <c r="N952" s="54"/>
      <c r="O952" s="54"/>
      <c r="P952" s="54"/>
    </row>
    <row r="953">
      <c r="A953" s="54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54"/>
      <c r="M953" s="54"/>
      <c r="N953" s="54"/>
      <c r="O953" s="54"/>
      <c r="P953" s="54"/>
    </row>
    <row r="954">
      <c r="A954" s="54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54"/>
      <c r="M954" s="54"/>
      <c r="N954" s="54"/>
      <c r="O954" s="54"/>
      <c r="P954" s="54"/>
    </row>
    <row r="955">
      <c r="A955" s="54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54"/>
      <c r="M955" s="54"/>
      <c r="N955" s="54"/>
      <c r="O955" s="54"/>
      <c r="P955" s="54"/>
    </row>
    <row r="956">
      <c r="A956" s="54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54"/>
      <c r="M956" s="54"/>
      <c r="N956" s="54"/>
      <c r="O956" s="54"/>
      <c r="P956" s="54"/>
    </row>
    <row r="957">
      <c r="A957" s="54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54"/>
      <c r="M957" s="54"/>
      <c r="N957" s="54"/>
      <c r="O957" s="54"/>
      <c r="P957" s="54"/>
    </row>
    <row r="958">
      <c r="A958" s="54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54"/>
      <c r="M958" s="54"/>
      <c r="N958" s="54"/>
      <c r="O958" s="54"/>
      <c r="P958" s="54"/>
    </row>
    <row r="959">
      <c r="A959" s="54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54"/>
      <c r="M959" s="54"/>
      <c r="N959" s="54"/>
      <c r="O959" s="54"/>
      <c r="P959" s="54"/>
    </row>
    <row r="960">
      <c r="A960" s="54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54"/>
      <c r="M960" s="54"/>
      <c r="N960" s="54"/>
      <c r="O960" s="54"/>
      <c r="P960" s="54"/>
    </row>
    <row r="961">
      <c r="A961" s="54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54"/>
      <c r="M961" s="54"/>
      <c r="N961" s="54"/>
      <c r="O961" s="54"/>
      <c r="P961" s="54"/>
    </row>
    <row r="962">
      <c r="A962" s="54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54"/>
      <c r="M962" s="54"/>
      <c r="N962" s="54"/>
      <c r="O962" s="54"/>
      <c r="P962" s="54"/>
    </row>
    <row r="963">
      <c r="A963" s="54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54"/>
      <c r="M963" s="54"/>
      <c r="N963" s="54"/>
      <c r="O963" s="54"/>
      <c r="P963" s="54"/>
    </row>
    <row r="964">
      <c r="A964" s="54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54"/>
      <c r="M964" s="54"/>
      <c r="N964" s="54"/>
      <c r="O964" s="54"/>
      <c r="P964" s="54"/>
    </row>
    <row r="965">
      <c r="A965" s="54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54"/>
      <c r="M965" s="54"/>
      <c r="N965" s="54"/>
      <c r="O965" s="54"/>
      <c r="P965" s="54"/>
    </row>
    <row r="966">
      <c r="A966" s="54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54"/>
      <c r="M966" s="54"/>
      <c r="N966" s="54"/>
      <c r="O966" s="54"/>
      <c r="P966" s="54"/>
    </row>
    <row r="967">
      <c r="A967" s="54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54"/>
      <c r="M967" s="54"/>
      <c r="N967" s="54"/>
      <c r="O967" s="54"/>
      <c r="P967" s="54"/>
    </row>
    <row r="968">
      <c r="A968" s="54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54"/>
      <c r="M968" s="54"/>
      <c r="N968" s="54"/>
      <c r="O968" s="54"/>
      <c r="P968" s="54"/>
    </row>
    <row r="969">
      <c r="A969" s="54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54"/>
      <c r="M969" s="54"/>
      <c r="N969" s="54"/>
      <c r="O969" s="54"/>
      <c r="P969" s="54"/>
    </row>
    <row r="970">
      <c r="A970" s="54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54"/>
      <c r="M970" s="54"/>
      <c r="N970" s="54"/>
      <c r="O970" s="54"/>
      <c r="P970" s="54"/>
    </row>
    <row r="971">
      <c r="A971" s="54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54"/>
      <c r="M971" s="54"/>
      <c r="N971" s="54"/>
      <c r="O971" s="54"/>
      <c r="P971" s="54"/>
    </row>
    <row r="972">
      <c r="A972" s="54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54"/>
      <c r="M972" s="54"/>
      <c r="N972" s="54"/>
      <c r="O972" s="54"/>
      <c r="P972" s="54"/>
    </row>
    <row r="973">
      <c r="A973" s="54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54"/>
      <c r="M973" s="54"/>
      <c r="N973" s="54"/>
      <c r="O973" s="54"/>
      <c r="P973" s="54"/>
    </row>
    <row r="974">
      <c r="A974" s="54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54"/>
      <c r="M974" s="54"/>
      <c r="N974" s="54"/>
      <c r="O974" s="54"/>
      <c r="P974" s="54"/>
    </row>
    <row r="975">
      <c r="A975" s="54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54"/>
      <c r="M975" s="54"/>
      <c r="N975" s="54"/>
      <c r="O975" s="54"/>
      <c r="P975" s="54"/>
    </row>
    <row r="976">
      <c r="A976" s="54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54"/>
      <c r="M976" s="54"/>
      <c r="N976" s="54"/>
      <c r="O976" s="54"/>
      <c r="P976" s="54"/>
    </row>
    <row r="977">
      <c r="A977" s="54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54"/>
      <c r="M977" s="54"/>
      <c r="N977" s="54"/>
      <c r="O977" s="54"/>
      <c r="P977" s="54"/>
    </row>
    <row r="978">
      <c r="A978" s="54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54"/>
      <c r="M978" s="54"/>
      <c r="N978" s="54"/>
      <c r="O978" s="54"/>
      <c r="P978" s="54"/>
    </row>
    <row r="979">
      <c r="A979" s="54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54"/>
      <c r="M979" s="54"/>
      <c r="N979" s="54"/>
      <c r="O979" s="54"/>
      <c r="P979" s="54"/>
    </row>
    <row r="980">
      <c r="A980" s="54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54"/>
      <c r="M980" s="54"/>
      <c r="N980" s="54"/>
      <c r="O980" s="54"/>
      <c r="P980" s="54"/>
    </row>
    <row r="981">
      <c r="A981" s="54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54"/>
      <c r="M981" s="54"/>
      <c r="N981" s="54"/>
      <c r="O981" s="54"/>
      <c r="P981" s="54"/>
    </row>
    <row r="982">
      <c r="A982" s="54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54"/>
      <c r="M982" s="54"/>
      <c r="N982" s="54"/>
      <c r="O982" s="54"/>
      <c r="P982" s="54"/>
    </row>
    <row r="983">
      <c r="A983" s="54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54"/>
      <c r="M983" s="54"/>
      <c r="N983" s="54"/>
      <c r="O983" s="54"/>
      <c r="P983" s="54"/>
    </row>
    <row r="984">
      <c r="A984" s="54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54"/>
      <c r="M984" s="54"/>
      <c r="N984" s="54"/>
      <c r="O984" s="54"/>
      <c r="P984" s="54"/>
    </row>
    <row r="985">
      <c r="A985" s="54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54"/>
      <c r="M985" s="54"/>
      <c r="N985" s="54"/>
      <c r="O985" s="54"/>
      <c r="P985" s="54"/>
    </row>
    <row r="986">
      <c r="A986" s="54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54"/>
      <c r="M986" s="54"/>
      <c r="N986" s="54"/>
      <c r="O986" s="54"/>
      <c r="P986" s="54"/>
    </row>
    <row r="987">
      <c r="A987" s="54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54"/>
      <c r="M987" s="54"/>
      <c r="N987" s="54"/>
      <c r="O987" s="54"/>
      <c r="P987" s="54"/>
    </row>
    <row r="988">
      <c r="A988" s="54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54"/>
      <c r="M988" s="54"/>
      <c r="N988" s="54"/>
      <c r="O988" s="54"/>
      <c r="P988" s="54"/>
    </row>
    <row r="989">
      <c r="A989" s="54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54"/>
      <c r="M989" s="54"/>
      <c r="N989" s="54"/>
      <c r="O989" s="54"/>
      <c r="P989" s="54"/>
    </row>
    <row r="990">
      <c r="A990" s="54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54"/>
      <c r="M990" s="54"/>
      <c r="N990" s="54"/>
      <c r="O990" s="54"/>
      <c r="P990" s="54"/>
    </row>
    <row r="991">
      <c r="A991" s="54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54"/>
      <c r="M991" s="54"/>
      <c r="N991" s="54"/>
      <c r="O991" s="54"/>
      <c r="P991" s="54"/>
    </row>
    <row r="992">
      <c r="A992" s="54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54"/>
      <c r="M992" s="54"/>
      <c r="N992" s="54"/>
      <c r="O992" s="54"/>
      <c r="P992" s="54"/>
    </row>
    <row r="993">
      <c r="A993" s="54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54"/>
      <c r="M993" s="54"/>
      <c r="N993" s="54"/>
      <c r="O993" s="54"/>
      <c r="P993" s="54"/>
    </row>
    <row r="994">
      <c r="A994" s="54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54"/>
      <c r="M994" s="54"/>
      <c r="N994" s="54"/>
      <c r="O994" s="54"/>
      <c r="P994" s="54"/>
    </row>
    <row r="995">
      <c r="A995" s="54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54"/>
      <c r="M995" s="54"/>
      <c r="N995" s="54"/>
      <c r="O995" s="54"/>
      <c r="P995" s="54"/>
    </row>
    <row r="996">
      <c r="A996" s="54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54"/>
      <c r="M996" s="54"/>
      <c r="N996" s="54"/>
      <c r="O996" s="54"/>
      <c r="P996" s="54"/>
    </row>
    <row r="997">
      <c r="A997" s="54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54"/>
      <c r="M997" s="54"/>
      <c r="N997" s="54"/>
      <c r="O997" s="54"/>
      <c r="P997" s="54"/>
    </row>
    <row r="998">
      <c r="A998" s="54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54"/>
      <c r="M998" s="54"/>
      <c r="N998" s="54"/>
      <c r="O998" s="54"/>
      <c r="P998" s="54"/>
    </row>
    <row r="999">
      <c r="A999" s="54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54"/>
      <c r="M999" s="54"/>
      <c r="N999" s="54"/>
      <c r="O999" s="54"/>
      <c r="P999" s="54"/>
    </row>
    <row r="1000">
      <c r="A1000" s="54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54"/>
      <c r="M1000" s="54"/>
      <c r="N1000" s="54"/>
      <c r="O1000" s="54"/>
      <c r="P1000" s="54"/>
    </row>
    <row r="1001">
      <c r="A1001" s="54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54"/>
      <c r="M1001" s="54"/>
      <c r="N1001" s="54"/>
      <c r="O1001" s="54"/>
      <c r="P1001" s="54"/>
    </row>
    <row r="1002">
      <c r="A1002" s="54"/>
      <c r="B1002" s="102"/>
      <c r="C1002" s="102"/>
      <c r="D1002" s="102"/>
      <c r="E1002" s="102"/>
      <c r="F1002" s="102"/>
      <c r="G1002" s="102"/>
      <c r="H1002" s="102"/>
      <c r="I1002" s="102"/>
      <c r="J1002" s="102"/>
      <c r="K1002" s="102"/>
      <c r="L1002" s="54"/>
      <c r="M1002" s="54"/>
      <c r="N1002" s="54"/>
      <c r="O1002" s="54"/>
      <c r="P1002" s="54"/>
    </row>
  </sheetData>
  <mergeCells count="47">
    <mergeCell ref="B3:I3"/>
    <mergeCell ref="B24:I24"/>
    <mergeCell ref="M28:O28"/>
    <mergeCell ref="B39:I39"/>
    <mergeCell ref="M39:O39"/>
    <mergeCell ref="B42:I42"/>
    <mergeCell ref="M45:O45"/>
    <mergeCell ref="B61:I61"/>
    <mergeCell ref="M62:O62"/>
    <mergeCell ref="B78:I78"/>
    <mergeCell ref="M79:O79"/>
    <mergeCell ref="B88:I88"/>
    <mergeCell ref="M89:O89"/>
    <mergeCell ref="M102:O102"/>
    <mergeCell ref="B101:I101"/>
    <mergeCell ref="B116:I116"/>
    <mergeCell ref="M117:O117"/>
    <mergeCell ref="B122:I122"/>
    <mergeCell ref="M123:Q123"/>
    <mergeCell ref="B144:I144"/>
    <mergeCell ref="M145:Q145"/>
    <mergeCell ref="B159:I159"/>
    <mergeCell ref="M160:Q160"/>
    <mergeCell ref="B178:I178"/>
    <mergeCell ref="B179:I179"/>
    <mergeCell ref="M180:Q180"/>
    <mergeCell ref="B208:I208"/>
    <mergeCell ref="M209:Q209"/>
    <mergeCell ref="B225:I225"/>
    <mergeCell ref="M226:Q226"/>
    <mergeCell ref="B238:I238"/>
    <mergeCell ref="M239:Q239"/>
    <mergeCell ref="B251:I251"/>
    <mergeCell ref="L252:N262"/>
    <mergeCell ref="M264:Q264"/>
    <mergeCell ref="L321:Q321"/>
    <mergeCell ref="B325:I325"/>
    <mergeCell ref="M326:Q326"/>
    <mergeCell ref="B343:I343"/>
    <mergeCell ref="M344:Q344"/>
    <mergeCell ref="B263:I263"/>
    <mergeCell ref="B280:I280"/>
    <mergeCell ref="M281:Q281"/>
    <mergeCell ref="B308:I308"/>
    <mergeCell ref="M309:Q309"/>
    <mergeCell ref="M312:Q312"/>
    <mergeCell ref="L316:Q316"/>
  </mergeCells>
  <conditionalFormatting sqref="K208 K225 K238 K251 K263 K280 K308 K325 K343">
    <cfRule type="cellIs" dxfId="3" priority="1" operator="greaterThanOrEqual">
      <formula>28</formula>
    </cfRule>
  </conditionalFormatting>
  <conditionalFormatting sqref="K208 K225 K238 K251 K263 K280 K308 K325 K343">
    <cfRule type="cellIs" dxfId="4" priority="2" operator="greaterThanOrEqual">
      <formula>24</formula>
    </cfRule>
  </conditionalFormatting>
  <conditionalFormatting sqref="J2">
    <cfRule type="expression" dxfId="0" priority="3">
      <formula>ABS(J2:J1003)&gt;5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33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1002">
    <cfRule type="cellIs" dxfId="3" priority="9" operator="greaterThanOrEqual">
      <formula>30</formula>
    </cfRule>
  </conditionalFormatting>
  <conditionalFormatting sqref="K1:K1002">
    <cfRule type="cellIs" dxfId="4" priority="10" operator="greaterThanOrEqual">
      <formula>28</formula>
    </cfRule>
  </conditionalFormatting>
  <conditionalFormatting sqref="J1:J1002 K236">
    <cfRule type="expression" dxfId="0" priority="11">
      <formula>ABS(J:J)&gt;5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54"/>
      <c r="M1" s="54"/>
      <c r="P1" s="54"/>
      <c r="Q1" s="54"/>
    </row>
    <row r="2">
      <c r="A2" s="139" t="s">
        <v>443</v>
      </c>
      <c r="B2" s="54"/>
      <c r="C2" s="54"/>
      <c r="D2" s="54" t="str">
        <f>D103</f>
        <v>Ватыкин</v>
      </c>
      <c r="E2" s="54"/>
      <c r="F2" s="54">
        <f>SUM(F4:F997)</f>
        <v>193789</v>
      </c>
      <c r="G2" s="54">
        <f>MAX(G4:G997)</f>
        <v>544</v>
      </c>
      <c r="H2" s="54">
        <f t="shared" ref="H2:I2" si="1">SUM(H4:H44,H46:H47,H49:H997)</f>
        <v>62772.87</v>
      </c>
      <c r="I2" s="54">
        <f t="shared" si="1"/>
        <v>61012.92</v>
      </c>
      <c r="J2" s="54">
        <f>H2-I2</f>
        <v>1759.95</v>
      </c>
      <c r="K2" s="63">
        <f>I2/F2*100</f>
        <v>31.48420189</v>
      </c>
      <c r="L2" s="64" t="s">
        <v>65</v>
      </c>
      <c r="M2" s="65"/>
      <c r="N2" s="54"/>
      <c r="O2" s="54"/>
      <c r="P2" s="54"/>
      <c r="Q2" s="54"/>
    </row>
    <row r="3">
      <c r="A3" s="66"/>
      <c r="B3" s="67" t="s">
        <v>66</v>
      </c>
      <c r="J3" s="66"/>
      <c r="K3" s="66"/>
      <c r="L3" s="66"/>
      <c r="M3" s="66"/>
      <c r="N3" s="66"/>
      <c r="O3" s="66"/>
      <c r="P3" s="66"/>
      <c r="Q3" s="66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322">
        <v>45293.0</v>
      </c>
      <c r="C4" s="323"/>
      <c r="D4" s="324" t="s">
        <v>124</v>
      </c>
      <c r="E4" s="324">
        <v>1786052.0</v>
      </c>
      <c r="F4" s="324">
        <v>493.0</v>
      </c>
      <c r="G4" s="324">
        <v>493.0</v>
      </c>
      <c r="H4" s="325">
        <v>254.0</v>
      </c>
      <c r="I4" s="325">
        <v>270.62</v>
      </c>
      <c r="J4" s="325">
        <v>-16.62</v>
      </c>
      <c r="K4" s="248">
        <v>54.89</v>
      </c>
      <c r="L4" s="54"/>
      <c r="M4" s="54"/>
      <c r="N4" s="54"/>
      <c r="O4" s="54"/>
      <c r="P4" s="54"/>
      <c r="Q4" s="54"/>
    </row>
    <row r="5">
      <c r="A5" s="54"/>
      <c r="B5" s="326">
        <v>45293.0</v>
      </c>
      <c r="C5" s="327"/>
      <c r="D5" s="328" t="s">
        <v>124</v>
      </c>
      <c r="E5" s="328">
        <v>1786052.0</v>
      </c>
      <c r="F5" s="328">
        <v>0.0</v>
      </c>
      <c r="G5" s="328" t="s">
        <v>87</v>
      </c>
      <c r="H5" s="329">
        <v>71.0</v>
      </c>
      <c r="I5" s="330"/>
      <c r="J5" s="329">
        <v>71.0</v>
      </c>
      <c r="K5" s="248" t="s">
        <v>140</v>
      </c>
      <c r="L5" s="54"/>
      <c r="M5" s="54"/>
      <c r="N5" s="54"/>
      <c r="O5" s="54"/>
      <c r="P5" s="54"/>
      <c r="Q5" s="54"/>
    </row>
    <row r="6">
      <c r="A6" s="54"/>
      <c r="B6" s="326">
        <v>45294.0</v>
      </c>
      <c r="C6" s="327"/>
      <c r="D6" s="328" t="s">
        <v>124</v>
      </c>
      <c r="E6" s="328">
        <v>1786826.0</v>
      </c>
      <c r="F6" s="328">
        <v>774.0</v>
      </c>
      <c r="G6" s="328">
        <v>504.0</v>
      </c>
      <c r="H6" s="329">
        <v>337.0</v>
      </c>
      <c r="I6" s="329">
        <v>330.06</v>
      </c>
      <c r="J6" s="329">
        <v>6.94</v>
      </c>
      <c r="K6" s="248">
        <v>42.64</v>
      </c>
      <c r="L6" s="54"/>
      <c r="M6" s="54"/>
      <c r="N6" s="54"/>
      <c r="O6" s="54"/>
      <c r="P6" s="54"/>
      <c r="Q6" s="54"/>
    </row>
    <row r="7">
      <c r="A7" s="54"/>
      <c r="B7" s="326">
        <v>45296.0</v>
      </c>
      <c r="C7" s="327"/>
      <c r="D7" s="328" t="s">
        <v>124</v>
      </c>
      <c r="E7" s="328">
        <v>1788287.0</v>
      </c>
      <c r="F7" s="328">
        <v>1461.0</v>
      </c>
      <c r="G7" s="328">
        <v>410.0</v>
      </c>
      <c r="H7" s="329">
        <v>404.0</v>
      </c>
      <c r="I7" s="329">
        <v>400.0</v>
      </c>
      <c r="J7" s="329">
        <v>4.0</v>
      </c>
      <c r="K7" s="248">
        <v>27.38</v>
      </c>
      <c r="L7" s="54"/>
      <c r="M7" s="54"/>
      <c r="N7" s="54"/>
      <c r="O7" s="54"/>
      <c r="P7" s="54"/>
      <c r="Q7" s="54"/>
    </row>
    <row r="8">
      <c r="A8" s="54"/>
      <c r="B8" s="326">
        <v>45296.0</v>
      </c>
      <c r="C8" s="327"/>
      <c r="D8" s="328" t="s">
        <v>124</v>
      </c>
      <c r="E8" s="328">
        <v>1788287.0</v>
      </c>
      <c r="F8" s="328">
        <v>0.0</v>
      </c>
      <c r="G8" s="328" t="s">
        <v>87</v>
      </c>
      <c r="H8" s="329">
        <v>58.2</v>
      </c>
      <c r="I8" s="330"/>
      <c r="J8" s="329">
        <v>58.2</v>
      </c>
      <c r="K8" s="248" t="s">
        <v>140</v>
      </c>
      <c r="L8" s="54"/>
      <c r="M8" s="54"/>
      <c r="N8" s="54"/>
      <c r="O8" s="54"/>
      <c r="P8" s="54"/>
      <c r="Q8" s="54"/>
    </row>
    <row r="9">
      <c r="A9" s="54"/>
      <c r="B9" s="326">
        <v>45297.0</v>
      </c>
      <c r="C9" s="327"/>
      <c r="D9" s="328" t="s">
        <v>124</v>
      </c>
      <c r="E9" s="328">
        <v>1788720.0</v>
      </c>
      <c r="F9" s="328">
        <v>433.0</v>
      </c>
      <c r="G9" s="328">
        <v>492.0</v>
      </c>
      <c r="H9" s="329">
        <v>263.0</v>
      </c>
      <c r="I9" s="329">
        <v>258.75</v>
      </c>
      <c r="J9" s="329">
        <v>4.25</v>
      </c>
      <c r="K9" s="248">
        <v>59.76</v>
      </c>
      <c r="L9" s="54"/>
      <c r="M9" s="54"/>
      <c r="N9" s="54"/>
      <c r="O9" s="54"/>
      <c r="P9" s="54"/>
      <c r="Q9" s="54"/>
    </row>
    <row r="10">
      <c r="A10" s="54"/>
      <c r="B10" s="326">
        <v>45299.0</v>
      </c>
      <c r="C10" s="327"/>
      <c r="D10" s="328" t="s">
        <v>124</v>
      </c>
      <c r="E10" s="328">
        <v>1789672.0</v>
      </c>
      <c r="F10" s="328">
        <v>952.0</v>
      </c>
      <c r="G10" s="328">
        <v>497.0</v>
      </c>
      <c r="H10" s="329">
        <v>336.0</v>
      </c>
      <c r="I10" s="329">
        <v>333.37</v>
      </c>
      <c r="J10" s="329">
        <v>2.63</v>
      </c>
      <c r="K10" s="248">
        <v>35.02</v>
      </c>
      <c r="L10" s="54"/>
      <c r="M10" s="54"/>
      <c r="N10" s="54"/>
      <c r="O10" s="54"/>
      <c r="P10" s="54"/>
      <c r="Q10" s="54"/>
    </row>
    <row r="11">
      <c r="A11" s="54"/>
      <c r="B11" s="326">
        <v>45299.0</v>
      </c>
      <c r="C11" s="327"/>
      <c r="D11" s="328" t="s">
        <v>124</v>
      </c>
      <c r="E11" s="328">
        <v>1789672.0</v>
      </c>
      <c r="F11" s="328">
        <v>0.0</v>
      </c>
      <c r="G11" s="328" t="s">
        <v>87</v>
      </c>
      <c r="H11" s="329">
        <v>80.0</v>
      </c>
      <c r="I11" s="330"/>
      <c r="J11" s="329">
        <v>80.0</v>
      </c>
      <c r="K11" s="248" t="s">
        <v>140</v>
      </c>
      <c r="L11" s="54"/>
      <c r="M11" s="54"/>
      <c r="N11" s="54"/>
      <c r="O11" s="54"/>
      <c r="P11" s="54"/>
      <c r="Q11" s="54"/>
    </row>
    <row r="12">
      <c r="A12" s="54"/>
      <c r="B12" s="326">
        <v>45302.0</v>
      </c>
      <c r="C12" s="327"/>
      <c r="D12" s="328" t="s">
        <v>124</v>
      </c>
      <c r="E12" s="328">
        <v>1790627.0</v>
      </c>
      <c r="F12" s="328">
        <v>955.0</v>
      </c>
      <c r="G12" s="328">
        <v>493.0</v>
      </c>
      <c r="H12" s="329">
        <v>514.0</v>
      </c>
      <c r="I12" s="329">
        <v>500.0</v>
      </c>
      <c r="J12" s="329">
        <v>14.0</v>
      </c>
      <c r="K12" s="248">
        <v>52.36</v>
      </c>
      <c r="L12" s="54"/>
      <c r="M12" s="54"/>
      <c r="N12" s="54"/>
      <c r="O12" s="54"/>
      <c r="P12" s="54"/>
      <c r="Q12" s="54"/>
    </row>
    <row r="13">
      <c r="A13" s="54"/>
      <c r="B13" s="326">
        <v>45302.0</v>
      </c>
      <c r="C13" s="327"/>
      <c r="D13" s="328" t="s">
        <v>124</v>
      </c>
      <c r="E13" s="328">
        <v>1790627.0</v>
      </c>
      <c r="F13" s="328">
        <v>0.0</v>
      </c>
      <c r="G13" s="328" t="s">
        <v>87</v>
      </c>
      <c r="H13" s="330"/>
      <c r="I13" s="330"/>
      <c r="J13" s="329">
        <v>0.0</v>
      </c>
      <c r="K13" s="248" t="s">
        <v>140</v>
      </c>
      <c r="L13" s="54"/>
      <c r="M13" s="54"/>
      <c r="N13" s="54"/>
      <c r="O13" s="54"/>
      <c r="P13" s="54"/>
      <c r="Q13" s="54"/>
    </row>
    <row r="14">
      <c r="A14" s="54"/>
      <c r="B14" s="326">
        <v>45303.0</v>
      </c>
      <c r="C14" s="327"/>
      <c r="D14" s="328" t="s">
        <v>124</v>
      </c>
      <c r="E14" s="328">
        <v>1791293.0</v>
      </c>
      <c r="F14" s="328">
        <v>666.0</v>
      </c>
      <c r="G14" s="328">
        <v>503.0</v>
      </c>
      <c r="H14" s="329">
        <v>247.0</v>
      </c>
      <c r="I14" s="329">
        <v>244.55</v>
      </c>
      <c r="J14" s="329">
        <v>2.45</v>
      </c>
      <c r="K14" s="248">
        <v>36.72</v>
      </c>
      <c r="L14" s="54"/>
      <c r="M14" s="54"/>
      <c r="N14" s="54"/>
      <c r="O14" s="54"/>
      <c r="P14" s="54"/>
      <c r="Q14" s="54"/>
    </row>
    <row r="15">
      <c r="A15" s="54"/>
      <c r="B15" s="326">
        <v>45303.0</v>
      </c>
      <c r="C15" s="327"/>
      <c r="D15" s="328" t="s">
        <v>124</v>
      </c>
      <c r="E15" s="328">
        <v>1791293.0</v>
      </c>
      <c r="F15" s="328">
        <v>0.0</v>
      </c>
      <c r="G15" s="328" t="s">
        <v>87</v>
      </c>
      <c r="H15" s="329">
        <v>56.83</v>
      </c>
      <c r="I15" s="330"/>
      <c r="J15" s="329">
        <v>56.83</v>
      </c>
      <c r="K15" s="248" t="s">
        <v>140</v>
      </c>
      <c r="L15" s="54"/>
      <c r="M15" s="54"/>
      <c r="N15" s="54"/>
      <c r="O15" s="54"/>
      <c r="P15" s="54"/>
      <c r="Q15" s="54"/>
    </row>
    <row r="16">
      <c r="A16" s="54"/>
      <c r="B16" s="326">
        <v>45305.0</v>
      </c>
      <c r="C16" s="327"/>
      <c r="D16" s="328" t="s">
        <v>124</v>
      </c>
      <c r="E16" s="328">
        <v>1792133.0</v>
      </c>
      <c r="F16" s="328">
        <v>840.0</v>
      </c>
      <c r="G16" s="328">
        <v>508.0</v>
      </c>
      <c r="H16" s="329">
        <v>319.0</v>
      </c>
      <c r="I16" s="329">
        <v>310.17</v>
      </c>
      <c r="J16" s="329">
        <v>8.83</v>
      </c>
      <c r="K16" s="248">
        <v>36.93</v>
      </c>
      <c r="L16" s="54"/>
      <c r="M16" s="54"/>
      <c r="N16" s="54"/>
      <c r="O16" s="54"/>
      <c r="P16" s="54"/>
      <c r="Q16" s="54"/>
    </row>
    <row r="17">
      <c r="A17" s="54"/>
      <c r="B17" s="326">
        <v>45305.0</v>
      </c>
      <c r="C17" s="327"/>
      <c r="D17" s="328" t="s">
        <v>124</v>
      </c>
      <c r="E17" s="328">
        <v>1792133.0</v>
      </c>
      <c r="F17" s="328">
        <v>0.0</v>
      </c>
      <c r="G17" s="328" t="s">
        <v>87</v>
      </c>
      <c r="H17" s="329">
        <v>70.01</v>
      </c>
      <c r="I17" s="330"/>
      <c r="J17" s="329">
        <v>70.01</v>
      </c>
      <c r="K17" s="248" t="s">
        <v>140</v>
      </c>
      <c r="L17" s="54"/>
      <c r="M17" s="54"/>
      <c r="N17" s="54"/>
      <c r="O17" s="54"/>
      <c r="P17" s="54"/>
      <c r="Q17" s="54"/>
    </row>
    <row r="18">
      <c r="A18" s="54"/>
      <c r="B18" s="326">
        <v>45307.0</v>
      </c>
      <c r="C18" s="327"/>
      <c r="D18" s="328" t="s">
        <v>124</v>
      </c>
      <c r="E18" s="328">
        <v>1793038.0</v>
      </c>
      <c r="F18" s="328">
        <v>905.0</v>
      </c>
      <c r="G18" s="328">
        <v>509.0</v>
      </c>
      <c r="H18" s="329">
        <v>339.0</v>
      </c>
      <c r="I18" s="329">
        <v>333.32</v>
      </c>
      <c r="J18" s="329">
        <v>5.68</v>
      </c>
      <c r="K18" s="248">
        <v>36.83</v>
      </c>
      <c r="L18" s="54"/>
      <c r="M18" s="54"/>
      <c r="N18" s="54"/>
      <c r="O18" s="54"/>
      <c r="P18" s="54"/>
      <c r="Q18" s="54"/>
    </row>
    <row r="19">
      <c r="A19" s="54"/>
      <c r="B19" s="326">
        <v>45307.0</v>
      </c>
      <c r="C19" s="327"/>
      <c r="D19" s="328" t="s">
        <v>124</v>
      </c>
      <c r="E19" s="328">
        <v>1793038.0</v>
      </c>
      <c r="F19" s="328">
        <v>0.0</v>
      </c>
      <c r="G19" s="328" t="s">
        <v>87</v>
      </c>
      <c r="H19" s="329">
        <v>88.86</v>
      </c>
      <c r="I19" s="330"/>
      <c r="J19" s="329">
        <v>88.86</v>
      </c>
      <c r="K19" s="248" t="s">
        <v>140</v>
      </c>
      <c r="L19" s="54"/>
      <c r="M19" s="54"/>
      <c r="N19" s="54"/>
      <c r="O19" s="54"/>
      <c r="P19" s="54"/>
      <c r="Q19" s="54"/>
    </row>
    <row r="20">
      <c r="A20" s="54"/>
      <c r="B20" s="326">
        <v>45308.0</v>
      </c>
      <c r="C20" s="327"/>
      <c r="D20" s="328" t="s">
        <v>124</v>
      </c>
      <c r="E20" s="328">
        <v>1794058.0</v>
      </c>
      <c r="F20" s="328">
        <v>1020.0</v>
      </c>
      <c r="G20" s="328">
        <v>504.0</v>
      </c>
      <c r="H20" s="329">
        <v>338.0</v>
      </c>
      <c r="I20" s="329">
        <v>335.04</v>
      </c>
      <c r="J20" s="329">
        <v>2.96</v>
      </c>
      <c r="K20" s="248">
        <v>32.85</v>
      </c>
      <c r="L20" s="54"/>
      <c r="M20" s="54"/>
      <c r="N20" s="54"/>
      <c r="O20" s="54"/>
      <c r="P20" s="54"/>
      <c r="Q20" s="54"/>
    </row>
    <row r="21">
      <c r="A21" s="54"/>
      <c r="B21" s="326">
        <v>45310.0</v>
      </c>
      <c r="C21" s="327"/>
      <c r="D21" s="328" t="s">
        <v>124</v>
      </c>
      <c r="E21" s="328">
        <v>1795145.0</v>
      </c>
      <c r="F21" s="328">
        <v>1087.0</v>
      </c>
      <c r="G21" s="328">
        <v>508.0</v>
      </c>
      <c r="H21" s="329">
        <v>414.0</v>
      </c>
      <c r="I21" s="329">
        <v>400.04</v>
      </c>
      <c r="J21" s="329">
        <v>13.96</v>
      </c>
      <c r="K21" s="248">
        <v>36.8</v>
      </c>
      <c r="L21" s="54"/>
      <c r="M21" s="54"/>
      <c r="N21" s="54"/>
      <c r="O21" s="54"/>
      <c r="P21" s="54"/>
      <c r="Q21" s="54"/>
    </row>
    <row r="22">
      <c r="A22" s="54"/>
      <c r="B22" s="326">
        <v>45310.0</v>
      </c>
      <c r="C22" s="327"/>
      <c r="D22" s="328" t="s">
        <v>124</v>
      </c>
      <c r="E22" s="328">
        <v>1795145.0</v>
      </c>
      <c r="F22" s="328">
        <v>0.0</v>
      </c>
      <c r="G22" s="328" t="s">
        <v>87</v>
      </c>
      <c r="H22" s="329">
        <v>52.55</v>
      </c>
      <c r="I22" s="330"/>
      <c r="J22" s="329">
        <v>52.55</v>
      </c>
      <c r="K22" s="248" t="s">
        <v>140</v>
      </c>
      <c r="L22" s="54"/>
      <c r="M22" s="54"/>
      <c r="N22" s="54"/>
      <c r="O22" s="54"/>
      <c r="P22" s="54"/>
      <c r="Q22" s="54"/>
    </row>
    <row r="23">
      <c r="A23" s="54"/>
      <c r="B23" s="326">
        <v>45312.0</v>
      </c>
      <c r="C23" s="327"/>
      <c r="D23" s="328" t="s">
        <v>124</v>
      </c>
      <c r="E23" s="328">
        <v>1795985.0</v>
      </c>
      <c r="F23" s="328">
        <v>840.0</v>
      </c>
      <c r="G23" s="328">
        <v>497.0</v>
      </c>
      <c r="H23" s="329">
        <v>324.0</v>
      </c>
      <c r="I23" s="329">
        <v>340.71</v>
      </c>
      <c r="J23" s="329">
        <v>-16.71</v>
      </c>
      <c r="K23" s="248">
        <v>40.56</v>
      </c>
      <c r="L23" s="54"/>
      <c r="M23" s="54"/>
      <c r="N23" s="54"/>
      <c r="O23" s="54"/>
      <c r="P23" s="54"/>
      <c r="Q23" s="54"/>
    </row>
    <row r="24">
      <c r="A24" s="54"/>
      <c r="B24" s="326">
        <v>45314.0</v>
      </c>
      <c r="C24" s="327"/>
      <c r="D24" s="328" t="s">
        <v>124</v>
      </c>
      <c r="E24" s="328">
        <v>1796423.0</v>
      </c>
      <c r="F24" s="328">
        <v>438.0</v>
      </c>
      <c r="G24" s="328">
        <v>496.0</v>
      </c>
      <c r="H24" s="329">
        <v>243.0</v>
      </c>
      <c r="I24" s="329">
        <v>252.31</v>
      </c>
      <c r="J24" s="329">
        <v>-9.31</v>
      </c>
      <c r="K24" s="248">
        <v>57.61</v>
      </c>
      <c r="L24" s="54"/>
      <c r="M24" s="54"/>
      <c r="N24" s="54"/>
      <c r="O24" s="54"/>
      <c r="P24" s="54"/>
      <c r="Q24" s="54"/>
    </row>
    <row r="25">
      <c r="A25" s="54"/>
      <c r="B25" s="326">
        <v>45314.0</v>
      </c>
      <c r="C25" s="327"/>
      <c r="D25" s="328" t="s">
        <v>124</v>
      </c>
      <c r="E25" s="328">
        <v>1796423.0</v>
      </c>
      <c r="F25" s="328">
        <v>0.0</v>
      </c>
      <c r="G25" s="328" t="s">
        <v>87</v>
      </c>
      <c r="H25" s="329">
        <v>72.0</v>
      </c>
      <c r="I25" s="330"/>
      <c r="J25" s="329">
        <v>72.0</v>
      </c>
      <c r="K25" s="248" t="s">
        <v>140</v>
      </c>
      <c r="L25" s="54"/>
      <c r="M25" s="54"/>
      <c r="N25" s="54"/>
      <c r="O25" s="54"/>
      <c r="P25" s="54"/>
      <c r="Q25" s="54"/>
    </row>
    <row r="26">
      <c r="A26" s="54"/>
      <c r="B26" s="326">
        <v>45316.0</v>
      </c>
      <c r="C26" s="327"/>
      <c r="D26" s="328" t="s">
        <v>124</v>
      </c>
      <c r="E26" s="328">
        <v>1797004.0</v>
      </c>
      <c r="F26" s="328">
        <v>581.0</v>
      </c>
      <c r="G26" s="328">
        <v>496.0</v>
      </c>
      <c r="H26" s="329">
        <v>316.0</v>
      </c>
      <c r="I26" s="329">
        <v>315.42</v>
      </c>
      <c r="J26" s="329">
        <v>0.58</v>
      </c>
      <c r="K26" s="248">
        <v>54.29</v>
      </c>
      <c r="L26" s="54"/>
      <c r="M26" s="54"/>
      <c r="N26" s="54"/>
      <c r="O26" s="54"/>
      <c r="P26" s="54"/>
      <c r="Q26" s="54"/>
    </row>
    <row r="27">
      <c r="A27" s="54"/>
      <c r="B27" s="326">
        <v>45318.0</v>
      </c>
      <c r="C27" s="327"/>
      <c r="D27" s="328" t="s">
        <v>124</v>
      </c>
      <c r="E27" s="328">
        <v>1797656.0</v>
      </c>
      <c r="F27" s="328">
        <v>652.0</v>
      </c>
      <c r="G27" s="328">
        <v>495.0</v>
      </c>
      <c r="H27" s="329">
        <v>210.0</v>
      </c>
      <c r="I27" s="329">
        <v>221.56</v>
      </c>
      <c r="J27" s="329">
        <v>-11.56</v>
      </c>
      <c r="K27" s="248">
        <v>33.98</v>
      </c>
      <c r="L27" s="54"/>
      <c r="M27" s="54"/>
      <c r="N27" s="54"/>
      <c r="O27" s="54"/>
      <c r="P27" s="54"/>
      <c r="Q27" s="54"/>
    </row>
    <row r="28">
      <c r="A28" s="66"/>
      <c r="B28" s="67" t="s">
        <v>68</v>
      </c>
      <c r="J28" s="66"/>
      <c r="K28" s="66"/>
      <c r="L28" s="66"/>
      <c r="M28" s="66"/>
      <c r="N28" s="66"/>
      <c r="O28" s="66"/>
      <c r="P28" s="66"/>
      <c r="Q28" s="66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>
      <c r="A29" s="54"/>
      <c r="B29" s="322">
        <v>45331.0</v>
      </c>
      <c r="C29" s="323"/>
      <c r="D29" s="332"/>
      <c r="E29" s="324">
        <v>1799105.0</v>
      </c>
      <c r="F29" s="324">
        <v>1449.0</v>
      </c>
      <c r="G29" s="324">
        <v>490.0</v>
      </c>
      <c r="H29" s="325">
        <v>411.0</v>
      </c>
      <c r="I29" s="325">
        <v>415.47</v>
      </c>
      <c r="J29" s="325">
        <v>-4.47</v>
      </c>
      <c r="K29" s="248">
        <v>28.67</v>
      </c>
      <c r="L29" s="54"/>
      <c r="M29" s="54"/>
      <c r="N29" s="54"/>
      <c r="O29" s="54"/>
      <c r="P29" s="54"/>
      <c r="Q29" s="54"/>
    </row>
    <row r="30">
      <c r="A30" s="54"/>
      <c r="B30" s="326">
        <v>45333.0</v>
      </c>
      <c r="C30" s="327"/>
      <c r="D30" s="331"/>
      <c r="E30" s="328">
        <v>1799905.0</v>
      </c>
      <c r="F30" s="328">
        <v>800.0</v>
      </c>
      <c r="G30" s="328">
        <v>492.0</v>
      </c>
      <c r="H30" s="330"/>
      <c r="I30" s="329">
        <v>274.64</v>
      </c>
      <c r="J30" s="329">
        <v>-274.64</v>
      </c>
      <c r="K30" s="248">
        <v>34.33</v>
      </c>
      <c r="L30" s="54"/>
      <c r="M30" s="74" t="s">
        <v>69</v>
      </c>
      <c r="N30" s="75"/>
      <c r="O30" s="76"/>
      <c r="P30" s="54"/>
      <c r="Q30" s="54"/>
    </row>
    <row r="31">
      <c r="A31" s="54"/>
      <c r="B31" s="326">
        <v>45333.0</v>
      </c>
      <c r="C31" s="327"/>
      <c r="D31" s="331"/>
      <c r="E31" s="328">
        <v>1799905.0</v>
      </c>
      <c r="F31" s="328">
        <v>0.0</v>
      </c>
      <c r="G31" s="328" t="s">
        <v>87</v>
      </c>
      <c r="H31" s="329">
        <v>64.13</v>
      </c>
      <c r="I31" s="330"/>
      <c r="J31" s="329">
        <v>64.13</v>
      </c>
      <c r="K31" s="248" t="s">
        <v>140</v>
      </c>
      <c r="L31" s="54"/>
      <c r="M31" s="77" t="s">
        <v>70</v>
      </c>
      <c r="N31" s="77" t="s">
        <v>71</v>
      </c>
      <c r="O31" s="77" t="s">
        <v>27</v>
      </c>
      <c r="P31" s="54"/>
      <c r="Q31" s="54"/>
    </row>
    <row r="32">
      <c r="A32" s="54"/>
      <c r="B32" s="326">
        <v>45335.0</v>
      </c>
      <c r="C32" s="327"/>
      <c r="D32" s="331"/>
      <c r="E32" s="328">
        <v>1800037.0</v>
      </c>
      <c r="F32" s="328">
        <v>132.0</v>
      </c>
      <c r="G32" s="328">
        <v>496.0</v>
      </c>
      <c r="H32" s="329">
        <v>264.0</v>
      </c>
      <c r="I32" s="329">
        <v>280.11</v>
      </c>
      <c r="J32" s="329">
        <v>-16.11</v>
      </c>
      <c r="K32" s="248">
        <v>212.2</v>
      </c>
      <c r="L32" s="54"/>
      <c r="M32" s="79">
        <f>SUM(F29:F41)</f>
        <v>9846</v>
      </c>
      <c r="N32" s="79">
        <f>SUM(I29:I41)</f>
        <v>3179.05</v>
      </c>
      <c r="O32" s="214">
        <f>N32/M32*100</f>
        <v>32.28773106</v>
      </c>
      <c r="P32" s="54"/>
      <c r="Q32" s="54"/>
    </row>
    <row r="33">
      <c r="A33" s="54"/>
      <c r="B33" s="326">
        <v>45337.0</v>
      </c>
      <c r="C33" s="327"/>
      <c r="D33" s="331"/>
      <c r="E33" s="328">
        <v>1800037.0</v>
      </c>
      <c r="F33" s="328">
        <v>0.0</v>
      </c>
      <c r="G33" s="328">
        <v>496.0</v>
      </c>
      <c r="H33" s="329">
        <v>451.0</v>
      </c>
      <c r="I33" s="329">
        <v>413.53</v>
      </c>
      <c r="J33" s="329">
        <v>37.47</v>
      </c>
      <c r="K33" s="248" t="s">
        <v>140</v>
      </c>
      <c r="L33" s="54"/>
      <c r="M33" s="54"/>
      <c r="N33" s="54"/>
      <c r="O33" s="54"/>
      <c r="P33" s="54"/>
      <c r="Q33" s="54"/>
    </row>
    <row r="34">
      <c r="A34" s="54"/>
      <c r="B34" s="326">
        <v>45340.0</v>
      </c>
      <c r="C34" s="327"/>
      <c r="D34" s="331"/>
      <c r="E34" s="328">
        <v>1800037.0</v>
      </c>
      <c r="F34" s="328">
        <v>0.0</v>
      </c>
      <c r="G34" s="328">
        <v>491.0</v>
      </c>
      <c r="H34" s="330"/>
      <c r="I34" s="329">
        <v>335.51</v>
      </c>
      <c r="J34" s="329">
        <v>-335.51</v>
      </c>
      <c r="K34" s="248" t="s">
        <v>140</v>
      </c>
      <c r="L34" s="54"/>
      <c r="M34" s="54"/>
      <c r="N34" s="54"/>
      <c r="O34" s="54"/>
      <c r="P34" s="54"/>
      <c r="Q34" s="54"/>
    </row>
    <row r="35">
      <c r="A35" s="54"/>
      <c r="B35" s="326">
        <v>45340.0</v>
      </c>
      <c r="C35" s="327"/>
      <c r="D35" s="331"/>
      <c r="E35" s="328">
        <v>1800037.0</v>
      </c>
      <c r="F35" s="328">
        <v>0.0</v>
      </c>
      <c r="G35" s="328" t="s">
        <v>87</v>
      </c>
      <c r="H35" s="329">
        <v>50.02</v>
      </c>
      <c r="I35" s="330"/>
      <c r="J35" s="329">
        <v>50.02</v>
      </c>
      <c r="K35" s="248" t="s">
        <v>140</v>
      </c>
      <c r="L35" s="54"/>
      <c r="M35" s="54"/>
      <c r="N35" s="54"/>
      <c r="O35" s="54"/>
      <c r="P35" s="54"/>
      <c r="Q35" s="54"/>
    </row>
    <row r="36">
      <c r="A36" s="54"/>
      <c r="B36" s="326">
        <v>45343.0</v>
      </c>
      <c r="C36" s="327"/>
      <c r="D36" s="331"/>
      <c r="E36" s="328">
        <v>1800037.0</v>
      </c>
      <c r="F36" s="328">
        <v>0.0</v>
      </c>
      <c r="G36" s="328">
        <v>487.0</v>
      </c>
      <c r="H36" s="329">
        <v>449.0</v>
      </c>
      <c r="I36" s="329">
        <v>450.05</v>
      </c>
      <c r="J36" s="329">
        <v>-1.05</v>
      </c>
      <c r="K36" s="248" t="s">
        <v>140</v>
      </c>
      <c r="L36" s="54"/>
      <c r="M36" s="54"/>
      <c r="N36" s="54"/>
      <c r="O36" s="54"/>
      <c r="P36" s="54"/>
      <c r="Q36" s="54"/>
    </row>
    <row r="37">
      <c r="A37" s="54"/>
      <c r="B37" s="326">
        <v>45343.0</v>
      </c>
      <c r="C37" s="327"/>
      <c r="D37" s="331"/>
      <c r="E37" s="328">
        <v>1800037.0</v>
      </c>
      <c r="F37" s="328">
        <v>0.0</v>
      </c>
      <c r="G37" s="328" t="s">
        <v>87</v>
      </c>
      <c r="H37" s="329">
        <v>49.95</v>
      </c>
      <c r="I37" s="330"/>
      <c r="J37" s="329">
        <v>49.95</v>
      </c>
      <c r="K37" s="248" t="s">
        <v>140</v>
      </c>
      <c r="L37" s="54"/>
      <c r="M37" s="54"/>
      <c r="N37" s="54"/>
      <c r="O37" s="54"/>
      <c r="P37" s="54"/>
      <c r="Q37" s="54"/>
    </row>
    <row r="38">
      <c r="A38" s="54"/>
      <c r="B38" s="326">
        <v>45344.0</v>
      </c>
      <c r="C38" s="327"/>
      <c r="D38" s="331"/>
      <c r="E38" s="328">
        <v>1800037.0</v>
      </c>
      <c r="F38" s="328">
        <v>0.0</v>
      </c>
      <c r="G38" s="328">
        <v>497.0</v>
      </c>
      <c r="H38" s="329">
        <v>440.0</v>
      </c>
      <c r="I38" s="329">
        <v>441.79</v>
      </c>
      <c r="J38" s="329">
        <v>-1.79</v>
      </c>
      <c r="K38" s="248" t="s">
        <v>140</v>
      </c>
      <c r="L38" s="54"/>
      <c r="M38" s="54"/>
      <c r="N38" s="54"/>
      <c r="O38" s="54"/>
      <c r="P38" s="54"/>
      <c r="Q38" s="54"/>
    </row>
    <row r="39">
      <c r="A39" s="54"/>
      <c r="B39" s="326">
        <v>45348.0</v>
      </c>
      <c r="C39" s="327"/>
      <c r="D39" s="331"/>
      <c r="E39" s="328">
        <v>1800037.0</v>
      </c>
      <c r="F39" s="328">
        <v>0.0</v>
      </c>
      <c r="G39" s="328">
        <v>492.0</v>
      </c>
      <c r="H39" s="329">
        <v>176.0</v>
      </c>
      <c r="I39" s="329">
        <v>184.57</v>
      </c>
      <c r="J39" s="329">
        <v>-8.57</v>
      </c>
      <c r="K39" s="248" t="s">
        <v>140</v>
      </c>
      <c r="L39" s="54"/>
      <c r="M39" s="54"/>
      <c r="N39" s="54"/>
      <c r="O39" s="54"/>
      <c r="P39" s="54"/>
      <c r="Q39" s="54"/>
    </row>
    <row r="40">
      <c r="A40" s="54"/>
      <c r="B40" s="326">
        <v>45348.0</v>
      </c>
      <c r="C40" s="327"/>
      <c r="D40" s="331"/>
      <c r="E40" s="328">
        <v>1800037.0</v>
      </c>
      <c r="F40" s="328">
        <v>0.0</v>
      </c>
      <c r="G40" s="328" t="s">
        <v>87</v>
      </c>
      <c r="H40" s="329">
        <v>55.32</v>
      </c>
      <c r="I40" s="330"/>
      <c r="J40" s="329">
        <v>55.32</v>
      </c>
      <c r="K40" s="248" t="s">
        <v>140</v>
      </c>
      <c r="L40" s="54"/>
      <c r="M40" s="54"/>
      <c r="N40" s="54"/>
      <c r="O40" s="54"/>
      <c r="P40" s="54"/>
      <c r="Q40" s="54"/>
    </row>
    <row r="41">
      <c r="A41" s="54"/>
      <c r="B41" s="326">
        <v>45350.0</v>
      </c>
      <c r="C41" s="327"/>
      <c r="D41" s="331"/>
      <c r="E41" s="328">
        <v>1807502.0</v>
      </c>
      <c r="F41" s="328">
        <v>7465.0</v>
      </c>
      <c r="G41" s="328">
        <v>496.0</v>
      </c>
      <c r="H41" s="329">
        <v>390.0</v>
      </c>
      <c r="I41" s="329">
        <v>383.38</v>
      </c>
      <c r="J41" s="329">
        <v>6.62</v>
      </c>
      <c r="K41" s="248">
        <v>5.14</v>
      </c>
      <c r="L41" s="54"/>
      <c r="M41" s="54"/>
      <c r="N41" s="54"/>
      <c r="O41" s="54"/>
      <c r="P41" s="54"/>
      <c r="Q41" s="54"/>
    </row>
    <row r="42">
      <c r="A42" s="66"/>
      <c r="B42" s="67" t="s">
        <v>72</v>
      </c>
      <c r="J42" s="66"/>
      <c r="K42" s="66"/>
      <c r="L42" s="66"/>
      <c r="M42" s="66"/>
      <c r="N42" s="66"/>
      <c r="O42" s="66"/>
      <c r="P42" s="66"/>
      <c r="Q42" s="66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>
      <c r="A43" s="54"/>
      <c r="B43" s="94">
        <v>45357.0</v>
      </c>
      <c r="C43" s="94"/>
      <c r="D43" s="95"/>
      <c r="E43" s="96">
        <v>1808309.0</v>
      </c>
      <c r="F43" s="96">
        <v>807.0</v>
      </c>
      <c r="G43" s="96">
        <v>487.0</v>
      </c>
      <c r="H43" s="97">
        <v>301.0</v>
      </c>
      <c r="I43" s="97">
        <v>301.68</v>
      </c>
      <c r="J43" s="97">
        <v>-0.68</v>
      </c>
      <c r="K43" s="97">
        <v>37.38</v>
      </c>
      <c r="L43" s="54"/>
      <c r="M43" s="54"/>
      <c r="N43" s="54"/>
      <c r="O43" s="54"/>
      <c r="P43" s="54"/>
      <c r="Q43" s="54"/>
    </row>
    <row r="44">
      <c r="A44" s="54"/>
      <c r="B44" s="94">
        <v>45358.0</v>
      </c>
      <c r="C44" s="94"/>
      <c r="D44" s="95"/>
      <c r="E44" s="96">
        <v>1809060.0</v>
      </c>
      <c r="F44" s="96">
        <v>751.0</v>
      </c>
      <c r="G44" s="96">
        <v>509.0</v>
      </c>
      <c r="H44" s="97">
        <v>276.0</v>
      </c>
      <c r="I44" s="97">
        <v>274.93</v>
      </c>
      <c r="J44" s="97">
        <v>1.07</v>
      </c>
      <c r="K44" s="97">
        <v>36.61</v>
      </c>
      <c r="L44" s="54"/>
      <c r="M44" s="54"/>
      <c r="N44" s="54"/>
      <c r="O44" s="54"/>
      <c r="P44" s="54"/>
      <c r="Q44" s="54"/>
    </row>
    <row r="45">
      <c r="A45" s="54"/>
      <c r="B45" s="94">
        <v>45358.0</v>
      </c>
      <c r="C45" s="94"/>
      <c r="D45" s="96" t="s">
        <v>87</v>
      </c>
      <c r="E45" s="95"/>
      <c r="F45" s="95"/>
      <c r="G45" s="96">
        <v>250.0</v>
      </c>
      <c r="H45" s="97">
        <v>63.0</v>
      </c>
      <c r="I45" s="97"/>
      <c r="J45" s="97">
        <v>-0.06</v>
      </c>
      <c r="K45" s="384"/>
      <c r="L45" s="54"/>
      <c r="M45" s="74" t="s">
        <v>73</v>
      </c>
      <c r="N45" s="75"/>
      <c r="O45" s="76"/>
      <c r="P45" s="54"/>
      <c r="Q45" s="54"/>
    </row>
    <row r="46">
      <c r="A46" s="54"/>
      <c r="B46" s="94">
        <v>45360.0</v>
      </c>
      <c r="C46" s="94"/>
      <c r="D46" s="95"/>
      <c r="E46" s="96">
        <v>1810410.0</v>
      </c>
      <c r="F46" s="96">
        <v>1350.0</v>
      </c>
      <c r="G46" s="96">
        <v>496.0</v>
      </c>
      <c r="H46" s="97">
        <v>462.0</v>
      </c>
      <c r="I46" s="97">
        <v>470.14</v>
      </c>
      <c r="J46" s="97">
        <v>-8.14</v>
      </c>
      <c r="K46" s="97">
        <v>34.83</v>
      </c>
      <c r="L46" s="54"/>
      <c r="M46" s="77" t="s">
        <v>70</v>
      </c>
      <c r="N46" s="77" t="s">
        <v>71</v>
      </c>
      <c r="O46" s="77" t="s">
        <v>27</v>
      </c>
      <c r="P46" s="54"/>
      <c r="Q46" s="54"/>
    </row>
    <row r="47">
      <c r="A47" s="54"/>
      <c r="B47" s="94">
        <v>45362.0</v>
      </c>
      <c r="C47" s="94"/>
      <c r="D47" s="95"/>
      <c r="E47" s="96">
        <v>1811454.0</v>
      </c>
      <c r="F47" s="96">
        <v>1044.0</v>
      </c>
      <c r="G47" s="96">
        <v>493.0</v>
      </c>
      <c r="H47" s="97">
        <v>351.0</v>
      </c>
      <c r="I47" s="97">
        <v>358.85</v>
      </c>
      <c r="J47" s="97">
        <v>-7.85</v>
      </c>
      <c r="K47" s="97">
        <v>34.37</v>
      </c>
      <c r="L47" s="54"/>
      <c r="M47" s="79">
        <f>SUM(F43:F56)</f>
        <v>12877</v>
      </c>
      <c r="N47" s="79">
        <f>SUM(I43:I56)</f>
        <v>4103.56</v>
      </c>
      <c r="O47" s="214">
        <f>N47/M47*100</f>
        <v>31.86736041</v>
      </c>
      <c r="P47" s="54"/>
      <c r="Q47" s="54"/>
    </row>
    <row r="48">
      <c r="A48" s="54"/>
      <c r="B48" s="94">
        <v>45362.0</v>
      </c>
      <c r="C48" s="94"/>
      <c r="D48" s="96" t="s">
        <v>87</v>
      </c>
      <c r="E48" s="95"/>
      <c r="F48" s="95"/>
      <c r="G48" s="96">
        <v>250.0</v>
      </c>
      <c r="H48" s="97">
        <v>86.0</v>
      </c>
      <c r="I48" s="97"/>
      <c r="J48" s="97">
        <v>-2.93</v>
      </c>
      <c r="K48" s="384"/>
      <c r="L48" s="54"/>
      <c r="M48" s="54"/>
      <c r="N48" s="54"/>
      <c r="O48" s="54"/>
      <c r="P48" s="54"/>
      <c r="Q48" s="54"/>
    </row>
    <row r="49">
      <c r="A49" s="54"/>
      <c r="B49" s="94">
        <v>45364.0</v>
      </c>
      <c r="C49" s="94"/>
      <c r="D49" s="95"/>
      <c r="E49" s="96">
        <v>1812517.0</v>
      </c>
      <c r="F49" s="96">
        <v>1063.0</v>
      </c>
      <c r="G49" s="96">
        <v>513.0</v>
      </c>
      <c r="H49" s="97">
        <v>309.0</v>
      </c>
      <c r="I49" s="97">
        <v>288.37</v>
      </c>
      <c r="J49" s="97">
        <v>20.63</v>
      </c>
      <c r="K49" s="97">
        <v>27.13</v>
      </c>
      <c r="L49" s="54"/>
      <c r="M49" s="54"/>
      <c r="N49" s="54"/>
      <c r="O49" s="54"/>
      <c r="P49" s="54"/>
      <c r="Q49" s="54"/>
    </row>
    <row r="50">
      <c r="A50" s="54"/>
      <c r="B50" s="94">
        <v>45367.0</v>
      </c>
      <c r="C50" s="94"/>
      <c r="D50" s="95"/>
      <c r="E50" s="96">
        <v>1813542.0</v>
      </c>
      <c r="F50" s="96">
        <v>1025.0</v>
      </c>
      <c r="G50" s="96">
        <v>492.0</v>
      </c>
      <c r="H50" s="97">
        <v>314.0</v>
      </c>
      <c r="I50" s="97">
        <v>323.27</v>
      </c>
      <c r="J50" s="97">
        <v>-9.27</v>
      </c>
      <c r="K50" s="97">
        <v>31.54</v>
      </c>
      <c r="L50" s="54"/>
      <c r="M50" s="54"/>
      <c r="N50" s="54"/>
      <c r="O50" s="54"/>
      <c r="P50" s="54"/>
      <c r="Q50" s="54"/>
    </row>
    <row r="51">
      <c r="A51" s="54"/>
      <c r="B51" s="94">
        <v>45368.0</v>
      </c>
      <c r="C51" s="94"/>
      <c r="D51" s="95"/>
      <c r="E51" s="96">
        <v>1814506.0</v>
      </c>
      <c r="F51" s="96">
        <v>964.0</v>
      </c>
      <c r="G51" s="96">
        <v>492.0</v>
      </c>
      <c r="H51" s="97">
        <v>263.0</v>
      </c>
      <c r="I51" s="97">
        <v>270.11</v>
      </c>
      <c r="J51" s="97">
        <v>-7.11</v>
      </c>
      <c r="K51" s="97">
        <v>28.02</v>
      </c>
      <c r="L51" s="54"/>
      <c r="M51" s="54"/>
      <c r="N51" s="54"/>
      <c r="O51" s="54"/>
      <c r="P51" s="54"/>
      <c r="Q51" s="54"/>
    </row>
    <row r="52">
      <c r="A52" s="54"/>
      <c r="B52" s="94">
        <v>45371.0</v>
      </c>
      <c r="C52" s="94"/>
      <c r="D52" s="95"/>
      <c r="E52" s="96">
        <v>1815513.0</v>
      </c>
      <c r="F52" s="96">
        <v>1007.0</v>
      </c>
      <c r="G52" s="96">
        <v>495.0</v>
      </c>
      <c r="H52" s="97">
        <v>319.0</v>
      </c>
      <c r="I52" s="97">
        <v>325.98</v>
      </c>
      <c r="J52" s="97">
        <v>-6.98</v>
      </c>
      <c r="K52" s="97">
        <v>32.37</v>
      </c>
      <c r="L52" s="54"/>
      <c r="M52" s="54"/>
      <c r="N52" s="54"/>
      <c r="O52" s="54"/>
      <c r="P52" s="54"/>
      <c r="Q52" s="54"/>
    </row>
    <row r="53">
      <c r="A53" s="54"/>
      <c r="B53" s="94">
        <v>45373.0</v>
      </c>
      <c r="C53" s="94"/>
      <c r="D53" s="95"/>
      <c r="E53" s="96">
        <v>1816730.0</v>
      </c>
      <c r="F53" s="96">
        <v>1217.0</v>
      </c>
      <c r="G53" s="96">
        <v>500.0</v>
      </c>
      <c r="H53" s="97">
        <v>318.0</v>
      </c>
      <c r="I53" s="97">
        <v>321.89</v>
      </c>
      <c r="J53" s="97">
        <v>-3.89</v>
      </c>
      <c r="K53" s="97">
        <v>26.45</v>
      </c>
      <c r="L53" s="54"/>
      <c r="M53" s="54"/>
      <c r="N53" s="54"/>
      <c r="O53" s="54"/>
      <c r="P53" s="54"/>
      <c r="Q53" s="54"/>
    </row>
    <row r="54">
      <c r="A54" s="54"/>
      <c r="B54" s="94">
        <v>45375.0</v>
      </c>
      <c r="C54" s="94"/>
      <c r="D54" s="95"/>
      <c r="E54" s="96">
        <v>1818030.0</v>
      </c>
      <c r="F54" s="96">
        <v>1300.0</v>
      </c>
      <c r="G54" s="96">
        <v>508.0</v>
      </c>
      <c r="H54" s="97">
        <v>363.0</v>
      </c>
      <c r="I54" s="97">
        <v>356.7</v>
      </c>
      <c r="J54" s="97">
        <v>6.3</v>
      </c>
      <c r="K54" s="97">
        <v>27.44</v>
      </c>
      <c r="L54" s="54"/>
      <c r="M54" s="54"/>
      <c r="N54" s="54"/>
      <c r="O54" s="54"/>
      <c r="P54" s="54"/>
      <c r="Q54" s="54"/>
    </row>
    <row r="55">
      <c r="A55" s="54"/>
      <c r="B55" s="94">
        <v>45377.0</v>
      </c>
      <c r="C55" s="94"/>
      <c r="D55" s="95"/>
      <c r="E55" s="96">
        <v>1819373.0</v>
      </c>
      <c r="F55" s="96">
        <v>1343.0</v>
      </c>
      <c r="G55" s="96">
        <v>497.0</v>
      </c>
      <c r="H55" s="97">
        <v>425.0</v>
      </c>
      <c r="I55" s="97">
        <v>428.06</v>
      </c>
      <c r="J55" s="97">
        <v>-3.06</v>
      </c>
      <c r="K55" s="97">
        <v>31.87</v>
      </c>
      <c r="L55" s="54"/>
      <c r="M55" s="54"/>
      <c r="N55" s="54"/>
      <c r="O55" s="54"/>
      <c r="P55" s="54"/>
      <c r="Q55" s="54"/>
    </row>
    <row r="56">
      <c r="A56" s="54"/>
      <c r="B56" s="94">
        <v>45381.0</v>
      </c>
      <c r="C56" s="94"/>
      <c r="D56" s="95"/>
      <c r="E56" s="96">
        <v>1820379.0</v>
      </c>
      <c r="F56" s="96">
        <v>1006.0</v>
      </c>
      <c r="G56" s="96">
        <v>496.0</v>
      </c>
      <c r="H56" s="97">
        <v>368.0</v>
      </c>
      <c r="I56" s="97">
        <v>383.58</v>
      </c>
      <c r="J56" s="97">
        <v>-15.58</v>
      </c>
      <c r="K56" s="97">
        <v>38.13</v>
      </c>
      <c r="L56" s="54"/>
      <c r="M56" s="54"/>
      <c r="N56" s="54"/>
      <c r="O56" s="54"/>
      <c r="P56" s="54"/>
      <c r="Q56" s="54"/>
    </row>
    <row r="57">
      <c r="A57" s="66"/>
      <c r="B57" s="67" t="s">
        <v>74</v>
      </c>
      <c r="J57" s="66"/>
      <c r="K57" s="66"/>
      <c r="L57" s="66"/>
      <c r="M57" s="66"/>
      <c r="N57" s="66"/>
      <c r="O57" s="66"/>
      <c r="P57" s="66"/>
      <c r="Q57" s="66"/>
      <c r="R57" s="68"/>
      <c r="S57" s="68"/>
      <c r="T57" s="68"/>
      <c r="U57" s="68"/>
      <c r="V57" s="68"/>
      <c r="W57" s="68"/>
      <c r="X57" s="68"/>
      <c r="Y57" s="68"/>
      <c r="Z57" s="68"/>
      <c r="AA57" s="68"/>
    </row>
    <row r="58">
      <c r="A58" s="54"/>
      <c r="B58" s="94">
        <v>45384.0</v>
      </c>
      <c r="C58" s="94"/>
      <c r="D58" s="95"/>
      <c r="E58" s="96">
        <v>1821562.0</v>
      </c>
      <c r="F58" s="96">
        <v>1183.0</v>
      </c>
      <c r="G58" s="96">
        <v>508.0</v>
      </c>
      <c r="H58" s="97">
        <v>375.0</v>
      </c>
      <c r="I58" s="97">
        <v>353.69</v>
      </c>
      <c r="J58" s="97">
        <v>21.31</v>
      </c>
      <c r="K58" s="97">
        <v>29.9</v>
      </c>
      <c r="L58" s="54"/>
      <c r="M58" s="82" t="str">
        <f>"тотал"&amp;" "&amp;B57</f>
        <v>тотал АПРЕЛЬ</v>
      </c>
      <c r="N58" s="75"/>
      <c r="O58" s="76"/>
      <c r="P58" s="54"/>
      <c r="Q58" s="54"/>
    </row>
    <row r="59">
      <c r="A59" s="54"/>
      <c r="B59" s="94">
        <v>45386.0</v>
      </c>
      <c r="C59" s="94"/>
      <c r="D59" s="95"/>
      <c r="E59" s="96">
        <v>1822788.0</v>
      </c>
      <c r="F59" s="96">
        <v>1226.0</v>
      </c>
      <c r="G59" s="96">
        <v>513.0</v>
      </c>
      <c r="H59" s="97">
        <v>366.0</v>
      </c>
      <c r="I59" s="97">
        <v>356.66</v>
      </c>
      <c r="J59" s="97">
        <v>9.34</v>
      </c>
      <c r="K59" s="97">
        <v>29.09</v>
      </c>
      <c r="L59" s="54"/>
      <c r="M59" s="83" t="s">
        <v>70</v>
      </c>
      <c r="N59" s="83" t="s">
        <v>71</v>
      </c>
      <c r="O59" s="83" t="s">
        <v>27</v>
      </c>
      <c r="P59" s="54"/>
      <c r="Q59" s="54"/>
    </row>
    <row r="60">
      <c r="A60" s="54"/>
      <c r="B60" s="94">
        <v>45389.0</v>
      </c>
      <c r="C60" s="94"/>
      <c r="D60" s="95"/>
      <c r="E60" s="96">
        <v>1823941.0</v>
      </c>
      <c r="F60" s="96">
        <v>1153.0</v>
      </c>
      <c r="G60" s="96">
        <v>518.0</v>
      </c>
      <c r="H60" s="97">
        <v>413.0</v>
      </c>
      <c r="I60" s="97">
        <v>395.59</v>
      </c>
      <c r="J60" s="97">
        <v>17.41</v>
      </c>
      <c r="K60" s="97">
        <v>34.31</v>
      </c>
      <c r="L60" s="54"/>
      <c r="M60" s="84">
        <f>SUM(F58:F64)</f>
        <v>9110</v>
      </c>
      <c r="N60" s="84">
        <f>SUM(I58:I64)</f>
        <v>2747.25</v>
      </c>
      <c r="O60" s="85">
        <f>N60/M60*100</f>
        <v>30.15642151</v>
      </c>
      <c r="P60" s="54"/>
      <c r="Q60" s="54"/>
    </row>
    <row r="61">
      <c r="A61" s="54"/>
      <c r="B61" s="94">
        <v>45395.0</v>
      </c>
      <c r="C61" s="94"/>
      <c r="D61" s="95"/>
      <c r="E61" s="96">
        <v>1825294.0</v>
      </c>
      <c r="F61" s="96">
        <v>1353.0</v>
      </c>
      <c r="G61" s="96">
        <v>500.0</v>
      </c>
      <c r="H61" s="97">
        <v>387.0</v>
      </c>
      <c r="I61" s="97">
        <v>396.33</v>
      </c>
      <c r="J61" s="97">
        <v>-9.33</v>
      </c>
      <c r="K61" s="97">
        <v>29.29</v>
      </c>
      <c r="L61" s="54"/>
      <c r="M61" s="54"/>
      <c r="N61" s="54"/>
      <c r="O61" s="54"/>
      <c r="P61" s="54"/>
      <c r="Q61" s="54"/>
    </row>
    <row r="62">
      <c r="A62" s="54"/>
      <c r="B62" s="94">
        <v>45400.0</v>
      </c>
      <c r="C62" s="94"/>
      <c r="D62" s="95"/>
      <c r="E62" s="96">
        <v>1826644.0</v>
      </c>
      <c r="F62" s="96">
        <v>1350.0</v>
      </c>
      <c r="G62" s="96">
        <v>508.0</v>
      </c>
      <c r="H62" s="97">
        <v>420.0</v>
      </c>
      <c r="I62" s="97">
        <v>410.01</v>
      </c>
      <c r="J62" s="97">
        <v>9.99</v>
      </c>
      <c r="K62" s="97">
        <v>30.37</v>
      </c>
      <c r="L62" s="54"/>
      <c r="M62" s="54"/>
      <c r="N62" s="54"/>
      <c r="O62" s="54"/>
      <c r="P62" s="54"/>
      <c r="Q62" s="54"/>
    </row>
    <row r="63">
      <c r="A63" s="54"/>
      <c r="B63" s="94">
        <v>45404.0</v>
      </c>
      <c r="C63" s="94"/>
      <c r="D63" s="95"/>
      <c r="E63" s="96">
        <v>1828086.0</v>
      </c>
      <c r="F63" s="96">
        <v>1442.0</v>
      </c>
      <c r="G63" s="96">
        <v>507.0</v>
      </c>
      <c r="H63" s="97">
        <v>444.0</v>
      </c>
      <c r="I63" s="97">
        <v>434.45</v>
      </c>
      <c r="J63" s="97">
        <v>9.55</v>
      </c>
      <c r="K63" s="97">
        <v>30.13</v>
      </c>
      <c r="L63" s="54"/>
      <c r="M63" s="54"/>
      <c r="N63" s="54"/>
      <c r="O63" s="54"/>
      <c r="P63" s="54"/>
      <c r="Q63" s="54"/>
    </row>
    <row r="64">
      <c r="A64" s="54"/>
      <c r="B64" s="94">
        <v>45411.0</v>
      </c>
      <c r="C64" s="94"/>
      <c r="D64" s="95"/>
      <c r="E64" s="96">
        <v>1829489.0</v>
      </c>
      <c r="F64" s="96">
        <v>1403.0</v>
      </c>
      <c r="G64" s="96">
        <v>493.0</v>
      </c>
      <c r="H64" s="97">
        <v>401.0</v>
      </c>
      <c r="I64" s="97">
        <v>400.52</v>
      </c>
      <c r="J64" s="97">
        <v>0.48</v>
      </c>
      <c r="K64" s="97">
        <v>28.55</v>
      </c>
      <c r="L64" s="54"/>
      <c r="M64" s="54"/>
      <c r="N64" s="54"/>
      <c r="O64" s="54"/>
      <c r="P64" s="54"/>
      <c r="Q64" s="54"/>
    </row>
    <row r="65">
      <c r="A65" s="66"/>
      <c r="B65" s="67" t="s">
        <v>75</v>
      </c>
      <c r="J65" s="66"/>
      <c r="K65" s="66"/>
      <c r="L65" s="66"/>
      <c r="M65" s="132" t="str">
        <f>"тотал"&amp;" "&amp;B65</f>
        <v>тотал МАЙ</v>
      </c>
      <c r="N65" s="75"/>
      <c r="O65" s="76"/>
      <c r="P65" s="66"/>
      <c r="Q65" s="66"/>
      <c r="R65" s="68"/>
      <c r="S65" s="68"/>
      <c r="T65" s="68"/>
      <c r="U65" s="68"/>
      <c r="V65" s="68"/>
      <c r="W65" s="68"/>
      <c r="X65" s="68"/>
      <c r="Y65" s="68"/>
      <c r="Z65" s="68"/>
      <c r="AA65" s="68"/>
    </row>
    <row r="66">
      <c r="A66" s="54"/>
      <c r="B66" s="201">
        <v>45414.0</v>
      </c>
      <c r="C66" s="201"/>
      <c r="D66" s="95"/>
      <c r="E66" s="96">
        <v>1830727.0</v>
      </c>
      <c r="F66" s="96">
        <v>1238.0</v>
      </c>
      <c r="G66" s="96">
        <v>460.0</v>
      </c>
      <c r="H66" s="97">
        <v>356.0</v>
      </c>
      <c r="I66" s="97">
        <v>349.89</v>
      </c>
      <c r="J66" s="97">
        <v>6.11</v>
      </c>
      <c r="K66" s="97">
        <v>28.26</v>
      </c>
      <c r="L66" s="54"/>
      <c r="M66" s="84" t="s">
        <v>70</v>
      </c>
      <c r="N66" s="84" t="s">
        <v>71</v>
      </c>
      <c r="O66" s="84" t="s">
        <v>27</v>
      </c>
      <c r="P66" s="54"/>
      <c r="Q66" s="54"/>
    </row>
    <row r="67">
      <c r="A67" s="54"/>
      <c r="B67" s="201">
        <v>45429.0</v>
      </c>
      <c r="C67" s="201"/>
      <c r="D67" s="95"/>
      <c r="E67" s="96">
        <v>1831517.0</v>
      </c>
      <c r="F67" s="96">
        <v>790.0</v>
      </c>
      <c r="G67" s="96">
        <v>483.0</v>
      </c>
      <c r="H67" s="97">
        <v>296.0</v>
      </c>
      <c r="I67" s="97">
        <v>286.24</v>
      </c>
      <c r="J67" s="97">
        <v>9.76</v>
      </c>
      <c r="K67" s="97">
        <v>36.23</v>
      </c>
      <c r="L67" s="54"/>
      <c r="M67" s="84">
        <f>SUM(F66:F67)</f>
        <v>2028</v>
      </c>
      <c r="N67" s="84">
        <f>SUM(I65:I69)</f>
        <v>636.13</v>
      </c>
      <c r="O67" s="85">
        <f>N67/M67*100</f>
        <v>31.367357</v>
      </c>
      <c r="P67" s="54"/>
      <c r="Q67" s="54"/>
    </row>
    <row r="68">
      <c r="A68" s="66"/>
      <c r="B68" s="67" t="s">
        <v>90</v>
      </c>
      <c r="J68" s="66"/>
      <c r="K68" s="66"/>
      <c r="L68" s="66"/>
      <c r="M68" s="66"/>
      <c r="N68" s="66"/>
      <c r="O68" s="66"/>
      <c r="P68" s="66"/>
      <c r="Q68" s="66"/>
      <c r="R68" s="68"/>
      <c r="S68" s="68"/>
      <c r="T68" s="68"/>
      <c r="U68" s="68"/>
      <c r="V68" s="68"/>
      <c r="W68" s="68"/>
      <c r="X68" s="68"/>
      <c r="Y68" s="68"/>
      <c r="Z68" s="68"/>
      <c r="AA68" s="68"/>
    </row>
    <row r="69">
      <c r="A69" s="54"/>
      <c r="B69" s="164" t="s">
        <v>109</v>
      </c>
      <c r="C69" s="75"/>
      <c r="D69" s="75"/>
      <c r="E69" s="75"/>
      <c r="F69" s="75"/>
      <c r="G69" s="75"/>
      <c r="H69" s="75"/>
      <c r="I69" s="76"/>
      <c r="J69" s="54"/>
      <c r="K69" s="54"/>
      <c r="L69" s="54"/>
      <c r="M69" s="54"/>
      <c r="N69" s="54"/>
      <c r="O69" s="54"/>
      <c r="P69" s="54"/>
      <c r="Q69" s="54"/>
    </row>
    <row r="70">
      <c r="A70" s="66"/>
      <c r="B70" s="67" t="s">
        <v>92</v>
      </c>
      <c r="J70" s="66"/>
      <c r="K70" s="66"/>
      <c r="L70" s="66"/>
      <c r="M70" s="66"/>
      <c r="N70" s="66"/>
      <c r="O70" s="66"/>
      <c r="P70" s="66"/>
      <c r="Q70" s="66"/>
      <c r="R70" s="68"/>
      <c r="S70" s="68"/>
      <c r="T70" s="68"/>
      <c r="U70" s="68"/>
      <c r="V70" s="68"/>
      <c r="W70" s="68"/>
      <c r="X70" s="68"/>
      <c r="Y70" s="68"/>
      <c r="Z70" s="68"/>
      <c r="AA70" s="68"/>
    </row>
    <row r="71">
      <c r="A71" s="60">
        <v>8352.0</v>
      </c>
      <c r="B71" s="278">
        <v>45498.0</v>
      </c>
      <c r="C71" s="278"/>
      <c r="D71" s="135" t="s">
        <v>161</v>
      </c>
      <c r="E71" s="100">
        <v>1832078.0</v>
      </c>
      <c r="F71" s="99">
        <f>E71-E67</f>
        <v>561</v>
      </c>
      <c r="G71" s="101">
        <v>521.0</v>
      </c>
      <c r="H71" s="101">
        <v>257.0</v>
      </c>
      <c r="I71" s="101">
        <v>233.39</v>
      </c>
      <c r="J71" s="102">
        <f t="shared" ref="J71:J74" si="2">H71-I71</f>
        <v>23.61</v>
      </c>
      <c r="K71" s="103">
        <f t="shared" ref="K71:K74" si="3">I71/F71*100</f>
        <v>41.60249554</v>
      </c>
      <c r="L71" s="54"/>
      <c r="M71" s="82" t="str">
        <f>"тотал"&amp;" "&amp;B70</f>
        <v>тотал ИЮЛЬ</v>
      </c>
      <c r="N71" s="75"/>
      <c r="O71" s="76"/>
      <c r="P71" s="54"/>
      <c r="Q71" s="54"/>
    </row>
    <row r="72">
      <c r="A72" s="60">
        <v>8352.0</v>
      </c>
      <c r="B72" s="278">
        <v>45499.0</v>
      </c>
      <c r="C72" s="278"/>
      <c r="D72" s="135" t="s">
        <v>161</v>
      </c>
      <c r="E72" s="104">
        <v>1832865.0</v>
      </c>
      <c r="F72" s="99">
        <f t="shared" ref="F72:F74" si="4">E72-E71</f>
        <v>787</v>
      </c>
      <c r="G72" s="101">
        <v>508.0</v>
      </c>
      <c r="H72" s="101">
        <v>230.0</v>
      </c>
      <c r="I72" s="101">
        <v>215.91</v>
      </c>
      <c r="J72" s="102">
        <f t="shared" si="2"/>
        <v>14.09</v>
      </c>
      <c r="K72" s="103">
        <f t="shared" si="3"/>
        <v>27.43456163</v>
      </c>
      <c r="L72" s="54"/>
      <c r="M72" s="83" t="s">
        <v>70</v>
      </c>
      <c r="N72" s="83" t="s">
        <v>71</v>
      </c>
      <c r="O72" s="83" t="s">
        <v>27</v>
      </c>
    </row>
    <row r="73">
      <c r="A73" s="60">
        <v>8352.0</v>
      </c>
      <c r="B73" s="278">
        <v>45501.0</v>
      </c>
      <c r="C73" s="278"/>
      <c r="D73" s="135" t="s">
        <v>161</v>
      </c>
      <c r="E73" s="104">
        <v>1833637.0</v>
      </c>
      <c r="F73" s="99">
        <f t="shared" si="4"/>
        <v>772</v>
      </c>
      <c r="G73" s="101">
        <v>521.0</v>
      </c>
      <c r="H73" s="101">
        <v>247.0</v>
      </c>
      <c r="I73" s="101">
        <v>228.31</v>
      </c>
      <c r="J73" s="102">
        <f t="shared" si="2"/>
        <v>18.69</v>
      </c>
      <c r="K73" s="103">
        <f t="shared" si="3"/>
        <v>29.5738342</v>
      </c>
      <c r="L73" s="54"/>
      <c r="M73" s="84">
        <f>SUM(F71:F74)</f>
        <v>2724</v>
      </c>
      <c r="N73" s="84">
        <f>SUM(I71:I74)</f>
        <v>888.07</v>
      </c>
      <c r="O73" s="85">
        <f>N73/M73*100</f>
        <v>32.60168869</v>
      </c>
    </row>
    <row r="74">
      <c r="A74" s="60">
        <v>8352.0</v>
      </c>
      <c r="B74" s="278">
        <v>45502.0</v>
      </c>
      <c r="C74" s="278"/>
      <c r="D74" s="135" t="s">
        <v>161</v>
      </c>
      <c r="E74" s="104">
        <v>1834241.0</v>
      </c>
      <c r="F74" s="99">
        <f t="shared" si="4"/>
        <v>604</v>
      </c>
      <c r="G74" s="101">
        <v>493.0</v>
      </c>
      <c r="H74" s="101">
        <v>224.0</v>
      </c>
      <c r="I74" s="101">
        <v>210.46</v>
      </c>
      <c r="J74" s="102">
        <f t="shared" si="2"/>
        <v>13.54</v>
      </c>
      <c r="K74" s="103">
        <f t="shared" si="3"/>
        <v>34.84437086</v>
      </c>
      <c r="L74" s="54"/>
      <c r="M74" s="9" t="s">
        <v>444</v>
      </c>
    </row>
    <row r="75">
      <c r="A75" s="66"/>
      <c r="B75" s="67" t="s">
        <v>95</v>
      </c>
      <c r="J75" s="66"/>
      <c r="K75" s="66"/>
      <c r="L75" s="66"/>
      <c r="M75" s="66"/>
      <c r="N75" s="66"/>
      <c r="O75" s="66"/>
      <c r="P75" s="66"/>
      <c r="Q75" s="66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>
      <c r="A76" s="60">
        <v>8352.0</v>
      </c>
      <c r="B76" s="98">
        <v>45508.0</v>
      </c>
      <c r="C76" s="98"/>
      <c r="D76" s="135" t="s">
        <v>445</v>
      </c>
      <c r="E76" s="280">
        <v>1835081.0</v>
      </c>
      <c r="F76" s="99">
        <f>E76-E74</f>
        <v>840</v>
      </c>
      <c r="G76" s="101">
        <v>521.0</v>
      </c>
      <c r="H76" s="101">
        <v>284.0</v>
      </c>
      <c r="I76" s="101">
        <v>272.14</v>
      </c>
      <c r="J76" s="102">
        <f t="shared" ref="J76:J84" si="5">H76-I76</f>
        <v>11.86</v>
      </c>
      <c r="K76" s="103">
        <f t="shared" ref="K76:K84" si="6">I76/F76*100</f>
        <v>32.39761905</v>
      </c>
      <c r="L76" s="54"/>
      <c r="M76" s="82" t="str">
        <f>"тотал"&amp;" "&amp;B75</f>
        <v>тотал АВГУСТ</v>
      </c>
      <c r="N76" s="75"/>
      <c r="O76" s="76"/>
      <c r="P76" s="54"/>
      <c r="Q76" s="54"/>
    </row>
    <row r="77">
      <c r="A77" s="60">
        <v>8352.0</v>
      </c>
      <c r="B77" s="98">
        <v>45509.0</v>
      </c>
      <c r="C77" s="98"/>
      <c r="D77" s="135" t="s">
        <v>445</v>
      </c>
      <c r="E77" s="100">
        <v>1835761.0</v>
      </c>
      <c r="F77" s="99">
        <f t="shared" ref="F77:F84" si="7">E77-E76</f>
        <v>680</v>
      </c>
      <c r="G77" s="101">
        <v>521.0</v>
      </c>
      <c r="H77" s="101">
        <v>243.0</v>
      </c>
      <c r="I77" s="101">
        <v>220.45</v>
      </c>
      <c r="J77" s="102">
        <f t="shared" si="5"/>
        <v>22.55</v>
      </c>
      <c r="K77" s="103">
        <f t="shared" si="6"/>
        <v>32.41911765</v>
      </c>
      <c r="L77" s="54"/>
      <c r="M77" s="83" t="s">
        <v>70</v>
      </c>
      <c r="N77" s="83" t="s">
        <v>71</v>
      </c>
      <c r="O77" s="83" t="s">
        <v>27</v>
      </c>
      <c r="P77" s="54"/>
      <c r="Q77" s="54"/>
    </row>
    <row r="78">
      <c r="A78" s="60">
        <v>8352.0</v>
      </c>
      <c r="B78" s="98">
        <v>45510.0</v>
      </c>
      <c r="C78" s="98"/>
      <c r="D78" s="135" t="s">
        <v>445</v>
      </c>
      <c r="E78" s="280">
        <v>1836323.0</v>
      </c>
      <c r="F78" s="99">
        <f t="shared" si="7"/>
        <v>562</v>
      </c>
      <c r="G78" s="101">
        <v>517.0</v>
      </c>
      <c r="H78" s="101">
        <v>248.0</v>
      </c>
      <c r="I78" s="101">
        <v>220.0</v>
      </c>
      <c r="J78" s="102">
        <f t="shared" si="5"/>
        <v>28</v>
      </c>
      <c r="K78" s="103">
        <f t="shared" si="6"/>
        <v>39.14590747</v>
      </c>
      <c r="L78" s="54"/>
      <c r="M78" s="84">
        <f>SUM(F76:F84)</f>
        <v>6845</v>
      </c>
      <c r="N78" s="84">
        <f>SUM(I76:I84)</f>
        <v>2136.78</v>
      </c>
      <c r="O78" s="85">
        <f>N78/M78*100</f>
        <v>31.21665449</v>
      </c>
      <c r="P78" s="54"/>
      <c r="Q78" s="54"/>
    </row>
    <row r="79">
      <c r="A79" s="60">
        <v>8352.0</v>
      </c>
      <c r="B79" s="98">
        <v>45511.0</v>
      </c>
      <c r="C79" s="98"/>
      <c r="D79" s="135" t="s">
        <v>445</v>
      </c>
      <c r="E79" s="280">
        <v>1837068.0</v>
      </c>
      <c r="F79" s="99">
        <f t="shared" si="7"/>
        <v>745</v>
      </c>
      <c r="G79" s="101">
        <v>491.0</v>
      </c>
      <c r="H79" s="101">
        <v>231.0</v>
      </c>
      <c r="I79" s="101">
        <v>218.45</v>
      </c>
      <c r="J79" s="102">
        <f t="shared" si="5"/>
        <v>12.55</v>
      </c>
      <c r="K79" s="103">
        <f t="shared" si="6"/>
        <v>29.32214765</v>
      </c>
      <c r="L79" s="54"/>
      <c r="M79" s="484"/>
      <c r="N79" s="484"/>
      <c r="O79" s="484"/>
      <c r="P79" s="484"/>
      <c r="Q79" s="484"/>
      <c r="R79" s="484"/>
    </row>
    <row r="80">
      <c r="A80" s="60">
        <v>8352.0</v>
      </c>
      <c r="B80" s="98">
        <v>45512.0</v>
      </c>
      <c r="C80" s="98"/>
      <c r="D80" s="135" t="s">
        <v>445</v>
      </c>
      <c r="E80" s="100">
        <v>1837830.0</v>
      </c>
      <c r="F80" s="99">
        <f t="shared" si="7"/>
        <v>762</v>
      </c>
      <c r="G80" s="101">
        <v>499.0</v>
      </c>
      <c r="H80" s="101">
        <v>241.0</v>
      </c>
      <c r="I80" s="101">
        <v>220.0</v>
      </c>
      <c r="J80" s="102">
        <f t="shared" si="5"/>
        <v>21</v>
      </c>
      <c r="K80" s="103">
        <f t="shared" si="6"/>
        <v>28.87139108</v>
      </c>
      <c r="L80" s="54"/>
      <c r="M80" s="484"/>
      <c r="N80" s="484"/>
      <c r="O80" s="484"/>
      <c r="P80" s="484"/>
      <c r="Q80" s="484"/>
      <c r="R80" s="484"/>
    </row>
    <row r="81">
      <c r="A81" s="60">
        <v>8352.0</v>
      </c>
      <c r="B81" s="98">
        <v>45513.0</v>
      </c>
      <c r="C81" s="98"/>
      <c r="D81" s="135" t="s">
        <v>445</v>
      </c>
      <c r="E81" s="100">
        <v>1838571.0</v>
      </c>
      <c r="F81" s="99">
        <f t="shared" si="7"/>
        <v>741</v>
      </c>
      <c r="G81" s="101">
        <v>504.0</v>
      </c>
      <c r="H81" s="101">
        <v>240.0</v>
      </c>
      <c r="I81" s="101">
        <v>225.67</v>
      </c>
      <c r="J81" s="102">
        <f t="shared" si="5"/>
        <v>14.33</v>
      </c>
      <c r="K81" s="103">
        <f t="shared" si="6"/>
        <v>30.45479082</v>
      </c>
      <c r="L81" s="54"/>
      <c r="M81" s="484"/>
      <c r="N81" s="484"/>
      <c r="O81" s="484"/>
      <c r="P81" s="484"/>
      <c r="Q81" s="484"/>
      <c r="R81" s="484"/>
    </row>
    <row r="82">
      <c r="B82" s="485">
        <v>45515.0</v>
      </c>
      <c r="C82" s="485"/>
      <c r="D82" s="349" t="s">
        <v>86</v>
      </c>
      <c r="E82" s="104">
        <v>1839425.0</v>
      </c>
      <c r="F82" s="99">
        <f t="shared" si="7"/>
        <v>854</v>
      </c>
      <c r="G82" s="12">
        <v>515.0</v>
      </c>
      <c r="H82" s="12">
        <v>269.0</v>
      </c>
      <c r="I82" s="12">
        <v>260.07</v>
      </c>
      <c r="J82" s="102">
        <f t="shared" si="5"/>
        <v>8.93</v>
      </c>
      <c r="K82" s="103">
        <f t="shared" si="6"/>
        <v>30.45316159</v>
      </c>
      <c r="L82" s="54"/>
      <c r="M82" s="54"/>
      <c r="N82" s="54"/>
      <c r="O82" s="54"/>
      <c r="P82" s="54"/>
      <c r="Q82" s="54"/>
    </row>
    <row r="83">
      <c r="B83" s="98">
        <v>45521.0</v>
      </c>
      <c r="C83" s="98"/>
      <c r="D83" s="349" t="s">
        <v>86</v>
      </c>
      <c r="E83" s="104">
        <v>1840642.0</v>
      </c>
      <c r="F83" s="99">
        <f t="shared" si="7"/>
        <v>1217</v>
      </c>
      <c r="G83" s="12">
        <v>227.0</v>
      </c>
      <c r="H83" s="12">
        <v>117.0</v>
      </c>
      <c r="I83" s="12">
        <v>100.0</v>
      </c>
      <c r="J83" s="102">
        <f t="shared" si="5"/>
        <v>17</v>
      </c>
      <c r="K83" s="103">
        <f t="shared" si="6"/>
        <v>8.216926869</v>
      </c>
      <c r="L83" s="54"/>
      <c r="M83" s="54"/>
      <c r="N83" s="54"/>
      <c r="O83" s="54"/>
      <c r="P83" s="54"/>
      <c r="Q83" s="54"/>
    </row>
    <row r="84">
      <c r="A84" s="54"/>
      <c r="B84" s="98">
        <v>45523.0</v>
      </c>
      <c r="C84" s="98"/>
      <c r="D84" s="349" t="s">
        <v>86</v>
      </c>
      <c r="E84" s="100">
        <v>1841086.0</v>
      </c>
      <c r="F84" s="99">
        <f t="shared" si="7"/>
        <v>444</v>
      </c>
      <c r="G84" s="101">
        <v>504.0</v>
      </c>
      <c r="H84" s="101">
        <v>423.0</v>
      </c>
      <c r="I84" s="101">
        <v>400.0</v>
      </c>
      <c r="J84" s="102">
        <f t="shared" si="5"/>
        <v>23</v>
      </c>
      <c r="K84" s="103">
        <f t="shared" si="6"/>
        <v>90.09009009</v>
      </c>
      <c r="L84" s="54"/>
      <c r="M84" s="54"/>
      <c r="N84" s="54"/>
      <c r="O84" s="54"/>
      <c r="P84" s="54"/>
      <c r="Q84" s="54"/>
    </row>
    <row r="85">
      <c r="A85" s="66"/>
      <c r="B85" s="67" t="s">
        <v>104</v>
      </c>
      <c r="J85" s="66"/>
      <c r="K85" s="66"/>
      <c r="L85" s="66"/>
      <c r="M85" s="66"/>
      <c r="N85" s="66"/>
      <c r="O85" s="66"/>
      <c r="P85" s="66"/>
      <c r="Q85" s="66"/>
      <c r="R85" s="68"/>
      <c r="S85" s="68"/>
      <c r="T85" s="68"/>
      <c r="U85" s="68"/>
      <c r="V85" s="68"/>
      <c r="W85" s="68"/>
      <c r="X85" s="68"/>
      <c r="Y85" s="68"/>
      <c r="Z85" s="68"/>
      <c r="AA85" s="68"/>
    </row>
    <row r="86">
      <c r="A86" s="60"/>
      <c r="B86" s="98">
        <v>45547.0</v>
      </c>
      <c r="C86" s="98"/>
      <c r="D86" s="99"/>
      <c r="E86" s="100">
        <v>1842067.0</v>
      </c>
      <c r="F86" s="99">
        <f>E86-E84</f>
        <v>981</v>
      </c>
      <c r="G86" s="101">
        <v>544.0</v>
      </c>
      <c r="H86" s="101">
        <v>385.0</v>
      </c>
      <c r="I86" s="101">
        <v>345.0</v>
      </c>
      <c r="J86" s="102">
        <f>H86-I86</f>
        <v>40</v>
      </c>
      <c r="K86" s="103">
        <f>I86/F86*100</f>
        <v>35.16819572</v>
      </c>
      <c r="L86" s="54"/>
      <c r="M86" s="54"/>
      <c r="N86" s="54"/>
      <c r="O86" s="54"/>
      <c r="P86" s="54"/>
      <c r="Q86" s="54"/>
    </row>
    <row r="87">
      <c r="A87" s="66"/>
      <c r="B87" s="67" t="s">
        <v>96</v>
      </c>
      <c r="J87" s="66"/>
      <c r="K87" s="66"/>
      <c r="L87" s="66"/>
      <c r="M87" s="66"/>
      <c r="N87" s="66"/>
      <c r="O87" s="66"/>
      <c r="P87" s="66"/>
      <c r="Q87" s="66"/>
      <c r="R87" s="68"/>
      <c r="S87" s="68"/>
      <c r="T87" s="68"/>
      <c r="U87" s="68"/>
      <c r="V87" s="68"/>
      <c r="W87" s="68"/>
      <c r="X87" s="68"/>
      <c r="Y87" s="68"/>
      <c r="Z87" s="68"/>
      <c r="AA87" s="68"/>
    </row>
    <row r="88">
      <c r="A88" s="60">
        <v>8352.0</v>
      </c>
      <c r="B88" s="207">
        <v>45594.0</v>
      </c>
      <c r="C88" s="207"/>
      <c r="D88" s="486" t="s">
        <v>161</v>
      </c>
      <c r="E88" s="209">
        <v>1842681.0</v>
      </c>
      <c r="F88" s="208">
        <f>E88-E86</f>
        <v>614</v>
      </c>
      <c r="G88" s="338">
        <v>517.0</v>
      </c>
      <c r="H88" s="338">
        <v>246.0</v>
      </c>
      <c r="I88" s="211">
        <v>254.25</v>
      </c>
      <c r="J88" s="321">
        <f t="shared" ref="J88:J90" si="8">H88-I88</f>
        <v>-8.25</v>
      </c>
      <c r="K88" s="487">
        <f t="shared" ref="K88:K90" si="9">I88/F88*100</f>
        <v>41.40879479</v>
      </c>
      <c r="L88" s="54"/>
      <c r="M88" s="205" t="str">
        <f>"тотал"&amp;" "&amp;B87&amp;" "&amp;RIGHT(YEAR(B88),2)</f>
        <v>тотал ОКТЯБРЬ 24</v>
      </c>
      <c r="N88" s="75"/>
      <c r="O88" s="75"/>
      <c r="P88" s="75"/>
      <c r="Q88" s="76"/>
    </row>
    <row r="89">
      <c r="A89" s="60">
        <v>8352.0</v>
      </c>
      <c r="B89" s="207">
        <v>45595.0</v>
      </c>
      <c r="C89" s="207"/>
      <c r="D89" s="486" t="s">
        <v>161</v>
      </c>
      <c r="E89" s="209">
        <v>1843464.0</v>
      </c>
      <c r="F89" s="208">
        <f t="shared" ref="F89:F90" si="10">E89-E88</f>
        <v>783</v>
      </c>
      <c r="G89" s="338">
        <v>497.0</v>
      </c>
      <c r="H89" s="338">
        <v>236.0</v>
      </c>
      <c r="I89" s="211">
        <v>234.12</v>
      </c>
      <c r="J89" s="321">
        <f t="shared" si="8"/>
        <v>1.88</v>
      </c>
      <c r="K89" s="487">
        <f t="shared" si="9"/>
        <v>29.90038314</v>
      </c>
      <c r="L89" s="54"/>
      <c r="M89" s="83" t="s">
        <v>70</v>
      </c>
      <c r="N89" s="83" t="s">
        <v>71</v>
      </c>
      <c r="O89" s="83" t="s">
        <v>27</v>
      </c>
      <c r="P89" s="83" t="s">
        <v>28</v>
      </c>
      <c r="Q89" s="321" t="s">
        <v>78</v>
      </c>
    </row>
    <row r="90">
      <c r="A90" s="60">
        <v>8352.0</v>
      </c>
      <c r="B90" s="98">
        <v>45596.0</v>
      </c>
      <c r="C90" s="98"/>
      <c r="D90" s="486" t="s">
        <v>161</v>
      </c>
      <c r="E90" s="100">
        <v>1844229.0</v>
      </c>
      <c r="F90" s="99">
        <f t="shared" si="10"/>
        <v>765</v>
      </c>
      <c r="G90" s="101">
        <v>465.0</v>
      </c>
      <c r="H90" s="101">
        <v>225.0</v>
      </c>
      <c r="I90" s="101">
        <v>230.0</v>
      </c>
      <c r="J90" s="321">
        <f t="shared" si="8"/>
        <v>-5</v>
      </c>
      <c r="K90" s="487">
        <f t="shared" si="9"/>
        <v>30.06535948</v>
      </c>
      <c r="L90" s="54"/>
      <c r="M90" s="84">
        <f>SUM(F88:F90)</f>
        <v>2162</v>
      </c>
      <c r="N90" s="84">
        <f>SUM(I88:I90)</f>
        <v>718.37</v>
      </c>
      <c r="O90" s="85">
        <f>N90/M90*100</f>
        <v>33.22710453</v>
      </c>
      <c r="P90" s="84">
        <f>(M90/100)*(O90-Q90)</f>
        <v>80.58</v>
      </c>
      <c r="Q90" s="464">
        <v>29.5</v>
      </c>
    </row>
    <row r="91">
      <c r="A91" s="66"/>
      <c r="B91" s="67" t="s">
        <v>97</v>
      </c>
      <c r="J91" s="66"/>
      <c r="K91" s="66"/>
      <c r="L91" s="66"/>
      <c r="M91" s="66"/>
      <c r="N91" s="66"/>
      <c r="O91" s="66"/>
      <c r="P91" s="66"/>
      <c r="Q91" s="66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>
      <c r="A92" s="488">
        <v>8352.0</v>
      </c>
      <c r="B92" s="98">
        <v>45597.0</v>
      </c>
      <c r="C92" s="98"/>
      <c r="D92" s="486" t="s">
        <v>161</v>
      </c>
      <c r="E92" s="100">
        <v>1844969.0</v>
      </c>
      <c r="F92" s="99">
        <f>E92-E90</f>
        <v>740</v>
      </c>
      <c r="G92" s="101">
        <v>485.0</v>
      </c>
      <c r="H92" s="101">
        <v>266.0</v>
      </c>
      <c r="I92" s="101">
        <v>267.85</v>
      </c>
      <c r="J92" s="102">
        <f t="shared" ref="J92:J108" si="11">H92-I92</f>
        <v>-1.85</v>
      </c>
      <c r="K92" s="103">
        <f t="shared" ref="K92:K108" si="12">I92/F92*100</f>
        <v>36.19594595</v>
      </c>
      <c r="L92" s="54"/>
      <c r="M92" s="205" t="str">
        <f>"тотал"&amp;" "&amp;B91&amp;" "&amp;RIGHT(YEAR(B92),2)</f>
        <v>тотал НОЯБРЬ 24</v>
      </c>
      <c r="N92" s="75"/>
      <c r="O92" s="75"/>
      <c r="P92" s="75"/>
      <c r="Q92" s="76"/>
    </row>
    <row r="93">
      <c r="A93" s="488">
        <v>8352.0</v>
      </c>
      <c r="B93" s="98">
        <v>45598.0</v>
      </c>
      <c r="C93" s="98"/>
      <c r="D93" s="486" t="s">
        <v>161</v>
      </c>
      <c r="E93" s="100">
        <v>1845735.0</v>
      </c>
      <c r="F93" s="99">
        <f t="shared" ref="F93:F108" si="13">E93-E92</f>
        <v>766</v>
      </c>
      <c r="G93" s="101">
        <v>468.0</v>
      </c>
      <c r="H93" s="101">
        <v>265.0</v>
      </c>
      <c r="I93" s="101">
        <v>250.0</v>
      </c>
      <c r="J93" s="102">
        <f t="shared" si="11"/>
        <v>15</v>
      </c>
      <c r="K93" s="103">
        <f t="shared" si="12"/>
        <v>32.63707572</v>
      </c>
      <c r="L93" s="54"/>
      <c r="M93" s="83" t="s">
        <v>70</v>
      </c>
      <c r="N93" s="83" t="s">
        <v>71</v>
      </c>
      <c r="O93" s="83" t="s">
        <v>27</v>
      </c>
      <c r="P93" s="83" t="s">
        <v>28</v>
      </c>
      <c r="Q93" s="321" t="s">
        <v>78</v>
      </c>
    </row>
    <row r="94">
      <c r="A94" s="488">
        <v>8352.0</v>
      </c>
      <c r="B94" s="98">
        <v>45599.0</v>
      </c>
      <c r="C94" s="98"/>
      <c r="D94" s="486" t="s">
        <v>161</v>
      </c>
      <c r="E94" s="100">
        <v>1846474.0</v>
      </c>
      <c r="F94" s="99">
        <f t="shared" si="13"/>
        <v>739</v>
      </c>
      <c r="G94" s="101">
        <v>461.0</v>
      </c>
      <c r="H94" s="101">
        <v>258.0</v>
      </c>
      <c r="I94" s="101">
        <v>247.56</v>
      </c>
      <c r="J94" s="102">
        <f t="shared" si="11"/>
        <v>10.44</v>
      </c>
      <c r="K94" s="103">
        <f t="shared" si="12"/>
        <v>33.49932341</v>
      </c>
      <c r="L94" s="54"/>
      <c r="M94" s="84">
        <f>SUM(F92:F108)</f>
        <v>15862</v>
      </c>
      <c r="N94" s="84">
        <f>SUM(I92:I108)</f>
        <v>5228.19</v>
      </c>
      <c r="O94" s="85">
        <f>N94/M94*100</f>
        <v>32.96047157</v>
      </c>
      <c r="P94" s="84">
        <f>(M94/100)*(O94-Q94)</f>
        <v>731.313</v>
      </c>
      <c r="Q94" s="464">
        <v>28.35</v>
      </c>
    </row>
    <row r="95">
      <c r="A95" s="488">
        <v>8352.0</v>
      </c>
      <c r="B95" s="98">
        <v>45601.0</v>
      </c>
      <c r="C95" s="98"/>
      <c r="D95" s="486" t="s">
        <v>161</v>
      </c>
      <c r="E95" s="100">
        <v>1847241.0</v>
      </c>
      <c r="F95" s="99">
        <f t="shared" si="13"/>
        <v>767</v>
      </c>
      <c r="G95" s="101">
        <v>286.0</v>
      </c>
      <c r="H95" s="101">
        <v>286.0</v>
      </c>
      <c r="I95" s="101">
        <v>300.0</v>
      </c>
      <c r="J95" s="102">
        <f t="shared" si="11"/>
        <v>-14</v>
      </c>
      <c r="K95" s="103">
        <f t="shared" si="12"/>
        <v>39.11342894</v>
      </c>
      <c r="L95" s="54"/>
      <c r="M95" s="54"/>
      <c r="N95" s="54"/>
      <c r="O95" s="54"/>
      <c r="P95" s="54"/>
      <c r="Q95" s="54"/>
    </row>
    <row r="96">
      <c r="A96" s="488">
        <v>8352.0</v>
      </c>
      <c r="B96" s="98">
        <v>45602.0</v>
      </c>
      <c r="C96" s="98"/>
      <c r="D96" s="486" t="s">
        <v>161</v>
      </c>
      <c r="E96" s="100">
        <v>1847981.0</v>
      </c>
      <c r="F96" s="99">
        <f t="shared" si="13"/>
        <v>740</v>
      </c>
      <c r="G96" s="101">
        <v>318.0</v>
      </c>
      <c r="H96" s="101">
        <v>318.0</v>
      </c>
      <c r="I96" s="101">
        <v>287.56</v>
      </c>
      <c r="J96" s="102">
        <f t="shared" si="11"/>
        <v>30.44</v>
      </c>
      <c r="K96" s="103">
        <f t="shared" si="12"/>
        <v>38.85945946</v>
      </c>
      <c r="L96" s="54"/>
      <c r="M96" s="60"/>
      <c r="N96" s="60"/>
      <c r="O96" s="60"/>
      <c r="P96" s="54"/>
      <c r="Q96" s="54"/>
    </row>
    <row r="97">
      <c r="A97" s="489">
        <v>8352.0</v>
      </c>
      <c r="B97" s="98">
        <v>45603.0</v>
      </c>
      <c r="C97" s="98"/>
      <c r="D97" s="490" t="s">
        <v>161</v>
      </c>
      <c r="E97" s="100">
        <v>1848745.0</v>
      </c>
      <c r="F97" s="99">
        <f t="shared" si="13"/>
        <v>764</v>
      </c>
      <c r="G97" s="101">
        <v>506.0</v>
      </c>
      <c r="H97" s="101">
        <v>247.0</v>
      </c>
      <c r="I97" s="101">
        <v>243.0</v>
      </c>
      <c r="J97" s="102">
        <f t="shared" si="11"/>
        <v>4</v>
      </c>
      <c r="K97" s="103">
        <f t="shared" si="12"/>
        <v>31.80628272</v>
      </c>
      <c r="L97" s="54"/>
      <c r="M97" s="54"/>
      <c r="N97" s="60"/>
      <c r="O97" s="60"/>
      <c r="P97" s="54"/>
      <c r="Q97" s="54"/>
    </row>
    <row r="98">
      <c r="A98" s="489">
        <v>8352.0</v>
      </c>
      <c r="B98" s="98">
        <v>45604.0</v>
      </c>
      <c r="C98" s="98"/>
      <c r="D98" s="490" t="s">
        <v>161</v>
      </c>
      <c r="E98" s="100">
        <v>1849485.0</v>
      </c>
      <c r="F98" s="99">
        <f t="shared" si="13"/>
        <v>740</v>
      </c>
      <c r="G98" s="101">
        <v>496.0</v>
      </c>
      <c r="H98" s="101">
        <v>241.0</v>
      </c>
      <c r="I98" s="101">
        <v>250.0</v>
      </c>
      <c r="J98" s="102">
        <f t="shared" si="11"/>
        <v>-9</v>
      </c>
      <c r="K98" s="103">
        <f t="shared" si="12"/>
        <v>33.78378378</v>
      </c>
      <c r="L98" s="54"/>
      <c r="M98" s="54"/>
      <c r="N98" s="54"/>
      <c r="O98" s="54"/>
      <c r="P98" s="54"/>
      <c r="Q98" s="54"/>
    </row>
    <row r="99">
      <c r="A99" s="491">
        <v>7123.0</v>
      </c>
      <c r="B99" s="98">
        <v>45607.0</v>
      </c>
      <c r="C99" s="98"/>
      <c r="D99" s="100" t="s">
        <v>280</v>
      </c>
      <c r="E99" s="100">
        <v>1850332.0</v>
      </c>
      <c r="F99" s="99">
        <f t="shared" si="13"/>
        <v>847</v>
      </c>
      <c r="G99" s="101">
        <v>512.0</v>
      </c>
      <c r="H99" s="101">
        <v>280.0</v>
      </c>
      <c r="I99" s="101">
        <v>264.09</v>
      </c>
      <c r="J99" s="102">
        <f t="shared" si="11"/>
        <v>15.91</v>
      </c>
      <c r="K99" s="103">
        <f t="shared" si="12"/>
        <v>31.17945691</v>
      </c>
      <c r="L99" s="54"/>
      <c r="M99" s="54"/>
      <c r="N99" s="54"/>
      <c r="O99" s="54"/>
      <c r="P99" s="54"/>
      <c r="Q99" s="54"/>
    </row>
    <row r="100">
      <c r="A100" s="491">
        <v>7123.0</v>
      </c>
      <c r="B100" s="98">
        <v>45609.0</v>
      </c>
      <c r="C100" s="98"/>
      <c r="D100" s="100" t="s">
        <v>280</v>
      </c>
      <c r="E100" s="100">
        <v>1851373.0</v>
      </c>
      <c r="F100" s="99">
        <f t="shared" si="13"/>
        <v>1041</v>
      </c>
      <c r="G100" s="101">
        <v>521.0</v>
      </c>
      <c r="H100" s="101">
        <v>384.0</v>
      </c>
      <c r="I100" s="101">
        <v>355.08</v>
      </c>
      <c r="J100" s="102">
        <f t="shared" si="11"/>
        <v>28.92</v>
      </c>
      <c r="K100" s="103">
        <f t="shared" si="12"/>
        <v>34.10951009</v>
      </c>
      <c r="L100" s="54"/>
      <c r="M100" s="54"/>
      <c r="N100" s="54"/>
      <c r="O100" s="54"/>
      <c r="P100" s="54"/>
      <c r="Q100" s="54"/>
    </row>
    <row r="101">
      <c r="A101" s="491">
        <v>7123.0</v>
      </c>
      <c r="B101" s="98">
        <v>45611.0</v>
      </c>
      <c r="C101" s="98"/>
      <c r="D101" s="100" t="s">
        <v>280</v>
      </c>
      <c r="E101" s="100">
        <v>1852590.0</v>
      </c>
      <c r="F101" s="99">
        <f t="shared" si="13"/>
        <v>1217</v>
      </c>
      <c r="G101" s="101">
        <v>510.0</v>
      </c>
      <c r="H101" s="101">
        <v>387.0</v>
      </c>
      <c r="I101" s="101">
        <v>400.0</v>
      </c>
      <c r="J101" s="102">
        <f t="shared" si="11"/>
        <v>-13</v>
      </c>
      <c r="K101" s="103">
        <f t="shared" si="12"/>
        <v>32.86770748</v>
      </c>
      <c r="L101" s="54"/>
      <c r="M101" s="54"/>
      <c r="N101" s="54"/>
      <c r="O101" s="54"/>
      <c r="P101" s="54"/>
      <c r="Q101" s="54"/>
    </row>
    <row r="102">
      <c r="A102" s="491">
        <v>7123.0</v>
      </c>
      <c r="B102" s="98">
        <v>45612.0</v>
      </c>
      <c r="C102" s="98"/>
      <c r="D102" s="100" t="s">
        <v>280</v>
      </c>
      <c r="E102" s="100">
        <v>1853597.0</v>
      </c>
      <c r="F102" s="99">
        <f t="shared" si="13"/>
        <v>1007</v>
      </c>
      <c r="G102" s="101">
        <v>510.0</v>
      </c>
      <c r="H102" s="101">
        <v>354.0</v>
      </c>
      <c r="I102" s="101">
        <v>335.38</v>
      </c>
      <c r="J102" s="102">
        <f t="shared" si="11"/>
        <v>18.62</v>
      </c>
      <c r="K102" s="103">
        <f t="shared" si="12"/>
        <v>33.30486594</v>
      </c>
      <c r="L102" s="54"/>
      <c r="M102" s="54"/>
      <c r="N102" s="54"/>
      <c r="O102" s="54"/>
      <c r="P102" s="54"/>
      <c r="Q102" s="54"/>
    </row>
    <row r="103">
      <c r="A103" s="492" t="s">
        <v>446</v>
      </c>
      <c r="B103" s="98">
        <v>45614.0</v>
      </c>
      <c r="C103" s="98"/>
      <c r="D103" s="100" t="s">
        <v>280</v>
      </c>
      <c r="E103" s="100">
        <v>1854807.0</v>
      </c>
      <c r="F103" s="99">
        <f t="shared" si="13"/>
        <v>1210</v>
      </c>
      <c r="G103" s="101">
        <v>504.0</v>
      </c>
      <c r="H103" s="101">
        <v>371.0</v>
      </c>
      <c r="I103" s="101">
        <v>357.92</v>
      </c>
      <c r="J103" s="102">
        <f t="shared" si="11"/>
        <v>13.08</v>
      </c>
      <c r="K103" s="103">
        <f t="shared" si="12"/>
        <v>29.58016529</v>
      </c>
      <c r="L103" s="54"/>
      <c r="M103" s="54"/>
      <c r="N103" s="54"/>
      <c r="O103" s="54"/>
      <c r="P103" s="54"/>
      <c r="Q103" s="54"/>
    </row>
    <row r="104">
      <c r="A104" s="492" t="s">
        <v>446</v>
      </c>
      <c r="B104" s="98">
        <v>45615.0</v>
      </c>
      <c r="C104" s="98"/>
      <c r="D104" s="100" t="s">
        <v>280</v>
      </c>
      <c r="E104" s="100">
        <v>1855629.0</v>
      </c>
      <c r="F104" s="99">
        <f t="shared" si="13"/>
        <v>822</v>
      </c>
      <c r="G104" s="101">
        <v>514.0</v>
      </c>
      <c r="H104" s="101">
        <v>295.0</v>
      </c>
      <c r="I104" s="101">
        <v>280.0</v>
      </c>
      <c r="J104" s="102">
        <f t="shared" si="11"/>
        <v>15</v>
      </c>
      <c r="K104" s="103">
        <f t="shared" si="12"/>
        <v>34.06326034</v>
      </c>
      <c r="L104" s="54"/>
      <c r="M104" s="54"/>
      <c r="N104" s="54"/>
      <c r="O104" s="54"/>
      <c r="P104" s="54"/>
      <c r="Q104" s="54"/>
    </row>
    <row r="105">
      <c r="A105" s="492" t="s">
        <v>446</v>
      </c>
      <c r="B105" s="98">
        <v>45616.0</v>
      </c>
      <c r="C105" s="98"/>
      <c r="D105" s="100" t="s">
        <v>280</v>
      </c>
      <c r="E105" s="100">
        <v>1856702.0</v>
      </c>
      <c r="F105" s="99">
        <f t="shared" si="13"/>
        <v>1073</v>
      </c>
      <c r="G105" s="101">
        <v>504.0</v>
      </c>
      <c r="H105" s="101">
        <v>348.0</v>
      </c>
      <c r="I105" s="101">
        <v>340.5</v>
      </c>
      <c r="J105" s="102">
        <f t="shared" si="11"/>
        <v>7.5</v>
      </c>
      <c r="K105" s="103">
        <f t="shared" si="12"/>
        <v>31.7334576</v>
      </c>
      <c r="L105" s="54"/>
      <c r="M105" s="54"/>
      <c r="N105" s="54"/>
      <c r="O105" s="54"/>
      <c r="P105" s="54"/>
      <c r="Q105" s="54"/>
    </row>
    <row r="106">
      <c r="A106" s="178" t="str">
        <f t="shared" ref="A106:A108" si="14">A105</f>
        <v>0249</v>
      </c>
      <c r="B106" s="98">
        <v>45618.0</v>
      </c>
      <c r="C106" s="98"/>
      <c r="D106" s="100" t="s">
        <v>280</v>
      </c>
      <c r="E106" s="100">
        <v>1857981.0</v>
      </c>
      <c r="F106" s="99">
        <f t="shared" si="13"/>
        <v>1279</v>
      </c>
      <c r="G106" s="101">
        <v>490.0</v>
      </c>
      <c r="H106" s="101">
        <v>423.0</v>
      </c>
      <c r="I106" s="101">
        <v>400.0</v>
      </c>
      <c r="J106" s="102">
        <f t="shared" si="11"/>
        <v>23</v>
      </c>
      <c r="K106" s="103">
        <f t="shared" si="12"/>
        <v>31.27443315</v>
      </c>
      <c r="L106" s="54"/>
      <c r="M106" s="54"/>
      <c r="N106" s="54"/>
      <c r="O106" s="54"/>
      <c r="P106" s="54"/>
      <c r="Q106" s="54"/>
    </row>
    <row r="107">
      <c r="A107" s="178" t="str">
        <f t="shared" si="14"/>
        <v>0249</v>
      </c>
      <c r="B107" s="98">
        <v>45619.0</v>
      </c>
      <c r="C107" s="98"/>
      <c r="D107" s="100" t="s">
        <v>280</v>
      </c>
      <c r="E107" s="100">
        <v>1858874.0</v>
      </c>
      <c r="F107" s="99">
        <f t="shared" si="13"/>
        <v>893</v>
      </c>
      <c r="G107" s="101">
        <v>503.0</v>
      </c>
      <c r="H107" s="101">
        <v>309.0</v>
      </c>
      <c r="I107" s="101">
        <v>299.99</v>
      </c>
      <c r="J107" s="102">
        <f t="shared" si="11"/>
        <v>9.01</v>
      </c>
      <c r="K107" s="103">
        <f t="shared" si="12"/>
        <v>33.59350504</v>
      </c>
      <c r="L107" s="54"/>
      <c r="M107" s="54"/>
      <c r="N107" s="54"/>
      <c r="O107" s="54"/>
      <c r="P107" s="54"/>
      <c r="Q107" s="54"/>
    </row>
    <row r="108">
      <c r="A108" s="178" t="str">
        <f t="shared" si="14"/>
        <v>0249</v>
      </c>
      <c r="B108" s="98">
        <v>45621.0</v>
      </c>
      <c r="C108" s="98"/>
      <c r="D108" s="100" t="s">
        <v>280</v>
      </c>
      <c r="E108" s="100">
        <v>1860091.0</v>
      </c>
      <c r="F108" s="99">
        <f t="shared" si="13"/>
        <v>1217</v>
      </c>
      <c r="G108" s="101">
        <v>495.0</v>
      </c>
      <c r="H108" s="101">
        <v>361.0</v>
      </c>
      <c r="I108" s="101">
        <v>349.26</v>
      </c>
      <c r="J108" s="102">
        <f t="shared" si="11"/>
        <v>11.74</v>
      </c>
      <c r="K108" s="103">
        <f t="shared" si="12"/>
        <v>28.69843878</v>
      </c>
      <c r="L108" s="54"/>
      <c r="M108" s="54"/>
      <c r="N108" s="54"/>
      <c r="O108" s="54"/>
      <c r="P108" s="54"/>
      <c r="Q108" s="54"/>
    </row>
    <row r="109">
      <c r="A109" s="66"/>
      <c r="B109" s="67" t="s">
        <v>98</v>
      </c>
      <c r="J109" s="66"/>
      <c r="K109" s="66"/>
      <c r="L109" s="66"/>
      <c r="M109" s="66"/>
      <c r="N109" s="66"/>
      <c r="O109" s="66"/>
      <c r="P109" s="66"/>
      <c r="Q109" s="66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>
      <c r="A110" s="100"/>
      <c r="B110" s="98">
        <v>45637.0</v>
      </c>
      <c r="C110" s="98"/>
      <c r="D110" s="100" t="s">
        <v>280</v>
      </c>
      <c r="E110" s="100">
        <v>1861016.0</v>
      </c>
      <c r="F110" s="99">
        <f>E110-E108</f>
        <v>925</v>
      </c>
      <c r="G110" s="101">
        <v>483.0</v>
      </c>
      <c r="H110" s="101">
        <v>302.0</v>
      </c>
      <c r="I110" s="101">
        <v>300.03</v>
      </c>
      <c r="J110" s="102">
        <f t="shared" ref="J110:J117" si="15">H110-I110</f>
        <v>1.97</v>
      </c>
      <c r="K110" s="103">
        <f t="shared" ref="K110:K117" si="16">I110/F110*100</f>
        <v>32.43567568</v>
      </c>
      <c r="L110" s="54"/>
      <c r="M110" s="205" t="str">
        <f>"тотал"&amp;" "&amp;B109&amp;" "&amp;RIGHT(YEAR(B110),2)</f>
        <v>тотал ДЕКАБРЬ 24</v>
      </c>
      <c r="N110" s="75"/>
      <c r="O110" s="75"/>
      <c r="P110" s="75"/>
      <c r="Q110" s="76"/>
    </row>
    <row r="111">
      <c r="A111" s="54"/>
      <c r="B111" s="98">
        <v>45638.0</v>
      </c>
      <c r="C111" s="98"/>
      <c r="D111" s="100" t="s">
        <v>280</v>
      </c>
      <c r="E111" s="100">
        <v>1862087.0</v>
      </c>
      <c r="F111" s="99">
        <f t="shared" ref="F111:F117" si="17">E111-E110</f>
        <v>1071</v>
      </c>
      <c r="G111" s="101">
        <v>490.0</v>
      </c>
      <c r="H111" s="101">
        <v>331.0</v>
      </c>
      <c r="I111" s="101">
        <v>346.06</v>
      </c>
      <c r="J111" s="102">
        <f t="shared" si="15"/>
        <v>-15.06</v>
      </c>
      <c r="K111" s="103">
        <f t="shared" si="16"/>
        <v>32.31185808</v>
      </c>
      <c r="L111" s="54"/>
      <c r="M111" s="83" t="s">
        <v>70</v>
      </c>
      <c r="N111" s="83" t="s">
        <v>71</v>
      </c>
      <c r="O111" s="83" t="s">
        <v>27</v>
      </c>
      <c r="P111" s="83" t="s">
        <v>28</v>
      </c>
      <c r="Q111" s="321" t="s">
        <v>78</v>
      </c>
    </row>
    <row r="112">
      <c r="A112" s="54"/>
      <c r="B112" s="98">
        <v>45640.0</v>
      </c>
      <c r="C112" s="98"/>
      <c r="D112" s="100" t="s">
        <v>280</v>
      </c>
      <c r="E112" s="100">
        <v>1863309.0</v>
      </c>
      <c r="F112" s="99">
        <f t="shared" si="17"/>
        <v>1222</v>
      </c>
      <c r="G112" s="101">
        <v>487.0</v>
      </c>
      <c r="H112" s="101">
        <v>388.0</v>
      </c>
      <c r="I112" s="101">
        <v>400.0</v>
      </c>
      <c r="J112" s="102">
        <f t="shared" si="15"/>
        <v>-12</v>
      </c>
      <c r="K112" s="103">
        <f t="shared" si="16"/>
        <v>32.73322422</v>
      </c>
      <c r="L112" s="54"/>
      <c r="M112" s="84">
        <f>SUM(F110:F117)</f>
        <v>8963</v>
      </c>
      <c r="N112" s="84">
        <f>SUM(I110:I117)</f>
        <v>2799.3</v>
      </c>
      <c r="O112" s="85">
        <f>N112/M112*100</f>
        <v>31.23173045</v>
      </c>
      <c r="P112" s="84">
        <f>(M112/100)*(O112-Q112)</f>
        <v>255.6006</v>
      </c>
      <c r="Q112" s="464">
        <v>28.38</v>
      </c>
    </row>
    <row r="113">
      <c r="A113" s="54"/>
      <c r="B113" s="98">
        <v>45642.0</v>
      </c>
      <c r="C113" s="98"/>
      <c r="D113" s="100" t="s">
        <v>280</v>
      </c>
      <c r="E113" s="100">
        <v>1864476.0</v>
      </c>
      <c r="F113" s="99">
        <f t="shared" si="17"/>
        <v>1167</v>
      </c>
      <c r="G113" s="101">
        <v>469.0</v>
      </c>
      <c r="H113" s="101">
        <v>350.0</v>
      </c>
      <c r="I113" s="101">
        <v>345.05</v>
      </c>
      <c r="J113" s="102">
        <f t="shared" si="15"/>
        <v>4.95</v>
      </c>
      <c r="K113" s="103">
        <f t="shared" si="16"/>
        <v>29.5672665</v>
      </c>
      <c r="L113" s="54"/>
      <c r="M113" s="54"/>
      <c r="N113" s="54"/>
      <c r="O113" s="54"/>
      <c r="P113" s="54"/>
      <c r="Q113" s="54"/>
    </row>
    <row r="114">
      <c r="A114" s="54"/>
      <c r="B114" s="98">
        <v>45647.0</v>
      </c>
      <c r="C114" s="98"/>
      <c r="D114" s="99"/>
      <c r="E114" s="100">
        <v>1865528.0</v>
      </c>
      <c r="F114" s="99">
        <f t="shared" si="17"/>
        <v>1052</v>
      </c>
      <c r="G114" s="101">
        <v>434.0</v>
      </c>
      <c r="H114" s="101">
        <v>296.0</v>
      </c>
      <c r="I114" s="101">
        <v>300.0</v>
      </c>
      <c r="J114" s="102">
        <f t="shared" si="15"/>
        <v>-4</v>
      </c>
      <c r="K114" s="103">
        <f t="shared" si="16"/>
        <v>28.51711027</v>
      </c>
      <c r="L114" s="60"/>
      <c r="M114" s="60"/>
      <c r="N114" s="60"/>
      <c r="O114" s="54"/>
      <c r="P114" s="54"/>
      <c r="Q114" s="54"/>
    </row>
    <row r="115">
      <c r="A115" s="54"/>
      <c r="B115" s="98">
        <v>45651.0</v>
      </c>
      <c r="C115" s="98"/>
      <c r="D115" s="99"/>
      <c r="E115" s="100">
        <v>1866612.0</v>
      </c>
      <c r="F115" s="99">
        <f t="shared" si="17"/>
        <v>1084</v>
      </c>
      <c r="G115" s="101">
        <v>495.0</v>
      </c>
      <c r="H115" s="101">
        <v>382.0</v>
      </c>
      <c r="I115" s="101">
        <v>393.77</v>
      </c>
      <c r="J115" s="102">
        <f t="shared" si="15"/>
        <v>-11.77</v>
      </c>
      <c r="K115" s="103">
        <f t="shared" si="16"/>
        <v>36.32564576</v>
      </c>
      <c r="L115" s="54"/>
      <c r="M115" s="60"/>
      <c r="N115" s="60"/>
      <c r="O115" s="54"/>
      <c r="P115" s="54"/>
      <c r="Q115" s="54"/>
    </row>
    <row r="116">
      <c r="A116" s="54"/>
      <c r="B116" s="98">
        <v>45652.0</v>
      </c>
      <c r="C116" s="98"/>
      <c r="D116" s="99"/>
      <c r="E116" s="100">
        <v>1867913.0</v>
      </c>
      <c r="F116" s="99">
        <f t="shared" si="17"/>
        <v>1301</v>
      </c>
      <c r="G116" s="101">
        <v>494.0</v>
      </c>
      <c r="H116" s="101">
        <v>370.0</v>
      </c>
      <c r="I116" s="101">
        <v>365.38</v>
      </c>
      <c r="J116" s="102">
        <f t="shared" si="15"/>
        <v>4.62</v>
      </c>
      <c r="K116" s="103">
        <f t="shared" si="16"/>
        <v>28.08455035</v>
      </c>
      <c r="L116" s="54"/>
      <c r="M116" s="54"/>
      <c r="N116" s="54"/>
      <c r="O116" s="54"/>
      <c r="P116" s="54"/>
      <c r="Q116" s="54"/>
    </row>
    <row r="117">
      <c r="A117" s="54"/>
      <c r="B117" s="98">
        <v>45657.0</v>
      </c>
      <c r="C117" s="98"/>
      <c r="D117" s="99"/>
      <c r="E117" s="100">
        <v>1869054.0</v>
      </c>
      <c r="F117" s="99">
        <f t="shared" si="17"/>
        <v>1141</v>
      </c>
      <c r="G117" s="101">
        <v>475.0</v>
      </c>
      <c r="H117" s="101">
        <v>353.0</v>
      </c>
      <c r="I117" s="101">
        <v>349.01</v>
      </c>
      <c r="J117" s="102">
        <f t="shared" si="15"/>
        <v>3.99</v>
      </c>
      <c r="K117" s="103">
        <f t="shared" si="16"/>
        <v>30.58808063</v>
      </c>
      <c r="L117" s="54"/>
      <c r="M117" s="54"/>
      <c r="N117" s="54"/>
      <c r="O117" s="54"/>
      <c r="P117" s="54"/>
      <c r="Q117" s="54"/>
    </row>
    <row r="118">
      <c r="A118" s="66"/>
      <c r="B118" s="191">
        <v>2025.0</v>
      </c>
      <c r="J118" s="66"/>
      <c r="K118" s="66"/>
      <c r="L118" s="66"/>
      <c r="M118" s="66"/>
      <c r="N118" s="66"/>
      <c r="O118" s="66"/>
      <c r="P118" s="66"/>
      <c r="Q118" s="66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>
      <c r="A119" s="66"/>
      <c r="B119" s="67" t="s">
        <v>66</v>
      </c>
      <c r="J119" s="66"/>
      <c r="K119" s="66"/>
      <c r="L119" s="66"/>
      <c r="M119" s="66"/>
      <c r="N119" s="66"/>
      <c r="O119" s="66"/>
      <c r="P119" s="66"/>
      <c r="Q119" s="66"/>
      <c r="R119" s="68"/>
      <c r="S119" s="68"/>
      <c r="T119" s="68"/>
      <c r="U119" s="68"/>
      <c r="V119" s="68"/>
      <c r="W119" s="68"/>
      <c r="X119" s="68"/>
      <c r="Y119" s="68"/>
      <c r="Z119" s="68"/>
      <c r="AA119" s="68"/>
    </row>
    <row r="120">
      <c r="A120" s="54"/>
      <c r="B120" s="98">
        <v>45658.0</v>
      </c>
      <c r="C120" s="98"/>
      <c r="D120" s="99"/>
      <c r="E120" s="100">
        <v>1870063.0</v>
      </c>
      <c r="F120" s="99">
        <f>E120-E117</f>
        <v>1009</v>
      </c>
      <c r="G120" s="101">
        <v>460.0</v>
      </c>
      <c r="H120" s="101">
        <v>292.0</v>
      </c>
      <c r="I120" s="101">
        <v>296.49</v>
      </c>
      <c r="J120" s="102">
        <f t="shared" ref="J120:J136" si="18">H120-I120</f>
        <v>-4.49</v>
      </c>
      <c r="K120" s="103">
        <f t="shared" ref="K120:K134" si="19">I120/F120*100</f>
        <v>29.38453915</v>
      </c>
      <c r="L120" s="54"/>
      <c r="M120" s="205" t="str">
        <f>"тотал"&amp;" "&amp;B119&amp;" "&amp;RIGHT(YEAR(B120),2)</f>
        <v>тотал ЯНВАРЬ 25</v>
      </c>
      <c r="N120" s="75"/>
      <c r="O120" s="75"/>
      <c r="P120" s="75"/>
      <c r="Q120" s="76"/>
    </row>
    <row r="121">
      <c r="A121" s="54"/>
      <c r="B121" s="98">
        <v>45659.0</v>
      </c>
      <c r="C121" s="98"/>
      <c r="D121" s="99"/>
      <c r="E121" s="100">
        <v>1871274.0</v>
      </c>
      <c r="F121" s="99">
        <f t="shared" ref="F121:F134" si="20">E121-E120</f>
        <v>1211</v>
      </c>
      <c r="G121" s="101">
        <v>465.0</v>
      </c>
      <c r="H121" s="101">
        <v>392.0</v>
      </c>
      <c r="I121" s="101">
        <v>400.0</v>
      </c>
      <c r="J121" s="102">
        <f t="shared" si="18"/>
        <v>-8</v>
      </c>
      <c r="K121" s="103">
        <f t="shared" si="19"/>
        <v>33.03055326</v>
      </c>
      <c r="L121" s="54"/>
      <c r="M121" s="83" t="s">
        <v>70</v>
      </c>
      <c r="N121" s="83" t="s">
        <v>71</v>
      </c>
      <c r="O121" s="83" t="s">
        <v>27</v>
      </c>
      <c r="P121" s="83" t="s">
        <v>28</v>
      </c>
      <c r="Q121" s="321" t="s">
        <v>78</v>
      </c>
    </row>
    <row r="122">
      <c r="A122" s="54"/>
      <c r="B122" s="98">
        <v>45665.0</v>
      </c>
      <c r="C122" s="98"/>
      <c r="D122" s="99"/>
      <c r="E122" s="100">
        <v>1871512.0</v>
      </c>
      <c r="F122" s="99">
        <f t="shared" si="20"/>
        <v>238</v>
      </c>
      <c r="G122" s="101">
        <v>482.0</v>
      </c>
      <c r="H122" s="101">
        <v>116.0</v>
      </c>
      <c r="I122" s="101">
        <v>115.34</v>
      </c>
      <c r="J122" s="102">
        <f t="shared" si="18"/>
        <v>0.66</v>
      </c>
      <c r="K122" s="103">
        <f t="shared" si="19"/>
        <v>48.46218487</v>
      </c>
      <c r="L122" s="54"/>
      <c r="M122" s="84">
        <f>SUM(F120:F136)</f>
        <v>14530</v>
      </c>
      <c r="N122" s="84">
        <f>SUM(I120:I136)</f>
        <v>4437.84</v>
      </c>
      <c r="O122" s="85">
        <f>N122/M122*100</f>
        <v>30.54260151</v>
      </c>
      <c r="P122" s="84">
        <f>(M122/100)*(O122-Q122)</f>
        <v>318.585</v>
      </c>
      <c r="Q122" s="464">
        <v>28.35</v>
      </c>
    </row>
    <row r="123">
      <c r="A123" s="54"/>
      <c r="B123" s="98">
        <v>45666.0</v>
      </c>
      <c r="C123" s="98"/>
      <c r="D123" s="99"/>
      <c r="E123" s="100">
        <v>1872493.0</v>
      </c>
      <c r="F123" s="99">
        <f t="shared" si="20"/>
        <v>981</v>
      </c>
      <c r="G123" s="101">
        <v>494.0</v>
      </c>
      <c r="H123" s="101">
        <v>353.0</v>
      </c>
      <c r="I123" s="101">
        <v>347.82</v>
      </c>
      <c r="J123" s="102">
        <f t="shared" si="18"/>
        <v>5.18</v>
      </c>
      <c r="K123" s="103">
        <f t="shared" si="19"/>
        <v>35.45565749</v>
      </c>
      <c r="L123" s="54"/>
      <c r="M123" s="54"/>
      <c r="N123" s="54"/>
      <c r="O123" s="54"/>
      <c r="P123" s="54"/>
      <c r="Q123" s="54"/>
    </row>
    <row r="124">
      <c r="A124" s="54"/>
      <c r="B124" s="98">
        <v>45667.0</v>
      </c>
      <c r="C124" s="98"/>
      <c r="D124" s="99"/>
      <c r="E124" s="100">
        <v>1873200.0</v>
      </c>
      <c r="F124" s="99">
        <f t="shared" si="20"/>
        <v>707</v>
      </c>
      <c r="G124" s="101">
        <v>494.0</v>
      </c>
      <c r="H124" s="101">
        <v>212.0</v>
      </c>
      <c r="I124" s="101">
        <v>204.53</v>
      </c>
      <c r="J124" s="102">
        <f t="shared" si="18"/>
        <v>7.47</v>
      </c>
      <c r="K124" s="103">
        <f t="shared" si="19"/>
        <v>28.92927864</v>
      </c>
      <c r="L124" s="60"/>
      <c r="M124" s="60"/>
      <c r="N124" s="60"/>
      <c r="O124" s="54"/>
      <c r="P124" s="54"/>
      <c r="Q124" s="54"/>
    </row>
    <row r="125">
      <c r="A125" s="54"/>
      <c r="B125" s="98">
        <v>45668.0</v>
      </c>
      <c r="C125" s="98"/>
      <c r="D125" s="99"/>
      <c r="E125" s="100">
        <v>1874132.0</v>
      </c>
      <c r="F125" s="99">
        <f t="shared" si="20"/>
        <v>932</v>
      </c>
      <c r="G125" s="101">
        <v>499.0</v>
      </c>
      <c r="H125" s="101">
        <v>304.0</v>
      </c>
      <c r="I125" s="101">
        <v>287.96</v>
      </c>
      <c r="J125" s="102">
        <f t="shared" si="18"/>
        <v>16.04</v>
      </c>
      <c r="K125" s="103">
        <f t="shared" si="19"/>
        <v>30.89699571</v>
      </c>
      <c r="L125" s="54"/>
      <c r="M125" s="60"/>
      <c r="N125" s="60"/>
      <c r="O125" s="54"/>
      <c r="P125" s="54"/>
      <c r="Q125" s="54"/>
    </row>
    <row r="126">
      <c r="A126" s="54"/>
      <c r="B126" s="98">
        <v>45670.0</v>
      </c>
      <c r="C126" s="98"/>
      <c r="D126" s="99"/>
      <c r="E126" s="100">
        <v>1874960.0</v>
      </c>
      <c r="F126" s="99">
        <f t="shared" si="20"/>
        <v>828</v>
      </c>
      <c r="G126" s="101">
        <v>496.0</v>
      </c>
      <c r="H126" s="101">
        <v>232.0</v>
      </c>
      <c r="I126" s="101">
        <v>236.59</v>
      </c>
      <c r="J126" s="102">
        <f t="shared" si="18"/>
        <v>-4.59</v>
      </c>
      <c r="K126" s="103">
        <f t="shared" si="19"/>
        <v>28.5736715</v>
      </c>
      <c r="L126" s="54"/>
      <c r="M126" s="54"/>
      <c r="N126" s="54"/>
      <c r="O126" s="54"/>
      <c r="P126" s="54"/>
      <c r="Q126" s="54"/>
    </row>
    <row r="127">
      <c r="A127" s="54"/>
      <c r="B127" s="98">
        <v>45671.0</v>
      </c>
      <c r="C127" s="98"/>
      <c r="D127" s="99"/>
      <c r="E127" s="100">
        <v>1876061.0</v>
      </c>
      <c r="F127" s="99">
        <f t="shared" si="20"/>
        <v>1101</v>
      </c>
      <c r="G127" s="101">
        <v>491.0</v>
      </c>
      <c r="H127" s="101">
        <v>329.0</v>
      </c>
      <c r="I127" s="101">
        <v>321.22</v>
      </c>
      <c r="J127" s="102">
        <f t="shared" si="18"/>
        <v>7.78</v>
      </c>
      <c r="K127" s="103">
        <f t="shared" si="19"/>
        <v>29.17529519</v>
      </c>
      <c r="L127" s="54"/>
      <c r="M127" s="54"/>
      <c r="N127" s="54"/>
      <c r="O127" s="54"/>
      <c r="P127" s="54"/>
      <c r="Q127" s="54"/>
    </row>
    <row r="128">
      <c r="A128" s="54"/>
      <c r="B128" s="98">
        <v>45672.0</v>
      </c>
      <c r="C128" s="98"/>
      <c r="D128" s="99"/>
      <c r="E128" s="100">
        <v>1876830.0</v>
      </c>
      <c r="F128" s="99">
        <f t="shared" si="20"/>
        <v>769</v>
      </c>
      <c r="G128" s="101">
        <v>505.0</v>
      </c>
      <c r="H128" s="101">
        <v>256.0</v>
      </c>
      <c r="I128" s="101">
        <v>246.43</v>
      </c>
      <c r="J128" s="102">
        <f t="shared" si="18"/>
        <v>9.57</v>
      </c>
      <c r="K128" s="103">
        <f t="shared" si="19"/>
        <v>32.04551365</v>
      </c>
      <c r="L128" s="54"/>
      <c r="M128" s="54"/>
      <c r="N128" s="54"/>
      <c r="O128" s="54"/>
      <c r="P128" s="54"/>
      <c r="Q128" s="54"/>
    </row>
    <row r="129">
      <c r="A129" s="54"/>
      <c r="B129" s="98">
        <v>45674.0</v>
      </c>
      <c r="C129" s="98"/>
      <c r="D129" s="99"/>
      <c r="E129" s="100">
        <v>1877797.0</v>
      </c>
      <c r="F129" s="99">
        <f t="shared" si="20"/>
        <v>967</v>
      </c>
      <c r="G129" s="101">
        <v>486.0</v>
      </c>
      <c r="H129" s="101">
        <v>279.0</v>
      </c>
      <c r="I129" s="101">
        <v>274.89</v>
      </c>
      <c r="J129" s="102">
        <f t="shared" si="18"/>
        <v>4.11</v>
      </c>
      <c r="K129" s="103">
        <f t="shared" si="19"/>
        <v>28.42709411</v>
      </c>
      <c r="L129" s="54"/>
      <c r="M129" s="54"/>
      <c r="N129" s="54"/>
      <c r="O129" s="54"/>
      <c r="P129" s="54"/>
      <c r="Q129" s="54"/>
    </row>
    <row r="130">
      <c r="A130" s="54"/>
      <c r="B130" s="98">
        <v>45675.0</v>
      </c>
      <c r="C130" s="98"/>
      <c r="D130" s="99"/>
      <c r="E130" s="100">
        <v>1878703.0</v>
      </c>
      <c r="F130" s="99">
        <f t="shared" si="20"/>
        <v>906</v>
      </c>
      <c r="G130" s="101">
        <v>498.0</v>
      </c>
      <c r="H130" s="101">
        <v>274.0</v>
      </c>
      <c r="I130" s="101">
        <v>272.84</v>
      </c>
      <c r="J130" s="102">
        <f t="shared" si="18"/>
        <v>1.16</v>
      </c>
      <c r="K130" s="103">
        <f t="shared" si="19"/>
        <v>30.11479029</v>
      </c>
      <c r="L130" s="54"/>
      <c r="M130" s="54"/>
      <c r="N130" s="54"/>
      <c r="O130" s="54"/>
      <c r="P130" s="54"/>
      <c r="Q130" s="54"/>
    </row>
    <row r="131">
      <c r="A131" s="54"/>
      <c r="B131" s="98">
        <v>45676.0</v>
      </c>
      <c r="C131" s="98"/>
      <c r="D131" s="99"/>
      <c r="E131" s="100">
        <v>1879699.0</v>
      </c>
      <c r="F131" s="99">
        <f t="shared" si="20"/>
        <v>996</v>
      </c>
      <c r="G131" s="101">
        <v>494.0</v>
      </c>
      <c r="H131" s="101">
        <v>292.0</v>
      </c>
      <c r="I131" s="101">
        <v>283.9</v>
      </c>
      <c r="J131" s="102">
        <f t="shared" si="18"/>
        <v>8.1</v>
      </c>
      <c r="K131" s="103">
        <f t="shared" si="19"/>
        <v>28.50401606</v>
      </c>
      <c r="L131" s="54"/>
      <c r="M131" s="54"/>
      <c r="N131" s="54"/>
      <c r="O131" s="54"/>
      <c r="P131" s="54"/>
      <c r="Q131" s="54"/>
    </row>
    <row r="132">
      <c r="A132" s="54"/>
      <c r="B132" s="98">
        <v>45677.0</v>
      </c>
      <c r="C132" s="98"/>
      <c r="D132" s="99"/>
      <c r="E132" s="100">
        <v>1880713.0</v>
      </c>
      <c r="F132" s="99">
        <f t="shared" si="20"/>
        <v>1014</v>
      </c>
      <c r="G132" s="101">
        <v>493.0</v>
      </c>
      <c r="H132" s="101">
        <v>293.0</v>
      </c>
      <c r="I132" s="101">
        <v>291.19</v>
      </c>
      <c r="J132" s="102">
        <f t="shared" si="18"/>
        <v>1.81</v>
      </c>
      <c r="K132" s="103">
        <f t="shared" si="19"/>
        <v>28.71696252</v>
      </c>
      <c r="L132" s="54"/>
      <c r="M132" s="54"/>
      <c r="N132" s="54"/>
      <c r="O132" s="54"/>
      <c r="P132" s="54"/>
      <c r="Q132" s="54"/>
    </row>
    <row r="133">
      <c r="A133" s="54"/>
      <c r="B133" s="98">
        <v>45678.0</v>
      </c>
      <c r="C133" s="98"/>
      <c r="D133" s="99"/>
      <c r="E133" s="100">
        <v>1881618.0</v>
      </c>
      <c r="F133" s="99">
        <f t="shared" si="20"/>
        <v>905</v>
      </c>
      <c r="G133" s="101">
        <v>498.0</v>
      </c>
      <c r="H133" s="101">
        <v>299.0</v>
      </c>
      <c r="I133" s="101">
        <v>278.61</v>
      </c>
      <c r="J133" s="102">
        <f t="shared" si="18"/>
        <v>20.39</v>
      </c>
      <c r="K133" s="103">
        <f t="shared" si="19"/>
        <v>30.78563536</v>
      </c>
      <c r="L133" s="54"/>
      <c r="M133" s="54"/>
      <c r="N133" s="54"/>
      <c r="O133" s="54"/>
      <c r="P133" s="54"/>
      <c r="Q133" s="54"/>
    </row>
    <row r="134">
      <c r="A134" s="54"/>
      <c r="B134" s="98">
        <v>45680.0</v>
      </c>
      <c r="C134" s="98"/>
      <c r="D134" s="99"/>
      <c r="E134" s="100">
        <v>1882905.0</v>
      </c>
      <c r="F134" s="99">
        <f t="shared" si="20"/>
        <v>1287</v>
      </c>
      <c r="G134" s="101">
        <v>487.0</v>
      </c>
      <c r="H134" s="101">
        <v>363.0</v>
      </c>
      <c r="I134" s="101">
        <v>370.03</v>
      </c>
      <c r="J134" s="102">
        <f t="shared" si="18"/>
        <v>-7.03</v>
      </c>
      <c r="K134" s="103">
        <f t="shared" si="19"/>
        <v>28.75135975</v>
      </c>
      <c r="L134" s="54"/>
      <c r="M134" s="54"/>
      <c r="N134" s="54"/>
      <c r="O134" s="54"/>
      <c r="P134" s="54"/>
      <c r="Q134" s="54"/>
    </row>
    <row r="135">
      <c r="A135" s="54"/>
      <c r="B135" s="98">
        <v>45683.0</v>
      </c>
      <c r="C135" s="98"/>
      <c r="D135" s="99"/>
      <c r="E135" s="99"/>
      <c r="F135" s="99"/>
      <c r="G135" s="102"/>
      <c r="H135" s="102"/>
      <c r="I135" s="101">
        <v>10.0</v>
      </c>
      <c r="J135" s="102">
        <f t="shared" si="18"/>
        <v>-10</v>
      </c>
      <c r="K135" s="103"/>
      <c r="L135" s="54"/>
      <c r="M135" s="54"/>
      <c r="N135" s="54"/>
      <c r="O135" s="54"/>
      <c r="P135" s="54"/>
      <c r="Q135" s="54"/>
    </row>
    <row r="136">
      <c r="A136" s="54"/>
      <c r="B136" s="98">
        <v>45686.0</v>
      </c>
      <c r="C136" s="98"/>
      <c r="D136" s="99"/>
      <c r="E136" s="100">
        <v>1883584.0</v>
      </c>
      <c r="F136" s="99">
        <f>E136-E134</f>
        <v>679</v>
      </c>
      <c r="G136" s="101">
        <v>454.0</v>
      </c>
      <c r="H136" s="101">
        <v>202.0</v>
      </c>
      <c r="I136" s="101">
        <v>200.0</v>
      </c>
      <c r="J136" s="102">
        <f t="shared" si="18"/>
        <v>2</v>
      </c>
      <c r="K136" s="103">
        <f>I136/F136*100</f>
        <v>29.455081</v>
      </c>
      <c r="L136" s="54"/>
      <c r="M136" s="54"/>
      <c r="N136" s="54"/>
      <c r="O136" s="54"/>
      <c r="P136" s="54"/>
      <c r="Q136" s="54"/>
    </row>
    <row r="137">
      <c r="A137" s="68"/>
      <c r="B137" s="203" t="str">
        <f>IF(L137=4,"АПРЕЛЬ",IF(L137=5,"МАЙ",IF(L137=1,"ЯНВАРЬ",IF(L137=2,"ФЕВРАЛЬ",IF(L137=3,"МАРТ",IF(L137=6,"ИЮНЬ",IF(L137=7,"ИЮЛЬ",IF(L137=8,"АВГУСТ",IF(L137=9,"СЕНТЯБРЬ",IF(L137=10,"ОКТЯБРЬ",IF(L137=11,"НОЯБРЬ",IF(L137=12,"ДЕКАБРЬ"))))))))))))</f>
        <v>ФЕВРАЛЬ</v>
      </c>
      <c r="J137" s="88"/>
      <c r="K137" s="204"/>
      <c r="L137" s="91">
        <f>MONTH(B138)</f>
        <v>2</v>
      </c>
      <c r="M137" s="66"/>
      <c r="N137" s="66"/>
      <c r="O137" s="66"/>
      <c r="P137" s="66"/>
      <c r="Q137" s="66"/>
    </row>
    <row r="138">
      <c r="A138" s="54"/>
      <c r="B138" s="98">
        <v>45689.0</v>
      </c>
      <c r="C138" s="98"/>
      <c r="D138" s="99"/>
      <c r="E138" s="100">
        <v>1883939.0</v>
      </c>
      <c r="F138" s="99">
        <f>E138-E136</f>
        <v>355</v>
      </c>
      <c r="G138" s="101">
        <v>499.0</v>
      </c>
      <c r="H138" s="101">
        <v>179.0</v>
      </c>
      <c r="I138" s="101">
        <v>168.49</v>
      </c>
      <c r="J138" s="102">
        <f t="shared" ref="J138:J152" si="21">H138-I138</f>
        <v>10.51</v>
      </c>
      <c r="K138" s="103">
        <f t="shared" ref="K138:K142" si="22">I138/F138*100</f>
        <v>47.46197183</v>
      </c>
      <c r="L138" s="54"/>
      <c r="M138" s="205" t="str">
        <f>"тотал"&amp;" "&amp;B137&amp;" "&amp;RIGHT(YEAR(B138),2)</f>
        <v>тотал ФЕВРАЛЬ 25</v>
      </c>
      <c r="N138" s="75"/>
      <c r="O138" s="75"/>
      <c r="P138" s="75"/>
      <c r="Q138" s="76"/>
    </row>
    <row r="139">
      <c r="A139" s="54"/>
      <c r="B139" s="98">
        <v>45690.0</v>
      </c>
      <c r="C139" s="98"/>
      <c r="D139" s="99"/>
      <c r="E139" s="100">
        <v>1885042.0</v>
      </c>
      <c r="F139" s="99">
        <f t="shared" ref="F139:F142" si="23">E139-E138</f>
        <v>1103</v>
      </c>
      <c r="G139" s="101">
        <v>494.0</v>
      </c>
      <c r="H139" s="101">
        <v>351.0</v>
      </c>
      <c r="I139" s="101">
        <v>344.52</v>
      </c>
      <c r="J139" s="102">
        <f t="shared" si="21"/>
        <v>6.48</v>
      </c>
      <c r="K139" s="103">
        <f t="shared" si="22"/>
        <v>31.23481414</v>
      </c>
      <c r="L139" s="54"/>
      <c r="M139" s="83" t="s">
        <v>70</v>
      </c>
      <c r="N139" s="83" t="s">
        <v>71</v>
      </c>
      <c r="O139" s="83" t="s">
        <v>27</v>
      </c>
      <c r="P139" s="83" t="s">
        <v>28</v>
      </c>
      <c r="Q139" s="321" t="s">
        <v>78</v>
      </c>
    </row>
    <row r="140">
      <c r="A140" s="54"/>
      <c r="B140" s="98">
        <v>45691.0</v>
      </c>
      <c r="C140" s="98"/>
      <c r="D140" s="99"/>
      <c r="E140" s="100">
        <v>1885847.0</v>
      </c>
      <c r="F140" s="99">
        <f t="shared" si="23"/>
        <v>805</v>
      </c>
      <c r="G140" s="101">
        <v>465.0</v>
      </c>
      <c r="H140" s="101">
        <v>212.0</v>
      </c>
      <c r="I140" s="101">
        <v>197.16</v>
      </c>
      <c r="J140" s="102">
        <f t="shared" si="21"/>
        <v>14.84</v>
      </c>
      <c r="K140" s="103">
        <f t="shared" si="22"/>
        <v>24.49192547</v>
      </c>
      <c r="L140" s="54"/>
      <c r="M140" s="84">
        <f>SUM(F138:F152)</f>
        <v>11444</v>
      </c>
      <c r="N140" s="84">
        <f>SUM(I138:I152)</f>
        <v>3910.04</v>
      </c>
      <c r="O140" s="85">
        <f>N140/M140*100</f>
        <v>34.16672492</v>
      </c>
      <c r="P140" s="84">
        <f>(M140/100)*(O140-Q140)</f>
        <v>614.168</v>
      </c>
      <c r="Q140" s="464">
        <v>28.8</v>
      </c>
    </row>
    <row r="141">
      <c r="A141" s="54"/>
      <c r="B141" s="98">
        <v>45692.0</v>
      </c>
      <c r="C141" s="98"/>
      <c r="D141" s="99"/>
      <c r="E141" s="100">
        <v>1886779.0</v>
      </c>
      <c r="F141" s="99">
        <f t="shared" si="23"/>
        <v>932</v>
      </c>
      <c r="G141" s="101">
        <v>497.0</v>
      </c>
      <c r="H141" s="101">
        <v>341.0</v>
      </c>
      <c r="I141" s="101">
        <v>335.94</v>
      </c>
      <c r="J141" s="102">
        <f t="shared" si="21"/>
        <v>5.06</v>
      </c>
      <c r="K141" s="103">
        <f t="shared" si="22"/>
        <v>36.04506438</v>
      </c>
      <c r="L141" s="54"/>
      <c r="M141" s="54"/>
      <c r="N141" s="54"/>
      <c r="O141" s="54"/>
      <c r="P141" s="54"/>
      <c r="Q141" s="54"/>
    </row>
    <row r="142">
      <c r="A142" s="54"/>
      <c r="B142" s="98">
        <v>45693.0</v>
      </c>
      <c r="C142" s="98"/>
      <c r="D142" s="99"/>
      <c r="E142" s="100">
        <v>1887492.0</v>
      </c>
      <c r="F142" s="99">
        <f t="shared" si="23"/>
        <v>713</v>
      </c>
      <c r="G142" s="101">
        <v>485.0</v>
      </c>
      <c r="H142" s="101">
        <v>205.0</v>
      </c>
      <c r="I142" s="101">
        <v>198.55</v>
      </c>
      <c r="J142" s="102">
        <f t="shared" si="21"/>
        <v>6.45</v>
      </c>
      <c r="K142" s="103">
        <f t="shared" si="22"/>
        <v>27.84712482</v>
      </c>
      <c r="L142" s="60"/>
      <c r="M142" s="60"/>
      <c r="N142" s="60"/>
      <c r="O142" s="54"/>
      <c r="P142" s="54"/>
      <c r="Q142" s="54"/>
    </row>
    <row r="143">
      <c r="A143" s="54"/>
      <c r="B143" s="98">
        <v>45694.0</v>
      </c>
      <c r="C143" s="98"/>
      <c r="D143" s="99"/>
      <c r="E143" s="100"/>
      <c r="F143" s="99"/>
      <c r="G143" s="102"/>
      <c r="H143" s="102"/>
      <c r="I143" s="101">
        <v>10.0</v>
      </c>
      <c r="J143" s="102">
        <f t="shared" si="21"/>
        <v>-10</v>
      </c>
      <c r="K143" s="103"/>
      <c r="L143" s="54"/>
      <c r="M143" s="60"/>
      <c r="N143" s="60"/>
      <c r="O143" s="54"/>
      <c r="P143" s="54"/>
      <c r="Q143" s="54"/>
    </row>
    <row r="144">
      <c r="A144" s="54"/>
      <c r="B144" s="98">
        <v>45694.0</v>
      </c>
      <c r="C144" s="98"/>
      <c r="D144" s="99"/>
      <c r="E144" s="100">
        <v>1888425.0</v>
      </c>
      <c r="F144" s="99">
        <f>E144-E142</f>
        <v>933</v>
      </c>
      <c r="G144" s="101">
        <v>502.0</v>
      </c>
      <c r="H144" s="101">
        <v>337.0</v>
      </c>
      <c r="I144" s="101">
        <v>333.19</v>
      </c>
      <c r="J144" s="102">
        <f t="shared" si="21"/>
        <v>3.81</v>
      </c>
      <c r="K144" s="103">
        <f t="shared" ref="K144:K152" si="24">I144/F144*100</f>
        <v>35.71168274</v>
      </c>
      <c r="L144" s="54"/>
      <c r="M144" s="54"/>
      <c r="N144" s="54"/>
      <c r="O144" s="54"/>
      <c r="P144" s="54"/>
      <c r="Q144" s="54"/>
    </row>
    <row r="145">
      <c r="A145" s="54"/>
      <c r="B145" s="98">
        <v>45695.0</v>
      </c>
      <c r="C145" s="98"/>
      <c r="D145" s="99"/>
      <c r="E145" s="100">
        <v>1889140.0</v>
      </c>
      <c r="F145" s="99">
        <f t="shared" ref="F145:F152" si="25">E145-E144</f>
        <v>715</v>
      </c>
      <c r="G145" s="101">
        <v>495.0</v>
      </c>
      <c r="H145" s="101">
        <v>228.0</v>
      </c>
      <c r="I145" s="101">
        <v>224.9</v>
      </c>
      <c r="J145" s="102">
        <f t="shared" si="21"/>
        <v>3.1</v>
      </c>
      <c r="K145" s="103">
        <f t="shared" si="24"/>
        <v>31.45454545</v>
      </c>
      <c r="L145" s="54"/>
      <c r="M145" s="54"/>
      <c r="N145" s="54"/>
      <c r="O145" s="54"/>
      <c r="P145" s="54"/>
      <c r="Q145" s="54"/>
    </row>
    <row r="146">
      <c r="A146" s="54"/>
      <c r="B146" s="98">
        <v>45696.0</v>
      </c>
      <c r="C146" s="98"/>
      <c r="D146" s="99"/>
      <c r="E146" s="100">
        <v>1890073.0</v>
      </c>
      <c r="F146" s="99">
        <f t="shared" si="25"/>
        <v>933</v>
      </c>
      <c r="G146" s="101">
        <v>487.0</v>
      </c>
      <c r="H146" s="101">
        <v>325.0</v>
      </c>
      <c r="I146" s="101">
        <v>331.3</v>
      </c>
      <c r="J146" s="102">
        <f t="shared" si="21"/>
        <v>-6.3</v>
      </c>
      <c r="K146" s="103">
        <f t="shared" si="24"/>
        <v>35.5091104</v>
      </c>
      <c r="L146" s="54"/>
      <c r="M146" s="54"/>
      <c r="N146" s="54"/>
      <c r="O146" s="54"/>
      <c r="P146" s="54"/>
      <c r="Q146" s="54"/>
    </row>
    <row r="147">
      <c r="A147" s="54"/>
      <c r="B147" s="98">
        <v>45697.0</v>
      </c>
      <c r="C147" s="98"/>
      <c r="D147" s="99"/>
      <c r="E147" s="100">
        <v>1890787.0</v>
      </c>
      <c r="F147" s="99">
        <f t="shared" si="25"/>
        <v>714</v>
      </c>
      <c r="G147" s="101">
        <v>499.0</v>
      </c>
      <c r="H147" s="101">
        <v>234.0</v>
      </c>
      <c r="I147" s="101">
        <v>228.49</v>
      </c>
      <c r="J147" s="102">
        <f t="shared" si="21"/>
        <v>5.51</v>
      </c>
      <c r="K147" s="103">
        <f t="shared" si="24"/>
        <v>32.00140056</v>
      </c>
      <c r="L147" s="54"/>
      <c r="M147" s="54"/>
      <c r="N147" s="54"/>
      <c r="O147" s="54"/>
      <c r="P147" s="54"/>
      <c r="Q147" s="54"/>
    </row>
    <row r="148">
      <c r="A148" s="54"/>
      <c r="B148" s="98">
        <v>45698.0</v>
      </c>
      <c r="C148" s="98"/>
      <c r="D148" s="99"/>
      <c r="E148" s="100">
        <v>1891720.0</v>
      </c>
      <c r="F148" s="99">
        <f t="shared" si="25"/>
        <v>933</v>
      </c>
      <c r="G148" s="101">
        <v>484.0</v>
      </c>
      <c r="H148" s="101">
        <v>307.0</v>
      </c>
      <c r="I148" s="102">
        <f>310.43+14</f>
        <v>324.43</v>
      </c>
      <c r="J148" s="102">
        <f t="shared" si="21"/>
        <v>-17.43</v>
      </c>
      <c r="K148" s="103">
        <f t="shared" si="24"/>
        <v>34.77277599</v>
      </c>
      <c r="L148" s="54"/>
      <c r="M148" s="54"/>
      <c r="N148" s="54"/>
      <c r="O148" s="54"/>
      <c r="P148" s="54"/>
      <c r="Q148" s="54"/>
    </row>
    <row r="149">
      <c r="A149" s="54"/>
      <c r="B149" s="98">
        <v>45703.0</v>
      </c>
      <c r="C149" s="98"/>
      <c r="D149" s="99"/>
      <c r="E149" s="100">
        <v>1892807.0</v>
      </c>
      <c r="F149" s="99">
        <f t="shared" si="25"/>
        <v>1087</v>
      </c>
      <c r="G149" s="101">
        <v>499.0</v>
      </c>
      <c r="H149" s="101">
        <v>413.0</v>
      </c>
      <c r="I149" s="101">
        <v>405.75</v>
      </c>
      <c r="J149" s="102">
        <f t="shared" si="21"/>
        <v>7.25</v>
      </c>
      <c r="K149" s="103">
        <f t="shared" si="24"/>
        <v>37.3275069</v>
      </c>
      <c r="L149" s="54"/>
      <c r="M149" s="54"/>
      <c r="N149" s="54"/>
      <c r="O149" s="54"/>
      <c r="P149" s="54"/>
      <c r="Q149" s="54"/>
    </row>
    <row r="150">
      <c r="A150" s="54"/>
      <c r="B150" s="98">
        <v>45706.0</v>
      </c>
      <c r="C150" s="98"/>
      <c r="D150" s="99"/>
      <c r="E150" s="100">
        <v>1893340.0</v>
      </c>
      <c r="F150" s="99">
        <f t="shared" si="25"/>
        <v>533</v>
      </c>
      <c r="G150" s="101">
        <v>494.0</v>
      </c>
      <c r="H150" s="101">
        <v>205.0</v>
      </c>
      <c r="I150" s="101">
        <v>219.55</v>
      </c>
      <c r="J150" s="102">
        <f t="shared" si="21"/>
        <v>-14.55</v>
      </c>
      <c r="K150" s="103">
        <f t="shared" si="24"/>
        <v>41.19136961</v>
      </c>
      <c r="L150" s="54"/>
      <c r="M150" s="54"/>
      <c r="N150" s="54"/>
      <c r="O150" s="54"/>
      <c r="P150" s="54"/>
      <c r="Q150" s="54"/>
    </row>
    <row r="151">
      <c r="A151" s="54"/>
      <c r="B151" s="98">
        <v>45711.0</v>
      </c>
      <c r="C151" s="98"/>
      <c r="D151" s="99"/>
      <c r="E151" s="100">
        <v>1894285.0</v>
      </c>
      <c r="F151" s="99">
        <f t="shared" si="25"/>
        <v>945</v>
      </c>
      <c r="G151" s="101">
        <v>491.0</v>
      </c>
      <c r="H151" s="101">
        <v>333.0</v>
      </c>
      <c r="I151" s="101">
        <v>323.18</v>
      </c>
      <c r="J151" s="102">
        <f t="shared" si="21"/>
        <v>9.82</v>
      </c>
      <c r="K151" s="103">
        <f t="shared" si="24"/>
        <v>34.1989418</v>
      </c>
      <c r="L151" s="54"/>
      <c r="M151" s="54"/>
      <c r="N151" s="54"/>
      <c r="O151" s="54"/>
      <c r="P151" s="54"/>
      <c r="Q151" s="54"/>
    </row>
    <row r="152">
      <c r="A152" s="54"/>
      <c r="B152" s="98">
        <v>45715.0</v>
      </c>
      <c r="C152" s="98"/>
      <c r="D152" s="99"/>
      <c r="E152" s="100">
        <v>1895028.0</v>
      </c>
      <c r="F152" s="99">
        <f t="shared" si="25"/>
        <v>743</v>
      </c>
      <c r="G152" s="101">
        <v>487.0</v>
      </c>
      <c r="H152" s="101">
        <v>268.0</v>
      </c>
      <c r="I152" s="101">
        <v>264.59</v>
      </c>
      <c r="J152" s="102">
        <f t="shared" si="21"/>
        <v>3.41</v>
      </c>
      <c r="K152" s="103">
        <f t="shared" si="24"/>
        <v>35.61103634</v>
      </c>
      <c r="L152" s="54"/>
      <c r="M152" s="54"/>
      <c r="N152" s="54"/>
      <c r="O152" s="54"/>
      <c r="P152" s="54"/>
      <c r="Q152" s="54"/>
    </row>
    <row r="153">
      <c r="A153" s="68"/>
      <c r="B153" s="203" t="str">
        <f>IF(L153=4,"АПРЕЛЬ",IF(L153=5,"МАЙ",IF(L153=1,"ЯНВАРЬ",IF(L153=2,"ФЕВРАЛЬ",IF(L153=3,"МАРТ",IF(L153=6,"ИЮНЬ",IF(L153=7,"ИЮЛЬ",IF(L153=8,"АВГУСТ",IF(L153=9,"СЕНТЯБРЬ",IF(L153=10,"ОКТЯБРЬ",IF(L153=11,"НОЯБРЬ",IF(L153=12,"ДЕКАБРЬ"))))))))))))</f>
        <v>МАРТ</v>
      </c>
      <c r="J153" s="88"/>
      <c r="K153" s="204"/>
      <c r="L153" s="91">
        <f>MONTH(B154)</f>
        <v>3</v>
      </c>
      <c r="M153" s="66"/>
      <c r="N153" s="66"/>
      <c r="O153" s="66"/>
      <c r="P153" s="66"/>
      <c r="Q153" s="66"/>
    </row>
    <row r="154">
      <c r="A154" s="54"/>
      <c r="B154" s="98">
        <v>45718.0</v>
      </c>
      <c r="C154" s="98"/>
      <c r="D154" s="99"/>
      <c r="E154" s="100">
        <v>1895705.0</v>
      </c>
      <c r="F154" s="99">
        <f>E154-E152</f>
        <v>677</v>
      </c>
      <c r="G154" s="101">
        <v>485.0</v>
      </c>
      <c r="H154" s="101">
        <v>238.0</v>
      </c>
      <c r="I154" s="101">
        <v>234.3</v>
      </c>
      <c r="J154" s="102">
        <f t="shared" ref="J154:J166" si="26">H154-I154</f>
        <v>3.7</v>
      </c>
      <c r="K154" s="103">
        <f t="shared" ref="K154:K166" si="27">I154/F154*100</f>
        <v>34.60856721</v>
      </c>
      <c r="L154" s="54"/>
      <c r="M154" s="205" t="str">
        <f>"тотал"&amp;" "&amp;B153&amp;" "&amp;RIGHT(YEAR(B154),2)</f>
        <v>тотал МАРТ 25</v>
      </c>
      <c r="N154" s="75"/>
      <c r="O154" s="75"/>
      <c r="P154" s="75"/>
      <c r="Q154" s="76"/>
    </row>
    <row r="155">
      <c r="A155" s="54"/>
      <c r="B155" s="98">
        <v>45720.0</v>
      </c>
      <c r="C155" s="98"/>
      <c r="D155" s="99"/>
      <c r="E155" s="100">
        <v>1896613.0</v>
      </c>
      <c r="F155" s="99">
        <f t="shared" ref="F155:F166" si="28">E155-E154</f>
        <v>908</v>
      </c>
      <c r="G155" s="101">
        <v>481.0</v>
      </c>
      <c r="H155" s="101">
        <v>274.0</v>
      </c>
      <c r="I155" s="101">
        <v>260.37</v>
      </c>
      <c r="J155" s="102">
        <f t="shared" si="26"/>
        <v>13.63</v>
      </c>
      <c r="K155" s="103">
        <f t="shared" si="27"/>
        <v>28.67511013</v>
      </c>
      <c r="L155" s="54"/>
      <c r="M155" s="83" t="s">
        <v>70</v>
      </c>
      <c r="N155" s="83" t="s">
        <v>71</v>
      </c>
      <c r="O155" s="83" t="s">
        <v>27</v>
      </c>
      <c r="P155" s="83" t="s">
        <v>28</v>
      </c>
      <c r="Q155" s="321" t="s">
        <v>78</v>
      </c>
    </row>
    <row r="156">
      <c r="A156" s="54"/>
      <c r="B156" s="98">
        <v>45720.0</v>
      </c>
      <c r="C156" s="98"/>
      <c r="D156" s="99"/>
      <c r="E156" s="100">
        <v>1897231.0</v>
      </c>
      <c r="F156" s="99">
        <f t="shared" si="28"/>
        <v>618</v>
      </c>
      <c r="G156" s="101">
        <v>489.0</v>
      </c>
      <c r="H156" s="101">
        <v>211.0</v>
      </c>
      <c r="I156" s="101">
        <v>208.25</v>
      </c>
      <c r="J156" s="102">
        <f t="shared" si="26"/>
        <v>2.75</v>
      </c>
      <c r="K156" s="103">
        <f t="shared" si="27"/>
        <v>33.697411</v>
      </c>
      <c r="L156" s="54"/>
      <c r="M156" s="84">
        <f>SUM(F154:F166)</f>
        <v>11625</v>
      </c>
      <c r="N156" s="84">
        <f>SUM(I154:I166)</f>
        <v>3483.62</v>
      </c>
      <c r="O156" s="85">
        <f>N156/M156*100</f>
        <v>29.96662366</v>
      </c>
      <c r="P156" s="84">
        <f>(M156/100)*(O156-Q156)</f>
        <v>148.4075</v>
      </c>
      <c r="Q156" s="464">
        <v>28.69</v>
      </c>
    </row>
    <row r="157">
      <c r="A157" s="54"/>
      <c r="B157" s="98">
        <v>45722.0</v>
      </c>
      <c r="C157" s="98"/>
      <c r="D157" s="99"/>
      <c r="E157" s="100">
        <v>1897860.0</v>
      </c>
      <c r="F157" s="99">
        <f t="shared" si="28"/>
        <v>629</v>
      </c>
      <c r="G157" s="101">
        <v>476.0</v>
      </c>
      <c r="H157" s="101">
        <v>199.0</v>
      </c>
      <c r="I157" s="101">
        <v>199.35</v>
      </c>
      <c r="J157" s="102">
        <f t="shared" si="26"/>
        <v>-0.35</v>
      </c>
      <c r="K157" s="103">
        <f t="shared" si="27"/>
        <v>31.69316375</v>
      </c>
      <c r="L157" s="54"/>
      <c r="M157" s="54"/>
      <c r="N157" s="54"/>
      <c r="O157" s="54"/>
      <c r="P157" s="54"/>
      <c r="Q157" s="54"/>
    </row>
    <row r="158">
      <c r="A158" s="54"/>
      <c r="B158" s="98">
        <v>45725.0</v>
      </c>
      <c r="C158" s="98"/>
      <c r="D158" s="99"/>
      <c r="E158" s="100">
        <v>1898829.0</v>
      </c>
      <c r="F158" s="99">
        <f t="shared" si="28"/>
        <v>969</v>
      </c>
      <c r="G158" s="101">
        <v>480.0</v>
      </c>
      <c r="H158" s="101">
        <v>272.0</v>
      </c>
      <c r="I158" s="101">
        <v>277.48</v>
      </c>
      <c r="J158" s="102">
        <f t="shared" si="26"/>
        <v>-5.48</v>
      </c>
      <c r="K158" s="103">
        <f t="shared" si="27"/>
        <v>28.63570691</v>
      </c>
      <c r="L158" s="60"/>
      <c r="M158" s="60"/>
      <c r="N158" s="60"/>
      <c r="O158" s="54"/>
      <c r="P158" s="54"/>
      <c r="Q158" s="54"/>
    </row>
    <row r="159">
      <c r="A159" s="54"/>
      <c r="B159" s="98">
        <v>45727.0</v>
      </c>
      <c r="C159" s="98"/>
      <c r="D159" s="99"/>
      <c r="E159" s="100">
        <v>1899923.0</v>
      </c>
      <c r="F159" s="99">
        <f t="shared" si="28"/>
        <v>1094</v>
      </c>
      <c r="G159" s="101">
        <v>490.0</v>
      </c>
      <c r="H159" s="101">
        <v>300.0</v>
      </c>
      <c r="I159" s="101">
        <v>300.0</v>
      </c>
      <c r="J159" s="102">
        <f t="shared" si="26"/>
        <v>0</v>
      </c>
      <c r="K159" s="103">
        <f t="shared" si="27"/>
        <v>27.42230347</v>
      </c>
      <c r="L159" s="54"/>
      <c r="M159" s="60"/>
      <c r="N159" s="60"/>
      <c r="O159" s="54"/>
      <c r="P159" s="54"/>
      <c r="Q159" s="54"/>
    </row>
    <row r="160">
      <c r="A160" s="54"/>
      <c r="B160" s="98">
        <v>45729.0</v>
      </c>
      <c r="C160" s="98"/>
      <c r="D160" s="99"/>
      <c r="E160" s="100">
        <v>1901148.0</v>
      </c>
      <c r="F160" s="99">
        <f t="shared" si="28"/>
        <v>1225</v>
      </c>
      <c r="G160" s="178">
        <v>448.0</v>
      </c>
      <c r="H160" s="101">
        <v>308.0</v>
      </c>
      <c r="I160" s="101">
        <v>300.0</v>
      </c>
      <c r="J160" s="102">
        <f t="shared" si="26"/>
        <v>8</v>
      </c>
      <c r="K160" s="103">
        <f t="shared" si="27"/>
        <v>24.48979592</v>
      </c>
      <c r="L160" s="54"/>
      <c r="M160" s="54"/>
      <c r="N160" s="54"/>
      <c r="O160" s="54"/>
      <c r="P160" s="54"/>
      <c r="Q160" s="54"/>
    </row>
    <row r="161">
      <c r="A161" s="54"/>
      <c r="B161" s="98">
        <v>45730.0</v>
      </c>
      <c r="C161" s="98"/>
      <c r="D161" s="99"/>
      <c r="E161" s="100">
        <v>1902045.0</v>
      </c>
      <c r="F161" s="99">
        <f t="shared" si="28"/>
        <v>897</v>
      </c>
      <c r="G161" s="178">
        <v>460.0</v>
      </c>
      <c r="H161" s="101">
        <v>302.0</v>
      </c>
      <c r="I161" s="101">
        <v>300.0</v>
      </c>
      <c r="J161" s="102">
        <f t="shared" si="26"/>
        <v>2</v>
      </c>
      <c r="K161" s="103">
        <f t="shared" si="27"/>
        <v>33.44481605</v>
      </c>
      <c r="L161" s="54"/>
      <c r="M161" s="54"/>
      <c r="N161" s="54"/>
      <c r="O161" s="54"/>
      <c r="P161" s="54"/>
      <c r="Q161" s="54"/>
    </row>
    <row r="162">
      <c r="A162" s="54"/>
      <c r="B162" s="98">
        <v>45732.0</v>
      </c>
      <c r="C162" s="98"/>
      <c r="D162" s="99"/>
      <c r="E162" s="100">
        <v>1903140.0</v>
      </c>
      <c r="F162" s="99">
        <f t="shared" si="28"/>
        <v>1095</v>
      </c>
      <c r="G162" s="178">
        <v>484.0</v>
      </c>
      <c r="H162" s="101">
        <v>362.0</v>
      </c>
      <c r="I162" s="101">
        <v>348.23</v>
      </c>
      <c r="J162" s="102">
        <f t="shared" si="26"/>
        <v>13.77</v>
      </c>
      <c r="K162" s="103">
        <f t="shared" si="27"/>
        <v>31.80182648</v>
      </c>
      <c r="L162" s="54"/>
      <c r="M162" s="54"/>
      <c r="N162" s="54"/>
      <c r="O162" s="54"/>
      <c r="P162" s="54"/>
      <c r="Q162" s="54"/>
    </row>
    <row r="163">
      <c r="A163" s="54"/>
      <c r="B163" s="98">
        <v>45733.0</v>
      </c>
      <c r="C163" s="98"/>
      <c r="D163" s="99"/>
      <c r="E163" s="100">
        <v>1904267.0</v>
      </c>
      <c r="F163" s="99">
        <f t="shared" si="28"/>
        <v>1127</v>
      </c>
      <c r="G163" s="178">
        <v>488.0</v>
      </c>
      <c r="H163" s="101">
        <v>345.0</v>
      </c>
      <c r="I163" s="101">
        <v>348.23</v>
      </c>
      <c r="J163" s="102">
        <f t="shared" si="26"/>
        <v>-3.23</v>
      </c>
      <c r="K163" s="103">
        <f t="shared" si="27"/>
        <v>30.8988465</v>
      </c>
      <c r="L163" s="54"/>
      <c r="M163" s="54"/>
      <c r="N163" s="54"/>
      <c r="O163" s="54"/>
      <c r="P163" s="54"/>
      <c r="Q163" s="54"/>
    </row>
    <row r="164">
      <c r="A164" s="54"/>
      <c r="B164" s="98">
        <v>45738.0</v>
      </c>
      <c r="C164" s="98"/>
      <c r="D164" s="99"/>
      <c r="E164" s="100">
        <v>1905149.0</v>
      </c>
      <c r="F164" s="99">
        <f t="shared" si="28"/>
        <v>882</v>
      </c>
      <c r="G164" s="178">
        <v>485.0</v>
      </c>
      <c r="H164" s="101">
        <v>267.0</v>
      </c>
      <c r="I164" s="101">
        <v>257.41</v>
      </c>
      <c r="J164" s="102">
        <f t="shared" si="26"/>
        <v>9.59</v>
      </c>
      <c r="K164" s="103">
        <f t="shared" si="27"/>
        <v>29.18480726</v>
      </c>
      <c r="L164" s="54"/>
      <c r="M164" s="54"/>
      <c r="N164" s="54"/>
      <c r="O164" s="54"/>
      <c r="P164" s="54"/>
      <c r="Q164" s="54"/>
    </row>
    <row r="165">
      <c r="A165" s="54"/>
      <c r="B165" s="98">
        <v>45742.0</v>
      </c>
      <c r="C165" s="98"/>
      <c r="D165" s="99"/>
      <c r="E165" s="100">
        <v>1906060.0</v>
      </c>
      <c r="F165" s="99">
        <f t="shared" si="28"/>
        <v>911</v>
      </c>
      <c r="G165" s="178">
        <v>414.0</v>
      </c>
      <c r="H165" s="101">
        <v>216.0</v>
      </c>
      <c r="I165" s="101">
        <v>200.0</v>
      </c>
      <c r="J165" s="102">
        <f t="shared" si="26"/>
        <v>16</v>
      </c>
      <c r="K165" s="103">
        <f t="shared" si="27"/>
        <v>21.95389682</v>
      </c>
      <c r="L165" s="54"/>
      <c r="M165" s="54"/>
      <c r="N165" s="54"/>
      <c r="O165" s="54"/>
      <c r="P165" s="54"/>
      <c r="Q165" s="54"/>
    </row>
    <row r="166">
      <c r="A166" s="54"/>
      <c r="B166" s="98">
        <v>45747.0</v>
      </c>
      <c r="C166" s="98"/>
      <c r="D166" s="99"/>
      <c r="E166" s="100">
        <v>1906653.0</v>
      </c>
      <c r="F166" s="99">
        <f t="shared" si="28"/>
        <v>593</v>
      </c>
      <c r="G166" s="178">
        <v>455.0</v>
      </c>
      <c r="H166" s="101">
        <v>260.0</v>
      </c>
      <c r="I166" s="101">
        <v>250.0</v>
      </c>
      <c r="J166" s="102">
        <f t="shared" si="26"/>
        <v>10</v>
      </c>
      <c r="K166" s="103">
        <f t="shared" si="27"/>
        <v>42.15851602</v>
      </c>
      <c r="L166" s="54"/>
      <c r="M166" s="54"/>
      <c r="N166" s="54"/>
      <c r="O166" s="54"/>
      <c r="P166" s="54"/>
      <c r="Q166" s="54"/>
    </row>
    <row r="167">
      <c r="A167" s="68"/>
      <c r="B167" s="203" t="str">
        <f>IF(L167=4,"АПРЕЛЬ",IF(L167=5,"МАЙ",IF(L167=1,"ЯНВАРЬ",IF(L167=2,"ФЕВРАЛЬ",IF(L167=3,"МАРТ",IF(L167=6,"ИЮНЬ",IF(L167=7,"ИЮЛЬ",IF(L167=8,"АВГУСТ",IF(L167=9,"СЕНТЯБРЬ",IF(L167=10,"ОКТЯБРЬ",IF(L167=11,"НОЯБРЬ",IF(L167=12,"ДЕКАБРЬ"))))))))))))</f>
        <v>АПРЕЛЬ</v>
      </c>
      <c r="J167" s="88"/>
      <c r="K167" s="204"/>
      <c r="L167" s="91">
        <f>MONTH(B168)</f>
        <v>4</v>
      </c>
      <c r="M167" s="66"/>
      <c r="N167" s="66"/>
      <c r="O167" s="66"/>
      <c r="P167" s="66"/>
      <c r="Q167" s="66"/>
    </row>
    <row r="168">
      <c r="A168" s="54"/>
      <c r="B168" s="98">
        <v>45755.0</v>
      </c>
      <c r="C168" s="98"/>
      <c r="D168" s="99"/>
      <c r="E168" s="100">
        <v>1907150.0</v>
      </c>
      <c r="F168" s="99">
        <f>E168-E166</f>
        <v>497</v>
      </c>
      <c r="G168" s="178">
        <v>506.0</v>
      </c>
      <c r="H168" s="101">
        <v>220.0</v>
      </c>
      <c r="I168" s="101">
        <v>208.71</v>
      </c>
      <c r="J168" s="102">
        <f t="shared" ref="J168:J174" si="29">H168-I168</f>
        <v>11.29</v>
      </c>
      <c r="K168" s="103">
        <f t="shared" ref="K168:K174" si="30">I168/F168*100</f>
        <v>41.99396378</v>
      </c>
      <c r="L168" s="54"/>
      <c r="M168" s="205" t="str">
        <f>"тотал"&amp;" "&amp;B167&amp;" "&amp;RIGHT(YEAR(B168),2)</f>
        <v>тотал АПРЕЛЬ 25</v>
      </c>
      <c r="N168" s="75"/>
      <c r="O168" s="75"/>
      <c r="P168" s="75"/>
      <c r="Q168" s="76"/>
    </row>
    <row r="169">
      <c r="A169" s="54"/>
      <c r="B169" s="98">
        <v>45758.0</v>
      </c>
      <c r="C169" s="98"/>
      <c r="D169" s="99"/>
      <c r="E169" s="100">
        <v>1907798.0</v>
      </c>
      <c r="F169" s="99">
        <f t="shared" ref="F169:F174" si="31">E169-E168</f>
        <v>648</v>
      </c>
      <c r="G169" s="178">
        <v>521.0</v>
      </c>
      <c r="H169" s="101">
        <v>216.0</v>
      </c>
      <c r="I169" s="101">
        <v>192.22</v>
      </c>
      <c r="J169" s="102">
        <f t="shared" si="29"/>
        <v>23.78</v>
      </c>
      <c r="K169" s="103">
        <f t="shared" si="30"/>
        <v>29.66358025</v>
      </c>
      <c r="L169" s="54"/>
      <c r="M169" s="83" t="s">
        <v>70</v>
      </c>
      <c r="N169" s="83" t="s">
        <v>71</v>
      </c>
      <c r="O169" s="83" t="s">
        <v>27</v>
      </c>
      <c r="P169" s="83" t="s">
        <v>28</v>
      </c>
      <c r="Q169" s="321" t="s">
        <v>78</v>
      </c>
    </row>
    <row r="170">
      <c r="A170" s="54"/>
      <c r="B170" s="98">
        <v>45760.0</v>
      </c>
      <c r="C170" s="98"/>
      <c r="D170" s="99"/>
      <c r="E170" s="100">
        <v>1908851.0</v>
      </c>
      <c r="F170" s="99">
        <f t="shared" si="31"/>
        <v>1053</v>
      </c>
      <c r="G170" s="178">
        <v>503.0</v>
      </c>
      <c r="H170" s="101">
        <v>326.0</v>
      </c>
      <c r="I170" s="101">
        <v>327.99</v>
      </c>
      <c r="J170" s="102">
        <f t="shared" si="29"/>
        <v>-1.99</v>
      </c>
      <c r="K170" s="103">
        <f t="shared" si="30"/>
        <v>31.14814815</v>
      </c>
      <c r="L170" s="54"/>
      <c r="M170" s="84">
        <f>SUM(F168:F174)</f>
        <v>6643</v>
      </c>
      <c r="N170" s="84">
        <f>SUM(I168:I174)</f>
        <v>2078.6</v>
      </c>
      <c r="O170" s="85">
        <f>N170/M170*100</f>
        <v>31.29007978</v>
      </c>
      <c r="P170" s="84">
        <f>(M170/100)*(O170-Q170)</f>
        <v>161.4302</v>
      </c>
      <c r="Q170" s="464">
        <v>28.86</v>
      </c>
    </row>
    <row r="171">
      <c r="A171" s="54"/>
      <c r="B171" s="98">
        <v>45763.0</v>
      </c>
      <c r="C171" s="98"/>
      <c r="D171" s="99"/>
      <c r="E171" s="100">
        <v>1909996.0</v>
      </c>
      <c r="F171" s="99">
        <f t="shared" si="31"/>
        <v>1145</v>
      </c>
      <c r="G171" s="178">
        <v>515.0</v>
      </c>
      <c r="H171" s="101">
        <v>375.0</v>
      </c>
      <c r="I171" s="101">
        <v>351.02</v>
      </c>
      <c r="J171" s="102">
        <f t="shared" si="29"/>
        <v>23.98</v>
      </c>
      <c r="K171" s="103">
        <f t="shared" si="30"/>
        <v>30.65676856</v>
      </c>
      <c r="L171" s="60"/>
      <c r="M171" s="60"/>
      <c r="N171" s="60"/>
      <c r="O171" s="54"/>
      <c r="P171" s="54"/>
      <c r="Q171" s="54"/>
    </row>
    <row r="172">
      <c r="A172" s="54"/>
      <c r="B172" s="98">
        <v>45770.0</v>
      </c>
      <c r="C172" s="98"/>
      <c r="D172" s="99"/>
      <c r="E172" s="100">
        <v>1911002.0</v>
      </c>
      <c r="F172" s="99">
        <f t="shared" si="31"/>
        <v>1006</v>
      </c>
      <c r="G172" s="178">
        <v>517.0</v>
      </c>
      <c r="H172" s="101">
        <v>352.0</v>
      </c>
      <c r="I172" s="101">
        <v>317.01</v>
      </c>
      <c r="J172" s="102">
        <f t="shared" si="29"/>
        <v>34.99</v>
      </c>
      <c r="K172" s="103">
        <f t="shared" si="30"/>
        <v>31.51192843</v>
      </c>
      <c r="L172" s="54"/>
      <c r="M172" s="60"/>
      <c r="N172" s="60"/>
      <c r="O172" s="54"/>
      <c r="P172" s="54"/>
      <c r="Q172" s="54"/>
    </row>
    <row r="173">
      <c r="A173" s="54"/>
      <c r="B173" s="98">
        <v>45772.0</v>
      </c>
      <c r="C173" s="98"/>
      <c r="D173" s="99"/>
      <c r="E173" s="100">
        <v>1912273.0</v>
      </c>
      <c r="F173" s="99">
        <f t="shared" si="31"/>
        <v>1271</v>
      </c>
      <c r="G173" s="178">
        <v>510.0</v>
      </c>
      <c r="H173" s="101">
        <v>404.0</v>
      </c>
      <c r="I173" s="101">
        <v>381.65</v>
      </c>
      <c r="J173" s="102">
        <f t="shared" si="29"/>
        <v>22.35</v>
      </c>
      <c r="K173" s="103">
        <f t="shared" si="30"/>
        <v>30.02753737</v>
      </c>
      <c r="L173" s="54"/>
      <c r="M173" s="54"/>
      <c r="N173" s="54"/>
      <c r="O173" s="54"/>
      <c r="P173" s="54"/>
      <c r="Q173" s="54"/>
    </row>
    <row r="174">
      <c r="A174" s="54"/>
      <c r="B174" s="98">
        <v>45774.0</v>
      </c>
      <c r="C174" s="98"/>
      <c r="D174" s="99"/>
      <c r="E174" s="100">
        <v>1913296.0</v>
      </c>
      <c r="F174" s="99">
        <f t="shared" si="31"/>
        <v>1023</v>
      </c>
      <c r="G174" s="178">
        <v>501.0</v>
      </c>
      <c r="H174" s="101">
        <v>306.0</v>
      </c>
      <c r="I174" s="101">
        <v>300.0</v>
      </c>
      <c r="J174" s="102">
        <f t="shared" si="29"/>
        <v>6</v>
      </c>
      <c r="K174" s="103">
        <f t="shared" si="30"/>
        <v>29.3255132</v>
      </c>
      <c r="L174" s="54"/>
      <c r="M174" s="54"/>
      <c r="N174" s="54"/>
      <c r="O174" s="54"/>
      <c r="P174" s="54"/>
      <c r="Q174" s="54"/>
    </row>
    <row r="175">
      <c r="A175" s="68"/>
      <c r="B175" s="203" t="str">
        <f>IF(L175=4,"АПРЕЛЬ",IF(L175=5,"МАЙ",IF(L175=1,"ЯНВАРЬ",IF(L175=2,"ФЕВРАЛЬ",IF(L175=3,"МАРТ",IF(L175=6,"ИЮНЬ",IF(L175=7,"ИЮЛЬ",IF(L175=8,"АВГУСТ",IF(L175=9,"СЕНТЯБРЬ",IF(L175=10,"ОКТЯБРЬ",IF(L175=11,"НОЯБРЬ",IF(L175=12,"ДЕКАБРЬ"))))))))))))</f>
        <v>МАЙ</v>
      </c>
      <c r="J175" s="88"/>
      <c r="K175" s="204"/>
      <c r="L175" s="91">
        <f>MONTH(B176)</f>
        <v>5</v>
      </c>
      <c r="M175" s="66"/>
      <c r="N175" s="66"/>
      <c r="O175" s="66"/>
      <c r="P175" s="66"/>
      <c r="Q175" s="66"/>
    </row>
    <row r="176">
      <c r="A176" s="54"/>
      <c r="B176" s="98">
        <v>45780.0</v>
      </c>
      <c r="C176" s="98"/>
      <c r="D176" s="100" t="s">
        <v>280</v>
      </c>
      <c r="E176" s="100">
        <v>1914214.0</v>
      </c>
      <c r="F176" s="99">
        <f>E176-E174</f>
        <v>918</v>
      </c>
      <c r="G176" s="178">
        <v>514.0</v>
      </c>
      <c r="H176" s="101">
        <v>329.0</v>
      </c>
      <c r="I176" s="101">
        <v>305.27</v>
      </c>
      <c r="J176" s="102">
        <f t="shared" ref="J176:J185" si="32">H176-I176</f>
        <v>23.73</v>
      </c>
      <c r="K176" s="103">
        <f t="shared" ref="K176:K185" si="33">I176/F176*100</f>
        <v>33.25381264</v>
      </c>
      <c r="L176" s="54"/>
      <c r="M176" s="205" t="str">
        <f>"тотал"&amp;" "&amp;B175&amp;" "&amp;RIGHT(YEAR(B176),2)</f>
        <v>тотал МАЙ 25</v>
      </c>
      <c r="N176" s="75"/>
      <c r="O176" s="75"/>
      <c r="P176" s="75"/>
      <c r="Q176" s="76"/>
    </row>
    <row r="177">
      <c r="A177" s="54"/>
      <c r="B177" s="98">
        <v>45782.0</v>
      </c>
      <c r="C177" s="100" t="s">
        <v>126</v>
      </c>
      <c r="D177" s="100" t="s">
        <v>280</v>
      </c>
      <c r="E177" s="100">
        <v>1915182.0</v>
      </c>
      <c r="F177" s="99">
        <f t="shared" ref="F177:F185" si="34">E177-E176</f>
        <v>968</v>
      </c>
      <c r="G177" s="178">
        <v>496.0</v>
      </c>
      <c r="H177" s="101">
        <v>286.0</v>
      </c>
      <c r="I177" s="101">
        <v>282.21</v>
      </c>
      <c r="J177" s="102">
        <f t="shared" si="32"/>
        <v>3.79</v>
      </c>
      <c r="K177" s="103">
        <f t="shared" si="33"/>
        <v>29.15392562</v>
      </c>
      <c r="L177" s="54"/>
      <c r="M177" s="83" t="s">
        <v>70</v>
      </c>
      <c r="N177" s="83" t="s">
        <v>71</v>
      </c>
      <c r="O177" s="83" t="s">
        <v>27</v>
      </c>
      <c r="P177" s="83" t="s">
        <v>28</v>
      </c>
      <c r="Q177" s="321" t="s">
        <v>78</v>
      </c>
    </row>
    <row r="178">
      <c r="A178" s="54"/>
      <c r="B178" s="98">
        <v>45783.0</v>
      </c>
      <c r="C178" s="100" t="s">
        <v>123</v>
      </c>
      <c r="D178" s="100" t="s">
        <v>280</v>
      </c>
      <c r="E178" s="100">
        <v>1915974.0</v>
      </c>
      <c r="F178" s="99">
        <f t="shared" si="34"/>
        <v>792</v>
      </c>
      <c r="G178" s="178">
        <v>450.0</v>
      </c>
      <c r="H178" s="101">
        <v>207.0</v>
      </c>
      <c r="I178" s="101">
        <v>200.0</v>
      </c>
      <c r="J178" s="102">
        <f t="shared" si="32"/>
        <v>7</v>
      </c>
      <c r="K178" s="103">
        <f t="shared" si="33"/>
        <v>25.25252525</v>
      </c>
      <c r="L178" s="54"/>
      <c r="M178" s="84">
        <f>SUM(F176:F185)</f>
        <v>9186</v>
      </c>
      <c r="N178" s="84">
        <f>SUM(I176:I185)</f>
        <v>2884.55</v>
      </c>
      <c r="O178" s="85">
        <f>N178/M178*100</f>
        <v>31.40158938</v>
      </c>
      <c r="P178" s="84">
        <f>(M178/100)*(O178-Q178)</f>
        <v>312.47</v>
      </c>
      <c r="Q178" s="464">
        <v>28.0</v>
      </c>
    </row>
    <row r="179">
      <c r="A179" s="54"/>
      <c r="B179" s="98">
        <v>45784.0</v>
      </c>
      <c r="C179" s="100" t="s">
        <v>123</v>
      </c>
      <c r="D179" s="100" t="s">
        <v>280</v>
      </c>
      <c r="E179" s="100">
        <v>1916702.0</v>
      </c>
      <c r="F179" s="99">
        <f t="shared" si="34"/>
        <v>728</v>
      </c>
      <c r="G179" s="178">
        <v>493.0</v>
      </c>
      <c r="H179" s="101">
        <v>270.0</v>
      </c>
      <c r="I179" s="101">
        <v>264.51</v>
      </c>
      <c r="J179" s="102">
        <f t="shared" si="32"/>
        <v>5.49</v>
      </c>
      <c r="K179" s="103">
        <f t="shared" si="33"/>
        <v>36.33379121</v>
      </c>
      <c r="L179" s="54"/>
      <c r="M179" s="54"/>
      <c r="N179" s="54"/>
      <c r="O179" s="54"/>
      <c r="P179" s="54"/>
      <c r="Q179" s="54"/>
    </row>
    <row r="180">
      <c r="A180" s="54"/>
      <c r="B180" s="98">
        <v>45788.0</v>
      </c>
      <c r="C180" s="100" t="s">
        <v>120</v>
      </c>
      <c r="D180" s="100" t="s">
        <v>280</v>
      </c>
      <c r="E180" s="100">
        <v>1917599.0</v>
      </c>
      <c r="F180" s="99">
        <f t="shared" si="34"/>
        <v>897</v>
      </c>
      <c r="G180" s="178">
        <v>504.0</v>
      </c>
      <c r="H180" s="101">
        <v>305.0</v>
      </c>
      <c r="I180" s="101">
        <v>300.0</v>
      </c>
      <c r="J180" s="102">
        <f t="shared" si="32"/>
        <v>5</v>
      </c>
      <c r="K180" s="103">
        <f t="shared" si="33"/>
        <v>33.44481605</v>
      </c>
      <c r="L180" s="54"/>
      <c r="M180" s="54"/>
      <c r="N180" s="54"/>
      <c r="O180" s="54"/>
      <c r="P180" s="54"/>
      <c r="Q180" s="54"/>
    </row>
    <row r="181">
      <c r="A181" s="54"/>
      <c r="B181" s="98">
        <v>45794.0</v>
      </c>
      <c r="C181" s="100" t="s">
        <v>99</v>
      </c>
      <c r="D181" s="100" t="s">
        <v>280</v>
      </c>
      <c r="E181" s="100">
        <v>1918788.0</v>
      </c>
      <c r="F181" s="99">
        <f t="shared" si="34"/>
        <v>1189</v>
      </c>
      <c r="G181" s="178">
        <v>508.0</v>
      </c>
      <c r="H181" s="101">
        <v>390.0</v>
      </c>
      <c r="I181" s="101">
        <v>378.34</v>
      </c>
      <c r="J181" s="102">
        <f t="shared" si="32"/>
        <v>11.66</v>
      </c>
      <c r="K181" s="103">
        <f t="shared" si="33"/>
        <v>31.82001682</v>
      </c>
      <c r="L181" s="54"/>
      <c r="M181" s="54"/>
      <c r="N181" s="54"/>
      <c r="O181" s="54"/>
      <c r="P181" s="54"/>
      <c r="Q181" s="54"/>
    </row>
    <row r="182">
      <c r="A182" s="54"/>
      <c r="B182" s="98">
        <v>45799.0</v>
      </c>
      <c r="C182" s="100" t="s">
        <v>142</v>
      </c>
      <c r="D182" s="100" t="s">
        <v>280</v>
      </c>
      <c r="E182" s="100">
        <v>1919934.0</v>
      </c>
      <c r="F182" s="99">
        <f t="shared" si="34"/>
        <v>1146</v>
      </c>
      <c r="G182" s="178">
        <v>449.0</v>
      </c>
      <c r="H182" s="101">
        <v>307.0</v>
      </c>
      <c r="I182" s="101">
        <v>300.0</v>
      </c>
      <c r="J182" s="102">
        <f t="shared" si="32"/>
        <v>7</v>
      </c>
      <c r="K182" s="103">
        <f t="shared" si="33"/>
        <v>26.17801047</v>
      </c>
      <c r="L182" s="54"/>
      <c r="M182" s="54"/>
      <c r="N182" s="54"/>
      <c r="O182" s="54"/>
      <c r="P182" s="54"/>
      <c r="Q182" s="54"/>
    </row>
    <row r="183">
      <c r="A183" s="54"/>
      <c r="B183" s="98">
        <v>45801.0</v>
      </c>
      <c r="C183" s="100" t="s">
        <v>142</v>
      </c>
      <c r="D183" s="100" t="s">
        <v>280</v>
      </c>
      <c r="E183" s="100">
        <v>1920685.0</v>
      </c>
      <c r="F183" s="99">
        <f t="shared" si="34"/>
        <v>751</v>
      </c>
      <c r="G183" s="178">
        <v>501.0</v>
      </c>
      <c r="H183" s="101">
        <v>319.0</v>
      </c>
      <c r="I183" s="101">
        <v>303.82</v>
      </c>
      <c r="J183" s="102">
        <f t="shared" si="32"/>
        <v>15.18</v>
      </c>
      <c r="K183" s="103">
        <f t="shared" si="33"/>
        <v>40.45539281</v>
      </c>
      <c r="L183" s="54"/>
      <c r="M183" s="54"/>
      <c r="N183" s="54"/>
      <c r="O183" s="54"/>
      <c r="P183" s="54"/>
      <c r="Q183" s="54"/>
    </row>
    <row r="184">
      <c r="A184" s="54"/>
      <c r="B184" s="98">
        <v>45805.0</v>
      </c>
      <c r="C184" s="100" t="s">
        <v>123</v>
      </c>
      <c r="D184" s="100" t="s">
        <v>280</v>
      </c>
      <c r="E184" s="100">
        <v>1921603.0</v>
      </c>
      <c r="F184" s="99">
        <f t="shared" si="34"/>
        <v>918</v>
      </c>
      <c r="G184" s="178">
        <v>502.0</v>
      </c>
      <c r="H184" s="101">
        <v>289.0</v>
      </c>
      <c r="I184" s="101">
        <v>272.4</v>
      </c>
      <c r="J184" s="102">
        <f t="shared" si="32"/>
        <v>16.6</v>
      </c>
      <c r="K184" s="103">
        <f t="shared" si="33"/>
        <v>29.67320261</v>
      </c>
      <c r="L184" s="54"/>
      <c r="M184" s="54"/>
      <c r="N184" s="54"/>
      <c r="O184" s="54"/>
      <c r="P184" s="54"/>
      <c r="Q184" s="54"/>
    </row>
    <row r="185">
      <c r="A185" s="54"/>
      <c r="B185" s="98">
        <v>45808.0</v>
      </c>
      <c r="C185" s="100" t="s">
        <v>127</v>
      </c>
      <c r="D185" s="100" t="s">
        <v>280</v>
      </c>
      <c r="E185" s="100">
        <v>1922482.0</v>
      </c>
      <c r="F185" s="99">
        <f t="shared" si="34"/>
        <v>879</v>
      </c>
      <c r="G185" s="178">
        <v>505.0</v>
      </c>
      <c r="H185" s="101">
        <v>299.0</v>
      </c>
      <c r="I185" s="102">
        <f>151+127</f>
        <v>278</v>
      </c>
      <c r="J185" s="102">
        <f t="shared" si="32"/>
        <v>21</v>
      </c>
      <c r="K185" s="103">
        <f t="shared" si="33"/>
        <v>31.62684869</v>
      </c>
      <c r="L185" s="54"/>
      <c r="M185" s="54"/>
      <c r="N185" s="54"/>
      <c r="O185" s="54"/>
      <c r="P185" s="54"/>
      <c r="Q185" s="54"/>
    </row>
    <row r="186">
      <c r="A186" s="68"/>
      <c r="B186" s="203" t="str">
        <f>IF(L186=4,"АПРЕЛЬ",IF(L186=5,"МАЙ",IF(L186=1,"ЯНВАРЬ",IF(L186=2,"ФЕВРАЛЬ",IF(L186=3,"МАРТ",IF(L186=6,"ИЮНЬ",IF(L186=7,"ИЮЛЬ",IF(L186=8,"АВГУСТ",IF(L186=9,"СЕНТЯБРЬ",IF(L186=10,"ОКТЯБРЬ",IF(L186=11,"НОЯБРЬ",IF(L186=12,"ДЕКАБРЬ"))))))))))))</f>
        <v>ИЮНЬ</v>
      </c>
      <c r="J186" s="88"/>
      <c r="K186" s="204"/>
      <c r="L186" s="91">
        <f>MONTH(B187)</f>
        <v>6</v>
      </c>
      <c r="M186" s="66"/>
      <c r="N186" s="66"/>
      <c r="O186" s="66"/>
      <c r="P186" s="66"/>
      <c r="Q186" s="66"/>
    </row>
    <row r="187">
      <c r="A187" s="54"/>
      <c r="B187" s="98">
        <v>45809.0</v>
      </c>
      <c r="C187" s="100" t="s">
        <v>127</v>
      </c>
      <c r="D187" s="100" t="s">
        <v>280</v>
      </c>
      <c r="E187" s="100">
        <v>1923610.0</v>
      </c>
      <c r="F187" s="99">
        <f>E187-E185</f>
        <v>1128</v>
      </c>
      <c r="G187" s="178">
        <v>494.0</v>
      </c>
      <c r="H187" s="101">
        <v>334.0</v>
      </c>
      <c r="I187" s="101">
        <v>327.21</v>
      </c>
      <c r="J187" s="102">
        <f t="shared" ref="J187:J199" si="35">H187-I187</f>
        <v>6.79</v>
      </c>
      <c r="K187" s="103">
        <f t="shared" ref="K187:K199" si="36">I187/F187*100</f>
        <v>29.00797872</v>
      </c>
      <c r="L187" s="54"/>
      <c r="M187" s="205" t="str">
        <f>"тотал"&amp;" "&amp;B186&amp;" "&amp;RIGHT(YEAR(B187),2)</f>
        <v>тотал ИЮНЬ 25</v>
      </c>
      <c r="N187" s="75"/>
      <c r="O187" s="75"/>
      <c r="P187" s="75"/>
      <c r="Q187" s="76"/>
    </row>
    <row r="188">
      <c r="A188" s="54"/>
      <c r="B188" s="98">
        <v>45810.0</v>
      </c>
      <c r="C188" s="100" t="s">
        <v>99</v>
      </c>
      <c r="D188" s="100" t="s">
        <v>280</v>
      </c>
      <c r="E188" s="100">
        <v>1924387.0</v>
      </c>
      <c r="F188" s="99">
        <f t="shared" ref="F188:F199" si="37">E188-E187</f>
        <v>777</v>
      </c>
      <c r="G188" s="178">
        <v>508.0</v>
      </c>
      <c r="H188" s="101">
        <v>242.0</v>
      </c>
      <c r="I188" s="101">
        <v>232.33</v>
      </c>
      <c r="J188" s="102">
        <f t="shared" si="35"/>
        <v>9.67</v>
      </c>
      <c r="K188" s="103">
        <f t="shared" si="36"/>
        <v>29.9009009</v>
      </c>
      <c r="L188" s="54"/>
      <c r="M188" s="83" t="s">
        <v>70</v>
      </c>
      <c r="N188" s="83" t="s">
        <v>71</v>
      </c>
      <c r="O188" s="83" t="s">
        <v>27</v>
      </c>
      <c r="P188" s="83" t="s">
        <v>28</v>
      </c>
      <c r="Q188" s="321" t="s">
        <v>78</v>
      </c>
    </row>
    <row r="189">
      <c r="A189" s="54"/>
      <c r="B189" s="98">
        <v>45818.0</v>
      </c>
      <c r="C189" s="100" t="s">
        <v>142</v>
      </c>
      <c r="D189" s="100" t="s">
        <v>280</v>
      </c>
      <c r="E189" s="100">
        <v>1925310.0</v>
      </c>
      <c r="F189" s="99">
        <f t="shared" si="37"/>
        <v>923</v>
      </c>
      <c r="G189" s="178">
        <v>514.0</v>
      </c>
      <c r="H189" s="101">
        <v>306.0</v>
      </c>
      <c r="I189" s="101">
        <v>292.49</v>
      </c>
      <c r="J189" s="102">
        <f t="shared" si="35"/>
        <v>13.51</v>
      </c>
      <c r="K189" s="103">
        <f t="shared" si="36"/>
        <v>31.68905742</v>
      </c>
      <c r="L189" s="54"/>
      <c r="M189" s="84">
        <f>SUM(F187:F199)</f>
        <v>10299</v>
      </c>
      <c r="N189" s="84">
        <f>SUM(I187:I199)</f>
        <v>3065.17</v>
      </c>
      <c r="O189" s="85">
        <f>N189/M189*100</f>
        <v>29.76182154</v>
      </c>
      <c r="P189" s="84">
        <f>(M189/100)*(O189-Q189)</f>
        <v>-282.005</v>
      </c>
      <c r="Q189" s="464">
        <v>32.5</v>
      </c>
    </row>
    <row r="190">
      <c r="A190" s="54"/>
      <c r="B190" s="98">
        <v>45821.0</v>
      </c>
      <c r="C190" s="100" t="s">
        <v>142</v>
      </c>
      <c r="D190" s="100" t="s">
        <v>280</v>
      </c>
      <c r="E190" s="100">
        <v>1926304.0</v>
      </c>
      <c r="F190" s="99">
        <f t="shared" si="37"/>
        <v>994</v>
      </c>
      <c r="G190" s="178">
        <v>475.0</v>
      </c>
      <c r="H190" s="101">
        <v>286.0</v>
      </c>
      <c r="I190" s="101">
        <v>275.25</v>
      </c>
      <c r="J190" s="102">
        <f t="shared" si="35"/>
        <v>10.75</v>
      </c>
      <c r="K190" s="103">
        <f t="shared" si="36"/>
        <v>27.69114688</v>
      </c>
      <c r="L190" s="54"/>
      <c r="M190" s="54"/>
      <c r="N190" s="54"/>
      <c r="O190" s="54"/>
      <c r="P190" s="54"/>
      <c r="Q190" s="54"/>
    </row>
    <row r="191">
      <c r="A191" s="54"/>
      <c r="B191" s="98">
        <v>45823.0</v>
      </c>
      <c r="C191" s="100" t="s">
        <v>142</v>
      </c>
      <c r="D191" s="100" t="s">
        <v>280</v>
      </c>
      <c r="E191" s="100">
        <v>1926631.0</v>
      </c>
      <c r="F191" s="99">
        <f t="shared" si="37"/>
        <v>327</v>
      </c>
      <c r="G191" s="178">
        <v>509.0</v>
      </c>
      <c r="H191" s="101">
        <v>144.0</v>
      </c>
      <c r="I191" s="101">
        <v>135.08</v>
      </c>
      <c r="J191" s="102">
        <f t="shared" si="35"/>
        <v>8.92</v>
      </c>
      <c r="K191" s="103">
        <f t="shared" si="36"/>
        <v>41.3088685</v>
      </c>
      <c r="L191" s="54"/>
      <c r="M191" s="54"/>
      <c r="N191" s="54"/>
      <c r="O191" s="54"/>
      <c r="P191" s="54"/>
      <c r="Q191" s="54"/>
    </row>
    <row r="192">
      <c r="A192" s="54"/>
      <c r="B192" s="98">
        <v>45824.0</v>
      </c>
      <c r="C192" s="100" t="s">
        <v>142</v>
      </c>
      <c r="D192" s="100" t="s">
        <v>280</v>
      </c>
      <c r="E192" s="100">
        <v>1927449.0</v>
      </c>
      <c r="F192" s="99">
        <f t="shared" si="37"/>
        <v>818</v>
      </c>
      <c r="G192" s="178">
        <v>498.0</v>
      </c>
      <c r="H192" s="101">
        <v>240.0</v>
      </c>
      <c r="I192" s="101">
        <v>235.01</v>
      </c>
      <c r="J192" s="102">
        <f t="shared" si="35"/>
        <v>4.99</v>
      </c>
      <c r="K192" s="103">
        <f t="shared" si="36"/>
        <v>28.72982885</v>
      </c>
      <c r="L192" s="54"/>
      <c r="M192" s="54"/>
      <c r="N192" s="54"/>
      <c r="O192" s="54"/>
      <c r="P192" s="54"/>
      <c r="Q192" s="54"/>
    </row>
    <row r="193">
      <c r="A193" s="54"/>
      <c r="B193" s="98">
        <v>45828.0</v>
      </c>
      <c r="C193" s="100" t="s">
        <v>99</v>
      </c>
      <c r="D193" s="100" t="s">
        <v>280</v>
      </c>
      <c r="E193" s="100">
        <v>1928366.0</v>
      </c>
      <c r="F193" s="99">
        <f t="shared" si="37"/>
        <v>917</v>
      </c>
      <c r="G193" s="178">
        <v>521.0</v>
      </c>
      <c r="H193" s="101">
        <v>302.0</v>
      </c>
      <c r="I193" s="101">
        <v>275.44</v>
      </c>
      <c r="J193" s="102">
        <f t="shared" si="35"/>
        <v>26.56</v>
      </c>
      <c r="K193" s="103">
        <f t="shared" si="36"/>
        <v>30.03707743</v>
      </c>
      <c r="L193" s="54"/>
      <c r="M193" s="54"/>
      <c r="N193" s="54"/>
      <c r="O193" s="54"/>
      <c r="P193" s="54"/>
      <c r="Q193" s="54"/>
    </row>
    <row r="194">
      <c r="A194" s="54"/>
      <c r="B194" s="98">
        <v>45832.0</v>
      </c>
      <c r="C194" s="100" t="s">
        <v>123</v>
      </c>
      <c r="D194" s="100" t="s">
        <v>280</v>
      </c>
      <c r="E194" s="100">
        <v>1928980.0</v>
      </c>
      <c r="F194" s="99">
        <f t="shared" si="37"/>
        <v>614</v>
      </c>
      <c r="G194" s="178">
        <v>521.0</v>
      </c>
      <c r="H194" s="101">
        <v>204.0</v>
      </c>
      <c r="I194" s="101">
        <v>186.29</v>
      </c>
      <c r="J194" s="102">
        <f t="shared" si="35"/>
        <v>17.71</v>
      </c>
      <c r="K194" s="103">
        <f t="shared" si="36"/>
        <v>30.34039088</v>
      </c>
      <c r="L194" s="54"/>
      <c r="M194" s="54"/>
      <c r="N194" s="54"/>
      <c r="O194" s="54"/>
      <c r="P194" s="54"/>
      <c r="Q194" s="54"/>
    </row>
    <row r="195">
      <c r="A195" s="54"/>
      <c r="B195" s="98">
        <v>45833.0</v>
      </c>
      <c r="C195" s="100" t="s">
        <v>123</v>
      </c>
      <c r="D195" s="100" t="s">
        <v>280</v>
      </c>
      <c r="E195" s="100">
        <v>1929704.0</v>
      </c>
      <c r="F195" s="99">
        <f t="shared" si="37"/>
        <v>724</v>
      </c>
      <c r="G195" s="178">
        <v>410.0</v>
      </c>
      <c r="H195" s="101">
        <v>117.0</v>
      </c>
      <c r="I195" s="101">
        <v>113.0</v>
      </c>
      <c r="J195" s="102">
        <f t="shared" si="35"/>
        <v>4</v>
      </c>
      <c r="K195" s="103">
        <f t="shared" si="36"/>
        <v>15.60773481</v>
      </c>
      <c r="L195" s="54"/>
      <c r="M195" s="54"/>
      <c r="N195" s="54"/>
      <c r="O195" s="54"/>
      <c r="P195" s="54"/>
      <c r="Q195" s="54"/>
    </row>
    <row r="196">
      <c r="A196" s="54"/>
      <c r="B196" s="98">
        <v>45834.0</v>
      </c>
      <c r="C196" s="100" t="s">
        <v>123</v>
      </c>
      <c r="D196" s="100" t="s">
        <v>280</v>
      </c>
      <c r="E196" s="100">
        <v>1930367.0</v>
      </c>
      <c r="F196" s="99">
        <f t="shared" si="37"/>
        <v>663</v>
      </c>
      <c r="G196" s="178">
        <v>503.0</v>
      </c>
      <c r="H196" s="101">
        <v>299.0</v>
      </c>
      <c r="I196" s="101">
        <v>285.36</v>
      </c>
      <c r="J196" s="102">
        <f t="shared" si="35"/>
        <v>13.64</v>
      </c>
      <c r="K196" s="103">
        <f t="shared" si="36"/>
        <v>43.04072398</v>
      </c>
      <c r="L196" s="54"/>
      <c r="M196" s="54"/>
      <c r="N196" s="54"/>
      <c r="O196" s="54"/>
      <c r="P196" s="54"/>
      <c r="Q196" s="54"/>
    </row>
    <row r="197">
      <c r="A197" s="54"/>
      <c r="B197" s="98">
        <v>45835.0</v>
      </c>
      <c r="C197" s="100" t="s">
        <v>123</v>
      </c>
      <c r="D197" s="100" t="s">
        <v>280</v>
      </c>
      <c r="E197" s="100">
        <v>1931312.0</v>
      </c>
      <c r="F197" s="99">
        <f t="shared" si="37"/>
        <v>945</v>
      </c>
      <c r="G197" s="178">
        <v>501.0</v>
      </c>
      <c r="H197" s="101">
        <v>291.0</v>
      </c>
      <c r="I197" s="101">
        <v>280.0</v>
      </c>
      <c r="J197" s="102">
        <f t="shared" si="35"/>
        <v>11</v>
      </c>
      <c r="K197" s="103">
        <f t="shared" si="36"/>
        <v>29.62962963</v>
      </c>
      <c r="L197" s="54"/>
      <c r="M197" s="54"/>
      <c r="N197" s="54"/>
      <c r="O197" s="54"/>
      <c r="P197" s="54"/>
      <c r="Q197" s="54"/>
    </row>
    <row r="198">
      <c r="A198" s="54"/>
      <c r="B198" s="98">
        <v>45836.0</v>
      </c>
      <c r="C198" s="100" t="s">
        <v>123</v>
      </c>
      <c r="D198" s="100" t="s">
        <v>280</v>
      </c>
      <c r="E198" s="100">
        <v>1931975.0</v>
      </c>
      <c r="F198" s="99">
        <f t="shared" si="37"/>
        <v>663</v>
      </c>
      <c r="G198" s="178">
        <v>504.0</v>
      </c>
      <c r="H198" s="101">
        <v>207.0</v>
      </c>
      <c r="I198" s="101">
        <v>195.44</v>
      </c>
      <c r="J198" s="102">
        <f t="shared" si="35"/>
        <v>11.56</v>
      </c>
      <c r="K198" s="103">
        <f t="shared" si="36"/>
        <v>29.47812971</v>
      </c>
      <c r="L198" s="54"/>
      <c r="M198" s="54"/>
      <c r="N198" s="54"/>
      <c r="O198" s="54"/>
      <c r="P198" s="54"/>
      <c r="Q198" s="54"/>
    </row>
    <row r="199">
      <c r="A199" s="54"/>
      <c r="B199" s="98">
        <v>45837.0</v>
      </c>
      <c r="C199" s="100" t="s">
        <v>123</v>
      </c>
      <c r="D199" s="100" t="s">
        <v>280</v>
      </c>
      <c r="E199" s="100">
        <v>1932781.0</v>
      </c>
      <c r="F199" s="99">
        <f t="shared" si="37"/>
        <v>806</v>
      </c>
      <c r="G199" s="178">
        <v>489.0</v>
      </c>
      <c r="H199" s="101">
        <v>241.0</v>
      </c>
      <c r="I199" s="101">
        <v>232.27</v>
      </c>
      <c r="J199" s="102">
        <f t="shared" si="35"/>
        <v>8.73</v>
      </c>
      <c r="K199" s="103">
        <f t="shared" si="36"/>
        <v>28.81761787</v>
      </c>
      <c r="L199" s="54"/>
      <c r="M199" s="54"/>
      <c r="N199" s="54"/>
      <c r="O199" s="54"/>
      <c r="P199" s="54"/>
      <c r="Q199" s="54"/>
    </row>
    <row r="200">
      <c r="A200" s="68"/>
      <c r="B200" s="203" t="str">
        <f>IF(L200=4,"АПРЕЛЬ",IF(L200=5,"МАЙ",IF(L200=1,"ЯНВАРЬ",IF(L200=2,"ФЕВРАЛЬ",IF(L200=3,"МАРТ",IF(L200=6,"ИЮНЬ",IF(L200=7,"ИЮЛЬ",IF(L200=8,"АВГУСТ",IF(L200=9,"СЕНТЯБРЬ",IF(L200=10,"ОКТЯБРЬ",IF(L200=11,"НОЯБРЬ",IF(L200=12,"ДЕКАБРЬ"))))))))))))</f>
        <v>ИЮЛЬ</v>
      </c>
      <c r="J200" s="88"/>
      <c r="K200" s="204"/>
      <c r="L200" s="91">
        <f>MONTH(B201)</f>
        <v>7</v>
      </c>
      <c r="M200" s="66"/>
      <c r="N200" s="66"/>
      <c r="O200" s="66"/>
      <c r="P200" s="66"/>
      <c r="Q200" s="66"/>
    </row>
    <row r="201">
      <c r="A201" s="54"/>
      <c r="B201" s="98">
        <v>45839.0</v>
      </c>
      <c r="C201" s="100" t="s">
        <v>123</v>
      </c>
      <c r="D201" s="100" t="s">
        <v>280</v>
      </c>
      <c r="E201" s="100">
        <v>1933651.0</v>
      </c>
      <c r="F201" s="99">
        <f>E201-E199</f>
        <v>870</v>
      </c>
      <c r="G201" s="178">
        <v>504.0</v>
      </c>
      <c r="H201" s="101">
        <v>273.0</v>
      </c>
      <c r="I201" s="101">
        <v>270.4</v>
      </c>
      <c r="J201" s="102">
        <f t="shared" ref="J201:J206" si="38">H201-I201</f>
        <v>2.6</v>
      </c>
      <c r="K201" s="103">
        <f t="shared" ref="K201:K206" si="39">I201/F201*100</f>
        <v>31.08045977</v>
      </c>
      <c r="L201" s="54"/>
      <c r="M201" s="205" t="str">
        <f>"тотал"&amp;" "&amp;B200&amp;" "&amp;RIGHT(YEAR(B201),2)</f>
        <v>тотал ИЮЛЬ 25</v>
      </c>
      <c r="N201" s="75"/>
      <c r="O201" s="75"/>
      <c r="P201" s="75"/>
      <c r="Q201" s="76"/>
    </row>
    <row r="202">
      <c r="A202" s="54"/>
      <c r="B202" s="98">
        <v>45840.0</v>
      </c>
      <c r="C202" s="100" t="s">
        <v>123</v>
      </c>
      <c r="D202" s="100" t="s">
        <v>280</v>
      </c>
      <c r="E202" s="100">
        <v>1934426.0</v>
      </c>
      <c r="F202" s="99">
        <f t="shared" ref="F202:F206" si="40">E202-E201</f>
        <v>775</v>
      </c>
      <c r="G202" s="178">
        <v>475.0</v>
      </c>
      <c r="H202" s="101">
        <v>226.0</v>
      </c>
      <c r="I202" s="101">
        <v>207.29</v>
      </c>
      <c r="J202" s="102">
        <f t="shared" si="38"/>
        <v>18.71</v>
      </c>
      <c r="K202" s="103">
        <f t="shared" si="39"/>
        <v>26.74709677</v>
      </c>
      <c r="L202" s="54"/>
      <c r="M202" s="83" t="s">
        <v>70</v>
      </c>
      <c r="N202" s="83" t="s">
        <v>71</v>
      </c>
      <c r="O202" s="83" t="s">
        <v>27</v>
      </c>
      <c r="P202" s="83" t="s">
        <v>28</v>
      </c>
      <c r="Q202" s="321" t="s">
        <v>78</v>
      </c>
    </row>
    <row r="203">
      <c r="A203" s="54"/>
      <c r="B203" s="98">
        <v>45841.0</v>
      </c>
      <c r="C203" s="100" t="s">
        <v>123</v>
      </c>
      <c r="D203" s="100" t="s">
        <v>280</v>
      </c>
      <c r="E203" s="100">
        <v>1935089.0</v>
      </c>
      <c r="F203" s="99">
        <f t="shared" si="40"/>
        <v>663</v>
      </c>
      <c r="G203" s="178">
        <v>520.0</v>
      </c>
      <c r="H203" s="101">
        <v>266.0</v>
      </c>
      <c r="I203" s="101">
        <v>222.12</v>
      </c>
      <c r="J203" s="102">
        <f t="shared" si="38"/>
        <v>43.88</v>
      </c>
      <c r="K203" s="103">
        <f t="shared" si="39"/>
        <v>33.50226244</v>
      </c>
      <c r="L203" s="54"/>
      <c r="M203" s="84">
        <f>SUM(F201:F206)</f>
        <v>5178</v>
      </c>
      <c r="N203" s="84">
        <f>SUM(I201:I206)</f>
        <v>1501.32</v>
      </c>
      <c r="O203" s="85">
        <f>N203/M203*100</f>
        <v>28.99420626</v>
      </c>
      <c r="P203" s="84">
        <f>(M203/100)*(O203-Q203)</f>
        <v>-52.08</v>
      </c>
      <c r="Q203" s="464">
        <v>30.0</v>
      </c>
    </row>
    <row r="204">
      <c r="A204" s="54"/>
      <c r="B204" s="98">
        <v>45842.0</v>
      </c>
      <c r="C204" s="100" t="s">
        <v>123</v>
      </c>
      <c r="D204" s="100" t="s">
        <v>280</v>
      </c>
      <c r="E204" s="100">
        <v>1935892.0</v>
      </c>
      <c r="F204" s="99">
        <f t="shared" si="40"/>
        <v>803</v>
      </c>
      <c r="G204" s="178">
        <v>488.0</v>
      </c>
      <c r="H204" s="101">
        <v>248.0</v>
      </c>
      <c r="I204" s="101">
        <v>231.15</v>
      </c>
      <c r="J204" s="102">
        <f t="shared" si="38"/>
        <v>16.85</v>
      </c>
      <c r="K204" s="103">
        <f t="shared" si="39"/>
        <v>28.78580324</v>
      </c>
      <c r="L204" s="54"/>
      <c r="M204" s="54"/>
      <c r="N204" s="54"/>
      <c r="O204" s="54"/>
      <c r="P204" s="54"/>
      <c r="Q204" s="54"/>
    </row>
    <row r="205">
      <c r="A205" s="54"/>
      <c r="B205" s="98">
        <v>45843.0</v>
      </c>
      <c r="C205" s="100" t="s">
        <v>123</v>
      </c>
      <c r="D205" s="100" t="s">
        <v>280</v>
      </c>
      <c r="E205" s="100">
        <v>1937067.0</v>
      </c>
      <c r="F205" s="99">
        <f t="shared" si="40"/>
        <v>1175</v>
      </c>
      <c r="G205" s="178">
        <v>520.0</v>
      </c>
      <c r="H205" s="101">
        <v>393.0</v>
      </c>
      <c r="I205" s="101">
        <v>370.37</v>
      </c>
      <c r="J205" s="102">
        <f t="shared" si="38"/>
        <v>22.63</v>
      </c>
      <c r="K205" s="103">
        <f t="shared" si="39"/>
        <v>31.52085106</v>
      </c>
      <c r="L205" s="54"/>
      <c r="M205" s="54"/>
      <c r="N205" s="54"/>
      <c r="O205" s="54"/>
      <c r="P205" s="54"/>
      <c r="Q205" s="54"/>
    </row>
    <row r="206">
      <c r="A206" s="54"/>
      <c r="B206" s="98">
        <v>45846.0</v>
      </c>
      <c r="C206" s="100" t="s">
        <v>142</v>
      </c>
      <c r="D206" s="100" t="s">
        <v>280</v>
      </c>
      <c r="E206" s="100">
        <v>1937959.0</v>
      </c>
      <c r="F206" s="99">
        <f t="shared" si="40"/>
        <v>892</v>
      </c>
      <c r="G206" s="178">
        <v>438.0</v>
      </c>
      <c r="H206" s="101">
        <v>203.0</v>
      </c>
      <c r="I206" s="101">
        <v>199.99</v>
      </c>
      <c r="J206" s="102">
        <f t="shared" si="38"/>
        <v>3.01</v>
      </c>
      <c r="K206" s="103">
        <f t="shared" si="39"/>
        <v>22.42040359</v>
      </c>
      <c r="L206" s="54"/>
      <c r="M206" s="54"/>
      <c r="N206" s="54"/>
      <c r="O206" s="54"/>
      <c r="P206" s="54"/>
      <c r="Q206" s="54"/>
    </row>
    <row r="207">
      <c r="A207" s="68"/>
      <c r="B207" s="203" t="str">
        <f>IF(L207=4,"АПРЕЛЬ",IF(L207=5,"МАЙ",IF(L207=1,"ЯНВАРЬ",IF(L207=2,"ФЕВРАЛЬ",IF(L207=3,"МАРТ",IF(L207=6,"ИЮНЬ",IF(L207=7,"ИЮЛЬ",IF(L207=8,"АВГУСТ",IF(L207=9,"СЕНТЯБРЬ",IF(L207=10,"ОКТЯБРЬ",IF(L207=11,"НОЯБРЬ",IF(L207=12,"ДЕКАБРЬ"))))))))))))</f>
        <v>АВГУСТ</v>
      </c>
      <c r="J207" s="88"/>
      <c r="K207" s="204"/>
      <c r="L207" s="91">
        <f>MONTH(B208)</f>
        <v>8</v>
      </c>
      <c r="M207" s="66"/>
      <c r="N207" s="66"/>
      <c r="O207" s="66"/>
      <c r="P207" s="66"/>
      <c r="Q207" s="66"/>
    </row>
    <row r="208">
      <c r="A208" s="54"/>
      <c r="B208" s="98">
        <v>45872.0</v>
      </c>
      <c r="C208" s="100" t="s">
        <v>123</v>
      </c>
      <c r="D208" s="100" t="s">
        <v>280</v>
      </c>
      <c r="E208" s="100">
        <v>1938605.0</v>
      </c>
      <c r="F208" s="99">
        <f>E208-E206</f>
        <v>646</v>
      </c>
      <c r="G208" s="178">
        <v>521.0</v>
      </c>
      <c r="H208" s="101">
        <v>271.0</v>
      </c>
      <c r="I208" s="101">
        <v>253.77</v>
      </c>
      <c r="J208" s="102">
        <f t="shared" ref="J208:J222" si="41">H208-I208</f>
        <v>17.23</v>
      </c>
      <c r="K208" s="103">
        <f t="shared" ref="K208:K222" si="42">I208/F208*100</f>
        <v>39.28328173</v>
      </c>
      <c r="L208" s="54"/>
      <c r="M208" s="205" t="str">
        <f>"тотал"&amp;" "&amp;B207&amp;" "&amp;RIGHT(YEAR(B208),2)</f>
        <v>тотал АВГУСТ 25</v>
      </c>
      <c r="N208" s="75"/>
      <c r="O208" s="75"/>
      <c r="P208" s="75"/>
      <c r="Q208" s="76"/>
    </row>
    <row r="209">
      <c r="A209" s="54"/>
      <c r="B209" s="98">
        <v>45874.0</v>
      </c>
      <c r="C209" s="100" t="s">
        <v>142</v>
      </c>
      <c r="D209" s="100" t="s">
        <v>280</v>
      </c>
      <c r="E209" s="100">
        <v>1940074.0</v>
      </c>
      <c r="F209" s="99">
        <f t="shared" ref="F209:F222" si="43">E209-E208</f>
        <v>1469</v>
      </c>
      <c r="G209" s="178">
        <v>500.0</v>
      </c>
      <c r="H209" s="101">
        <v>417.0</v>
      </c>
      <c r="I209" s="101">
        <v>400.0</v>
      </c>
      <c r="J209" s="102">
        <f t="shared" si="41"/>
        <v>17</v>
      </c>
      <c r="K209" s="103">
        <f t="shared" si="42"/>
        <v>27.22940776</v>
      </c>
      <c r="L209" s="54"/>
      <c r="M209" s="83" t="s">
        <v>70</v>
      </c>
      <c r="N209" s="83" t="s">
        <v>71</v>
      </c>
      <c r="O209" s="83" t="s">
        <v>27</v>
      </c>
      <c r="P209" s="83" t="s">
        <v>28</v>
      </c>
      <c r="Q209" s="321" t="s">
        <v>78</v>
      </c>
    </row>
    <row r="210">
      <c r="A210" s="54"/>
      <c r="B210" s="98">
        <v>45876.0</v>
      </c>
      <c r="C210" s="100" t="s">
        <v>142</v>
      </c>
      <c r="D210" s="100" t="s">
        <v>280</v>
      </c>
      <c r="E210" s="100">
        <v>1940987.0</v>
      </c>
      <c r="F210" s="99">
        <f t="shared" si="43"/>
        <v>913</v>
      </c>
      <c r="G210" s="178">
        <v>515.0</v>
      </c>
      <c r="H210" s="101">
        <v>297.0</v>
      </c>
      <c r="I210" s="101">
        <v>285.46</v>
      </c>
      <c r="J210" s="102">
        <f t="shared" si="41"/>
        <v>11.54</v>
      </c>
      <c r="K210" s="103">
        <f t="shared" si="42"/>
        <v>31.26615553</v>
      </c>
      <c r="L210" s="54"/>
      <c r="M210" s="84">
        <f>SUM(F208:F222)</f>
        <v>15804</v>
      </c>
      <c r="N210" s="84">
        <f>SUM(I208:I222)</f>
        <v>4744.23</v>
      </c>
      <c r="O210" s="85">
        <f>N210/M210*100</f>
        <v>30.01917236</v>
      </c>
      <c r="P210" s="84">
        <f>(M210/100)*(O210-Q210)</f>
        <v>-155.01</v>
      </c>
      <c r="Q210" s="464">
        <v>31.0</v>
      </c>
    </row>
    <row r="211">
      <c r="A211" s="54"/>
      <c r="B211" s="98">
        <v>45880.0</v>
      </c>
      <c r="C211" s="100" t="s">
        <v>142</v>
      </c>
      <c r="D211" s="100" t="s">
        <v>280</v>
      </c>
      <c r="E211" s="100">
        <v>1941950.0</v>
      </c>
      <c r="F211" s="99">
        <f t="shared" si="43"/>
        <v>963</v>
      </c>
      <c r="G211" s="178">
        <v>508.0</v>
      </c>
      <c r="H211" s="101">
        <v>299.0</v>
      </c>
      <c r="I211" s="101">
        <v>290.01</v>
      </c>
      <c r="J211" s="102">
        <f t="shared" si="41"/>
        <v>8.99</v>
      </c>
      <c r="K211" s="103">
        <f t="shared" si="42"/>
        <v>30.1152648</v>
      </c>
      <c r="L211" s="54"/>
      <c r="M211" s="54"/>
      <c r="N211" s="54"/>
      <c r="O211" s="54"/>
      <c r="P211" s="54"/>
      <c r="Q211" s="54"/>
    </row>
    <row r="212">
      <c r="A212" s="54"/>
      <c r="B212" s="98">
        <v>45882.0</v>
      </c>
      <c r="C212" s="100" t="s">
        <v>142</v>
      </c>
      <c r="D212" s="100" t="s">
        <v>280</v>
      </c>
      <c r="E212" s="100">
        <v>1942901.0</v>
      </c>
      <c r="F212" s="99">
        <f t="shared" si="43"/>
        <v>951</v>
      </c>
      <c r="G212" s="178">
        <v>507.0</v>
      </c>
      <c r="H212" s="101">
        <v>294.0</v>
      </c>
      <c r="I212" s="101">
        <v>290.37</v>
      </c>
      <c r="J212" s="102">
        <f t="shared" si="41"/>
        <v>3.63</v>
      </c>
      <c r="K212" s="103">
        <f t="shared" si="42"/>
        <v>30.53312303</v>
      </c>
      <c r="L212" s="54"/>
      <c r="M212" s="54"/>
      <c r="N212" s="54"/>
      <c r="O212" s="54"/>
      <c r="P212" s="54"/>
      <c r="Q212" s="54"/>
    </row>
    <row r="213">
      <c r="A213" s="54"/>
      <c r="B213" s="98">
        <v>45884.0</v>
      </c>
      <c r="C213" s="100" t="s">
        <v>142</v>
      </c>
      <c r="D213" s="100" t="s">
        <v>280</v>
      </c>
      <c r="E213" s="100">
        <v>1943883.0</v>
      </c>
      <c r="F213" s="99">
        <f t="shared" si="43"/>
        <v>982</v>
      </c>
      <c r="G213" s="178">
        <v>512.0</v>
      </c>
      <c r="H213" s="101">
        <v>336.0</v>
      </c>
      <c r="I213" s="101">
        <v>322.33</v>
      </c>
      <c r="J213" s="102">
        <f t="shared" si="41"/>
        <v>13.67</v>
      </c>
      <c r="K213" s="103">
        <f t="shared" si="42"/>
        <v>32.82382892</v>
      </c>
      <c r="L213" s="54"/>
      <c r="M213" s="54"/>
      <c r="N213" s="54"/>
      <c r="O213" s="54"/>
      <c r="P213" s="54"/>
      <c r="Q213" s="54"/>
    </row>
    <row r="214">
      <c r="A214" s="54"/>
      <c r="B214" s="98">
        <v>45886.0</v>
      </c>
      <c r="C214" s="100" t="s">
        <v>142</v>
      </c>
      <c r="D214" s="100" t="s">
        <v>280</v>
      </c>
      <c r="E214" s="100">
        <v>1944931.0</v>
      </c>
      <c r="F214" s="99">
        <f t="shared" si="43"/>
        <v>1048</v>
      </c>
      <c r="G214" s="178">
        <v>487.0</v>
      </c>
      <c r="H214" s="101">
        <v>307.0</v>
      </c>
      <c r="I214" s="101">
        <v>300.0</v>
      </c>
      <c r="J214" s="102">
        <f t="shared" si="41"/>
        <v>7</v>
      </c>
      <c r="K214" s="103">
        <f t="shared" si="42"/>
        <v>28.6259542</v>
      </c>
      <c r="L214" s="54"/>
      <c r="M214" s="54"/>
      <c r="N214" s="54"/>
      <c r="O214" s="54"/>
      <c r="P214" s="54"/>
      <c r="Q214" s="54"/>
    </row>
    <row r="215">
      <c r="A215" s="54"/>
      <c r="B215" s="98">
        <v>45888.0</v>
      </c>
      <c r="C215" s="100" t="s">
        <v>142</v>
      </c>
      <c r="D215" s="100" t="s">
        <v>280</v>
      </c>
      <c r="E215" s="100">
        <v>1946002.0</v>
      </c>
      <c r="F215" s="99">
        <f t="shared" si="43"/>
        <v>1071</v>
      </c>
      <c r="G215" s="178">
        <v>486.0</v>
      </c>
      <c r="H215" s="101">
        <v>308.0</v>
      </c>
      <c r="I215" s="101">
        <v>300.0</v>
      </c>
      <c r="J215" s="102">
        <f t="shared" si="41"/>
        <v>8</v>
      </c>
      <c r="K215" s="103">
        <f t="shared" si="42"/>
        <v>28.01120448</v>
      </c>
      <c r="L215" s="54"/>
      <c r="M215" s="54"/>
      <c r="N215" s="54"/>
      <c r="O215" s="54"/>
      <c r="P215" s="54"/>
      <c r="Q215" s="54"/>
    </row>
    <row r="216">
      <c r="A216" s="54"/>
      <c r="B216" s="98">
        <v>45891.0</v>
      </c>
      <c r="C216" s="100" t="s">
        <v>127</v>
      </c>
      <c r="D216" s="100" t="s">
        <v>280</v>
      </c>
      <c r="E216" s="100">
        <v>1947097.0</v>
      </c>
      <c r="F216" s="99">
        <f t="shared" si="43"/>
        <v>1095</v>
      </c>
      <c r="G216" s="178">
        <v>521.0</v>
      </c>
      <c r="H216" s="101">
        <v>392.0</v>
      </c>
      <c r="I216" s="101">
        <v>374.55</v>
      </c>
      <c r="J216" s="102">
        <f t="shared" si="41"/>
        <v>17.45</v>
      </c>
      <c r="K216" s="103">
        <f t="shared" si="42"/>
        <v>34.20547945</v>
      </c>
      <c r="L216" s="54"/>
      <c r="M216" s="54"/>
      <c r="N216" s="54"/>
      <c r="O216" s="54"/>
      <c r="P216" s="54"/>
      <c r="Q216" s="54"/>
    </row>
    <row r="217">
      <c r="A217" s="54"/>
      <c r="B217" s="98">
        <v>45892.0</v>
      </c>
      <c r="C217" s="100" t="s">
        <v>127</v>
      </c>
      <c r="D217" s="100" t="s">
        <v>280</v>
      </c>
      <c r="E217" s="100">
        <v>1948162.0</v>
      </c>
      <c r="F217" s="99">
        <f t="shared" si="43"/>
        <v>1065</v>
      </c>
      <c r="G217" s="178">
        <v>506.0</v>
      </c>
      <c r="H217" s="101">
        <v>318.0</v>
      </c>
      <c r="I217" s="101">
        <v>308.13</v>
      </c>
      <c r="J217" s="102">
        <f t="shared" si="41"/>
        <v>9.87</v>
      </c>
      <c r="K217" s="103">
        <f t="shared" si="42"/>
        <v>28.93239437</v>
      </c>
      <c r="L217" s="54"/>
      <c r="M217" s="54"/>
      <c r="N217" s="54"/>
      <c r="O217" s="54"/>
      <c r="P217" s="54"/>
      <c r="Q217" s="54"/>
    </row>
    <row r="218">
      <c r="A218" s="54"/>
      <c r="B218" s="98">
        <v>45893.0</v>
      </c>
      <c r="C218" s="100" t="s">
        <v>127</v>
      </c>
      <c r="D218" s="100" t="s">
        <v>280</v>
      </c>
      <c r="E218" s="100">
        <v>1949360.0</v>
      </c>
      <c r="F218" s="99">
        <f t="shared" si="43"/>
        <v>1198</v>
      </c>
      <c r="G218" s="178">
        <v>513.0</v>
      </c>
      <c r="H218" s="101">
        <v>378.0</v>
      </c>
      <c r="I218" s="101">
        <v>359.78</v>
      </c>
      <c r="J218" s="102">
        <f t="shared" si="41"/>
        <v>18.22</v>
      </c>
      <c r="K218" s="103">
        <f t="shared" si="42"/>
        <v>30.03171953</v>
      </c>
      <c r="L218" s="54"/>
      <c r="M218" s="54"/>
      <c r="N218" s="54"/>
      <c r="O218" s="54"/>
      <c r="P218" s="54"/>
      <c r="Q218" s="54"/>
    </row>
    <row r="219">
      <c r="A219" s="54"/>
      <c r="B219" s="98">
        <v>45895.0</v>
      </c>
      <c r="C219" s="100" t="s">
        <v>276</v>
      </c>
      <c r="D219" s="100" t="s">
        <v>280</v>
      </c>
      <c r="E219" s="100">
        <v>1950529.0</v>
      </c>
      <c r="F219" s="99">
        <f t="shared" si="43"/>
        <v>1169</v>
      </c>
      <c r="G219" s="178">
        <v>515.0</v>
      </c>
      <c r="H219" s="101">
        <v>344.0</v>
      </c>
      <c r="I219" s="101">
        <v>328.84</v>
      </c>
      <c r="J219" s="102">
        <f t="shared" si="41"/>
        <v>15.16</v>
      </c>
      <c r="K219" s="103">
        <f t="shared" si="42"/>
        <v>28.13002566</v>
      </c>
      <c r="L219" s="54"/>
      <c r="M219" s="54"/>
      <c r="N219" s="54"/>
      <c r="O219" s="54"/>
      <c r="P219" s="54"/>
      <c r="Q219" s="54"/>
    </row>
    <row r="220">
      <c r="A220" s="54"/>
      <c r="B220" s="98">
        <v>45896.0</v>
      </c>
      <c r="C220" s="100" t="s">
        <v>276</v>
      </c>
      <c r="D220" s="100" t="s">
        <v>280</v>
      </c>
      <c r="E220" s="100">
        <v>1951487.0</v>
      </c>
      <c r="F220" s="99">
        <f t="shared" si="43"/>
        <v>958</v>
      </c>
      <c r="G220" s="178">
        <v>513.0</v>
      </c>
      <c r="H220" s="101">
        <v>280.0</v>
      </c>
      <c r="I220" s="101">
        <v>266.46</v>
      </c>
      <c r="J220" s="102">
        <f t="shared" si="41"/>
        <v>13.54</v>
      </c>
      <c r="K220" s="103">
        <f t="shared" si="42"/>
        <v>27.81419624</v>
      </c>
      <c r="L220" s="54"/>
      <c r="M220" s="54"/>
      <c r="N220" s="54"/>
      <c r="O220" s="54"/>
      <c r="P220" s="54"/>
      <c r="Q220" s="54"/>
    </row>
    <row r="221">
      <c r="A221" s="54"/>
      <c r="B221" s="98">
        <v>45898.0</v>
      </c>
      <c r="C221" s="100" t="s">
        <v>127</v>
      </c>
      <c r="D221" s="100" t="s">
        <v>280</v>
      </c>
      <c r="E221" s="100">
        <v>1952627.0</v>
      </c>
      <c r="F221" s="99">
        <f t="shared" si="43"/>
        <v>1140</v>
      </c>
      <c r="G221" s="178">
        <v>507.0</v>
      </c>
      <c r="H221" s="101">
        <v>333.0</v>
      </c>
      <c r="I221" s="101">
        <v>326.81</v>
      </c>
      <c r="J221" s="102">
        <f t="shared" si="41"/>
        <v>6.19</v>
      </c>
      <c r="K221" s="103">
        <f t="shared" si="42"/>
        <v>28.66754386</v>
      </c>
      <c r="L221" s="54"/>
      <c r="M221" s="54"/>
      <c r="N221" s="54"/>
      <c r="O221" s="54"/>
      <c r="P221" s="54"/>
      <c r="Q221" s="54"/>
    </row>
    <row r="222">
      <c r="A222" s="54"/>
      <c r="B222" s="98">
        <v>45899.0</v>
      </c>
      <c r="C222" s="100" t="s">
        <v>123</v>
      </c>
      <c r="D222" s="100" t="s">
        <v>280</v>
      </c>
      <c r="E222" s="100">
        <v>1953763.0</v>
      </c>
      <c r="F222" s="99">
        <f t="shared" si="43"/>
        <v>1136</v>
      </c>
      <c r="G222" s="178">
        <v>513.0</v>
      </c>
      <c r="H222" s="101">
        <v>361.0</v>
      </c>
      <c r="I222" s="101">
        <v>337.72</v>
      </c>
      <c r="J222" s="102">
        <f t="shared" si="41"/>
        <v>23.28</v>
      </c>
      <c r="K222" s="103">
        <f t="shared" si="42"/>
        <v>29.72887324</v>
      </c>
      <c r="L222" s="54"/>
      <c r="M222" s="54"/>
      <c r="N222" s="54"/>
      <c r="O222" s="54"/>
      <c r="P222" s="54"/>
      <c r="Q222" s="54"/>
    </row>
    <row r="223">
      <c r="A223" s="68"/>
      <c r="B223" s="203" t="str">
        <f>IF(L223=4,"АПРЕЛЬ",IF(L223=5,"МАЙ",IF(L223=1,"ЯНВАРЬ",IF(L223=2,"ФЕВРАЛЬ",IF(L223=3,"МАРТ",IF(L223=6,"ИЮНЬ",IF(L223=7,"ИЮЛЬ",IF(L223=8,"АВГУСТ",IF(L223=9,"СЕНТЯБРЬ",IF(L223=10,"ОКТЯБРЬ",IF(L223=11,"НОЯБРЬ",IF(L223=12,"ДЕКАБРЬ"))))))))))))</f>
        <v>СЕНТЯБРЬ</v>
      </c>
      <c r="J223" s="88"/>
      <c r="K223" s="204"/>
      <c r="L223" s="91">
        <f>MONTH(B224)</f>
        <v>9</v>
      </c>
      <c r="M223" s="66"/>
      <c r="N223" s="66"/>
      <c r="O223" s="66"/>
      <c r="P223" s="66"/>
      <c r="Q223" s="66"/>
    </row>
    <row r="224">
      <c r="A224" s="54"/>
      <c r="B224" s="98">
        <v>45901.0</v>
      </c>
      <c r="C224" s="100" t="s">
        <v>123</v>
      </c>
      <c r="D224" s="100" t="s">
        <v>280</v>
      </c>
      <c r="E224" s="100">
        <v>1954777.0</v>
      </c>
      <c r="F224" s="99">
        <f>E224-E222</f>
        <v>1014</v>
      </c>
      <c r="G224" s="178">
        <v>471.0</v>
      </c>
      <c r="H224" s="101">
        <v>278.0</v>
      </c>
      <c r="I224" s="101">
        <v>278.57</v>
      </c>
      <c r="J224" s="102">
        <f t="shared" ref="J224:J238" si="44">H224-I224</f>
        <v>-0.57</v>
      </c>
      <c r="K224" s="103">
        <f t="shared" ref="K224:K238" si="45">I224/F224*100</f>
        <v>27.47238659</v>
      </c>
      <c r="L224" s="54"/>
      <c r="M224" s="205" t="str">
        <f>"тотал"&amp;" "&amp;B223&amp;" "&amp;RIGHT(YEAR(B224),2)</f>
        <v>тотал СЕНТЯБРЬ 25</v>
      </c>
      <c r="N224" s="75"/>
      <c r="O224" s="75"/>
      <c r="P224" s="75"/>
      <c r="Q224" s="76"/>
    </row>
    <row r="225">
      <c r="A225" s="54"/>
      <c r="B225" s="98">
        <v>45903.0</v>
      </c>
      <c r="C225" s="100" t="s">
        <v>142</v>
      </c>
      <c r="D225" s="100" t="s">
        <v>280</v>
      </c>
      <c r="E225" s="100">
        <v>1955842.0</v>
      </c>
      <c r="F225" s="99">
        <f t="shared" ref="F225:F238" si="46">E225-E224</f>
        <v>1065</v>
      </c>
      <c r="G225" s="178">
        <v>508.0</v>
      </c>
      <c r="H225" s="101">
        <v>358.0</v>
      </c>
      <c r="I225" s="101">
        <v>350.4</v>
      </c>
      <c r="J225" s="102">
        <f t="shared" si="44"/>
        <v>7.6</v>
      </c>
      <c r="K225" s="103">
        <f t="shared" si="45"/>
        <v>32.90140845</v>
      </c>
      <c r="L225" s="54"/>
      <c r="M225" s="83" t="s">
        <v>70</v>
      </c>
      <c r="N225" s="83" t="s">
        <v>71</v>
      </c>
      <c r="O225" s="83" t="s">
        <v>27</v>
      </c>
      <c r="P225" s="83" t="s">
        <v>28</v>
      </c>
      <c r="Q225" s="321" t="s">
        <v>78</v>
      </c>
    </row>
    <row r="226">
      <c r="A226" s="54"/>
      <c r="B226" s="98">
        <v>45905.0</v>
      </c>
      <c r="C226" s="100" t="s">
        <v>142</v>
      </c>
      <c r="D226" s="100" t="s">
        <v>280</v>
      </c>
      <c r="E226" s="100">
        <v>1956939.0</v>
      </c>
      <c r="F226" s="99">
        <f t="shared" si="46"/>
        <v>1097</v>
      </c>
      <c r="G226" s="178">
        <v>508.0</v>
      </c>
      <c r="H226" s="101">
        <v>314.0</v>
      </c>
      <c r="I226" s="101">
        <v>300.0</v>
      </c>
      <c r="J226" s="102">
        <f t="shared" si="44"/>
        <v>14</v>
      </c>
      <c r="K226" s="103">
        <f t="shared" si="45"/>
        <v>27.34731085</v>
      </c>
      <c r="L226" s="54"/>
      <c r="M226" s="84">
        <f>SUM(F224:F238)</f>
        <v>15455</v>
      </c>
      <c r="N226" s="84">
        <f>SUM(I224:I238)</f>
        <v>4499.13</v>
      </c>
      <c r="O226" s="85">
        <f>N226/M226*100</f>
        <v>29.11116144</v>
      </c>
      <c r="P226" s="84">
        <f>(M226/100)*(O226-Q226)</f>
        <v>17.18</v>
      </c>
      <c r="Q226" s="464">
        <v>29.0</v>
      </c>
    </row>
    <row r="227">
      <c r="A227" s="54"/>
      <c r="B227" s="98">
        <v>45907.0</v>
      </c>
      <c r="C227" s="100" t="s">
        <v>142</v>
      </c>
      <c r="D227" s="100" t="s">
        <v>280</v>
      </c>
      <c r="E227" s="100">
        <v>1957869.0</v>
      </c>
      <c r="F227" s="99">
        <f t="shared" si="46"/>
        <v>930</v>
      </c>
      <c r="G227" s="178">
        <v>508.0</v>
      </c>
      <c r="H227" s="101">
        <v>292.0</v>
      </c>
      <c r="I227" s="101">
        <v>281.71</v>
      </c>
      <c r="J227" s="102">
        <f t="shared" si="44"/>
        <v>10.29</v>
      </c>
      <c r="K227" s="103">
        <f t="shared" si="45"/>
        <v>30.29139785</v>
      </c>
      <c r="L227" s="54"/>
      <c r="M227" s="54"/>
      <c r="N227" s="54"/>
      <c r="O227" s="54"/>
      <c r="P227" s="54"/>
      <c r="Q227" s="54"/>
    </row>
    <row r="228">
      <c r="A228" s="54"/>
      <c r="B228" s="98">
        <v>45909.0</v>
      </c>
      <c r="C228" s="100" t="s">
        <v>142</v>
      </c>
      <c r="D228" s="100" t="s">
        <v>280</v>
      </c>
      <c r="E228" s="100">
        <v>1958862.0</v>
      </c>
      <c r="F228" s="99">
        <f t="shared" si="46"/>
        <v>993</v>
      </c>
      <c r="G228" s="178">
        <v>506.0</v>
      </c>
      <c r="H228" s="101">
        <v>288.0</v>
      </c>
      <c r="I228" s="101">
        <v>279.7</v>
      </c>
      <c r="J228" s="102">
        <f t="shared" si="44"/>
        <v>8.3</v>
      </c>
      <c r="K228" s="103">
        <f t="shared" si="45"/>
        <v>28.16717019</v>
      </c>
      <c r="L228" s="54"/>
      <c r="M228" s="54"/>
      <c r="N228" s="54"/>
      <c r="O228" s="54"/>
      <c r="P228" s="54"/>
      <c r="Q228" s="54"/>
    </row>
    <row r="229">
      <c r="A229" s="54"/>
      <c r="B229" s="98">
        <v>45913.0</v>
      </c>
      <c r="C229" s="100" t="s">
        <v>123</v>
      </c>
      <c r="D229" s="100" t="s">
        <v>280</v>
      </c>
      <c r="E229" s="100">
        <v>1959871.0</v>
      </c>
      <c r="F229" s="99">
        <f t="shared" si="46"/>
        <v>1009</v>
      </c>
      <c r="G229" s="178">
        <v>520.0</v>
      </c>
      <c r="H229" s="101">
        <v>327.0</v>
      </c>
      <c r="I229" s="101">
        <v>306.91</v>
      </c>
      <c r="J229" s="102">
        <f t="shared" si="44"/>
        <v>20.09</v>
      </c>
      <c r="K229" s="103">
        <f t="shared" si="45"/>
        <v>30.4172448</v>
      </c>
      <c r="L229" s="54"/>
      <c r="M229" s="54"/>
      <c r="N229" s="54"/>
      <c r="O229" s="54"/>
      <c r="P229" s="54"/>
      <c r="Q229" s="54"/>
    </row>
    <row r="230">
      <c r="A230" s="54"/>
      <c r="B230" s="98">
        <v>45915.0</v>
      </c>
      <c r="C230" s="100" t="s">
        <v>127</v>
      </c>
      <c r="D230" s="100" t="s">
        <v>280</v>
      </c>
      <c r="E230" s="100">
        <v>1960944.0</v>
      </c>
      <c r="F230" s="99">
        <f t="shared" si="46"/>
        <v>1073</v>
      </c>
      <c r="G230" s="178">
        <v>489.0</v>
      </c>
      <c r="H230" s="101">
        <v>321.0</v>
      </c>
      <c r="I230" s="101">
        <v>300.0</v>
      </c>
      <c r="J230" s="102">
        <f t="shared" si="44"/>
        <v>21</v>
      </c>
      <c r="K230" s="103">
        <f t="shared" si="45"/>
        <v>27.95899348</v>
      </c>
      <c r="L230" s="54"/>
      <c r="M230" s="54"/>
      <c r="N230" s="54"/>
      <c r="O230" s="54"/>
      <c r="P230" s="54"/>
      <c r="Q230" s="54"/>
    </row>
    <row r="231">
      <c r="A231" s="54"/>
      <c r="B231" s="98">
        <v>45916.0</v>
      </c>
      <c r="C231" s="100" t="s">
        <v>127</v>
      </c>
      <c r="D231" s="100" t="s">
        <v>280</v>
      </c>
      <c r="E231" s="100">
        <v>1962002.0</v>
      </c>
      <c r="F231" s="99">
        <f t="shared" si="46"/>
        <v>1058</v>
      </c>
      <c r="G231" s="178">
        <v>499.0</v>
      </c>
      <c r="H231" s="101">
        <v>354.0</v>
      </c>
      <c r="I231" s="101">
        <v>338.13</v>
      </c>
      <c r="J231" s="102">
        <f t="shared" si="44"/>
        <v>15.87</v>
      </c>
      <c r="K231" s="103">
        <f t="shared" si="45"/>
        <v>31.95935728</v>
      </c>
      <c r="L231" s="54"/>
      <c r="M231" s="54"/>
      <c r="N231" s="54"/>
      <c r="O231" s="54"/>
      <c r="P231" s="54"/>
      <c r="Q231" s="54"/>
    </row>
    <row r="232">
      <c r="A232" s="54"/>
      <c r="B232" s="98">
        <v>45917.0</v>
      </c>
      <c r="C232" s="100" t="s">
        <v>126</v>
      </c>
      <c r="D232" s="100" t="s">
        <v>280</v>
      </c>
      <c r="E232" s="100">
        <v>1963157.0</v>
      </c>
      <c r="F232" s="99">
        <f t="shared" si="46"/>
        <v>1155</v>
      </c>
      <c r="G232" s="178">
        <v>469.0</v>
      </c>
      <c r="H232" s="101">
        <v>322.0</v>
      </c>
      <c r="I232" s="101">
        <v>300.0</v>
      </c>
      <c r="J232" s="102">
        <f t="shared" si="44"/>
        <v>22</v>
      </c>
      <c r="K232" s="103">
        <f t="shared" si="45"/>
        <v>25.97402597</v>
      </c>
      <c r="L232" s="54"/>
      <c r="M232" s="54"/>
      <c r="N232" s="54"/>
      <c r="O232" s="54"/>
      <c r="P232" s="54"/>
      <c r="Q232" s="54"/>
    </row>
    <row r="233">
      <c r="A233" s="54"/>
      <c r="B233" s="98">
        <v>45918.0</v>
      </c>
      <c r="C233" s="100" t="s">
        <v>276</v>
      </c>
      <c r="D233" s="100" t="s">
        <v>280</v>
      </c>
      <c r="E233" s="100">
        <v>1963381.0</v>
      </c>
      <c r="F233" s="99">
        <f t="shared" si="46"/>
        <v>224</v>
      </c>
      <c r="G233" s="178">
        <v>518.0</v>
      </c>
      <c r="H233" s="101">
        <v>127.0</v>
      </c>
      <c r="I233" s="101">
        <v>108.27</v>
      </c>
      <c r="J233" s="102">
        <f t="shared" si="44"/>
        <v>18.73</v>
      </c>
      <c r="K233" s="103">
        <f t="shared" si="45"/>
        <v>48.33482143</v>
      </c>
      <c r="L233" s="54"/>
      <c r="M233" s="54"/>
      <c r="N233" s="54"/>
      <c r="O233" s="54"/>
      <c r="P233" s="54"/>
      <c r="Q233" s="54"/>
    </row>
    <row r="234">
      <c r="A234" s="54"/>
      <c r="B234" s="98">
        <v>45920.0</v>
      </c>
      <c r="C234" s="100" t="s">
        <v>276</v>
      </c>
      <c r="D234" s="100" t="s">
        <v>280</v>
      </c>
      <c r="E234" s="100">
        <v>1964660.0</v>
      </c>
      <c r="F234" s="99">
        <f t="shared" si="46"/>
        <v>1279</v>
      </c>
      <c r="G234" s="178">
        <v>505.0</v>
      </c>
      <c r="H234" s="101">
        <v>386.0</v>
      </c>
      <c r="I234" s="101">
        <v>356.79</v>
      </c>
      <c r="J234" s="102">
        <f t="shared" si="44"/>
        <v>29.21</v>
      </c>
      <c r="K234" s="103">
        <f t="shared" si="45"/>
        <v>27.89601251</v>
      </c>
      <c r="L234" s="54"/>
      <c r="M234" s="54"/>
      <c r="N234" s="54"/>
      <c r="O234" s="54"/>
      <c r="P234" s="54"/>
      <c r="Q234" s="54"/>
    </row>
    <row r="235">
      <c r="A235" s="54"/>
      <c r="B235" s="98">
        <v>45921.0</v>
      </c>
      <c r="C235" s="100" t="s">
        <v>276</v>
      </c>
      <c r="D235" s="100" t="s">
        <v>280</v>
      </c>
      <c r="E235" s="100">
        <v>1966108.0</v>
      </c>
      <c r="F235" s="99">
        <f t="shared" si="46"/>
        <v>1448</v>
      </c>
      <c r="G235" s="178">
        <v>510.0</v>
      </c>
      <c r="H235" s="101">
        <v>412.0</v>
      </c>
      <c r="I235" s="101">
        <v>394.1</v>
      </c>
      <c r="J235" s="102">
        <f t="shared" si="44"/>
        <v>17.9</v>
      </c>
      <c r="K235" s="103">
        <f t="shared" si="45"/>
        <v>27.21685083</v>
      </c>
      <c r="L235" s="54"/>
      <c r="M235" s="54"/>
      <c r="N235" s="54"/>
      <c r="O235" s="54"/>
      <c r="P235" s="54"/>
      <c r="Q235" s="54"/>
    </row>
    <row r="236">
      <c r="A236" s="54"/>
      <c r="B236" s="98">
        <v>45925.0</v>
      </c>
      <c r="C236" s="100" t="s">
        <v>99</v>
      </c>
      <c r="D236" s="100" t="s">
        <v>280</v>
      </c>
      <c r="E236" s="100">
        <v>1967373.0</v>
      </c>
      <c r="F236" s="99">
        <f t="shared" si="46"/>
        <v>1265</v>
      </c>
      <c r="G236" s="178">
        <v>479.0</v>
      </c>
      <c r="H236" s="101">
        <v>321.0</v>
      </c>
      <c r="I236" s="101">
        <v>342.34</v>
      </c>
      <c r="J236" s="102">
        <f t="shared" si="44"/>
        <v>-21.34</v>
      </c>
      <c r="K236" s="103">
        <f t="shared" si="45"/>
        <v>27.06245059</v>
      </c>
      <c r="L236" s="54"/>
      <c r="M236" s="54"/>
      <c r="N236" s="54"/>
      <c r="O236" s="54"/>
      <c r="P236" s="54"/>
      <c r="Q236" s="54"/>
    </row>
    <row r="237">
      <c r="A237" s="54"/>
      <c r="B237" s="98">
        <v>45928.0</v>
      </c>
      <c r="C237" s="100" t="s">
        <v>276</v>
      </c>
      <c r="D237" s="100" t="s">
        <v>280</v>
      </c>
      <c r="E237" s="100">
        <v>1968392.0</v>
      </c>
      <c r="F237" s="99">
        <f t="shared" si="46"/>
        <v>1019</v>
      </c>
      <c r="G237" s="178">
        <v>510.0</v>
      </c>
      <c r="H237" s="101">
        <v>314.0</v>
      </c>
      <c r="I237" s="101">
        <v>295.09</v>
      </c>
      <c r="J237" s="102">
        <f t="shared" si="44"/>
        <v>18.91</v>
      </c>
      <c r="K237" s="103">
        <f t="shared" si="45"/>
        <v>28.95878312</v>
      </c>
      <c r="L237" s="54"/>
      <c r="M237" s="54"/>
      <c r="N237" s="54"/>
      <c r="O237" s="54"/>
      <c r="P237" s="54"/>
      <c r="Q237" s="54"/>
    </row>
    <row r="238">
      <c r="A238" s="54"/>
      <c r="B238" s="98">
        <v>45929.0</v>
      </c>
      <c r="C238" s="100" t="s">
        <v>276</v>
      </c>
      <c r="D238" s="100" t="s">
        <v>280</v>
      </c>
      <c r="E238" s="100">
        <v>1969218.0</v>
      </c>
      <c r="F238" s="99">
        <f t="shared" si="46"/>
        <v>826</v>
      </c>
      <c r="G238" s="178">
        <v>521.0</v>
      </c>
      <c r="H238" s="101">
        <v>284.0</v>
      </c>
      <c r="I238" s="101">
        <v>267.12</v>
      </c>
      <c r="J238" s="102">
        <f t="shared" si="44"/>
        <v>16.88</v>
      </c>
      <c r="K238" s="103">
        <f t="shared" si="45"/>
        <v>32.33898305</v>
      </c>
      <c r="L238" s="54"/>
      <c r="M238" s="54"/>
      <c r="N238" s="54"/>
      <c r="O238" s="54"/>
      <c r="P238" s="54"/>
      <c r="Q238" s="54"/>
    </row>
    <row r="239">
      <c r="A239" s="68"/>
      <c r="B239" s="203" t="str">
        <f>IF(L239=4,"АПРЕЛЬ",IF(L239=5,"МАЙ",IF(L239=1,"ЯНВАРЬ",IF(L239=2,"ФЕВРАЛЬ",IF(L239=3,"МАРТ",IF(L239=6,"ИЮНЬ",IF(L239=7,"ИЮЛЬ",IF(L239=8,"АВГУСТ",IF(L239=9,"СЕНТЯБРЬ",IF(L239=10,"ОКТЯБРЬ",IF(L239=11,"НОЯБРЬ",IF(L239=12,"ДЕКАБРЬ"))))))))))))</f>
        <v>ОКТЯБРЬ</v>
      </c>
      <c r="J239" s="88"/>
      <c r="K239" s="204"/>
      <c r="L239" s="91">
        <f>MONTH(B240)</f>
        <v>10</v>
      </c>
      <c r="M239" s="66"/>
      <c r="N239" s="66"/>
      <c r="O239" s="66"/>
      <c r="P239" s="66"/>
      <c r="Q239" s="66"/>
    </row>
    <row r="240">
      <c r="A240" s="54"/>
      <c r="B240" s="98">
        <v>45931.0</v>
      </c>
      <c r="C240" s="321" t="s">
        <v>276</v>
      </c>
      <c r="D240" s="321" t="s">
        <v>280</v>
      </c>
      <c r="E240" s="100">
        <v>1970702.0</v>
      </c>
      <c r="F240" s="99">
        <f>E240-E238</f>
        <v>1484</v>
      </c>
      <c r="G240" s="178">
        <v>489.0</v>
      </c>
      <c r="H240" s="101">
        <v>426.0</v>
      </c>
      <c r="I240" s="102">
        <f>37.01--362.99</f>
        <v>400</v>
      </c>
      <c r="J240" s="102">
        <f t="shared" ref="J240:J247" si="47">H240-I240</f>
        <v>26</v>
      </c>
      <c r="K240" s="103">
        <f t="shared" ref="K240:K247" si="48">I240/F240*100</f>
        <v>26.9541779</v>
      </c>
      <c r="L240" s="54"/>
      <c r="M240" s="205" t="str">
        <f>"тотал"&amp;" "&amp;B239&amp;" "&amp;RIGHT(YEAR(B240),2)</f>
        <v>тотал ОКТЯБРЬ 25</v>
      </c>
      <c r="N240" s="75"/>
      <c r="O240" s="75"/>
      <c r="P240" s="75"/>
      <c r="Q240" s="76"/>
    </row>
    <row r="241">
      <c r="A241" s="54"/>
      <c r="B241" s="98">
        <v>45932.0</v>
      </c>
      <c r="C241" s="321" t="s">
        <v>276</v>
      </c>
      <c r="D241" s="321" t="s">
        <v>280</v>
      </c>
      <c r="E241" s="100">
        <v>1971933.0</v>
      </c>
      <c r="F241" s="99">
        <f t="shared" ref="F241:F247" si="49">E241-E240</f>
        <v>1231</v>
      </c>
      <c r="G241" s="178">
        <v>509.0</v>
      </c>
      <c r="H241" s="101">
        <v>380.0</v>
      </c>
      <c r="I241" s="101">
        <v>371.14</v>
      </c>
      <c r="J241" s="102">
        <f t="shared" si="47"/>
        <v>8.86</v>
      </c>
      <c r="K241" s="103">
        <f t="shared" si="48"/>
        <v>30.14947197</v>
      </c>
      <c r="L241" s="54"/>
      <c r="M241" s="83" t="s">
        <v>70</v>
      </c>
      <c r="N241" s="83" t="s">
        <v>71</v>
      </c>
      <c r="O241" s="83" t="s">
        <v>27</v>
      </c>
      <c r="P241" s="83" t="s">
        <v>28</v>
      </c>
      <c r="Q241" s="321" t="s">
        <v>78</v>
      </c>
    </row>
    <row r="242">
      <c r="A242" s="54"/>
      <c r="B242" s="98">
        <v>45933.0</v>
      </c>
      <c r="C242" s="321" t="s">
        <v>276</v>
      </c>
      <c r="D242" s="321" t="s">
        <v>280</v>
      </c>
      <c r="E242" s="100">
        <v>1972906.0</v>
      </c>
      <c r="F242" s="99">
        <f t="shared" si="49"/>
        <v>973</v>
      </c>
      <c r="G242" s="178">
        <v>495.0</v>
      </c>
      <c r="H242" s="101">
        <v>272.0</v>
      </c>
      <c r="I242" s="101">
        <f>300-40.35</f>
        <v>259.65</v>
      </c>
      <c r="J242" s="102">
        <f t="shared" si="47"/>
        <v>12.35</v>
      </c>
      <c r="K242" s="103">
        <f t="shared" si="48"/>
        <v>26.68550874</v>
      </c>
      <c r="L242" s="54"/>
      <c r="M242" s="84">
        <f>SUM(F240:F254)</f>
        <v>10130</v>
      </c>
      <c r="N242" s="84">
        <f>SUM(I240:I254)</f>
        <v>2780.8</v>
      </c>
      <c r="O242" s="85">
        <f>N242/M242*100</f>
        <v>27.45113524</v>
      </c>
      <c r="P242" s="84">
        <f>(M242/100)*(O242-Q242)</f>
        <v>-156.9</v>
      </c>
      <c r="Q242" s="464">
        <v>29.0</v>
      </c>
    </row>
    <row r="243">
      <c r="A243" s="54"/>
      <c r="B243" s="98">
        <v>45935.0</v>
      </c>
      <c r="C243" s="321" t="s">
        <v>276</v>
      </c>
      <c r="D243" s="321" t="s">
        <v>280</v>
      </c>
      <c r="E243" s="100">
        <v>1974308.0</v>
      </c>
      <c r="F243" s="99">
        <f t="shared" si="49"/>
        <v>1402</v>
      </c>
      <c r="G243" s="178">
        <v>502.0</v>
      </c>
      <c r="H243" s="101">
        <v>425.0</v>
      </c>
      <c r="I243" s="101">
        <v>400.0</v>
      </c>
      <c r="J243" s="102">
        <f t="shared" si="47"/>
        <v>25</v>
      </c>
      <c r="K243" s="103">
        <f t="shared" si="48"/>
        <v>28.53067047</v>
      </c>
      <c r="L243" s="54"/>
      <c r="M243" s="54"/>
      <c r="N243" s="54"/>
      <c r="O243" s="54"/>
      <c r="P243" s="54"/>
      <c r="Q243" s="54"/>
    </row>
    <row r="244">
      <c r="A244" s="54"/>
      <c r="B244" s="98">
        <v>45936.0</v>
      </c>
      <c r="C244" s="321" t="s">
        <v>276</v>
      </c>
      <c r="D244" s="321" t="s">
        <v>280</v>
      </c>
      <c r="E244" s="100">
        <v>1975526.0</v>
      </c>
      <c r="F244" s="99">
        <f t="shared" si="49"/>
        <v>1218</v>
      </c>
      <c r="G244" s="178">
        <v>500.0</v>
      </c>
      <c r="H244" s="101">
        <v>330.0</v>
      </c>
      <c r="I244" s="101">
        <v>324.61</v>
      </c>
      <c r="J244" s="102">
        <f t="shared" si="47"/>
        <v>5.39</v>
      </c>
      <c r="K244" s="103">
        <f t="shared" si="48"/>
        <v>26.65106732</v>
      </c>
      <c r="L244" s="54"/>
      <c r="M244" s="54"/>
      <c r="N244" s="54"/>
      <c r="O244" s="54"/>
      <c r="P244" s="54"/>
      <c r="Q244" s="54"/>
    </row>
    <row r="245">
      <c r="A245" s="54"/>
      <c r="B245" s="98">
        <v>45937.0</v>
      </c>
      <c r="C245" s="321" t="s">
        <v>276</v>
      </c>
      <c r="D245" s="321" t="s">
        <v>280</v>
      </c>
      <c r="E245" s="100">
        <v>1976728.0</v>
      </c>
      <c r="F245" s="99">
        <f t="shared" si="49"/>
        <v>1202</v>
      </c>
      <c r="G245" s="178">
        <v>497.0</v>
      </c>
      <c r="H245" s="101">
        <v>322.0</v>
      </c>
      <c r="I245" s="102">
        <f>400-88.54</f>
        <v>311.46</v>
      </c>
      <c r="J245" s="102">
        <f t="shared" si="47"/>
        <v>10.54</v>
      </c>
      <c r="K245" s="103">
        <f t="shared" si="48"/>
        <v>25.91181364</v>
      </c>
      <c r="L245" s="54"/>
      <c r="M245" s="54"/>
      <c r="N245" s="54"/>
      <c r="O245" s="54"/>
      <c r="P245" s="54"/>
      <c r="Q245" s="54"/>
    </row>
    <row r="246">
      <c r="A246" s="54"/>
      <c r="B246" s="98">
        <v>45939.0</v>
      </c>
      <c r="C246" s="321" t="s">
        <v>276</v>
      </c>
      <c r="D246" s="321" t="s">
        <v>280</v>
      </c>
      <c r="E246" s="100">
        <v>1978130.0</v>
      </c>
      <c r="F246" s="99">
        <f t="shared" si="49"/>
        <v>1402</v>
      </c>
      <c r="G246" s="178">
        <v>496.0</v>
      </c>
      <c r="H246" s="101">
        <v>395.0</v>
      </c>
      <c r="I246" s="101">
        <v>376.12</v>
      </c>
      <c r="J246" s="102">
        <f t="shared" si="47"/>
        <v>18.88</v>
      </c>
      <c r="K246" s="103">
        <f t="shared" si="48"/>
        <v>26.82738944</v>
      </c>
      <c r="L246" s="54"/>
      <c r="M246" s="54"/>
      <c r="N246" s="54"/>
      <c r="O246" s="54"/>
      <c r="P246" s="54"/>
      <c r="Q246" s="54"/>
    </row>
    <row r="247">
      <c r="A247" s="54"/>
      <c r="B247" s="98">
        <v>45940.0</v>
      </c>
      <c r="C247" s="321" t="s">
        <v>276</v>
      </c>
      <c r="D247" s="321" t="s">
        <v>280</v>
      </c>
      <c r="E247" s="100">
        <v>1979348.0</v>
      </c>
      <c r="F247" s="99">
        <f t="shared" si="49"/>
        <v>1218</v>
      </c>
      <c r="G247" s="178">
        <v>501.0</v>
      </c>
      <c r="H247" s="101">
        <v>342.0</v>
      </c>
      <c r="I247" s="101">
        <v>337.82</v>
      </c>
      <c r="J247" s="102">
        <f t="shared" si="47"/>
        <v>4.18</v>
      </c>
      <c r="K247" s="103">
        <f t="shared" si="48"/>
        <v>27.73563218</v>
      </c>
      <c r="L247" s="54"/>
      <c r="M247" s="54"/>
      <c r="N247" s="54"/>
      <c r="O247" s="54"/>
      <c r="P247" s="54"/>
      <c r="Q247" s="54"/>
    </row>
    <row r="248">
      <c r="A248" s="54"/>
      <c r="B248" s="99"/>
      <c r="C248" s="99"/>
      <c r="D248" s="99"/>
      <c r="E248" s="99"/>
      <c r="F248" s="99"/>
      <c r="G248" s="350"/>
      <c r="H248" s="102"/>
      <c r="I248" s="102"/>
      <c r="J248" s="102"/>
      <c r="K248" s="102"/>
      <c r="L248" s="54"/>
      <c r="M248" s="54"/>
      <c r="N248" s="54"/>
      <c r="O248" s="54"/>
      <c r="P248" s="54"/>
      <c r="Q248" s="54"/>
    </row>
    <row r="249">
      <c r="A249" s="54"/>
      <c r="B249" s="99"/>
      <c r="C249" s="99"/>
      <c r="D249" s="99"/>
      <c r="E249" s="99"/>
      <c r="F249" s="99"/>
      <c r="G249" s="350"/>
      <c r="H249" s="102"/>
      <c r="I249" s="102"/>
      <c r="J249" s="102"/>
      <c r="K249" s="102"/>
      <c r="L249" s="54"/>
      <c r="M249" s="54"/>
      <c r="N249" s="54"/>
      <c r="O249" s="54"/>
      <c r="P249" s="54"/>
      <c r="Q249" s="54"/>
    </row>
    <row r="250">
      <c r="A250" s="54"/>
      <c r="B250" s="99"/>
      <c r="C250" s="99"/>
      <c r="D250" s="99"/>
      <c r="E250" s="99"/>
      <c r="F250" s="99"/>
      <c r="G250" s="350"/>
      <c r="H250" s="102"/>
      <c r="I250" s="102"/>
      <c r="J250" s="102"/>
      <c r="K250" s="102"/>
      <c r="L250" s="54"/>
      <c r="M250" s="54"/>
      <c r="N250" s="54"/>
      <c r="O250" s="54"/>
      <c r="P250" s="54"/>
      <c r="Q250" s="54"/>
    </row>
    <row r="251">
      <c r="A251" s="54"/>
      <c r="B251" s="99"/>
      <c r="C251" s="99"/>
      <c r="D251" s="99"/>
      <c r="E251" s="99"/>
      <c r="F251" s="99"/>
      <c r="G251" s="350"/>
      <c r="H251" s="102"/>
      <c r="I251" s="102"/>
      <c r="J251" s="102"/>
      <c r="K251" s="102"/>
      <c r="L251" s="54"/>
      <c r="M251" s="54"/>
      <c r="N251" s="54"/>
      <c r="O251" s="54"/>
      <c r="P251" s="54"/>
      <c r="Q251" s="54"/>
    </row>
    <row r="252">
      <c r="A252" s="54"/>
      <c r="B252" s="99"/>
      <c r="C252" s="99"/>
      <c r="D252" s="99"/>
      <c r="E252" s="99"/>
      <c r="F252" s="99"/>
      <c r="G252" s="350"/>
      <c r="H252" s="102"/>
      <c r="I252" s="102"/>
      <c r="J252" s="102"/>
      <c r="K252" s="102"/>
      <c r="L252" s="54"/>
      <c r="M252" s="54"/>
      <c r="N252" s="54"/>
      <c r="O252" s="54"/>
      <c r="P252" s="54"/>
      <c r="Q252" s="54"/>
    </row>
    <row r="253">
      <c r="A253" s="54"/>
      <c r="B253" s="99"/>
      <c r="C253" s="99"/>
      <c r="D253" s="99"/>
      <c r="E253" s="99"/>
      <c r="F253" s="99"/>
      <c r="G253" s="350"/>
      <c r="H253" s="102"/>
      <c r="I253" s="102"/>
      <c r="J253" s="102"/>
      <c r="K253" s="102"/>
      <c r="L253" s="54"/>
      <c r="M253" s="54"/>
      <c r="N253" s="54"/>
      <c r="O253" s="54"/>
      <c r="P253" s="54"/>
      <c r="Q253" s="54"/>
    </row>
    <row r="254">
      <c r="A254" s="54"/>
      <c r="B254" s="114"/>
      <c r="C254" s="114"/>
      <c r="D254" s="114"/>
      <c r="E254" s="114"/>
      <c r="F254" s="114"/>
      <c r="G254" s="140"/>
      <c r="H254" s="54"/>
      <c r="I254" s="54"/>
      <c r="J254" s="54"/>
      <c r="K254" s="54"/>
      <c r="L254" s="54"/>
      <c r="M254" s="54"/>
      <c r="N254" s="54"/>
      <c r="O254" s="54"/>
      <c r="P254" s="54"/>
      <c r="Q254" s="54"/>
    </row>
    <row r="255">
      <c r="A255" s="54"/>
      <c r="B255" s="114"/>
      <c r="C255" s="114"/>
      <c r="D255" s="114"/>
      <c r="E255" s="114"/>
      <c r="F255" s="114"/>
      <c r="G255" s="140"/>
      <c r="H255" s="54"/>
      <c r="I255" s="54"/>
      <c r="J255" s="54"/>
      <c r="K255" s="54"/>
      <c r="L255" s="54"/>
      <c r="M255" s="54"/>
      <c r="N255" s="54"/>
      <c r="O255" s="54"/>
      <c r="P255" s="54"/>
      <c r="Q255" s="54"/>
    </row>
    <row r="256">
      <c r="A256" s="54"/>
      <c r="B256" s="114"/>
      <c r="C256" s="114"/>
      <c r="D256" s="114"/>
      <c r="E256" s="114"/>
      <c r="F256" s="114"/>
      <c r="G256" s="140"/>
      <c r="H256" s="54"/>
      <c r="I256" s="54"/>
      <c r="J256" s="54"/>
      <c r="K256" s="54"/>
      <c r="L256" s="54"/>
      <c r="M256" s="54"/>
      <c r="N256" s="54"/>
      <c r="O256" s="54"/>
      <c r="P256" s="54"/>
      <c r="Q256" s="54"/>
    </row>
    <row r="257">
      <c r="A257" s="54"/>
      <c r="B257" s="114"/>
      <c r="C257" s="114"/>
      <c r="D257" s="114"/>
      <c r="E257" s="114"/>
      <c r="F257" s="114"/>
      <c r="G257" s="140"/>
      <c r="H257" s="54"/>
      <c r="I257" s="54"/>
      <c r="J257" s="54"/>
      <c r="K257" s="54"/>
      <c r="L257" s="54"/>
      <c r="M257" s="54"/>
      <c r="N257" s="54"/>
      <c r="O257" s="54"/>
      <c r="P257" s="54"/>
      <c r="Q257" s="54"/>
    </row>
    <row r="258">
      <c r="A258" s="54"/>
      <c r="B258" s="114"/>
      <c r="C258" s="114"/>
      <c r="D258" s="114"/>
      <c r="E258" s="114"/>
      <c r="F258" s="114"/>
      <c r="G258" s="140"/>
      <c r="H258" s="54"/>
      <c r="I258" s="54"/>
      <c r="J258" s="54"/>
      <c r="K258" s="54"/>
      <c r="L258" s="54"/>
      <c r="M258" s="54"/>
      <c r="N258" s="54"/>
      <c r="O258" s="54"/>
      <c r="P258" s="54"/>
      <c r="Q258" s="54"/>
    </row>
    <row r="259">
      <c r="A259" s="54"/>
      <c r="B259" s="114"/>
      <c r="C259" s="114"/>
      <c r="D259" s="114"/>
      <c r="E259" s="114"/>
      <c r="F259" s="114"/>
      <c r="G259" s="140"/>
      <c r="H259" s="54"/>
      <c r="I259" s="54"/>
      <c r="J259" s="54"/>
      <c r="K259" s="54"/>
      <c r="L259" s="54"/>
      <c r="M259" s="54"/>
      <c r="N259" s="54"/>
      <c r="O259" s="54"/>
      <c r="P259" s="54"/>
      <c r="Q259" s="54"/>
    </row>
    <row r="260">
      <c r="A260" s="54"/>
      <c r="B260" s="114"/>
      <c r="C260" s="114"/>
      <c r="D260" s="114"/>
      <c r="E260" s="114"/>
      <c r="F260" s="114"/>
      <c r="G260" s="140"/>
      <c r="H260" s="54"/>
      <c r="I260" s="54"/>
      <c r="J260" s="54"/>
      <c r="K260" s="54"/>
      <c r="L260" s="54"/>
      <c r="M260" s="54"/>
      <c r="N260" s="54"/>
      <c r="O260" s="54"/>
      <c r="P260" s="54"/>
      <c r="Q260" s="54"/>
    </row>
    <row r="261">
      <c r="A261" s="54"/>
      <c r="B261" s="114"/>
      <c r="C261" s="114"/>
      <c r="D261" s="114"/>
      <c r="E261" s="114"/>
      <c r="F261" s="114"/>
      <c r="G261" s="140"/>
      <c r="H261" s="54"/>
      <c r="I261" s="54"/>
      <c r="J261" s="54"/>
      <c r="K261" s="54"/>
      <c r="L261" s="54"/>
      <c r="M261" s="54"/>
      <c r="N261" s="54"/>
      <c r="O261" s="54"/>
      <c r="P261" s="54"/>
      <c r="Q261" s="54"/>
    </row>
    <row r="262">
      <c r="A262" s="54"/>
      <c r="B262" s="114"/>
      <c r="C262" s="114"/>
      <c r="D262" s="114"/>
      <c r="E262" s="114"/>
      <c r="F262" s="114"/>
      <c r="G262" s="140"/>
      <c r="H262" s="54"/>
      <c r="I262" s="54"/>
      <c r="J262" s="54"/>
      <c r="K262" s="54"/>
      <c r="L262" s="54"/>
      <c r="M262" s="54"/>
      <c r="N262" s="54"/>
      <c r="O262" s="54"/>
      <c r="P262" s="54"/>
      <c r="Q262" s="54"/>
    </row>
    <row r="263">
      <c r="A263" s="54"/>
      <c r="B263" s="114"/>
      <c r="C263" s="114"/>
      <c r="D263" s="114"/>
      <c r="E263" s="114"/>
      <c r="F263" s="114"/>
      <c r="G263" s="140"/>
      <c r="H263" s="54"/>
      <c r="I263" s="54"/>
      <c r="J263" s="54"/>
      <c r="K263" s="54"/>
      <c r="L263" s="54"/>
      <c r="M263" s="54"/>
      <c r="N263" s="54"/>
      <c r="O263" s="54"/>
      <c r="P263" s="54"/>
      <c r="Q263" s="54"/>
    </row>
    <row r="264">
      <c r="A264" s="54"/>
      <c r="B264" s="114"/>
      <c r="C264" s="114"/>
      <c r="D264" s="114"/>
      <c r="E264" s="114"/>
      <c r="F264" s="114"/>
      <c r="G264" s="140"/>
      <c r="H264" s="54"/>
      <c r="I264" s="54"/>
      <c r="J264" s="54"/>
      <c r="K264" s="54"/>
      <c r="L264" s="54"/>
      <c r="M264" s="54"/>
      <c r="N264" s="54"/>
      <c r="O264" s="54"/>
      <c r="P264" s="54"/>
      <c r="Q264" s="54"/>
    </row>
    <row r="265">
      <c r="A265" s="54"/>
      <c r="B265" s="114"/>
      <c r="C265" s="114"/>
      <c r="D265" s="114"/>
      <c r="E265" s="114"/>
      <c r="F265" s="114"/>
      <c r="G265" s="140"/>
      <c r="H265" s="54"/>
      <c r="I265" s="54"/>
      <c r="J265" s="54"/>
      <c r="K265" s="54"/>
      <c r="L265" s="54"/>
      <c r="M265" s="54"/>
      <c r="N265" s="54"/>
      <c r="O265" s="54"/>
      <c r="P265" s="54"/>
      <c r="Q265" s="54"/>
    </row>
    <row r="266">
      <c r="A266" s="54"/>
      <c r="B266" s="114"/>
      <c r="C266" s="114"/>
      <c r="D266" s="114"/>
      <c r="E266" s="114"/>
      <c r="F266" s="114"/>
      <c r="G266" s="140"/>
      <c r="H266" s="54"/>
      <c r="I266" s="54"/>
      <c r="J266" s="54"/>
      <c r="K266" s="54"/>
      <c r="L266" s="54"/>
      <c r="M266" s="54"/>
      <c r="N266" s="54"/>
      <c r="O266" s="54"/>
      <c r="P266" s="54"/>
      <c r="Q266" s="54"/>
    </row>
    <row r="267">
      <c r="A267" s="54"/>
      <c r="B267" s="114"/>
      <c r="C267" s="114"/>
      <c r="D267" s="114"/>
      <c r="E267" s="114"/>
      <c r="F267" s="114"/>
      <c r="G267" s="140"/>
      <c r="H267" s="54"/>
      <c r="I267" s="54"/>
      <c r="J267" s="54"/>
      <c r="K267" s="54"/>
      <c r="L267" s="54"/>
      <c r="M267" s="54"/>
      <c r="N267" s="54"/>
      <c r="O267" s="54"/>
      <c r="P267" s="54"/>
      <c r="Q267" s="54"/>
    </row>
    <row r="268">
      <c r="A268" s="54"/>
      <c r="B268" s="114"/>
      <c r="C268" s="114"/>
      <c r="D268" s="114"/>
      <c r="E268" s="114"/>
      <c r="F268" s="114"/>
      <c r="G268" s="140"/>
      <c r="H268" s="54"/>
      <c r="I268" s="54"/>
      <c r="J268" s="54"/>
      <c r="K268" s="54"/>
      <c r="L268" s="54"/>
      <c r="M268" s="54"/>
      <c r="N268" s="54"/>
      <c r="O268" s="54"/>
      <c r="P268" s="54"/>
      <c r="Q268" s="54"/>
    </row>
    <row r="269">
      <c r="A269" s="54"/>
      <c r="B269" s="114"/>
      <c r="C269" s="114"/>
      <c r="D269" s="114"/>
      <c r="E269" s="114"/>
      <c r="F269" s="114"/>
      <c r="G269" s="140"/>
      <c r="H269" s="54"/>
      <c r="I269" s="54"/>
      <c r="J269" s="54"/>
      <c r="K269" s="54"/>
      <c r="L269" s="54"/>
      <c r="M269" s="54"/>
      <c r="N269" s="54"/>
      <c r="O269" s="54"/>
      <c r="P269" s="54"/>
      <c r="Q269" s="54"/>
    </row>
    <row r="270">
      <c r="A270" s="54"/>
      <c r="B270" s="114"/>
      <c r="C270" s="114"/>
      <c r="D270" s="114"/>
      <c r="E270" s="114"/>
      <c r="F270" s="114"/>
      <c r="G270" s="140"/>
      <c r="H270" s="54"/>
      <c r="I270" s="54"/>
      <c r="J270" s="54"/>
      <c r="K270" s="54"/>
      <c r="L270" s="54"/>
      <c r="M270" s="54"/>
      <c r="N270" s="54"/>
      <c r="O270" s="54"/>
      <c r="P270" s="54"/>
      <c r="Q270" s="54"/>
    </row>
    <row r="271">
      <c r="A271" s="54"/>
      <c r="B271" s="114"/>
      <c r="C271" s="114"/>
      <c r="D271" s="114"/>
      <c r="E271" s="114"/>
      <c r="F271" s="114"/>
      <c r="G271" s="140"/>
      <c r="H271" s="54"/>
      <c r="I271" s="54"/>
      <c r="J271" s="54"/>
      <c r="K271" s="54"/>
      <c r="L271" s="54"/>
      <c r="M271" s="54"/>
      <c r="N271" s="54"/>
      <c r="O271" s="54"/>
      <c r="P271" s="54"/>
      <c r="Q271" s="54"/>
    </row>
    <row r="272">
      <c r="A272" s="54"/>
      <c r="B272" s="114"/>
      <c r="C272" s="114"/>
      <c r="D272" s="114"/>
      <c r="E272" s="114"/>
      <c r="F272" s="114"/>
      <c r="G272" s="140"/>
      <c r="H272" s="54"/>
      <c r="I272" s="54"/>
      <c r="J272" s="54"/>
      <c r="K272" s="54"/>
      <c r="L272" s="54"/>
      <c r="M272" s="54"/>
      <c r="N272" s="54"/>
      <c r="O272" s="54"/>
      <c r="P272" s="54"/>
      <c r="Q272" s="54"/>
    </row>
    <row r="273">
      <c r="A273" s="54"/>
      <c r="B273" s="114"/>
      <c r="C273" s="114"/>
      <c r="D273" s="114"/>
      <c r="E273" s="114"/>
      <c r="F273" s="114"/>
      <c r="G273" s="140"/>
      <c r="H273" s="54"/>
      <c r="I273" s="54"/>
      <c r="J273" s="54"/>
      <c r="K273" s="54"/>
      <c r="L273" s="54"/>
      <c r="M273" s="54"/>
      <c r="N273" s="54"/>
      <c r="O273" s="54"/>
      <c r="P273" s="54"/>
      <c r="Q273" s="54"/>
    </row>
    <row r="274">
      <c r="A274" s="54"/>
      <c r="B274" s="114"/>
      <c r="C274" s="114"/>
      <c r="D274" s="114"/>
      <c r="E274" s="114"/>
      <c r="F274" s="114"/>
      <c r="G274" s="140"/>
      <c r="H274" s="54"/>
      <c r="I274" s="54"/>
      <c r="J274" s="54"/>
      <c r="K274" s="54"/>
      <c r="L274" s="54"/>
      <c r="M274" s="54"/>
      <c r="N274" s="54"/>
      <c r="O274" s="54"/>
      <c r="P274" s="54"/>
      <c r="Q274" s="54"/>
    </row>
    <row r="275">
      <c r="A275" s="54"/>
      <c r="B275" s="114"/>
      <c r="C275" s="114"/>
      <c r="D275" s="114"/>
      <c r="E275" s="114"/>
      <c r="F275" s="114"/>
      <c r="G275" s="140"/>
      <c r="H275" s="54"/>
      <c r="I275" s="54"/>
      <c r="J275" s="54"/>
      <c r="K275" s="54"/>
      <c r="L275" s="54"/>
      <c r="M275" s="54"/>
      <c r="N275" s="54"/>
      <c r="O275" s="54"/>
      <c r="P275" s="54"/>
      <c r="Q275" s="54"/>
    </row>
    <row r="276">
      <c r="A276" s="54"/>
      <c r="B276" s="114"/>
      <c r="C276" s="114"/>
      <c r="D276" s="114"/>
      <c r="E276" s="114"/>
      <c r="F276" s="114"/>
      <c r="G276" s="140"/>
      <c r="H276" s="54"/>
      <c r="I276" s="54"/>
      <c r="J276" s="54"/>
      <c r="K276" s="54"/>
      <c r="L276" s="54"/>
      <c r="M276" s="54"/>
      <c r="N276" s="54"/>
      <c r="O276" s="54"/>
      <c r="P276" s="54"/>
      <c r="Q276" s="54"/>
    </row>
    <row r="277">
      <c r="A277" s="54"/>
      <c r="B277" s="114"/>
      <c r="C277" s="114"/>
      <c r="D277" s="114"/>
      <c r="E277" s="114"/>
      <c r="F277" s="114"/>
      <c r="G277" s="140"/>
      <c r="H277" s="54"/>
      <c r="I277" s="54"/>
      <c r="J277" s="54"/>
      <c r="K277" s="54"/>
      <c r="L277" s="54"/>
      <c r="M277" s="54"/>
      <c r="N277" s="54"/>
      <c r="O277" s="54"/>
      <c r="P277" s="54"/>
      <c r="Q277" s="54"/>
    </row>
    <row r="278">
      <c r="A278" s="54"/>
      <c r="B278" s="114"/>
      <c r="C278" s="114"/>
      <c r="D278" s="114"/>
      <c r="E278" s="114"/>
      <c r="F278" s="114"/>
      <c r="G278" s="140"/>
      <c r="H278" s="54"/>
      <c r="I278" s="54"/>
      <c r="J278" s="54"/>
      <c r="K278" s="54"/>
      <c r="L278" s="54"/>
      <c r="M278" s="54"/>
      <c r="N278" s="54"/>
      <c r="O278" s="54"/>
      <c r="P278" s="54"/>
      <c r="Q278" s="54"/>
    </row>
    <row r="279">
      <c r="A279" s="54"/>
      <c r="B279" s="114"/>
      <c r="C279" s="114"/>
      <c r="D279" s="114"/>
      <c r="E279" s="114"/>
      <c r="F279" s="114"/>
      <c r="G279" s="140"/>
      <c r="H279" s="54"/>
      <c r="I279" s="54"/>
      <c r="J279" s="54"/>
      <c r="K279" s="54"/>
      <c r="L279" s="54"/>
      <c r="M279" s="54"/>
      <c r="N279" s="54"/>
      <c r="O279" s="54"/>
      <c r="P279" s="54"/>
      <c r="Q279" s="54"/>
    </row>
    <row r="280">
      <c r="A280" s="54"/>
      <c r="B280" s="114"/>
      <c r="C280" s="114"/>
      <c r="D280" s="114"/>
      <c r="E280" s="114"/>
      <c r="F280" s="114"/>
      <c r="G280" s="140"/>
      <c r="H280" s="54"/>
      <c r="I280" s="54"/>
      <c r="J280" s="54"/>
      <c r="K280" s="54"/>
      <c r="L280" s="54"/>
      <c r="M280" s="54"/>
      <c r="N280" s="54"/>
      <c r="O280" s="54"/>
      <c r="P280" s="54"/>
      <c r="Q280" s="54"/>
    </row>
    <row r="281">
      <c r="A281" s="54"/>
      <c r="B281" s="114"/>
      <c r="C281" s="114"/>
      <c r="D281" s="114"/>
      <c r="E281" s="114"/>
      <c r="F281" s="114"/>
      <c r="G281" s="140"/>
      <c r="H281" s="54"/>
      <c r="I281" s="54"/>
      <c r="J281" s="54"/>
      <c r="K281" s="54"/>
      <c r="L281" s="54"/>
      <c r="M281" s="54"/>
      <c r="N281" s="54"/>
      <c r="O281" s="54"/>
      <c r="P281" s="54"/>
      <c r="Q281" s="54"/>
    </row>
    <row r="282">
      <c r="A282" s="54"/>
      <c r="B282" s="114"/>
      <c r="C282" s="114"/>
      <c r="D282" s="114"/>
      <c r="E282" s="114"/>
      <c r="F282" s="114"/>
      <c r="G282" s="140"/>
      <c r="H282" s="54"/>
      <c r="I282" s="54"/>
      <c r="J282" s="54"/>
      <c r="K282" s="54"/>
      <c r="L282" s="54"/>
      <c r="M282" s="54"/>
      <c r="N282" s="54"/>
      <c r="O282" s="54"/>
      <c r="P282" s="54"/>
      <c r="Q282" s="54"/>
    </row>
    <row r="283">
      <c r="A283" s="54"/>
      <c r="B283" s="114"/>
      <c r="C283" s="114"/>
      <c r="D283" s="114"/>
      <c r="E283" s="114"/>
      <c r="F283" s="114"/>
      <c r="G283" s="140"/>
      <c r="H283" s="54"/>
      <c r="I283" s="54"/>
      <c r="J283" s="54"/>
      <c r="K283" s="54"/>
      <c r="L283" s="54"/>
      <c r="M283" s="54"/>
      <c r="N283" s="54"/>
      <c r="O283" s="54"/>
      <c r="P283" s="54"/>
      <c r="Q283" s="54"/>
    </row>
    <row r="284">
      <c r="A284" s="54"/>
      <c r="B284" s="114"/>
      <c r="C284" s="114"/>
      <c r="D284" s="114"/>
      <c r="E284" s="114"/>
      <c r="F284" s="114"/>
      <c r="G284" s="140"/>
      <c r="H284" s="54"/>
      <c r="I284" s="54"/>
      <c r="J284" s="54"/>
      <c r="K284" s="54"/>
      <c r="L284" s="54"/>
      <c r="M284" s="54"/>
      <c r="N284" s="54"/>
      <c r="O284" s="54"/>
      <c r="P284" s="54"/>
      <c r="Q284" s="54"/>
    </row>
    <row r="285">
      <c r="A285" s="54"/>
      <c r="B285" s="114"/>
      <c r="C285" s="114"/>
      <c r="D285" s="114"/>
      <c r="E285" s="114"/>
      <c r="F285" s="114"/>
      <c r="G285" s="140"/>
      <c r="H285" s="54"/>
      <c r="I285" s="54"/>
      <c r="J285" s="54"/>
      <c r="K285" s="54"/>
      <c r="L285" s="54"/>
      <c r="M285" s="54"/>
      <c r="N285" s="54"/>
      <c r="O285" s="54"/>
      <c r="P285" s="54"/>
      <c r="Q285" s="54"/>
    </row>
    <row r="286">
      <c r="A286" s="54"/>
      <c r="B286" s="114"/>
      <c r="C286" s="114"/>
      <c r="D286" s="114"/>
      <c r="E286" s="114"/>
      <c r="F286" s="114"/>
      <c r="G286" s="140"/>
      <c r="H286" s="54"/>
      <c r="I286" s="54"/>
      <c r="J286" s="54"/>
      <c r="K286" s="54"/>
      <c r="L286" s="54"/>
      <c r="M286" s="54"/>
      <c r="N286" s="54"/>
      <c r="O286" s="54"/>
      <c r="P286" s="54"/>
      <c r="Q286" s="54"/>
    </row>
    <row r="287">
      <c r="A287" s="54"/>
      <c r="B287" s="114"/>
      <c r="C287" s="114"/>
      <c r="D287" s="114"/>
      <c r="E287" s="114"/>
      <c r="F287" s="114"/>
      <c r="G287" s="140"/>
      <c r="H287" s="54"/>
      <c r="I287" s="54"/>
      <c r="J287" s="54"/>
      <c r="K287" s="54"/>
      <c r="L287" s="54"/>
      <c r="M287" s="54"/>
      <c r="N287" s="54"/>
      <c r="O287" s="54"/>
      <c r="P287" s="54"/>
      <c r="Q287" s="54"/>
    </row>
    <row r="288">
      <c r="A288" s="54"/>
      <c r="B288" s="114"/>
      <c r="C288" s="114"/>
      <c r="D288" s="114"/>
      <c r="E288" s="114"/>
      <c r="F288" s="114"/>
      <c r="G288" s="140"/>
      <c r="H288" s="54"/>
      <c r="I288" s="54"/>
      <c r="J288" s="54"/>
      <c r="K288" s="54"/>
      <c r="L288" s="54"/>
      <c r="M288" s="54"/>
      <c r="N288" s="54"/>
      <c r="O288" s="54"/>
      <c r="P288" s="54"/>
      <c r="Q288" s="54"/>
    </row>
    <row r="289">
      <c r="A289" s="54"/>
      <c r="B289" s="114"/>
      <c r="C289" s="114"/>
      <c r="D289" s="114"/>
      <c r="E289" s="114"/>
      <c r="F289" s="114"/>
      <c r="G289" s="140"/>
      <c r="H289" s="54"/>
      <c r="I289" s="54"/>
      <c r="J289" s="54"/>
      <c r="K289" s="54"/>
      <c r="L289" s="54"/>
      <c r="M289" s="54"/>
      <c r="N289" s="54"/>
      <c r="O289" s="54"/>
      <c r="P289" s="54"/>
      <c r="Q289" s="54"/>
    </row>
    <row r="290">
      <c r="A290" s="54"/>
      <c r="B290" s="114"/>
      <c r="C290" s="114"/>
      <c r="D290" s="114"/>
      <c r="E290" s="114"/>
      <c r="F290" s="114"/>
      <c r="G290" s="140"/>
      <c r="H290" s="54"/>
      <c r="I290" s="54"/>
      <c r="J290" s="54"/>
      <c r="K290" s="54"/>
      <c r="L290" s="54"/>
      <c r="M290" s="54"/>
      <c r="N290" s="54"/>
      <c r="O290" s="54"/>
      <c r="P290" s="54"/>
      <c r="Q290" s="54"/>
    </row>
    <row r="291">
      <c r="A291" s="54"/>
      <c r="B291" s="114"/>
      <c r="C291" s="114"/>
      <c r="D291" s="114"/>
      <c r="E291" s="114"/>
      <c r="F291" s="114"/>
      <c r="G291" s="140"/>
      <c r="H291" s="54"/>
      <c r="I291" s="54"/>
      <c r="J291" s="54"/>
      <c r="K291" s="54"/>
      <c r="L291" s="54"/>
      <c r="M291" s="54"/>
      <c r="N291" s="54"/>
      <c r="O291" s="54"/>
      <c r="P291" s="54"/>
      <c r="Q291" s="54"/>
    </row>
    <row r="292">
      <c r="A292" s="54"/>
      <c r="B292" s="114"/>
      <c r="C292" s="114"/>
      <c r="D292" s="114"/>
      <c r="E292" s="114"/>
      <c r="F292" s="114"/>
      <c r="G292" s="140"/>
      <c r="H292" s="54"/>
      <c r="I292" s="54"/>
      <c r="J292" s="54"/>
      <c r="K292" s="54"/>
      <c r="L292" s="54"/>
      <c r="M292" s="54"/>
      <c r="N292" s="54"/>
      <c r="O292" s="54"/>
      <c r="P292" s="54"/>
      <c r="Q292" s="54"/>
    </row>
    <row r="293">
      <c r="A293" s="54"/>
      <c r="B293" s="114"/>
      <c r="C293" s="114"/>
      <c r="D293" s="114"/>
      <c r="E293" s="114"/>
      <c r="F293" s="114"/>
      <c r="G293" s="140"/>
      <c r="H293" s="54"/>
      <c r="I293" s="54"/>
      <c r="J293" s="54"/>
      <c r="K293" s="54"/>
      <c r="L293" s="54"/>
      <c r="M293" s="54"/>
      <c r="N293" s="54"/>
      <c r="O293" s="54"/>
      <c r="P293" s="54"/>
      <c r="Q293" s="54"/>
    </row>
    <row r="294">
      <c r="A294" s="54"/>
      <c r="B294" s="114"/>
      <c r="C294" s="114"/>
      <c r="D294" s="114"/>
      <c r="E294" s="114"/>
      <c r="F294" s="114"/>
      <c r="G294" s="140"/>
      <c r="H294" s="54"/>
      <c r="I294" s="54"/>
      <c r="J294" s="54"/>
      <c r="K294" s="54"/>
      <c r="L294" s="54"/>
      <c r="M294" s="54"/>
      <c r="N294" s="54"/>
      <c r="O294" s="54"/>
      <c r="P294" s="54"/>
      <c r="Q294" s="54"/>
    </row>
    <row r="295">
      <c r="A295" s="54"/>
      <c r="B295" s="114"/>
      <c r="C295" s="114"/>
      <c r="D295" s="114"/>
      <c r="E295" s="114"/>
      <c r="F295" s="114"/>
      <c r="G295" s="140"/>
      <c r="H295" s="54"/>
      <c r="I295" s="54"/>
      <c r="J295" s="54"/>
      <c r="K295" s="54"/>
      <c r="L295" s="54"/>
      <c r="M295" s="54"/>
      <c r="N295" s="54"/>
      <c r="O295" s="54"/>
      <c r="P295" s="54"/>
      <c r="Q295" s="54"/>
    </row>
    <row r="296">
      <c r="A296" s="54"/>
      <c r="B296" s="114"/>
      <c r="C296" s="114"/>
      <c r="D296" s="114"/>
      <c r="E296" s="114"/>
      <c r="F296" s="114"/>
      <c r="G296" s="140"/>
      <c r="H296" s="54"/>
      <c r="I296" s="54"/>
      <c r="J296" s="54"/>
      <c r="K296" s="54"/>
      <c r="L296" s="54"/>
      <c r="M296" s="54"/>
      <c r="N296" s="54"/>
      <c r="O296" s="54"/>
      <c r="P296" s="54"/>
      <c r="Q296" s="54"/>
    </row>
    <row r="297">
      <c r="A297" s="54"/>
      <c r="B297" s="114"/>
      <c r="C297" s="114"/>
      <c r="D297" s="114"/>
      <c r="E297" s="114"/>
      <c r="F297" s="114"/>
      <c r="G297" s="140"/>
      <c r="H297" s="54"/>
      <c r="I297" s="54"/>
      <c r="J297" s="54"/>
      <c r="K297" s="54"/>
      <c r="L297" s="54"/>
      <c r="M297" s="54"/>
      <c r="N297" s="54"/>
      <c r="O297" s="54"/>
      <c r="P297" s="54"/>
      <c r="Q297" s="54"/>
    </row>
    <row r="298">
      <c r="A298" s="54"/>
      <c r="B298" s="114"/>
      <c r="C298" s="114"/>
      <c r="D298" s="114"/>
      <c r="E298" s="114"/>
      <c r="F298" s="114"/>
      <c r="G298" s="140"/>
      <c r="H298" s="54"/>
      <c r="I298" s="54"/>
      <c r="J298" s="54"/>
      <c r="K298" s="54"/>
      <c r="L298" s="54"/>
      <c r="M298" s="54"/>
      <c r="N298" s="54"/>
      <c r="O298" s="54"/>
      <c r="P298" s="54"/>
      <c r="Q298" s="54"/>
    </row>
    <row r="299">
      <c r="A299" s="54"/>
      <c r="B299" s="114"/>
      <c r="C299" s="114"/>
      <c r="D299" s="114"/>
      <c r="E299" s="114"/>
      <c r="F299" s="114"/>
      <c r="G299" s="140"/>
      <c r="H299" s="54"/>
      <c r="I299" s="54"/>
      <c r="J299" s="54"/>
      <c r="K299" s="54"/>
      <c r="L299" s="54"/>
      <c r="M299" s="54"/>
      <c r="N299" s="54"/>
      <c r="O299" s="54"/>
      <c r="P299" s="54"/>
      <c r="Q299" s="54"/>
    </row>
    <row r="300">
      <c r="A300" s="54"/>
      <c r="B300" s="114"/>
      <c r="C300" s="114"/>
      <c r="D300" s="114"/>
      <c r="E300" s="114"/>
      <c r="F300" s="114"/>
      <c r="G300" s="140"/>
      <c r="H300" s="54"/>
      <c r="I300" s="54"/>
      <c r="J300" s="54"/>
      <c r="K300" s="54"/>
      <c r="L300" s="54"/>
      <c r="M300" s="54"/>
      <c r="N300" s="54"/>
      <c r="O300" s="54"/>
      <c r="P300" s="54"/>
      <c r="Q300" s="54"/>
    </row>
    <row r="301">
      <c r="A301" s="54"/>
      <c r="B301" s="114"/>
      <c r="C301" s="114"/>
      <c r="D301" s="114"/>
      <c r="E301" s="114"/>
      <c r="F301" s="114"/>
      <c r="G301" s="140"/>
      <c r="H301" s="54"/>
      <c r="I301" s="54"/>
      <c r="J301" s="54"/>
      <c r="K301" s="54"/>
      <c r="L301" s="54"/>
      <c r="M301" s="54"/>
      <c r="N301" s="54"/>
      <c r="O301" s="54"/>
      <c r="P301" s="54"/>
      <c r="Q301" s="54"/>
    </row>
    <row r="302">
      <c r="A302" s="54"/>
      <c r="B302" s="114"/>
      <c r="C302" s="114"/>
      <c r="D302" s="114"/>
      <c r="E302" s="114"/>
      <c r="F302" s="114"/>
      <c r="G302" s="140"/>
      <c r="H302" s="54"/>
      <c r="I302" s="54"/>
      <c r="J302" s="54"/>
      <c r="K302" s="54"/>
      <c r="L302" s="54"/>
      <c r="M302" s="54"/>
      <c r="N302" s="54"/>
      <c r="O302" s="54"/>
      <c r="P302" s="54"/>
      <c r="Q302" s="54"/>
    </row>
    <row r="303">
      <c r="A303" s="54"/>
      <c r="B303" s="114"/>
      <c r="C303" s="114"/>
      <c r="D303" s="114"/>
      <c r="E303" s="114"/>
      <c r="F303" s="114"/>
      <c r="G303" s="140"/>
      <c r="H303" s="54"/>
      <c r="I303" s="54"/>
      <c r="J303" s="54"/>
      <c r="K303" s="54"/>
      <c r="L303" s="54"/>
      <c r="M303" s="54"/>
      <c r="N303" s="54"/>
      <c r="O303" s="54"/>
      <c r="P303" s="54"/>
      <c r="Q303" s="54"/>
    </row>
    <row r="304">
      <c r="A304" s="54"/>
      <c r="B304" s="114"/>
      <c r="C304" s="114"/>
      <c r="D304" s="114"/>
      <c r="E304" s="114"/>
      <c r="F304" s="114"/>
      <c r="G304" s="140"/>
      <c r="H304" s="54"/>
      <c r="I304" s="54"/>
      <c r="J304" s="54"/>
      <c r="K304" s="54"/>
      <c r="L304" s="54"/>
      <c r="M304" s="54"/>
      <c r="N304" s="54"/>
      <c r="O304" s="54"/>
      <c r="P304" s="54"/>
      <c r="Q304" s="54"/>
    </row>
    <row r="305">
      <c r="A305" s="54"/>
      <c r="B305" s="114"/>
      <c r="C305" s="114"/>
      <c r="D305" s="114"/>
      <c r="E305" s="114"/>
      <c r="F305" s="114"/>
      <c r="G305" s="140"/>
      <c r="H305" s="54"/>
      <c r="I305" s="54"/>
      <c r="J305" s="54"/>
      <c r="K305" s="54"/>
      <c r="L305" s="54"/>
      <c r="M305" s="54"/>
      <c r="N305" s="54"/>
      <c r="O305" s="54"/>
      <c r="P305" s="54"/>
      <c r="Q305" s="54"/>
    </row>
    <row r="306">
      <c r="A306" s="54"/>
      <c r="B306" s="114"/>
      <c r="C306" s="114"/>
      <c r="D306" s="114"/>
      <c r="E306" s="114"/>
      <c r="F306" s="114"/>
      <c r="G306" s="140"/>
      <c r="H306" s="54"/>
      <c r="I306" s="54"/>
      <c r="J306" s="54"/>
      <c r="K306" s="54"/>
      <c r="L306" s="54"/>
      <c r="M306" s="54"/>
      <c r="N306" s="54"/>
      <c r="O306" s="54"/>
      <c r="P306" s="54"/>
      <c r="Q306" s="54"/>
    </row>
    <row r="307">
      <c r="A307" s="54"/>
      <c r="B307" s="114"/>
      <c r="C307" s="114"/>
      <c r="D307" s="114"/>
      <c r="E307" s="114"/>
      <c r="F307" s="114"/>
      <c r="G307" s="140"/>
      <c r="H307" s="54"/>
      <c r="I307" s="54"/>
      <c r="J307" s="54"/>
      <c r="K307" s="54"/>
      <c r="L307" s="54"/>
      <c r="M307" s="54"/>
      <c r="N307" s="54"/>
      <c r="O307" s="54"/>
      <c r="P307" s="54"/>
      <c r="Q307" s="54"/>
    </row>
    <row r="308">
      <c r="A308" s="54"/>
      <c r="B308" s="114"/>
      <c r="C308" s="114"/>
      <c r="D308" s="114"/>
      <c r="E308" s="114"/>
      <c r="F308" s="114"/>
      <c r="G308" s="140"/>
      <c r="H308" s="54"/>
      <c r="I308" s="54"/>
      <c r="J308" s="54"/>
      <c r="K308" s="54"/>
      <c r="L308" s="54"/>
      <c r="M308" s="54"/>
      <c r="N308" s="54"/>
      <c r="O308" s="54"/>
      <c r="P308" s="54"/>
      <c r="Q308" s="54"/>
    </row>
    <row r="309">
      <c r="A309" s="54"/>
      <c r="B309" s="114"/>
      <c r="C309" s="114"/>
      <c r="D309" s="114"/>
      <c r="E309" s="114"/>
      <c r="F309" s="114"/>
      <c r="G309" s="140"/>
      <c r="H309" s="54"/>
      <c r="I309" s="54"/>
      <c r="J309" s="54"/>
      <c r="K309" s="54"/>
      <c r="L309" s="54"/>
      <c r="M309" s="54"/>
      <c r="N309" s="54"/>
      <c r="O309" s="54"/>
      <c r="P309" s="54"/>
      <c r="Q309" s="54"/>
    </row>
    <row r="310">
      <c r="A310" s="54"/>
      <c r="B310" s="114"/>
      <c r="C310" s="114"/>
      <c r="D310" s="114"/>
      <c r="E310" s="114"/>
      <c r="F310" s="114"/>
      <c r="G310" s="140"/>
      <c r="H310" s="54"/>
      <c r="I310" s="54"/>
      <c r="J310" s="54"/>
      <c r="K310" s="54"/>
      <c r="L310" s="54"/>
      <c r="M310" s="54"/>
      <c r="N310" s="54"/>
      <c r="O310" s="54"/>
      <c r="P310" s="54"/>
      <c r="Q310" s="54"/>
    </row>
    <row r="311">
      <c r="A311" s="54"/>
      <c r="B311" s="114"/>
      <c r="C311" s="114"/>
      <c r="D311" s="114"/>
      <c r="E311" s="114"/>
      <c r="F311" s="114"/>
      <c r="G311" s="140"/>
      <c r="H311" s="54"/>
      <c r="I311" s="54"/>
      <c r="J311" s="54"/>
      <c r="K311" s="54"/>
      <c r="L311" s="54"/>
      <c r="M311" s="54"/>
      <c r="N311" s="54"/>
      <c r="O311" s="54"/>
      <c r="P311" s="54"/>
      <c r="Q311" s="54"/>
    </row>
    <row r="312">
      <c r="A312" s="54"/>
      <c r="B312" s="114"/>
      <c r="C312" s="114"/>
      <c r="D312" s="114"/>
      <c r="E312" s="114"/>
      <c r="F312" s="114"/>
      <c r="G312" s="140"/>
      <c r="H312" s="54"/>
      <c r="I312" s="54"/>
      <c r="J312" s="54"/>
      <c r="K312" s="54"/>
      <c r="L312" s="54"/>
      <c r="M312" s="54"/>
      <c r="N312" s="54"/>
      <c r="O312" s="54"/>
      <c r="P312" s="54"/>
      <c r="Q312" s="54"/>
    </row>
    <row r="313">
      <c r="A313" s="54"/>
      <c r="B313" s="114"/>
      <c r="C313" s="114"/>
      <c r="D313" s="114"/>
      <c r="E313" s="114"/>
      <c r="F313" s="114"/>
      <c r="G313" s="140"/>
      <c r="H313" s="54"/>
      <c r="I313" s="54"/>
      <c r="J313" s="54"/>
      <c r="K313" s="54"/>
      <c r="L313" s="54"/>
      <c r="M313" s="54"/>
      <c r="N313" s="54"/>
      <c r="O313" s="54"/>
      <c r="P313" s="54"/>
      <c r="Q313" s="54"/>
    </row>
    <row r="314">
      <c r="A314" s="54"/>
      <c r="B314" s="114"/>
      <c r="C314" s="114"/>
      <c r="D314" s="114"/>
      <c r="E314" s="114"/>
      <c r="F314" s="114"/>
      <c r="G314" s="140"/>
      <c r="H314" s="54"/>
      <c r="I314" s="54"/>
      <c r="J314" s="54"/>
      <c r="K314" s="54"/>
      <c r="L314" s="54"/>
      <c r="M314" s="54"/>
      <c r="N314" s="54"/>
      <c r="O314" s="54"/>
      <c r="P314" s="54"/>
      <c r="Q314" s="54"/>
    </row>
    <row r="315">
      <c r="A315" s="54"/>
      <c r="B315" s="114"/>
      <c r="C315" s="114"/>
      <c r="D315" s="114"/>
      <c r="E315" s="114"/>
      <c r="F315" s="114"/>
      <c r="G315" s="140"/>
      <c r="H315" s="54"/>
      <c r="I315" s="54"/>
      <c r="J315" s="54"/>
      <c r="K315" s="54"/>
      <c r="L315" s="54"/>
      <c r="M315" s="54"/>
      <c r="N315" s="54"/>
      <c r="O315" s="54"/>
      <c r="P315" s="54"/>
      <c r="Q315" s="54"/>
    </row>
    <row r="316">
      <c r="A316" s="54"/>
      <c r="B316" s="114"/>
      <c r="C316" s="114"/>
      <c r="D316" s="114"/>
      <c r="E316" s="114"/>
      <c r="F316" s="114"/>
      <c r="G316" s="140"/>
      <c r="H316" s="54"/>
      <c r="I316" s="54"/>
      <c r="J316" s="54"/>
      <c r="K316" s="54"/>
      <c r="L316" s="54"/>
      <c r="M316" s="54"/>
      <c r="N316" s="54"/>
      <c r="O316" s="54"/>
      <c r="P316" s="54"/>
      <c r="Q316" s="54"/>
    </row>
    <row r="317">
      <c r="A317" s="54"/>
      <c r="B317" s="114"/>
      <c r="C317" s="114"/>
      <c r="D317" s="114"/>
      <c r="E317" s="114"/>
      <c r="F317" s="114"/>
      <c r="G317" s="140"/>
      <c r="H317" s="54"/>
      <c r="I317" s="54"/>
      <c r="J317" s="54"/>
      <c r="K317" s="54"/>
      <c r="L317" s="54"/>
      <c r="M317" s="54"/>
      <c r="N317" s="54"/>
      <c r="O317" s="54"/>
      <c r="P317" s="54"/>
      <c r="Q317" s="54"/>
    </row>
    <row r="318">
      <c r="A318" s="54"/>
      <c r="B318" s="114"/>
      <c r="C318" s="114"/>
      <c r="D318" s="114"/>
      <c r="E318" s="114"/>
      <c r="F318" s="114"/>
      <c r="G318" s="140"/>
      <c r="H318" s="54"/>
      <c r="I318" s="54"/>
      <c r="J318" s="54"/>
      <c r="K318" s="54"/>
      <c r="L318" s="54"/>
      <c r="M318" s="54"/>
      <c r="N318" s="54"/>
      <c r="O318" s="54"/>
      <c r="P318" s="54"/>
      <c r="Q318" s="54"/>
    </row>
    <row r="319">
      <c r="A319" s="54"/>
      <c r="B319" s="114"/>
      <c r="C319" s="114"/>
      <c r="D319" s="114"/>
      <c r="E319" s="114"/>
      <c r="F319" s="114"/>
      <c r="G319" s="140"/>
      <c r="H319" s="54"/>
      <c r="I319" s="54"/>
      <c r="J319" s="54"/>
      <c r="K319" s="54"/>
      <c r="L319" s="54"/>
      <c r="M319" s="54"/>
      <c r="N319" s="54"/>
      <c r="O319" s="54"/>
      <c r="P319" s="54"/>
      <c r="Q319" s="54"/>
    </row>
    <row r="320">
      <c r="A320" s="54"/>
      <c r="B320" s="114"/>
      <c r="C320" s="114"/>
      <c r="D320" s="114"/>
      <c r="E320" s="114"/>
      <c r="F320" s="114"/>
      <c r="G320" s="140"/>
      <c r="H320" s="54"/>
      <c r="I320" s="54"/>
      <c r="J320" s="54"/>
      <c r="K320" s="54"/>
      <c r="L320" s="54"/>
      <c r="M320" s="54"/>
      <c r="N320" s="54"/>
      <c r="O320" s="54"/>
      <c r="P320" s="54"/>
      <c r="Q320" s="54"/>
    </row>
    <row r="321">
      <c r="A321" s="54"/>
      <c r="B321" s="114"/>
      <c r="C321" s="114"/>
      <c r="D321" s="114"/>
      <c r="E321" s="114"/>
      <c r="F321" s="114"/>
      <c r="G321" s="140"/>
      <c r="H321" s="54"/>
      <c r="I321" s="54"/>
      <c r="J321" s="54"/>
      <c r="K321" s="54"/>
      <c r="L321" s="54"/>
      <c r="M321" s="54"/>
      <c r="N321" s="54"/>
      <c r="O321" s="54"/>
      <c r="P321" s="54"/>
      <c r="Q321" s="54"/>
    </row>
    <row r="322">
      <c r="A322" s="54"/>
      <c r="B322" s="114"/>
      <c r="C322" s="114"/>
      <c r="D322" s="114"/>
      <c r="E322" s="114"/>
      <c r="F322" s="114"/>
      <c r="G322" s="140"/>
      <c r="H322" s="54"/>
      <c r="I322" s="54"/>
      <c r="J322" s="54"/>
      <c r="K322" s="54"/>
      <c r="L322" s="54"/>
      <c r="M322" s="54"/>
      <c r="N322" s="54"/>
      <c r="O322" s="54"/>
      <c r="P322" s="54"/>
      <c r="Q322" s="54"/>
    </row>
    <row r="323">
      <c r="A323" s="54"/>
      <c r="B323" s="114"/>
      <c r="C323" s="114"/>
      <c r="D323" s="114"/>
      <c r="E323" s="114"/>
      <c r="F323" s="114"/>
      <c r="G323" s="140"/>
      <c r="H323" s="54"/>
      <c r="I323" s="54"/>
      <c r="J323" s="54"/>
      <c r="K323" s="54"/>
      <c r="L323" s="54"/>
      <c r="M323" s="54"/>
      <c r="N323" s="54"/>
      <c r="O323" s="54"/>
      <c r="P323" s="54"/>
      <c r="Q323" s="54"/>
    </row>
    <row r="324">
      <c r="A324" s="54"/>
      <c r="B324" s="114"/>
      <c r="C324" s="114"/>
      <c r="D324" s="114"/>
      <c r="E324" s="114"/>
      <c r="F324" s="114"/>
      <c r="G324" s="140"/>
      <c r="H324" s="54"/>
      <c r="I324" s="54"/>
      <c r="J324" s="54"/>
      <c r="K324" s="54"/>
      <c r="L324" s="54"/>
      <c r="M324" s="54"/>
      <c r="N324" s="54"/>
      <c r="O324" s="54"/>
      <c r="P324" s="54"/>
      <c r="Q324" s="54"/>
    </row>
    <row r="325">
      <c r="A325" s="54"/>
      <c r="B325" s="114"/>
      <c r="C325" s="114"/>
      <c r="D325" s="114"/>
      <c r="E325" s="114"/>
      <c r="F325" s="114"/>
      <c r="G325" s="140"/>
      <c r="H325" s="54"/>
      <c r="I325" s="54"/>
      <c r="J325" s="54"/>
      <c r="K325" s="54"/>
      <c r="L325" s="54"/>
      <c r="M325" s="54"/>
      <c r="N325" s="54"/>
      <c r="O325" s="54"/>
      <c r="P325" s="54"/>
      <c r="Q325" s="54"/>
    </row>
    <row r="326">
      <c r="A326" s="54"/>
      <c r="B326" s="114"/>
      <c r="C326" s="114"/>
      <c r="D326" s="114"/>
      <c r="E326" s="114"/>
      <c r="F326" s="114"/>
      <c r="G326" s="140"/>
      <c r="H326" s="54"/>
      <c r="I326" s="54"/>
      <c r="J326" s="54"/>
      <c r="K326" s="54"/>
      <c r="L326" s="54"/>
      <c r="M326" s="54"/>
      <c r="N326" s="54"/>
      <c r="O326" s="54"/>
      <c r="P326" s="54"/>
      <c r="Q326" s="54"/>
    </row>
    <row r="327">
      <c r="A327" s="54"/>
      <c r="B327" s="114"/>
      <c r="C327" s="114"/>
      <c r="D327" s="114"/>
      <c r="E327" s="114"/>
      <c r="F327" s="114"/>
      <c r="G327" s="140"/>
      <c r="H327" s="54"/>
      <c r="I327" s="54"/>
      <c r="J327" s="54"/>
      <c r="K327" s="54"/>
      <c r="L327" s="54"/>
      <c r="M327" s="54"/>
      <c r="N327" s="54"/>
      <c r="O327" s="54"/>
      <c r="P327" s="54"/>
      <c r="Q327" s="54"/>
    </row>
    <row r="328">
      <c r="A328" s="54"/>
      <c r="B328" s="114"/>
      <c r="C328" s="114"/>
      <c r="D328" s="114"/>
      <c r="E328" s="114"/>
      <c r="F328" s="114"/>
      <c r="G328" s="140"/>
      <c r="H328" s="54"/>
      <c r="I328" s="54"/>
      <c r="J328" s="54"/>
      <c r="K328" s="54"/>
      <c r="L328" s="54"/>
      <c r="M328" s="54"/>
      <c r="N328" s="54"/>
      <c r="O328" s="54"/>
      <c r="P328" s="54"/>
      <c r="Q328" s="54"/>
    </row>
    <row r="329">
      <c r="A329" s="54"/>
      <c r="B329" s="114"/>
      <c r="C329" s="114"/>
      <c r="D329" s="114"/>
      <c r="E329" s="114"/>
      <c r="F329" s="114"/>
      <c r="G329" s="140"/>
      <c r="H329" s="54"/>
      <c r="I329" s="54"/>
      <c r="J329" s="54"/>
      <c r="K329" s="54"/>
      <c r="L329" s="54"/>
      <c r="M329" s="54"/>
      <c r="N329" s="54"/>
      <c r="O329" s="54"/>
      <c r="P329" s="54"/>
      <c r="Q329" s="54"/>
    </row>
    <row r="330">
      <c r="A330" s="54"/>
      <c r="B330" s="114"/>
      <c r="C330" s="114"/>
      <c r="D330" s="114"/>
      <c r="E330" s="114"/>
      <c r="F330" s="114"/>
      <c r="G330" s="140"/>
      <c r="H330" s="54"/>
      <c r="I330" s="54"/>
      <c r="J330" s="54"/>
      <c r="K330" s="54"/>
      <c r="L330" s="54"/>
      <c r="M330" s="54"/>
      <c r="N330" s="54"/>
      <c r="O330" s="54"/>
      <c r="P330" s="54"/>
      <c r="Q330" s="54"/>
    </row>
    <row r="331">
      <c r="A331" s="54"/>
      <c r="B331" s="114"/>
      <c r="C331" s="114"/>
      <c r="D331" s="114"/>
      <c r="E331" s="114"/>
      <c r="F331" s="114"/>
      <c r="G331" s="140"/>
      <c r="H331" s="54"/>
      <c r="I331" s="54"/>
      <c r="J331" s="54"/>
      <c r="K331" s="54"/>
      <c r="L331" s="54"/>
      <c r="M331" s="54"/>
      <c r="N331" s="54"/>
      <c r="O331" s="54"/>
      <c r="P331" s="54"/>
      <c r="Q331" s="54"/>
    </row>
    <row r="332">
      <c r="A332" s="54"/>
      <c r="B332" s="114"/>
      <c r="C332" s="114"/>
      <c r="D332" s="114"/>
      <c r="E332" s="114"/>
      <c r="F332" s="114"/>
      <c r="G332" s="140"/>
      <c r="H332" s="54"/>
      <c r="I332" s="54"/>
      <c r="J332" s="54"/>
      <c r="K332" s="54"/>
      <c r="L332" s="54"/>
      <c r="M332" s="54"/>
      <c r="N332" s="54"/>
      <c r="O332" s="54"/>
      <c r="P332" s="54"/>
      <c r="Q332" s="54"/>
    </row>
    <row r="333">
      <c r="A333" s="54"/>
      <c r="B333" s="114"/>
      <c r="C333" s="114"/>
      <c r="D333" s="114"/>
      <c r="E333" s="114"/>
      <c r="F333" s="114"/>
      <c r="G333" s="140"/>
      <c r="H333" s="54"/>
      <c r="I333" s="54"/>
      <c r="J333" s="54"/>
      <c r="K333" s="54"/>
      <c r="L333" s="54"/>
      <c r="M333" s="54"/>
      <c r="N333" s="54"/>
      <c r="O333" s="54"/>
      <c r="P333" s="54"/>
      <c r="Q333" s="54"/>
    </row>
    <row r="334">
      <c r="A334" s="54"/>
      <c r="B334" s="114"/>
      <c r="C334" s="114"/>
      <c r="D334" s="114"/>
      <c r="E334" s="114"/>
      <c r="F334" s="114"/>
      <c r="G334" s="140"/>
      <c r="H334" s="54"/>
      <c r="I334" s="54"/>
      <c r="J334" s="54"/>
      <c r="K334" s="54"/>
      <c r="L334" s="54"/>
      <c r="M334" s="54"/>
      <c r="N334" s="54"/>
      <c r="O334" s="54"/>
      <c r="P334" s="54"/>
      <c r="Q334" s="54"/>
    </row>
    <row r="335">
      <c r="A335" s="54"/>
      <c r="B335" s="114"/>
      <c r="C335" s="114"/>
      <c r="D335" s="114"/>
      <c r="E335" s="114"/>
      <c r="F335" s="114"/>
      <c r="G335" s="140"/>
      <c r="H335" s="54"/>
      <c r="I335" s="54"/>
      <c r="J335" s="54"/>
      <c r="K335" s="54"/>
      <c r="L335" s="54"/>
      <c r="M335" s="54"/>
      <c r="N335" s="54"/>
      <c r="O335" s="54"/>
      <c r="P335" s="54"/>
      <c r="Q335" s="54"/>
    </row>
    <row r="336">
      <c r="A336" s="54"/>
      <c r="B336" s="114"/>
      <c r="C336" s="114"/>
      <c r="D336" s="114"/>
      <c r="E336" s="114"/>
      <c r="F336" s="114"/>
      <c r="G336" s="140"/>
      <c r="H336" s="54"/>
      <c r="I336" s="54"/>
      <c r="J336" s="54"/>
      <c r="K336" s="54"/>
      <c r="L336" s="54"/>
      <c r="M336" s="54"/>
      <c r="N336" s="54"/>
      <c r="O336" s="54"/>
      <c r="P336" s="54"/>
      <c r="Q336" s="54"/>
    </row>
    <row r="337">
      <c r="A337" s="54"/>
      <c r="B337" s="114"/>
      <c r="C337" s="114"/>
      <c r="D337" s="114"/>
      <c r="E337" s="114"/>
      <c r="F337" s="114"/>
      <c r="G337" s="140"/>
      <c r="H337" s="54"/>
      <c r="I337" s="54"/>
      <c r="J337" s="54"/>
      <c r="K337" s="54"/>
      <c r="L337" s="54"/>
      <c r="M337" s="54"/>
      <c r="N337" s="54"/>
      <c r="O337" s="54"/>
      <c r="P337" s="54"/>
      <c r="Q337" s="54"/>
    </row>
    <row r="338">
      <c r="A338" s="54"/>
      <c r="B338" s="114"/>
      <c r="C338" s="114"/>
      <c r="D338" s="114"/>
      <c r="E338" s="114"/>
      <c r="F338" s="114"/>
      <c r="G338" s="140"/>
      <c r="H338" s="54"/>
      <c r="I338" s="54"/>
      <c r="J338" s="54"/>
      <c r="K338" s="54"/>
      <c r="L338" s="54"/>
      <c r="M338" s="54"/>
      <c r="N338" s="54"/>
      <c r="O338" s="54"/>
      <c r="P338" s="54"/>
      <c r="Q338" s="54"/>
    </row>
    <row r="339">
      <c r="A339" s="54"/>
      <c r="B339" s="114"/>
      <c r="C339" s="114"/>
      <c r="D339" s="114"/>
      <c r="E339" s="114"/>
      <c r="F339" s="114"/>
      <c r="G339" s="140"/>
      <c r="H339" s="54"/>
      <c r="I339" s="54"/>
      <c r="J339" s="54"/>
      <c r="K339" s="54"/>
      <c r="L339" s="54"/>
      <c r="M339" s="54"/>
      <c r="N339" s="54"/>
      <c r="O339" s="54"/>
      <c r="P339" s="54"/>
      <c r="Q339" s="54"/>
    </row>
    <row r="340">
      <c r="A340" s="54"/>
      <c r="B340" s="114"/>
      <c r="C340" s="114"/>
      <c r="D340" s="114"/>
      <c r="E340" s="114"/>
      <c r="F340" s="114"/>
      <c r="G340" s="140"/>
      <c r="H340" s="54"/>
      <c r="I340" s="54"/>
      <c r="J340" s="54"/>
      <c r="K340" s="54"/>
      <c r="L340" s="54"/>
      <c r="M340" s="54"/>
      <c r="N340" s="54"/>
      <c r="O340" s="54"/>
      <c r="P340" s="54"/>
      <c r="Q340" s="54"/>
    </row>
    <row r="341">
      <c r="A341" s="54"/>
      <c r="B341" s="114"/>
      <c r="C341" s="114"/>
      <c r="D341" s="114"/>
      <c r="E341" s="114"/>
      <c r="F341" s="114"/>
      <c r="G341" s="140"/>
      <c r="H341" s="54"/>
      <c r="I341" s="54"/>
      <c r="J341" s="54"/>
      <c r="K341" s="54"/>
      <c r="L341" s="54"/>
      <c r="M341" s="54"/>
      <c r="N341" s="54"/>
      <c r="O341" s="54"/>
      <c r="P341" s="54"/>
      <c r="Q341" s="54"/>
    </row>
    <row r="342">
      <c r="A342" s="54"/>
      <c r="B342" s="114"/>
      <c r="C342" s="114"/>
      <c r="D342" s="114"/>
      <c r="E342" s="114"/>
      <c r="F342" s="114"/>
      <c r="G342" s="140"/>
      <c r="H342" s="54"/>
      <c r="I342" s="54"/>
      <c r="J342" s="54"/>
      <c r="K342" s="54"/>
      <c r="L342" s="54"/>
      <c r="M342" s="54"/>
      <c r="N342" s="54"/>
      <c r="O342" s="54"/>
      <c r="P342" s="54"/>
      <c r="Q342" s="54"/>
    </row>
    <row r="343">
      <c r="A343" s="54"/>
      <c r="B343" s="114"/>
      <c r="C343" s="114"/>
      <c r="D343" s="114"/>
      <c r="E343" s="114"/>
      <c r="F343" s="114"/>
      <c r="G343" s="140"/>
      <c r="H343" s="54"/>
      <c r="I343" s="54"/>
      <c r="J343" s="54"/>
      <c r="K343" s="54"/>
      <c r="L343" s="54"/>
      <c r="M343" s="54"/>
      <c r="N343" s="54"/>
      <c r="O343" s="54"/>
      <c r="P343" s="54"/>
      <c r="Q343" s="54"/>
    </row>
    <row r="344">
      <c r="A344" s="54"/>
      <c r="B344" s="114"/>
      <c r="C344" s="114"/>
      <c r="D344" s="114"/>
      <c r="E344" s="114"/>
      <c r="F344" s="114"/>
      <c r="G344" s="140"/>
      <c r="H344" s="54"/>
      <c r="I344" s="54"/>
      <c r="J344" s="54"/>
      <c r="K344" s="54"/>
      <c r="L344" s="54"/>
      <c r="M344" s="54"/>
      <c r="N344" s="54"/>
      <c r="O344" s="54"/>
      <c r="P344" s="54"/>
      <c r="Q344" s="54"/>
    </row>
    <row r="345">
      <c r="A345" s="54"/>
      <c r="B345" s="114"/>
      <c r="C345" s="114"/>
      <c r="D345" s="114"/>
      <c r="E345" s="114"/>
      <c r="F345" s="114"/>
      <c r="G345" s="140"/>
      <c r="H345" s="54"/>
      <c r="I345" s="54"/>
      <c r="J345" s="54"/>
      <c r="K345" s="54"/>
      <c r="L345" s="54"/>
      <c r="M345" s="54"/>
      <c r="N345" s="54"/>
      <c r="O345" s="54"/>
      <c r="P345" s="54"/>
      <c r="Q345" s="54"/>
    </row>
    <row r="346">
      <c r="A346" s="54"/>
      <c r="B346" s="114"/>
      <c r="C346" s="114"/>
      <c r="D346" s="114"/>
      <c r="E346" s="114"/>
      <c r="F346" s="114"/>
      <c r="G346" s="140"/>
      <c r="H346" s="54"/>
      <c r="I346" s="54"/>
      <c r="J346" s="54"/>
      <c r="K346" s="54"/>
      <c r="L346" s="54"/>
      <c r="M346" s="54"/>
      <c r="N346" s="54"/>
      <c r="O346" s="54"/>
      <c r="P346" s="54"/>
      <c r="Q346" s="54"/>
    </row>
    <row r="347">
      <c r="A347" s="54"/>
      <c r="B347" s="114"/>
      <c r="C347" s="114"/>
      <c r="D347" s="114"/>
      <c r="E347" s="114"/>
      <c r="F347" s="114"/>
      <c r="G347" s="140"/>
      <c r="H347" s="54"/>
      <c r="I347" s="54"/>
      <c r="J347" s="54"/>
      <c r="K347" s="54"/>
      <c r="L347" s="54"/>
      <c r="M347" s="54"/>
      <c r="N347" s="54"/>
      <c r="O347" s="54"/>
      <c r="P347" s="54"/>
      <c r="Q347" s="54"/>
    </row>
    <row r="348">
      <c r="A348" s="54"/>
      <c r="B348" s="114"/>
      <c r="C348" s="114"/>
      <c r="D348" s="114"/>
      <c r="E348" s="114"/>
      <c r="F348" s="114"/>
      <c r="G348" s="140"/>
      <c r="H348" s="54"/>
      <c r="I348" s="54"/>
      <c r="J348" s="54"/>
      <c r="K348" s="54"/>
      <c r="L348" s="54"/>
      <c r="M348" s="54"/>
      <c r="N348" s="54"/>
      <c r="O348" s="54"/>
      <c r="P348" s="54"/>
      <c r="Q348" s="54"/>
    </row>
    <row r="349">
      <c r="A349" s="54"/>
      <c r="B349" s="114"/>
      <c r="C349" s="114"/>
      <c r="D349" s="114"/>
      <c r="E349" s="114"/>
      <c r="F349" s="114"/>
      <c r="G349" s="140"/>
      <c r="H349" s="54"/>
      <c r="I349" s="54"/>
      <c r="J349" s="54"/>
      <c r="K349" s="54"/>
      <c r="L349" s="54"/>
      <c r="M349" s="54"/>
      <c r="N349" s="54"/>
      <c r="O349" s="54"/>
      <c r="P349" s="54"/>
      <c r="Q349" s="54"/>
    </row>
    <row r="350">
      <c r="A350" s="54"/>
      <c r="B350" s="114"/>
      <c r="C350" s="114"/>
      <c r="D350" s="114"/>
      <c r="E350" s="114"/>
      <c r="F350" s="114"/>
      <c r="G350" s="140"/>
      <c r="H350" s="54"/>
      <c r="I350" s="54"/>
      <c r="J350" s="54"/>
      <c r="K350" s="54"/>
      <c r="L350" s="54"/>
      <c r="M350" s="54"/>
      <c r="N350" s="54"/>
      <c r="O350" s="54"/>
      <c r="P350" s="54"/>
      <c r="Q350" s="54"/>
    </row>
    <row r="351">
      <c r="A351" s="54"/>
      <c r="B351" s="114"/>
      <c r="C351" s="114"/>
      <c r="D351" s="114"/>
      <c r="E351" s="114"/>
      <c r="F351" s="114"/>
      <c r="G351" s="140"/>
      <c r="H351" s="54"/>
      <c r="I351" s="54"/>
      <c r="J351" s="54"/>
      <c r="K351" s="54"/>
      <c r="L351" s="54"/>
      <c r="M351" s="54"/>
      <c r="N351" s="54"/>
      <c r="O351" s="54"/>
      <c r="P351" s="54"/>
      <c r="Q351" s="54"/>
    </row>
    <row r="352">
      <c r="A352" s="54"/>
      <c r="B352" s="114"/>
      <c r="C352" s="114"/>
      <c r="D352" s="114"/>
      <c r="E352" s="114"/>
      <c r="F352" s="114"/>
      <c r="G352" s="140"/>
      <c r="H352" s="54"/>
      <c r="I352" s="54"/>
      <c r="J352" s="54"/>
      <c r="K352" s="54"/>
      <c r="L352" s="54"/>
      <c r="M352" s="54"/>
      <c r="N352" s="54"/>
      <c r="O352" s="54"/>
      <c r="P352" s="54"/>
      <c r="Q352" s="54"/>
    </row>
    <row r="353">
      <c r="A353" s="54"/>
      <c r="B353" s="114"/>
      <c r="C353" s="114"/>
      <c r="D353" s="114"/>
      <c r="E353" s="114"/>
      <c r="F353" s="114"/>
      <c r="G353" s="140"/>
      <c r="H353" s="54"/>
      <c r="I353" s="54"/>
      <c r="J353" s="54"/>
      <c r="K353" s="54"/>
      <c r="L353" s="54"/>
      <c r="M353" s="54"/>
      <c r="N353" s="54"/>
      <c r="O353" s="54"/>
      <c r="P353" s="54"/>
      <c r="Q353" s="54"/>
    </row>
    <row r="354">
      <c r="A354" s="54"/>
      <c r="B354" s="114"/>
      <c r="C354" s="114"/>
      <c r="D354" s="114"/>
      <c r="E354" s="114"/>
      <c r="F354" s="114"/>
      <c r="G354" s="140"/>
      <c r="H354" s="54"/>
      <c r="I354" s="54"/>
      <c r="J354" s="54"/>
      <c r="K354" s="54"/>
      <c r="L354" s="54"/>
      <c r="M354" s="54"/>
      <c r="N354" s="54"/>
      <c r="O354" s="54"/>
      <c r="P354" s="54"/>
      <c r="Q354" s="54"/>
    </row>
    <row r="355">
      <c r="A355" s="54"/>
      <c r="B355" s="114"/>
      <c r="C355" s="114"/>
      <c r="D355" s="114"/>
      <c r="E355" s="114"/>
      <c r="F355" s="114"/>
      <c r="G355" s="140"/>
      <c r="H355" s="54"/>
      <c r="I355" s="54"/>
      <c r="J355" s="54"/>
      <c r="K355" s="54"/>
      <c r="L355" s="54"/>
      <c r="M355" s="54"/>
      <c r="N355" s="54"/>
      <c r="O355" s="54"/>
      <c r="P355" s="54"/>
      <c r="Q355" s="54"/>
    </row>
    <row r="356">
      <c r="A356" s="54"/>
      <c r="B356" s="114"/>
      <c r="C356" s="114"/>
      <c r="D356" s="114"/>
      <c r="E356" s="114"/>
      <c r="F356" s="114"/>
      <c r="G356" s="140"/>
      <c r="H356" s="54"/>
      <c r="I356" s="54"/>
      <c r="J356" s="54"/>
      <c r="K356" s="54"/>
      <c r="L356" s="54"/>
      <c r="M356" s="54"/>
      <c r="N356" s="54"/>
      <c r="O356" s="54"/>
      <c r="P356" s="54"/>
      <c r="Q356" s="54"/>
    </row>
    <row r="357">
      <c r="A357" s="54"/>
      <c r="B357" s="114"/>
      <c r="C357" s="114"/>
      <c r="D357" s="114"/>
      <c r="E357" s="114"/>
      <c r="F357" s="114"/>
      <c r="G357" s="140"/>
      <c r="H357" s="54"/>
      <c r="I357" s="54"/>
      <c r="J357" s="54"/>
      <c r="K357" s="54"/>
      <c r="L357" s="54"/>
      <c r="M357" s="54"/>
      <c r="N357" s="54"/>
      <c r="O357" s="54"/>
      <c r="P357" s="54"/>
      <c r="Q357" s="54"/>
    </row>
    <row r="358">
      <c r="A358" s="54"/>
      <c r="B358" s="114"/>
      <c r="C358" s="114"/>
      <c r="D358" s="114"/>
      <c r="E358" s="114"/>
      <c r="F358" s="114"/>
      <c r="G358" s="140"/>
      <c r="H358" s="54"/>
      <c r="I358" s="54"/>
      <c r="J358" s="54"/>
      <c r="K358" s="54"/>
      <c r="L358" s="54"/>
      <c r="M358" s="54"/>
      <c r="N358" s="54"/>
      <c r="O358" s="54"/>
      <c r="P358" s="54"/>
      <c r="Q358" s="54"/>
    </row>
    <row r="359">
      <c r="A359" s="54"/>
      <c r="B359" s="114"/>
      <c r="C359" s="114"/>
      <c r="D359" s="114"/>
      <c r="E359" s="114"/>
      <c r="F359" s="114"/>
      <c r="G359" s="140"/>
      <c r="H359" s="54"/>
      <c r="I359" s="54"/>
      <c r="J359" s="54"/>
      <c r="K359" s="54"/>
      <c r="L359" s="54"/>
      <c r="M359" s="54"/>
      <c r="N359" s="54"/>
      <c r="O359" s="54"/>
      <c r="P359" s="54"/>
      <c r="Q359" s="54"/>
    </row>
    <row r="360">
      <c r="A360" s="54"/>
      <c r="B360" s="114"/>
      <c r="C360" s="114"/>
      <c r="D360" s="114"/>
      <c r="E360" s="114"/>
      <c r="F360" s="114"/>
      <c r="G360" s="140"/>
      <c r="H360" s="54"/>
      <c r="I360" s="54"/>
      <c r="J360" s="54"/>
      <c r="K360" s="54"/>
      <c r="L360" s="54"/>
      <c r="M360" s="54"/>
      <c r="N360" s="54"/>
      <c r="O360" s="54"/>
      <c r="P360" s="54"/>
      <c r="Q360" s="54"/>
    </row>
    <row r="361">
      <c r="A361" s="54"/>
      <c r="B361" s="114"/>
      <c r="C361" s="114"/>
      <c r="D361" s="114"/>
      <c r="E361" s="114"/>
      <c r="F361" s="114"/>
      <c r="G361" s="140"/>
      <c r="H361" s="54"/>
      <c r="I361" s="54"/>
      <c r="J361" s="54"/>
      <c r="K361" s="54"/>
      <c r="L361" s="54"/>
      <c r="M361" s="54"/>
      <c r="N361" s="54"/>
      <c r="O361" s="54"/>
      <c r="P361" s="54"/>
      <c r="Q361" s="54"/>
    </row>
    <row r="362">
      <c r="A362" s="54"/>
      <c r="B362" s="114"/>
      <c r="C362" s="114"/>
      <c r="D362" s="114"/>
      <c r="E362" s="114"/>
      <c r="F362" s="114"/>
      <c r="G362" s="140"/>
      <c r="H362" s="54"/>
      <c r="I362" s="54"/>
      <c r="J362" s="54"/>
      <c r="K362" s="54"/>
      <c r="L362" s="54"/>
      <c r="M362" s="54"/>
      <c r="N362" s="54"/>
      <c r="O362" s="54"/>
      <c r="P362" s="54"/>
      <c r="Q362" s="54"/>
    </row>
    <row r="363">
      <c r="A363" s="54"/>
      <c r="B363" s="114"/>
      <c r="C363" s="114"/>
      <c r="D363" s="114"/>
      <c r="E363" s="114"/>
      <c r="F363" s="114"/>
      <c r="G363" s="140"/>
      <c r="H363" s="54"/>
      <c r="I363" s="54"/>
      <c r="J363" s="54"/>
      <c r="K363" s="54"/>
      <c r="L363" s="54"/>
      <c r="M363" s="54"/>
      <c r="N363" s="54"/>
      <c r="O363" s="54"/>
      <c r="P363" s="54"/>
      <c r="Q363" s="54"/>
    </row>
    <row r="364">
      <c r="A364" s="54"/>
      <c r="B364" s="114"/>
      <c r="C364" s="114"/>
      <c r="D364" s="114"/>
      <c r="E364" s="114"/>
      <c r="F364" s="114"/>
      <c r="G364" s="140"/>
      <c r="H364" s="54"/>
      <c r="I364" s="54"/>
      <c r="J364" s="54"/>
      <c r="K364" s="54"/>
      <c r="L364" s="54"/>
      <c r="M364" s="54"/>
      <c r="N364" s="54"/>
      <c r="O364" s="54"/>
      <c r="P364" s="54"/>
      <c r="Q364" s="54"/>
    </row>
    <row r="365">
      <c r="A365" s="54"/>
      <c r="B365" s="114"/>
      <c r="C365" s="114"/>
      <c r="D365" s="114"/>
      <c r="E365" s="114"/>
      <c r="F365" s="114"/>
      <c r="G365" s="140"/>
      <c r="H365" s="54"/>
      <c r="I365" s="54"/>
      <c r="J365" s="54"/>
      <c r="K365" s="54"/>
      <c r="L365" s="54"/>
      <c r="M365" s="54"/>
      <c r="N365" s="54"/>
      <c r="O365" s="54"/>
      <c r="P365" s="54"/>
      <c r="Q365" s="54"/>
    </row>
    <row r="366">
      <c r="A366" s="54"/>
      <c r="B366" s="114"/>
      <c r="C366" s="114"/>
      <c r="D366" s="114"/>
      <c r="E366" s="114"/>
      <c r="F366" s="114"/>
      <c r="G366" s="140"/>
      <c r="H366" s="54"/>
      <c r="I366" s="54"/>
      <c r="J366" s="54"/>
      <c r="K366" s="54"/>
      <c r="L366" s="54"/>
      <c r="M366" s="54"/>
      <c r="N366" s="54"/>
      <c r="O366" s="54"/>
      <c r="P366" s="54"/>
      <c r="Q366" s="54"/>
    </row>
    <row r="367">
      <c r="A367" s="54"/>
      <c r="B367" s="114"/>
      <c r="C367" s="114"/>
      <c r="D367" s="114"/>
      <c r="E367" s="114"/>
      <c r="F367" s="114"/>
      <c r="G367" s="140"/>
      <c r="H367" s="54"/>
      <c r="I367" s="54"/>
      <c r="J367" s="54"/>
      <c r="K367" s="54"/>
      <c r="L367" s="54"/>
      <c r="M367" s="54"/>
      <c r="N367" s="54"/>
      <c r="O367" s="54"/>
      <c r="P367" s="54"/>
      <c r="Q367" s="54"/>
    </row>
    <row r="368">
      <c r="A368" s="54"/>
      <c r="B368" s="114"/>
      <c r="C368" s="114"/>
      <c r="D368" s="114"/>
      <c r="E368" s="114"/>
      <c r="F368" s="114"/>
      <c r="G368" s="140"/>
      <c r="H368" s="54"/>
      <c r="I368" s="54"/>
      <c r="J368" s="54"/>
      <c r="K368" s="54"/>
      <c r="L368" s="54"/>
      <c r="M368" s="54"/>
      <c r="N368" s="54"/>
      <c r="O368" s="54"/>
      <c r="P368" s="54"/>
      <c r="Q368" s="54"/>
    </row>
    <row r="369">
      <c r="A369" s="54"/>
      <c r="B369" s="114"/>
      <c r="C369" s="114"/>
      <c r="D369" s="114"/>
      <c r="E369" s="114"/>
      <c r="F369" s="114"/>
      <c r="G369" s="140"/>
      <c r="H369" s="54"/>
      <c r="I369" s="54"/>
      <c r="J369" s="54"/>
      <c r="K369" s="54"/>
      <c r="L369" s="54"/>
      <c r="M369" s="54"/>
      <c r="N369" s="54"/>
      <c r="O369" s="54"/>
      <c r="P369" s="54"/>
      <c r="Q369" s="54"/>
    </row>
    <row r="370">
      <c r="A370" s="54"/>
      <c r="B370" s="114"/>
      <c r="C370" s="114"/>
      <c r="D370" s="114"/>
      <c r="E370" s="114"/>
      <c r="F370" s="114"/>
      <c r="G370" s="140"/>
      <c r="H370" s="54"/>
      <c r="I370" s="54"/>
      <c r="J370" s="54"/>
      <c r="K370" s="54"/>
      <c r="L370" s="54"/>
      <c r="M370" s="54"/>
      <c r="N370" s="54"/>
      <c r="O370" s="54"/>
      <c r="P370" s="54"/>
      <c r="Q370" s="54"/>
    </row>
    <row r="371">
      <c r="A371" s="54"/>
      <c r="B371" s="114"/>
      <c r="C371" s="114"/>
      <c r="D371" s="114"/>
      <c r="E371" s="114"/>
      <c r="F371" s="114"/>
      <c r="G371" s="140"/>
      <c r="H371" s="54"/>
      <c r="I371" s="54"/>
      <c r="J371" s="54"/>
      <c r="K371" s="54"/>
      <c r="L371" s="54"/>
      <c r="M371" s="54"/>
      <c r="N371" s="54"/>
      <c r="O371" s="54"/>
      <c r="P371" s="54"/>
      <c r="Q371" s="54"/>
    </row>
    <row r="372">
      <c r="A372" s="54"/>
      <c r="B372" s="114"/>
      <c r="C372" s="114"/>
      <c r="D372" s="114"/>
      <c r="E372" s="114"/>
      <c r="F372" s="114"/>
      <c r="G372" s="140"/>
      <c r="H372" s="54"/>
      <c r="I372" s="54"/>
      <c r="J372" s="54"/>
      <c r="K372" s="54"/>
      <c r="L372" s="54"/>
      <c r="M372" s="54"/>
      <c r="N372" s="54"/>
      <c r="O372" s="54"/>
      <c r="P372" s="54"/>
      <c r="Q372" s="54"/>
    </row>
    <row r="373">
      <c r="A373" s="54"/>
      <c r="B373" s="114"/>
      <c r="C373" s="114"/>
      <c r="D373" s="114"/>
      <c r="E373" s="114"/>
      <c r="F373" s="114"/>
      <c r="G373" s="140"/>
      <c r="H373" s="54"/>
      <c r="I373" s="54"/>
      <c r="J373" s="54"/>
      <c r="K373" s="54"/>
      <c r="L373" s="54"/>
      <c r="M373" s="54"/>
      <c r="N373" s="54"/>
      <c r="O373" s="54"/>
      <c r="P373" s="54"/>
      <c r="Q373" s="54"/>
    </row>
    <row r="374">
      <c r="A374" s="54"/>
      <c r="B374" s="114"/>
      <c r="C374" s="114"/>
      <c r="D374" s="114"/>
      <c r="E374" s="114"/>
      <c r="F374" s="114"/>
      <c r="G374" s="140"/>
      <c r="H374" s="54"/>
      <c r="I374" s="54"/>
      <c r="J374" s="54"/>
      <c r="K374" s="54"/>
      <c r="L374" s="54"/>
      <c r="M374" s="54"/>
      <c r="N374" s="54"/>
      <c r="O374" s="54"/>
      <c r="P374" s="54"/>
      <c r="Q374" s="54"/>
    </row>
    <row r="375">
      <c r="A375" s="54"/>
      <c r="B375" s="114"/>
      <c r="C375" s="114"/>
      <c r="D375" s="114"/>
      <c r="E375" s="114"/>
      <c r="F375" s="114"/>
      <c r="G375" s="140"/>
      <c r="H375" s="54"/>
      <c r="I375" s="54"/>
      <c r="J375" s="54"/>
      <c r="K375" s="54"/>
      <c r="L375" s="54"/>
      <c r="M375" s="54"/>
      <c r="N375" s="54"/>
      <c r="O375" s="54"/>
      <c r="P375" s="54"/>
      <c r="Q375" s="54"/>
    </row>
    <row r="376">
      <c r="A376" s="54"/>
      <c r="B376" s="114"/>
      <c r="C376" s="114"/>
      <c r="D376" s="114"/>
      <c r="E376" s="114"/>
      <c r="F376" s="114"/>
      <c r="G376" s="140"/>
      <c r="H376" s="54"/>
      <c r="I376" s="54"/>
      <c r="J376" s="54"/>
      <c r="K376" s="54"/>
      <c r="L376" s="54"/>
      <c r="M376" s="54"/>
      <c r="N376" s="54"/>
      <c r="O376" s="54"/>
      <c r="P376" s="54"/>
      <c r="Q376" s="54"/>
    </row>
    <row r="377">
      <c r="A377" s="54"/>
      <c r="B377" s="114"/>
      <c r="C377" s="114"/>
      <c r="D377" s="114"/>
      <c r="E377" s="114"/>
      <c r="F377" s="114"/>
      <c r="G377" s="140"/>
      <c r="H377" s="54"/>
      <c r="I377" s="54"/>
      <c r="J377" s="54"/>
      <c r="K377" s="54"/>
      <c r="L377" s="54"/>
      <c r="M377" s="54"/>
      <c r="N377" s="54"/>
      <c r="O377" s="54"/>
      <c r="P377" s="54"/>
      <c r="Q377" s="54"/>
    </row>
    <row r="378">
      <c r="A378" s="54"/>
      <c r="B378" s="114"/>
      <c r="C378" s="114"/>
      <c r="D378" s="114"/>
      <c r="E378" s="114"/>
      <c r="F378" s="114"/>
      <c r="G378" s="140"/>
      <c r="H378" s="54"/>
      <c r="I378" s="54"/>
      <c r="J378" s="54"/>
      <c r="K378" s="54"/>
      <c r="L378" s="54"/>
      <c r="M378" s="54"/>
      <c r="N378" s="54"/>
      <c r="O378" s="54"/>
      <c r="P378" s="54"/>
      <c r="Q378" s="54"/>
    </row>
    <row r="379">
      <c r="A379" s="54"/>
      <c r="B379" s="114"/>
      <c r="C379" s="114"/>
      <c r="D379" s="114"/>
      <c r="E379" s="114"/>
      <c r="F379" s="114"/>
      <c r="G379" s="140"/>
      <c r="H379" s="54"/>
      <c r="I379" s="54"/>
      <c r="J379" s="54"/>
      <c r="K379" s="54"/>
      <c r="L379" s="54"/>
      <c r="M379" s="54"/>
      <c r="N379" s="54"/>
      <c r="O379" s="54"/>
      <c r="P379" s="54"/>
      <c r="Q379" s="54"/>
    </row>
    <row r="380">
      <c r="A380" s="54"/>
      <c r="B380" s="114"/>
      <c r="C380" s="114"/>
      <c r="D380" s="114"/>
      <c r="E380" s="114"/>
      <c r="F380" s="114"/>
      <c r="G380" s="140"/>
      <c r="H380" s="54"/>
      <c r="I380" s="54"/>
      <c r="J380" s="54"/>
      <c r="K380" s="54"/>
      <c r="L380" s="54"/>
      <c r="M380" s="54"/>
      <c r="N380" s="54"/>
      <c r="O380" s="54"/>
      <c r="P380" s="54"/>
      <c r="Q380" s="54"/>
    </row>
    <row r="381">
      <c r="A381" s="54"/>
      <c r="B381" s="114"/>
      <c r="C381" s="114"/>
      <c r="D381" s="114"/>
      <c r="E381" s="114"/>
      <c r="F381" s="114"/>
      <c r="G381" s="140"/>
      <c r="H381" s="54"/>
      <c r="I381" s="54"/>
      <c r="J381" s="54"/>
      <c r="K381" s="54"/>
      <c r="L381" s="54"/>
      <c r="M381" s="54"/>
      <c r="N381" s="54"/>
      <c r="O381" s="54"/>
      <c r="P381" s="54"/>
      <c r="Q381" s="54"/>
    </row>
    <row r="382">
      <c r="A382" s="54"/>
      <c r="B382" s="114"/>
      <c r="C382" s="114"/>
      <c r="D382" s="114"/>
      <c r="E382" s="114"/>
      <c r="F382" s="114"/>
      <c r="G382" s="140"/>
      <c r="H382" s="54"/>
      <c r="I382" s="54"/>
      <c r="J382" s="54"/>
      <c r="K382" s="54"/>
      <c r="L382" s="54"/>
      <c r="M382" s="54"/>
      <c r="N382" s="54"/>
      <c r="O382" s="54"/>
      <c r="P382" s="54"/>
      <c r="Q382" s="54"/>
    </row>
    <row r="383">
      <c r="A383" s="54"/>
      <c r="B383" s="114"/>
      <c r="C383" s="114"/>
      <c r="D383" s="114"/>
      <c r="E383" s="114"/>
      <c r="F383" s="114"/>
      <c r="G383" s="140"/>
      <c r="H383" s="54"/>
      <c r="I383" s="54"/>
      <c r="J383" s="54"/>
      <c r="K383" s="54"/>
      <c r="L383" s="54"/>
      <c r="M383" s="54"/>
      <c r="N383" s="54"/>
      <c r="O383" s="54"/>
      <c r="P383" s="54"/>
      <c r="Q383" s="54"/>
    </row>
    <row r="384">
      <c r="A384" s="54"/>
      <c r="B384" s="114"/>
      <c r="C384" s="114"/>
      <c r="D384" s="114"/>
      <c r="E384" s="114"/>
      <c r="F384" s="114"/>
      <c r="G384" s="140"/>
      <c r="H384" s="54"/>
      <c r="I384" s="54"/>
      <c r="J384" s="54"/>
      <c r="K384" s="54"/>
      <c r="L384" s="54"/>
      <c r="M384" s="54"/>
      <c r="N384" s="54"/>
      <c r="O384" s="54"/>
      <c r="P384" s="54"/>
      <c r="Q384" s="54"/>
    </row>
    <row r="385">
      <c r="A385" s="54"/>
      <c r="B385" s="114"/>
      <c r="C385" s="114"/>
      <c r="D385" s="114"/>
      <c r="E385" s="114"/>
      <c r="F385" s="114"/>
      <c r="G385" s="140"/>
      <c r="H385" s="54"/>
      <c r="I385" s="54"/>
      <c r="J385" s="54"/>
      <c r="K385" s="54"/>
      <c r="L385" s="54"/>
      <c r="M385" s="54"/>
      <c r="N385" s="54"/>
      <c r="O385" s="54"/>
      <c r="P385" s="54"/>
      <c r="Q385" s="54"/>
    </row>
    <row r="386">
      <c r="A386" s="54"/>
      <c r="B386" s="114"/>
      <c r="C386" s="114"/>
      <c r="D386" s="114"/>
      <c r="E386" s="114"/>
      <c r="F386" s="114"/>
      <c r="G386" s="140"/>
      <c r="H386" s="54"/>
      <c r="I386" s="54"/>
      <c r="J386" s="54"/>
      <c r="K386" s="54"/>
      <c r="L386" s="54"/>
      <c r="M386" s="54"/>
      <c r="N386" s="54"/>
      <c r="O386" s="54"/>
      <c r="P386" s="54"/>
      <c r="Q386" s="54"/>
    </row>
    <row r="387">
      <c r="A387" s="54"/>
      <c r="B387" s="114"/>
      <c r="C387" s="114"/>
      <c r="D387" s="114"/>
      <c r="E387" s="114"/>
      <c r="F387" s="114"/>
      <c r="G387" s="140"/>
      <c r="H387" s="54"/>
      <c r="I387" s="54"/>
      <c r="J387" s="54"/>
      <c r="K387" s="54"/>
      <c r="L387" s="54"/>
      <c r="M387" s="54"/>
      <c r="N387" s="54"/>
      <c r="O387" s="54"/>
      <c r="P387" s="54"/>
      <c r="Q387" s="54"/>
    </row>
    <row r="388">
      <c r="A388" s="54"/>
      <c r="B388" s="114"/>
      <c r="C388" s="114"/>
      <c r="D388" s="114"/>
      <c r="E388" s="114"/>
      <c r="F388" s="114"/>
      <c r="G388" s="140"/>
      <c r="H388" s="54"/>
      <c r="I388" s="54"/>
      <c r="J388" s="54"/>
      <c r="K388" s="54"/>
      <c r="L388" s="54"/>
      <c r="M388" s="54"/>
      <c r="N388" s="54"/>
      <c r="O388" s="54"/>
      <c r="P388" s="54"/>
      <c r="Q388" s="54"/>
    </row>
    <row r="389">
      <c r="A389" s="54"/>
      <c r="B389" s="114"/>
      <c r="C389" s="114"/>
      <c r="D389" s="114"/>
      <c r="E389" s="114"/>
      <c r="F389" s="114"/>
      <c r="G389" s="140"/>
      <c r="H389" s="54"/>
      <c r="I389" s="54"/>
      <c r="J389" s="54"/>
      <c r="K389" s="54"/>
      <c r="L389" s="54"/>
      <c r="M389" s="54"/>
      <c r="N389" s="54"/>
      <c r="O389" s="54"/>
      <c r="P389" s="54"/>
      <c r="Q389" s="54"/>
    </row>
    <row r="390">
      <c r="A390" s="54"/>
      <c r="B390" s="114"/>
      <c r="C390" s="114"/>
      <c r="D390" s="114"/>
      <c r="E390" s="114"/>
      <c r="F390" s="114"/>
      <c r="G390" s="140"/>
      <c r="H390" s="54"/>
      <c r="I390" s="54"/>
      <c r="J390" s="54"/>
      <c r="K390" s="54"/>
      <c r="L390" s="54"/>
      <c r="M390" s="54"/>
      <c r="N390" s="54"/>
      <c r="O390" s="54"/>
      <c r="P390" s="54"/>
      <c r="Q390" s="54"/>
    </row>
    <row r="391">
      <c r="A391" s="54"/>
      <c r="B391" s="114"/>
      <c r="C391" s="114"/>
      <c r="D391" s="114"/>
      <c r="E391" s="114"/>
      <c r="F391" s="114"/>
      <c r="G391" s="140"/>
      <c r="H391" s="54"/>
      <c r="I391" s="54"/>
      <c r="J391" s="54"/>
      <c r="K391" s="54"/>
      <c r="L391" s="54"/>
      <c r="M391" s="54"/>
      <c r="N391" s="54"/>
      <c r="O391" s="54"/>
      <c r="P391" s="54"/>
      <c r="Q391" s="54"/>
    </row>
    <row r="392">
      <c r="A392" s="54"/>
      <c r="B392" s="114"/>
      <c r="C392" s="114"/>
      <c r="D392" s="114"/>
      <c r="E392" s="114"/>
      <c r="F392" s="114"/>
      <c r="G392" s="140"/>
      <c r="H392" s="54"/>
      <c r="I392" s="54"/>
      <c r="J392" s="54"/>
      <c r="K392" s="54"/>
      <c r="L392" s="54"/>
      <c r="M392" s="54"/>
      <c r="N392" s="54"/>
      <c r="O392" s="54"/>
      <c r="P392" s="54"/>
      <c r="Q392" s="54"/>
    </row>
    <row r="393">
      <c r="A393" s="54"/>
      <c r="B393" s="114"/>
      <c r="C393" s="114"/>
      <c r="D393" s="114"/>
      <c r="E393" s="114"/>
      <c r="F393" s="114"/>
      <c r="G393" s="140"/>
      <c r="H393" s="54"/>
      <c r="I393" s="54"/>
      <c r="J393" s="54"/>
      <c r="K393" s="54"/>
      <c r="L393" s="54"/>
      <c r="M393" s="54"/>
      <c r="N393" s="54"/>
      <c r="O393" s="54"/>
      <c r="P393" s="54"/>
      <c r="Q393" s="54"/>
    </row>
    <row r="394">
      <c r="A394" s="54"/>
      <c r="B394" s="114"/>
      <c r="C394" s="114"/>
      <c r="D394" s="114"/>
      <c r="E394" s="114"/>
      <c r="F394" s="114"/>
      <c r="G394" s="140"/>
      <c r="H394" s="54"/>
      <c r="I394" s="54"/>
      <c r="J394" s="54"/>
      <c r="K394" s="54"/>
      <c r="L394" s="54"/>
      <c r="M394" s="54"/>
      <c r="N394" s="54"/>
      <c r="O394" s="54"/>
      <c r="P394" s="54"/>
      <c r="Q394" s="54"/>
    </row>
    <row r="395">
      <c r="A395" s="54"/>
      <c r="B395" s="114"/>
      <c r="C395" s="114"/>
      <c r="D395" s="114"/>
      <c r="E395" s="114"/>
      <c r="F395" s="114"/>
      <c r="G395" s="140"/>
      <c r="H395" s="54"/>
      <c r="I395" s="54"/>
      <c r="J395" s="54"/>
      <c r="K395" s="54"/>
      <c r="L395" s="54"/>
      <c r="M395" s="54"/>
      <c r="N395" s="54"/>
      <c r="O395" s="54"/>
      <c r="P395" s="54"/>
      <c r="Q395" s="54"/>
    </row>
    <row r="396">
      <c r="A396" s="54"/>
      <c r="B396" s="114"/>
      <c r="C396" s="114"/>
      <c r="D396" s="114"/>
      <c r="E396" s="114"/>
      <c r="F396" s="114"/>
      <c r="G396" s="140"/>
      <c r="H396" s="54"/>
      <c r="I396" s="54"/>
      <c r="J396" s="54"/>
      <c r="K396" s="54"/>
      <c r="L396" s="54"/>
      <c r="M396" s="54"/>
      <c r="N396" s="54"/>
      <c r="O396" s="54"/>
      <c r="P396" s="54"/>
      <c r="Q396" s="54"/>
    </row>
    <row r="397">
      <c r="A397" s="54"/>
      <c r="B397" s="114"/>
      <c r="C397" s="114"/>
      <c r="D397" s="114"/>
      <c r="E397" s="114"/>
      <c r="F397" s="114"/>
      <c r="G397" s="140"/>
      <c r="H397" s="54"/>
      <c r="I397" s="54"/>
      <c r="J397" s="54"/>
      <c r="K397" s="54"/>
      <c r="L397" s="54"/>
      <c r="M397" s="54"/>
      <c r="N397" s="54"/>
      <c r="O397" s="54"/>
      <c r="P397" s="54"/>
      <c r="Q397" s="54"/>
    </row>
    <row r="398">
      <c r="A398" s="54"/>
      <c r="B398" s="114"/>
      <c r="C398" s="114"/>
      <c r="D398" s="114"/>
      <c r="E398" s="114"/>
      <c r="F398" s="114"/>
      <c r="G398" s="140"/>
      <c r="H398" s="54"/>
      <c r="I398" s="54"/>
      <c r="J398" s="54"/>
      <c r="K398" s="54"/>
      <c r="L398" s="54"/>
      <c r="M398" s="54"/>
      <c r="N398" s="54"/>
      <c r="O398" s="54"/>
      <c r="P398" s="54"/>
      <c r="Q398" s="54"/>
    </row>
    <row r="399">
      <c r="A399" s="54"/>
      <c r="B399" s="114"/>
      <c r="C399" s="114"/>
      <c r="D399" s="114"/>
      <c r="E399" s="114"/>
      <c r="F399" s="114"/>
      <c r="G399" s="140"/>
      <c r="H399" s="54"/>
      <c r="I399" s="54"/>
      <c r="J399" s="54"/>
      <c r="K399" s="54"/>
      <c r="L399" s="54"/>
      <c r="M399" s="54"/>
      <c r="N399" s="54"/>
      <c r="O399" s="54"/>
      <c r="P399" s="54"/>
      <c r="Q399" s="54"/>
    </row>
    <row r="400">
      <c r="A400" s="54"/>
      <c r="B400" s="114"/>
      <c r="C400" s="114"/>
      <c r="D400" s="114"/>
      <c r="E400" s="114"/>
      <c r="F400" s="114"/>
      <c r="G400" s="140"/>
      <c r="H400" s="54"/>
      <c r="I400" s="54"/>
      <c r="J400" s="54"/>
      <c r="K400" s="54"/>
      <c r="L400" s="54"/>
      <c r="M400" s="54"/>
      <c r="N400" s="54"/>
      <c r="O400" s="54"/>
      <c r="P400" s="54"/>
      <c r="Q400" s="54"/>
    </row>
    <row r="401">
      <c r="A401" s="54"/>
      <c r="B401" s="114"/>
      <c r="C401" s="114"/>
      <c r="D401" s="114"/>
      <c r="E401" s="114"/>
      <c r="F401" s="114"/>
      <c r="G401" s="140"/>
      <c r="H401" s="54"/>
      <c r="I401" s="54"/>
      <c r="J401" s="54"/>
      <c r="K401" s="54"/>
      <c r="L401" s="54"/>
      <c r="M401" s="54"/>
      <c r="N401" s="54"/>
      <c r="O401" s="54"/>
      <c r="P401" s="54"/>
      <c r="Q401" s="54"/>
    </row>
    <row r="402">
      <c r="A402" s="54"/>
      <c r="B402" s="114"/>
      <c r="C402" s="114"/>
      <c r="D402" s="114"/>
      <c r="E402" s="114"/>
      <c r="F402" s="114"/>
      <c r="G402" s="140"/>
      <c r="H402" s="54"/>
      <c r="I402" s="54"/>
      <c r="J402" s="54"/>
      <c r="K402" s="54"/>
      <c r="L402" s="54"/>
      <c r="M402" s="54"/>
      <c r="N402" s="54"/>
      <c r="O402" s="54"/>
      <c r="P402" s="54"/>
      <c r="Q402" s="54"/>
    </row>
    <row r="403">
      <c r="A403" s="54"/>
      <c r="B403" s="114"/>
      <c r="C403" s="114"/>
      <c r="D403" s="114"/>
      <c r="E403" s="114"/>
      <c r="F403" s="114"/>
      <c r="G403" s="140"/>
      <c r="H403" s="54"/>
      <c r="I403" s="54"/>
      <c r="J403" s="54"/>
      <c r="K403" s="54"/>
      <c r="L403" s="54"/>
      <c r="M403" s="54"/>
      <c r="N403" s="54"/>
      <c r="O403" s="54"/>
      <c r="P403" s="54"/>
      <c r="Q403" s="54"/>
    </row>
    <row r="404">
      <c r="A404" s="54"/>
      <c r="B404" s="114"/>
      <c r="C404" s="114"/>
      <c r="D404" s="114"/>
      <c r="E404" s="114"/>
      <c r="F404" s="114"/>
      <c r="G404" s="140"/>
      <c r="H404" s="54"/>
      <c r="I404" s="54"/>
      <c r="J404" s="54"/>
      <c r="K404" s="54"/>
      <c r="L404" s="54"/>
      <c r="M404" s="54"/>
      <c r="N404" s="54"/>
      <c r="O404" s="54"/>
      <c r="P404" s="54"/>
      <c r="Q404" s="54"/>
    </row>
    <row r="405">
      <c r="A405" s="54"/>
      <c r="B405" s="114"/>
      <c r="C405" s="114"/>
      <c r="D405" s="114"/>
      <c r="E405" s="114"/>
      <c r="F405" s="114"/>
      <c r="G405" s="140"/>
      <c r="H405" s="54"/>
      <c r="I405" s="54"/>
      <c r="J405" s="54"/>
      <c r="K405" s="54"/>
      <c r="L405" s="54"/>
      <c r="M405" s="54"/>
      <c r="N405" s="54"/>
      <c r="O405" s="54"/>
      <c r="P405" s="54"/>
      <c r="Q405" s="54"/>
    </row>
    <row r="406">
      <c r="A406" s="54"/>
      <c r="B406" s="114"/>
      <c r="C406" s="114"/>
      <c r="D406" s="114"/>
      <c r="E406" s="114"/>
      <c r="F406" s="114"/>
      <c r="G406" s="140"/>
      <c r="H406" s="54"/>
      <c r="I406" s="54"/>
      <c r="J406" s="54"/>
      <c r="K406" s="54"/>
      <c r="L406" s="54"/>
      <c r="M406" s="54"/>
      <c r="N406" s="54"/>
      <c r="O406" s="54"/>
      <c r="P406" s="54"/>
      <c r="Q406" s="54"/>
    </row>
    <row r="407">
      <c r="A407" s="54"/>
      <c r="B407" s="114"/>
      <c r="C407" s="114"/>
      <c r="D407" s="114"/>
      <c r="E407" s="114"/>
      <c r="F407" s="114"/>
      <c r="G407" s="140"/>
      <c r="H407" s="54"/>
      <c r="I407" s="54"/>
      <c r="J407" s="54"/>
      <c r="K407" s="54"/>
      <c r="L407" s="54"/>
      <c r="M407" s="54"/>
      <c r="N407" s="54"/>
      <c r="O407" s="54"/>
      <c r="P407" s="54"/>
      <c r="Q407" s="54"/>
    </row>
    <row r="408">
      <c r="A408" s="54"/>
      <c r="B408" s="114"/>
      <c r="C408" s="114"/>
      <c r="D408" s="114"/>
      <c r="E408" s="114"/>
      <c r="F408" s="114"/>
      <c r="G408" s="140"/>
      <c r="H408" s="54"/>
      <c r="I408" s="54"/>
      <c r="J408" s="54"/>
      <c r="K408" s="54"/>
      <c r="L408" s="54"/>
      <c r="M408" s="54"/>
      <c r="N408" s="54"/>
      <c r="O408" s="54"/>
      <c r="P408" s="54"/>
      <c r="Q408" s="54"/>
    </row>
    <row r="409">
      <c r="A409" s="54"/>
      <c r="B409" s="114"/>
      <c r="C409" s="114"/>
      <c r="D409" s="114"/>
      <c r="E409" s="114"/>
      <c r="F409" s="114"/>
      <c r="G409" s="140"/>
      <c r="H409" s="54"/>
      <c r="I409" s="54"/>
      <c r="J409" s="54"/>
      <c r="K409" s="54"/>
      <c r="L409" s="54"/>
      <c r="M409" s="54"/>
      <c r="N409" s="54"/>
      <c r="O409" s="54"/>
      <c r="P409" s="54"/>
      <c r="Q409" s="54"/>
    </row>
    <row r="410">
      <c r="A410" s="54"/>
      <c r="B410" s="114"/>
      <c r="C410" s="114"/>
      <c r="D410" s="114"/>
      <c r="E410" s="114"/>
      <c r="F410" s="114"/>
      <c r="G410" s="140"/>
      <c r="H410" s="54"/>
      <c r="I410" s="54"/>
      <c r="J410" s="54"/>
      <c r="K410" s="54"/>
      <c r="L410" s="54"/>
      <c r="M410" s="54"/>
      <c r="N410" s="54"/>
      <c r="O410" s="54"/>
      <c r="P410" s="54"/>
      <c r="Q410" s="54"/>
    </row>
    <row r="411">
      <c r="A411" s="54"/>
      <c r="B411" s="114"/>
      <c r="C411" s="114"/>
      <c r="D411" s="114"/>
      <c r="E411" s="114"/>
      <c r="F411" s="114"/>
      <c r="G411" s="140"/>
      <c r="H411" s="54"/>
      <c r="I411" s="54"/>
      <c r="J411" s="54"/>
      <c r="K411" s="54"/>
      <c r="L411" s="54"/>
      <c r="M411" s="54"/>
      <c r="N411" s="54"/>
      <c r="O411" s="54"/>
      <c r="P411" s="54"/>
      <c r="Q411" s="54"/>
    </row>
    <row r="412">
      <c r="A412" s="54"/>
      <c r="B412" s="114"/>
      <c r="C412" s="114"/>
      <c r="D412" s="114"/>
      <c r="E412" s="114"/>
      <c r="F412" s="114"/>
      <c r="G412" s="140"/>
      <c r="H412" s="54"/>
      <c r="I412" s="54"/>
      <c r="J412" s="54"/>
      <c r="K412" s="54"/>
      <c r="L412" s="54"/>
      <c r="M412" s="54"/>
      <c r="N412" s="54"/>
      <c r="O412" s="54"/>
      <c r="P412" s="54"/>
      <c r="Q412" s="54"/>
    </row>
    <row r="413">
      <c r="A413" s="54"/>
      <c r="B413" s="114"/>
      <c r="C413" s="114"/>
      <c r="D413" s="114"/>
      <c r="E413" s="114"/>
      <c r="F413" s="114"/>
      <c r="G413" s="140"/>
      <c r="H413" s="54"/>
      <c r="I413" s="54"/>
      <c r="J413" s="54"/>
      <c r="K413" s="54"/>
      <c r="L413" s="54"/>
      <c r="M413" s="54"/>
      <c r="N413" s="54"/>
      <c r="O413" s="54"/>
      <c r="P413" s="54"/>
      <c r="Q413" s="54"/>
    </row>
    <row r="414">
      <c r="A414" s="54"/>
      <c r="B414" s="114"/>
      <c r="C414" s="114"/>
      <c r="D414" s="114"/>
      <c r="E414" s="114"/>
      <c r="F414" s="114"/>
      <c r="G414" s="140"/>
      <c r="H414" s="54"/>
      <c r="I414" s="54"/>
      <c r="J414" s="54"/>
      <c r="K414" s="54"/>
      <c r="L414" s="54"/>
      <c r="M414" s="54"/>
      <c r="N414" s="54"/>
      <c r="O414" s="54"/>
      <c r="P414" s="54"/>
      <c r="Q414" s="54"/>
    </row>
    <row r="415">
      <c r="A415" s="54"/>
      <c r="B415" s="114"/>
      <c r="C415" s="114"/>
      <c r="D415" s="114"/>
      <c r="E415" s="114"/>
      <c r="F415" s="114"/>
      <c r="G415" s="140"/>
      <c r="H415" s="54"/>
      <c r="I415" s="54"/>
      <c r="J415" s="54"/>
      <c r="K415" s="54"/>
      <c r="L415" s="54"/>
      <c r="M415" s="54"/>
      <c r="N415" s="54"/>
      <c r="O415" s="54"/>
      <c r="P415" s="54"/>
      <c r="Q415" s="54"/>
    </row>
    <row r="416">
      <c r="A416" s="54"/>
      <c r="B416" s="114"/>
      <c r="C416" s="114"/>
      <c r="D416" s="114"/>
      <c r="E416" s="114"/>
      <c r="F416" s="114"/>
      <c r="G416" s="140"/>
      <c r="H416" s="54"/>
      <c r="I416" s="54"/>
      <c r="J416" s="54"/>
      <c r="K416" s="54"/>
      <c r="L416" s="54"/>
      <c r="M416" s="54"/>
      <c r="N416" s="54"/>
      <c r="O416" s="54"/>
      <c r="P416" s="54"/>
      <c r="Q416" s="54"/>
    </row>
    <row r="417">
      <c r="A417" s="54"/>
      <c r="B417" s="114"/>
      <c r="C417" s="114"/>
      <c r="D417" s="114"/>
      <c r="E417" s="114"/>
      <c r="F417" s="114"/>
      <c r="G417" s="140"/>
      <c r="H417" s="54"/>
      <c r="I417" s="54"/>
      <c r="J417" s="54"/>
      <c r="K417" s="54"/>
      <c r="L417" s="54"/>
      <c r="M417" s="54"/>
      <c r="N417" s="54"/>
      <c r="O417" s="54"/>
      <c r="P417" s="54"/>
      <c r="Q417" s="54"/>
    </row>
    <row r="418">
      <c r="A418" s="54"/>
      <c r="B418" s="114"/>
      <c r="C418" s="114"/>
      <c r="D418" s="114"/>
      <c r="E418" s="114"/>
      <c r="F418" s="114"/>
      <c r="G418" s="140"/>
      <c r="H418" s="54"/>
      <c r="I418" s="54"/>
      <c r="J418" s="54"/>
      <c r="K418" s="54"/>
      <c r="L418" s="54"/>
      <c r="M418" s="54"/>
      <c r="N418" s="54"/>
      <c r="O418" s="54"/>
      <c r="P418" s="54"/>
      <c r="Q418" s="54"/>
    </row>
    <row r="419">
      <c r="A419" s="54"/>
      <c r="B419" s="114"/>
      <c r="C419" s="114"/>
      <c r="D419" s="114"/>
      <c r="E419" s="114"/>
      <c r="F419" s="114"/>
      <c r="G419" s="140"/>
      <c r="H419" s="54"/>
      <c r="I419" s="54"/>
      <c r="J419" s="54"/>
      <c r="K419" s="54"/>
      <c r="L419" s="54"/>
      <c r="M419" s="54"/>
      <c r="N419" s="54"/>
      <c r="O419" s="54"/>
      <c r="P419" s="54"/>
      <c r="Q419" s="54"/>
    </row>
    <row r="420">
      <c r="A420" s="54"/>
      <c r="B420" s="114"/>
      <c r="C420" s="114"/>
      <c r="D420" s="114"/>
      <c r="E420" s="114"/>
      <c r="F420" s="114"/>
      <c r="G420" s="140"/>
      <c r="H420" s="54"/>
      <c r="I420" s="54"/>
      <c r="J420" s="54"/>
      <c r="K420" s="54"/>
      <c r="L420" s="54"/>
      <c r="M420" s="54"/>
      <c r="N420" s="54"/>
      <c r="O420" s="54"/>
      <c r="P420" s="54"/>
      <c r="Q420" s="54"/>
    </row>
    <row r="421">
      <c r="A421" s="54"/>
      <c r="B421" s="114"/>
      <c r="C421" s="114"/>
      <c r="D421" s="114"/>
      <c r="E421" s="114"/>
      <c r="F421" s="114"/>
      <c r="G421" s="140"/>
      <c r="H421" s="54"/>
      <c r="I421" s="54"/>
      <c r="J421" s="54"/>
      <c r="K421" s="54"/>
      <c r="L421" s="54"/>
      <c r="M421" s="54"/>
      <c r="N421" s="54"/>
      <c r="O421" s="54"/>
      <c r="P421" s="54"/>
      <c r="Q421" s="54"/>
    </row>
    <row r="422">
      <c r="A422" s="54"/>
      <c r="B422" s="114"/>
      <c r="C422" s="114"/>
      <c r="D422" s="114"/>
      <c r="E422" s="114"/>
      <c r="F422" s="114"/>
      <c r="G422" s="140"/>
      <c r="H422" s="54"/>
      <c r="I422" s="54"/>
      <c r="J422" s="54"/>
      <c r="K422" s="54"/>
      <c r="L422" s="54"/>
      <c r="M422" s="54"/>
      <c r="N422" s="54"/>
      <c r="O422" s="54"/>
      <c r="P422" s="54"/>
      <c r="Q422" s="54"/>
    </row>
    <row r="423">
      <c r="A423" s="54"/>
      <c r="B423" s="114"/>
      <c r="C423" s="114"/>
      <c r="D423" s="114"/>
      <c r="E423" s="114"/>
      <c r="F423" s="114"/>
      <c r="G423" s="140"/>
      <c r="H423" s="54"/>
      <c r="I423" s="54"/>
      <c r="J423" s="54"/>
      <c r="K423" s="54"/>
      <c r="L423" s="54"/>
      <c r="M423" s="54"/>
      <c r="N423" s="54"/>
      <c r="O423" s="54"/>
      <c r="P423" s="54"/>
      <c r="Q423" s="54"/>
    </row>
    <row r="424">
      <c r="A424" s="54"/>
      <c r="B424" s="114"/>
      <c r="C424" s="114"/>
      <c r="D424" s="114"/>
      <c r="E424" s="114"/>
      <c r="F424" s="114"/>
      <c r="G424" s="140"/>
      <c r="H424" s="54"/>
      <c r="I424" s="54"/>
      <c r="J424" s="54"/>
      <c r="K424" s="54"/>
      <c r="L424" s="54"/>
      <c r="M424" s="54"/>
      <c r="N424" s="54"/>
      <c r="O424" s="54"/>
      <c r="P424" s="54"/>
      <c r="Q424" s="54"/>
    </row>
    <row r="425">
      <c r="A425" s="54"/>
      <c r="B425" s="54"/>
      <c r="C425" s="54"/>
      <c r="D425" s="54"/>
      <c r="E425" s="54"/>
      <c r="F425" s="54"/>
      <c r="G425" s="140"/>
      <c r="H425" s="54"/>
      <c r="I425" s="54"/>
      <c r="J425" s="54"/>
      <c r="K425" s="54"/>
      <c r="L425" s="54"/>
      <c r="M425" s="54"/>
      <c r="N425" s="54"/>
      <c r="O425" s="54"/>
      <c r="P425" s="54"/>
      <c r="Q425" s="54"/>
    </row>
    <row r="426">
      <c r="A426" s="54"/>
      <c r="B426" s="54"/>
      <c r="C426" s="54"/>
      <c r="D426" s="54"/>
      <c r="E426" s="54"/>
      <c r="F426" s="54"/>
      <c r="G426" s="140"/>
      <c r="H426" s="54"/>
      <c r="I426" s="54"/>
      <c r="J426" s="54"/>
      <c r="K426" s="54"/>
      <c r="L426" s="54"/>
      <c r="M426" s="54"/>
      <c r="N426" s="54"/>
      <c r="O426" s="54"/>
      <c r="P426" s="54"/>
      <c r="Q426" s="54"/>
    </row>
    <row r="427">
      <c r="A427" s="54"/>
      <c r="B427" s="54"/>
      <c r="C427" s="54"/>
      <c r="D427" s="54"/>
      <c r="E427" s="54"/>
      <c r="F427" s="54"/>
      <c r="G427" s="140"/>
      <c r="H427" s="54"/>
      <c r="I427" s="54"/>
      <c r="J427" s="54"/>
      <c r="K427" s="54"/>
      <c r="L427" s="54"/>
      <c r="M427" s="54"/>
      <c r="N427" s="54"/>
      <c r="O427" s="54"/>
      <c r="P427" s="54"/>
      <c r="Q427" s="54"/>
    </row>
    <row r="428">
      <c r="A428" s="54"/>
      <c r="B428" s="54"/>
      <c r="C428" s="54"/>
      <c r="D428" s="54"/>
      <c r="E428" s="54"/>
      <c r="F428" s="54"/>
      <c r="G428" s="140"/>
      <c r="H428" s="54"/>
      <c r="I428" s="54"/>
      <c r="J428" s="54"/>
      <c r="K428" s="54"/>
      <c r="L428" s="54"/>
      <c r="M428" s="54"/>
      <c r="N428" s="54"/>
      <c r="O428" s="54"/>
      <c r="P428" s="54"/>
      <c r="Q428" s="54"/>
    </row>
    <row r="429">
      <c r="A429" s="54"/>
      <c r="B429" s="54"/>
      <c r="C429" s="54"/>
      <c r="D429" s="54"/>
      <c r="E429" s="54"/>
      <c r="F429" s="54"/>
      <c r="G429" s="140"/>
      <c r="H429" s="54"/>
      <c r="I429" s="54"/>
      <c r="J429" s="54"/>
      <c r="K429" s="54"/>
      <c r="L429" s="54"/>
      <c r="M429" s="54"/>
      <c r="N429" s="54"/>
      <c r="O429" s="54"/>
      <c r="P429" s="54"/>
      <c r="Q429" s="54"/>
    </row>
    <row r="430">
      <c r="A430" s="54"/>
      <c r="B430" s="54"/>
      <c r="C430" s="54"/>
      <c r="D430" s="54"/>
      <c r="E430" s="54"/>
      <c r="F430" s="54"/>
      <c r="G430" s="140"/>
      <c r="H430" s="54"/>
      <c r="I430" s="54"/>
      <c r="J430" s="54"/>
      <c r="K430" s="54"/>
      <c r="L430" s="54"/>
      <c r="M430" s="54"/>
      <c r="N430" s="54"/>
      <c r="O430" s="54"/>
      <c r="P430" s="54"/>
      <c r="Q430" s="54"/>
    </row>
    <row r="431">
      <c r="A431" s="54"/>
      <c r="B431" s="54"/>
      <c r="C431" s="54"/>
      <c r="D431" s="54"/>
      <c r="E431" s="54"/>
      <c r="F431" s="54"/>
      <c r="G431" s="140"/>
      <c r="H431" s="54"/>
      <c r="I431" s="54"/>
      <c r="J431" s="54"/>
      <c r="K431" s="54"/>
      <c r="L431" s="54"/>
      <c r="M431" s="54"/>
      <c r="N431" s="54"/>
      <c r="O431" s="54"/>
      <c r="P431" s="54"/>
      <c r="Q431" s="54"/>
    </row>
    <row r="432">
      <c r="A432" s="54"/>
      <c r="B432" s="54"/>
      <c r="C432" s="54"/>
      <c r="D432" s="54"/>
      <c r="E432" s="54"/>
      <c r="F432" s="54"/>
      <c r="G432" s="140"/>
      <c r="H432" s="54"/>
      <c r="I432" s="54"/>
      <c r="J432" s="54"/>
      <c r="K432" s="54"/>
      <c r="L432" s="54"/>
      <c r="M432" s="54"/>
      <c r="N432" s="54"/>
      <c r="O432" s="54"/>
      <c r="P432" s="54"/>
      <c r="Q432" s="54"/>
    </row>
    <row r="433">
      <c r="A433" s="54"/>
      <c r="B433" s="54"/>
      <c r="C433" s="54"/>
      <c r="D433" s="54"/>
      <c r="E433" s="54"/>
      <c r="F433" s="54"/>
      <c r="G433" s="140"/>
      <c r="H433" s="54"/>
      <c r="I433" s="54"/>
      <c r="J433" s="54"/>
      <c r="K433" s="54"/>
      <c r="L433" s="54"/>
      <c r="M433" s="54"/>
      <c r="N433" s="54"/>
      <c r="O433" s="54"/>
      <c r="P433" s="54"/>
      <c r="Q433" s="54"/>
    </row>
    <row r="434">
      <c r="A434" s="54"/>
      <c r="B434" s="54"/>
      <c r="C434" s="54"/>
      <c r="D434" s="54"/>
      <c r="E434" s="54"/>
      <c r="F434" s="54"/>
      <c r="G434" s="140"/>
      <c r="H434" s="54"/>
      <c r="I434" s="54"/>
      <c r="J434" s="54"/>
      <c r="K434" s="54"/>
      <c r="L434" s="54"/>
      <c r="M434" s="54"/>
      <c r="N434" s="54"/>
      <c r="O434" s="54"/>
      <c r="P434" s="54"/>
      <c r="Q434" s="54"/>
    </row>
    <row r="435">
      <c r="A435" s="54"/>
      <c r="B435" s="54"/>
      <c r="C435" s="54"/>
      <c r="D435" s="54"/>
      <c r="E435" s="54"/>
      <c r="F435" s="54"/>
      <c r="G435" s="140"/>
      <c r="H435" s="54"/>
      <c r="I435" s="54"/>
      <c r="J435" s="54"/>
      <c r="K435" s="54"/>
      <c r="L435" s="54"/>
      <c r="M435" s="54"/>
      <c r="N435" s="54"/>
      <c r="O435" s="54"/>
      <c r="P435" s="54"/>
      <c r="Q435" s="54"/>
    </row>
    <row r="436">
      <c r="A436" s="54"/>
      <c r="B436" s="54"/>
      <c r="C436" s="54"/>
      <c r="D436" s="54"/>
      <c r="E436" s="54"/>
      <c r="F436" s="54"/>
      <c r="G436" s="140"/>
      <c r="H436" s="54"/>
      <c r="I436" s="54"/>
      <c r="J436" s="54"/>
      <c r="K436" s="54"/>
      <c r="L436" s="54"/>
      <c r="M436" s="54"/>
      <c r="N436" s="54"/>
      <c r="O436" s="54"/>
      <c r="P436" s="54"/>
      <c r="Q436" s="54"/>
    </row>
    <row r="437">
      <c r="A437" s="54"/>
      <c r="B437" s="54"/>
      <c r="C437" s="54"/>
      <c r="D437" s="54"/>
      <c r="E437" s="54"/>
      <c r="F437" s="54"/>
      <c r="G437" s="140"/>
      <c r="H437" s="54"/>
      <c r="I437" s="54"/>
      <c r="J437" s="54"/>
      <c r="K437" s="54"/>
      <c r="L437" s="54"/>
      <c r="M437" s="54"/>
      <c r="N437" s="54"/>
      <c r="O437" s="54"/>
      <c r="P437" s="54"/>
      <c r="Q437" s="54"/>
    </row>
    <row r="438">
      <c r="A438" s="54"/>
      <c r="B438" s="54"/>
      <c r="C438" s="54"/>
      <c r="D438" s="54"/>
      <c r="E438" s="54"/>
      <c r="F438" s="54"/>
      <c r="G438" s="140"/>
      <c r="H438" s="54"/>
      <c r="I438" s="54"/>
      <c r="J438" s="54"/>
      <c r="K438" s="54"/>
      <c r="L438" s="54"/>
      <c r="M438" s="54"/>
      <c r="N438" s="54"/>
      <c r="O438" s="54"/>
      <c r="P438" s="54"/>
      <c r="Q438" s="54"/>
    </row>
    <row r="439">
      <c r="A439" s="54"/>
      <c r="B439" s="54"/>
      <c r="C439" s="54"/>
      <c r="D439" s="54"/>
      <c r="E439" s="54"/>
      <c r="F439" s="54"/>
      <c r="G439" s="140"/>
      <c r="H439" s="54"/>
      <c r="I439" s="54"/>
      <c r="J439" s="54"/>
      <c r="K439" s="54"/>
      <c r="L439" s="54"/>
      <c r="M439" s="54"/>
      <c r="N439" s="54"/>
      <c r="O439" s="54"/>
      <c r="P439" s="54"/>
      <c r="Q439" s="54"/>
    </row>
    <row r="440">
      <c r="A440" s="54"/>
      <c r="B440" s="54"/>
      <c r="C440" s="54"/>
      <c r="D440" s="54"/>
      <c r="E440" s="54"/>
      <c r="F440" s="54"/>
      <c r="G440" s="140"/>
      <c r="H440" s="54"/>
      <c r="I440" s="54"/>
      <c r="J440" s="54"/>
      <c r="K440" s="54"/>
      <c r="L440" s="54"/>
      <c r="M440" s="54"/>
      <c r="N440" s="54"/>
      <c r="O440" s="54"/>
      <c r="P440" s="54"/>
      <c r="Q440" s="54"/>
    </row>
    <row r="441">
      <c r="A441" s="54"/>
      <c r="B441" s="54"/>
      <c r="C441" s="54"/>
      <c r="D441" s="54"/>
      <c r="E441" s="54"/>
      <c r="F441" s="54"/>
      <c r="G441" s="140"/>
      <c r="H441" s="54"/>
      <c r="I441" s="54"/>
      <c r="J441" s="54"/>
      <c r="K441" s="54"/>
      <c r="L441" s="54"/>
      <c r="M441" s="54"/>
      <c r="N441" s="54"/>
      <c r="O441" s="54"/>
      <c r="P441" s="54"/>
      <c r="Q441" s="54"/>
    </row>
    <row r="442">
      <c r="A442" s="54"/>
      <c r="B442" s="54"/>
      <c r="C442" s="54"/>
      <c r="D442" s="54"/>
      <c r="E442" s="54"/>
      <c r="F442" s="54"/>
      <c r="G442" s="140"/>
      <c r="H442" s="54"/>
      <c r="I442" s="54"/>
      <c r="J442" s="54"/>
      <c r="K442" s="54"/>
      <c r="L442" s="54"/>
      <c r="M442" s="54"/>
      <c r="N442" s="54"/>
      <c r="O442" s="54"/>
      <c r="P442" s="54"/>
      <c r="Q442" s="54"/>
    </row>
    <row r="443">
      <c r="A443" s="54"/>
      <c r="B443" s="54"/>
      <c r="C443" s="54"/>
      <c r="D443" s="54"/>
      <c r="E443" s="54"/>
      <c r="F443" s="54"/>
      <c r="G443" s="140"/>
      <c r="H443" s="54"/>
      <c r="I443" s="54"/>
      <c r="J443" s="54"/>
      <c r="K443" s="54"/>
      <c r="L443" s="54"/>
      <c r="M443" s="54"/>
      <c r="N443" s="54"/>
      <c r="O443" s="54"/>
      <c r="P443" s="54"/>
      <c r="Q443" s="54"/>
    </row>
    <row r="444">
      <c r="A444" s="54"/>
      <c r="B444" s="54"/>
      <c r="C444" s="54"/>
      <c r="D444" s="54"/>
      <c r="E444" s="54"/>
      <c r="F444" s="54"/>
      <c r="G444" s="140"/>
      <c r="H444" s="54"/>
      <c r="I444" s="54"/>
      <c r="J444" s="54"/>
      <c r="K444" s="54"/>
      <c r="L444" s="54"/>
      <c r="M444" s="54"/>
      <c r="N444" s="54"/>
      <c r="O444" s="54"/>
      <c r="P444" s="54"/>
      <c r="Q444" s="54"/>
    </row>
    <row r="445">
      <c r="A445" s="54"/>
      <c r="B445" s="54"/>
      <c r="C445" s="54"/>
      <c r="D445" s="54"/>
      <c r="E445" s="54"/>
      <c r="F445" s="54"/>
      <c r="G445" s="140"/>
      <c r="H445" s="54"/>
      <c r="I445" s="54"/>
      <c r="J445" s="54"/>
      <c r="K445" s="54"/>
      <c r="L445" s="54"/>
      <c r="M445" s="54"/>
      <c r="N445" s="54"/>
      <c r="O445" s="54"/>
      <c r="P445" s="54"/>
      <c r="Q445" s="54"/>
    </row>
    <row r="446">
      <c r="A446" s="54"/>
      <c r="B446" s="54"/>
      <c r="C446" s="54"/>
      <c r="D446" s="54"/>
      <c r="E446" s="54"/>
      <c r="F446" s="54"/>
      <c r="G446" s="140"/>
      <c r="H446" s="54"/>
      <c r="I446" s="54"/>
      <c r="J446" s="54"/>
      <c r="K446" s="54"/>
      <c r="L446" s="54"/>
      <c r="M446" s="54"/>
      <c r="N446" s="54"/>
      <c r="O446" s="54"/>
      <c r="P446" s="54"/>
      <c r="Q446" s="54"/>
    </row>
    <row r="447">
      <c r="A447" s="54"/>
      <c r="B447" s="54"/>
      <c r="C447" s="54"/>
      <c r="D447" s="54"/>
      <c r="E447" s="54"/>
      <c r="F447" s="54"/>
      <c r="G447" s="140"/>
      <c r="H447" s="54"/>
      <c r="I447" s="54"/>
      <c r="J447" s="54"/>
      <c r="K447" s="54"/>
      <c r="L447" s="54"/>
      <c r="M447" s="54"/>
      <c r="N447" s="54"/>
      <c r="O447" s="54"/>
      <c r="P447" s="54"/>
      <c r="Q447" s="54"/>
    </row>
    <row r="448">
      <c r="A448" s="54"/>
      <c r="B448" s="54"/>
      <c r="C448" s="54"/>
      <c r="D448" s="54"/>
      <c r="E448" s="54"/>
      <c r="F448" s="54"/>
      <c r="G448" s="140"/>
      <c r="H448" s="54"/>
      <c r="I448" s="54"/>
      <c r="J448" s="54"/>
      <c r="K448" s="54"/>
      <c r="L448" s="54"/>
      <c r="M448" s="54"/>
      <c r="N448" s="54"/>
      <c r="O448" s="54"/>
      <c r="P448" s="54"/>
      <c r="Q448" s="54"/>
    </row>
    <row r="449">
      <c r="A449" s="54"/>
      <c r="B449" s="54"/>
      <c r="C449" s="54"/>
      <c r="D449" s="54"/>
      <c r="E449" s="54"/>
      <c r="F449" s="54"/>
      <c r="G449" s="140"/>
      <c r="H449" s="54"/>
      <c r="I449" s="54"/>
      <c r="J449" s="54"/>
      <c r="K449" s="54"/>
      <c r="L449" s="54"/>
      <c r="M449" s="54"/>
      <c r="N449" s="54"/>
      <c r="O449" s="54"/>
      <c r="P449" s="54"/>
      <c r="Q449" s="54"/>
    </row>
    <row r="450">
      <c r="A450" s="54"/>
      <c r="B450" s="54"/>
      <c r="C450" s="54"/>
      <c r="D450" s="54"/>
      <c r="E450" s="54"/>
      <c r="F450" s="54"/>
      <c r="G450" s="140"/>
      <c r="H450" s="54"/>
      <c r="I450" s="54"/>
      <c r="J450" s="54"/>
      <c r="K450" s="54"/>
      <c r="L450" s="54"/>
      <c r="M450" s="54"/>
      <c r="N450" s="54"/>
      <c r="O450" s="54"/>
      <c r="P450" s="54"/>
      <c r="Q450" s="54"/>
    </row>
    <row r="451">
      <c r="A451" s="54"/>
      <c r="B451" s="54"/>
      <c r="C451" s="54"/>
      <c r="D451" s="54"/>
      <c r="E451" s="54"/>
      <c r="F451" s="54"/>
      <c r="G451" s="140"/>
      <c r="H451" s="54"/>
      <c r="I451" s="54"/>
      <c r="J451" s="54"/>
      <c r="K451" s="54"/>
      <c r="L451" s="54"/>
      <c r="M451" s="54"/>
      <c r="N451" s="54"/>
      <c r="O451" s="54"/>
      <c r="P451" s="54"/>
      <c r="Q451" s="54"/>
    </row>
    <row r="452">
      <c r="A452" s="54"/>
      <c r="B452" s="54"/>
      <c r="C452" s="54"/>
      <c r="D452" s="54"/>
      <c r="E452" s="54"/>
      <c r="F452" s="54"/>
      <c r="G452" s="140"/>
      <c r="H452" s="54"/>
      <c r="I452" s="54"/>
      <c r="J452" s="54"/>
      <c r="K452" s="54"/>
      <c r="L452" s="54"/>
      <c r="M452" s="54"/>
      <c r="N452" s="54"/>
      <c r="O452" s="54"/>
      <c r="P452" s="54"/>
      <c r="Q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</row>
  </sheetData>
  <mergeCells count="43">
    <mergeCell ref="B3:I3"/>
    <mergeCell ref="B28:I28"/>
    <mergeCell ref="M30:O30"/>
    <mergeCell ref="B42:I42"/>
    <mergeCell ref="M45:O45"/>
    <mergeCell ref="B57:I57"/>
    <mergeCell ref="M58:O58"/>
    <mergeCell ref="B65:I65"/>
    <mergeCell ref="M65:O65"/>
    <mergeCell ref="B68:I68"/>
    <mergeCell ref="B69:I69"/>
    <mergeCell ref="B70:I70"/>
    <mergeCell ref="M71:O71"/>
    <mergeCell ref="M76:O76"/>
    <mergeCell ref="B75:I75"/>
    <mergeCell ref="B85:I85"/>
    <mergeCell ref="B87:I87"/>
    <mergeCell ref="M88:Q88"/>
    <mergeCell ref="B91:I91"/>
    <mergeCell ref="M92:Q92"/>
    <mergeCell ref="M110:Q110"/>
    <mergeCell ref="B109:I109"/>
    <mergeCell ref="B118:I118"/>
    <mergeCell ref="B119:I119"/>
    <mergeCell ref="M120:Q120"/>
    <mergeCell ref="B137:I137"/>
    <mergeCell ref="M138:Q138"/>
    <mergeCell ref="M154:Q154"/>
    <mergeCell ref="B200:I200"/>
    <mergeCell ref="M201:Q201"/>
    <mergeCell ref="B207:I207"/>
    <mergeCell ref="M208:Q208"/>
    <mergeCell ref="B223:I223"/>
    <mergeCell ref="M224:Q224"/>
    <mergeCell ref="B239:I239"/>
    <mergeCell ref="M240:Q240"/>
    <mergeCell ref="B153:I153"/>
    <mergeCell ref="B167:I167"/>
    <mergeCell ref="M168:Q168"/>
    <mergeCell ref="B175:I175"/>
    <mergeCell ref="M176:Q176"/>
    <mergeCell ref="B186:I186"/>
    <mergeCell ref="M187:Q187"/>
  </mergeCells>
  <conditionalFormatting sqref="J90:J109 J118:J119 J137 J153 J167 J175 J186 J200 J207 J223 J239">
    <cfRule type="expression" dxfId="0" priority="1">
      <formula>ABS(J90:J1084)&gt;5</formula>
    </cfRule>
  </conditionalFormatting>
  <conditionalFormatting sqref="J71:J74">
    <cfRule type="expression" dxfId="0" priority="2">
      <formula>ABS(J71:J1065)&gt;5</formula>
    </cfRule>
  </conditionalFormatting>
  <conditionalFormatting sqref="J2">
    <cfRule type="expression" dxfId="0" priority="3">
      <formula>ABS(J2:J998)&gt;5</formula>
    </cfRule>
  </conditionalFormatting>
  <conditionalFormatting sqref="J2">
    <cfRule type="expression" dxfId="0" priority="4">
      <formula>ABS(J:J)&gt;10.3</formula>
    </cfRule>
  </conditionalFormatting>
  <conditionalFormatting sqref="K1:K997">
    <cfRule type="cellIs" dxfId="3" priority="5" operator="greaterThanOrEqual">
      <formula>30</formula>
    </cfRule>
  </conditionalFormatting>
  <conditionalFormatting sqref="K1:K997">
    <cfRule type="cellIs" dxfId="4" priority="6" operator="greaterThanOrEqual">
      <formula>28</formula>
    </cfRule>
  </conditionalFormatting>
  <conditionalFormatting sqref="J1:J997">
    <cfRule type="expression" dxfId="0" priority="7">
      <formula>ABS(J:J)&gt;5</formula>
    </cfRule>
  </conditionalFormatting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8.25"/>
    <col customWidth="1" min="16" max="16" width="13.75"/>
  </cols>
  <sheetData>
    <row r="1">
      <c r="A1" s="58" t="s">
        <v>54</v>
      </c>
      <c r="B1" s="59" t="s">
        <v>55</v>
      </c>
      <c r="C1" s="6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128</v>
      </c>
      <c r="M1" s="195">
        <v>28.0</v>
      </c>
      <c r="N1" s="9" t="s">
        <v>129</v>
      </c>
      <c r="O1" s="9">
        <v>70.0</v>
      </c>
      <c r="P1" s="54"/>
      <c r="Q1" s="54"/>
      <c r="R1" s="54"/>
      <c r="S1" s="54"/>
      <c r="T1" s="54"/>
      <c r="U1" s="54"/>
      <c r="V1" s="54"/>
    </row>
    <row r="2">
      <c r="A2" s="139" t="s">
        <v>447</v>
      </c>
      <c r="B2" s="54"/>
      <c r="C2" s="54"/>
      <c r="D2" s="54" t="str">
        <f>D4</f>
        <v>Шаравин</v>
      </c>
      <c r="E2" s="54"/>
      <c r="F2" s="54">
        <f>SUM(F5:F999)</f>
        <v>366097</v>
      </c>
      <c r="G2" s="54">
        <f>MAX(G4:G999)</f>
        <v>1207</v>
      </c>
      <c r="H2" s="54">
        <f>SUM(H4:H999)</f>
        <v>97246</v>
      </c>
      <c r="I2" s="54">
        <f>SUM(I5:I999)</f>
        <v>96938.06</v>
      </c>
      <c r="J2" s="54">
        <f>H2-I2</f>
        <v>307.94</v>
      </c>
      <c r="K2" s="63">
        <f>I2/F2*100</f>
        <v>26.47879114</v>
      </c>
      <c r="L2" s="64" t="s">
        <v>65</v>
      </c>
      <c r="M2" s="65"/>
      <c r="N2" s="54">
        <f>(F2/100)*(K2-M1)*O1</f>
        <v>-389837</v>
      </c>
      <c r="O2" s="54"/>
      <c r="P2" s="54"/>
      <c r="Q2" s="54"/>
      <c r="R2" s="54"/>
      <c r="S2" s="54"/>
      <c r="T2" s="54"/>
      <c r="U2" s="54"/>
      <c r="V2" s="54"/>
    </row>
    <row r="3">
      <c r="A3" s="66"/>
      <c r="B3" s="67" t="s">
        <v>66</v>
      </c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8"/>
      <c r="X3" s="68"/>
      <c r="Y3" s="68"/>
      <c r="Z3" s="68"/>
      <c r="AA3" s="68"/>
    </row>
    <row r="4">
      <c r="A4" s="54"/>
      <c r="B4" s="322">
        <v>45317.0</v>
      </c>
      <c r="C4" s="323"/>
      <c r="D4" s="324" t="s">
        <v>290</v>
      </c>
      <c r="E4" s="324">
        <v>7442.0</v>
      </c>
      <c r="F4" s="324">
        <v>0.0</v>
      </c>
      <c r="G4" s="324">
        <v>1137.0</v>
      </c>
      <c r="H4" s="325">
        <v>976.0</v>
      </c>
      <c r="I4" s="325">
        <v>967.99</v>
      </c>
      <c r="J4" s="325">
        <v>8.01</v>
      </c>
      <c r="K4" s="248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</row>
    <row r="5">
      <c r="A5" s="54"/>
      <c r="B5" s="326">
        <v>45320.0</v>
      </c>
      <c r="C5" s="327"/>
      <c r="D5" s="328" t="s">
        <v>290</v>
      </c>
      <c r="E5" s="328">
        <v>9377.0</v>
      </c>
      <c r="F5" s="328">
        <v>1935.0</v>
      </c>
      <c r="G5" s="328">
        <v>1106.0</v>
      </c>
      <c r="H5" s="329">
        <v>551.0</v>
      </c>
      <c r="I5" s="329">
        <v>542.54</v>
      </c>
      <c r="J5" s="329">
        <v>8.46</v>
      </c>
      <c r="K5" s="248">
        <v>28.04</v>
      </c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</row>
    <row r="6">
      <c r="A6" s="54"/>
      <c r="B6" s="326">
        <v>45322.0</v>
      </c>
      <c r="C6" s="327"/>
      <c r="D6" s="328" t="s">
        <v>290</v>
      </c>
      <c r="E6" s="328">
        <v>11082.0</v>
      </c>
      <c r="F6" s="328">
        <v>1705.0</v>
      </c>
      <c r="G6" s="328">
        <v>1108.0</v>
      </c>
      <c r="H6" s="329">
        <v>514.0</v>
      </c>
      <c r="I6" s="329">
        <v>499.35</v>
      </c>
      <c r="J6" s="329">
        <v>14.65</v>
      </c>
      <c r="K6" s="248">
        <v>29.29</v>
      </c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>
      <c r="A7" s="66"/>
      <c r="B7" s="67" t="s">
        <v>68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8"/>
      <c r="X7" s="68"/>
      <c r="Y7" s="68"/>
      <c r="Z7" s="68"/>
      <c r="AA7" s="68"/>
    </row>
    <row r="8">
      <c r="A8" s="54"/>
      <c r="B8" s="322">
        <v>45324.0</v>
      </c>
      <c r="C8" s="323"/>
      <c r="D8" s="332"/>
      <c r="E8" s="324">
        <v>12786.0</v>
      </c>
      <c r="F8" s="324">
        <v>1704.0</v>
      </c>
      <c r="G8" s="324">
        <v>1109.0</v>
      </c>
      <c r="H8" s="325">
        <v>513.0</v>
      </c>
      <c r="I8" s="325">
        <v>504.01</v>
      </c>
      <c r="J8" s="325">
        <v>8.99</v>
      </c>
      <c r="K8" s="248">
        <v>29.58</v>
      </c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</row>
    <row r="9">
      <c r="A9" s="54"/>
      <c r="B9" s="326">
        <v>45327.0</v>
      </c>
      <c r="C9" s="327"/>
      <c r="D9" s="331"/>
      <c r="E9" s="328">
        <v>14545.0</v>
      </c>
      <c r="F9" s="328">
        <v>1759.0</v>
      </c>
      <c r="G9" s="328">
        <v>1101.0</v>
      </c>
      <c r="H9" s="329">
        <v>529.0</v>
      </c>
      <c r="I9" s="329">
        <v>519.1</v>
      </c>
      <c r="J9" s="329">
        <v>9.9</v>
      </c>
      <c r="K9" s="248">
        <v>29.51</v>
      </c>
      <c r="L9" s="54"/>
      <c r="M9" s="74" t="s">
        <v>69</v>
      </c>
      <c r="N9" s="75"/>
      <c r="O9" s="76"/>
      <c r="P9" s="54"/>
      <c r="Q9" s="54"/>
      <c r="R9" s="54"/>
      <c r="S9" s="54"/>
      <c r="T9" s="54"/>
      <c r="U9" s="54"/>
      <c r="V9" s="54"/>
    </row>
    <row r="10">
      <c r="A10" s="54"/>
      <c r="B10" s="326">
        <v>45329.0</v>
      </c>
      <c r="C10" s="327"/>
      <c r="D10" s="331"/>
      <c r="E10" s="328">
        <v>16240.0</v>
      </c>
      <c r="F10" s="328">
        <v>1695.0</v>
      </c>
      <c r="G10" s="328">
        <v>1107.0</v>
      </c>
      <c r="H10" s="329">
        <v>544.0</v>
      </c>
      <c r="I10" s="329">
        <v>531.5</v>
      </c>
      <c r="J10" s="329">
        <v>12.5</v>
      </c>
      <c r="K10" s="248">
        <v>31.36</v>
      </c>
      <c r="L10" s="54"/>
      <c r="M10" s="77" t="s">
        <v>70</v>
      </c>
      <c r="N10" s="77" t="s">
        <v>71</v>
      </c>
      <c r="O10" s="77" t="s">
        <v>27</v>
      </c>
      <c r="P10" s="54"/>
      <c r="Q10" s="54"/>
      <c r="R10" s="54"/>
      <c r="S10" s="54"/>
      <c r="T10" s="54"/>
      <c r="U10" s="54"/>
      <c r="V10" s="54"/>
    </row>
    <row r="11">
      <c r="A11" s="54"/>
      <c r="B11" s="326">
        <v>45331.0</v>
      </c>
      <c r="C11" s="327"/>
      <c r="D11" s="331"/>
      <c r="E11" s="328">
        <v>17963.0</v>
      </c>
      <c r="F11" s="328">
        <v>1723.0</v>
      </c>
      <c r="G11" s="328">
        <v>1089.0</v>
      </c>
      <c r="H11" s="329">
        <v>585.0</v>
      </c>
      <c r="I11" s="329">
        <v>582.46</v>
      </c>
      <c r="J11" s="329">
        <v>2.54</v>
      </c>
      <c r="K11" s="248">
        <v>33.8</v>
      </c>
      <c r="L11" s="54"/>
      <c r="M11" s="79">
        <f>SUM(F8:F16)</f>
        <v>16445</v>
      </c>
      <c r="N11" s="79">
        <f>SUM(I8:I16)</f>
        <v>4991.86</v>
      </c>
      <c r="O11" s="214">
        <f>N11/M11*100</f>
        <v>30.3548799</v>
      </c>
      <c r="P11" s="54"/>
      <c r="Q11" s="54"/>
      <c r="R11" s="54"/>
      <c r="S11" s="54"/>
      <c r="T11" s="54"/>
      <c r="U11" s="54"/>
      <c r="V11" s="54"/>
    </row>
    <row r="12">
      <c r="A12" s="54"/>
      <c r="B12" s="326">
        <v>45334.0</v>
      </c>
      <c r="C12" s="327"/>
      <c r="D12" s="331"/>
      <c r="E12" s="328">
        <v>19941.0</v>
      </c>
      <c r="F12" s="328">
        <v>1978.0</v>
      </c>
      <c r="G12" s="328">
        <v>1098.0</v>
      </c>
      <c r="H12" s="329">
        <v>610.0</v>
      </c>
      <c r="I12" s="329">
        <v>595.83</v>
      </c>
      <c r="J12" s="329">
        <v>14.17</v>
      </c>
      <c r="K12" s="248">
        <v>30.12</v>
      </c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</row>
    <row r="13">
      <c r="A13" s="54"/>
      <c r="B13" s="326">
        <v>45338.0</v>
      </c>
      <c r="C13" s="327"/>
      <c r="D13" s="331"/>
      <c r="E13" s="328">
        <v>21848.0</v>
      </c>
      <c r="F13" s="328">
        <v>1907.0</v>
      </c>
      <c r="G13" s="328">
        <v>1100.0</v>
      </c>
      <c r="H13" s="329">
        <v>597.0</v>
      </c>
      <c r="I13" s="329">
        <v>619.64</v>
      </c>
      <c r="J13" s="329">
        <v>-22.64</v>
      </c>
      <c r="K13" s="248">
        <v>32.49</v>
      </c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</row>
    <row r="14">
      <c r="A14" s="54"/>
      <c r="B14" s="326">
        <v>45342.0</v>
      </c>
      <c r="C14" s="327"/>
      <c r="D14" s="331"/>
      <c r="E14" s="328">
        <v>23710.0</v>
      </c>
      <c r="F14" s="328">
        <v>1862.0</v>
      </c>
      <c r="G14" s="328">
        <v>1072.0</v>
      </c>
      <c r="H14" s="329">
        <v>548.0</v>
      </c>
      <c r="I14" s="329">
        <v>546.39</v>
      </c>
      <c r="J14" s="329">
        <v>1.61</v>
      </c>
      <c r="K14" s="248">
        <v>29.34</v>
      </c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</row>
    <row r="15">
      <c r="A15" s="54"/>
      <c r="B15" s="326">
        <v>45344.0</v>
      </c>
      <c r="C15" s="327"/>
      <c r="D15" s="331"/>
      <c r="E15" s="328">
        <v>25411.0</v>
      </c>
      <c r="F15" s="328">
        <v>1701.0</v>
      </c>
      <c r="G15" s="328">
        <v>1090.0</v>
      </c>
      <c r="H15" s="329">
        <v>519.0</v>
      </c>
      <c r="I15" s="329">
        <v>504.64</v>
      </c>
      <c r="J15" s="329">
        <v>14.36</v>
      </c>
      <c r="K15" s="248">
        <v>29.67</v>
      </c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</row>
    <row r="16">
      <c r="A16" s="54"/>
      <c r="B16" s="326">
        <v>45351.0</v>
      </c>
      <c r="C16" s="327"/>
      <c r="D16" s="331"/>
      <c r="E16" s="328">
        <v>27527.0</v>
      </c>
      <c r="F16" s="328">
        <v>2116.0</v>
      </c>
      <c r="G16" s="328">
        <v>941.0</v>
      </c>
      <c r="H16" s="329">
        <v>517.0</v>
      </c>
      <c r="I16" s="329">
        <v>588.29</v>
      </c>
      <c r="J16" s="329">
        <v>-71.29</v>
      </c>
      <c r="K16" s="248">
        <v>27.8</v>
      </c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</row>
    <row r="17">
      <c r="A17" s="66"/>
      <c r="B17" s="67" t="s">
        <v>72</v>
      </c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8"/>
      <c r="X17" s="68"/>
      <c r="Y17" s="68"/>
      <c r="Z17" s="68"/>
      <c r="AA17" s="68"/>
    </row>
    <row r="18">
      <c r="A18" s="54"/>
      <c r="B18" s="322">
        <v>45355.0</v>
      </c>
      <c r="C18" s="323"/>
      <c r="D18" s="332"/>
      <c r="E18" s="324">
        <v>29560.0</v>
      </c>
      <c r="F18" s="324">
        <v>2033.0</v>
      </c>
      <c r="G18" s="324">
        <v>978.0</v>
      </c>
      <c r="H18" s="325">
        <v>616.0</v>
      </c>
      <c r="I18" s="325">
        <v>623.76</v>
      </c>
      <c r="J18" s="325">
        <v>-7.76</v>
      </c>
      <c r="K18" s="248">
        <v>30.68</v>
      </c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</row>
    <row r="19">
      <c r="A19" s="54"/>
      <c r="B19" s="326">
        <v>45357.0</v>
      </c>
      <c r="C19" s="327"/>
      <c r="D19" s="331"/>
      <c r="E19" s="328">
        <v>31299.0</v>
      </c>
      <c r="F19" s="328">
        <v>1739.0</v>
      </c>
      <c r="G19" s="328">
        <v>1137.0</v>
      </c>
      <c r="H19" s="329">
        <v>690.0</v>
      </c>
      <c r="I19" s="329">
        <v>682.54</v>
      </c>
      <c r="J19" s="329">
        <v>7.46</v>
      </c>
      <c r="K19" s="248">
        <v>39.25</v>
      </c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</row>
    <row r="20">
      <c r="A20" s="54"/>
      <c r="B20" s="326">
        <v>45361.0</v>
      </c>
      <c r="C20" s="327"/>
      <c r="D20" s="331"/>
      <c r="E20" s="328">
        <v>33092.0</v>
      </c>
      <c r="F20" s="328">
        <v>1793.0</v>
      </c>
      <c r="G20" s="328">
        <v>1164.0</v>
      </c>
      <c r="H20" s="329">
        <v>567.0</v>
      </c>
      <c r="I20" s="329">
        <v>557.73</v>
      </c>
      <c r="J20" s="329">
        <v>9.27</v>
      </c>
      <c r="K20" s="248">
        <v>31.11</v>
      </c>
      <c r="L20" s="54"/>
      <c r="M20" s="74" t="s">
        <v>73</v>
      </c>
      <c r="N20" s="75"/>
      <c r="O20" s="76"/>
      <c r="P20" s="54"/>
      <c r="Q20" s="54"/>
      <c r="R20" s="54"/>
      <c r="S20" s="54"/>
      <c r="T20" s="54"/>
      <c r="U20" s="54"/>
      <c r="V20" s="54"/>
    </row>
    <row r="21">
      <c r="A21" s="54"/>
      <c r="B21" s="326">
        <v>45364.0</v>
      </c>
      <c r="C21" s="327"/>
      <c r="D21" s="331"/>
      <c r="E21" s="328">
        <v>34886.0</v>
      </c>
      <c r="F21" s="328">
        <v>1794.0</v>
      </c>
      <c r="G21" s="328">
        <v>1162.0</v>
      </c>
      <c r="H21" s="329">
        <v>555.0</v>
      </c>
      <c r="I21" s="329">
        <v>544.33</v>
      </c>
      <c r="J21" s="329">
        <v>10.67</v>
      </c>
      <c r="K21" s="248">
        <v>30.34</v>
      </c>
      <c r="L21" s="54"/>
      <c r="M21" s="77" t="s">
        <v>70</v>
      </c>
      <c r="N21" s="77" t="s">
        <v>71</v>
      </c>
      <c r="O21" s="77" t="s">
        <v>27</v>
      </c>
      <c r="P21" s="54"/>
      <c r="Q21" s="54"/>
      <c r="R21" s="54"/>
      <c r="S21" s="54"/>
      <c r="T21" s="54"/>
      <c r="U21" s="54"/>
      <c r="V21" s="54"/>
    </row>
    <row r="22">
      <c r="A22" s="54"/>
      <c r="B22" s="326">
        <v>45366.0</v>
      </c>
      <c r="C22" s="327"/>
      <c r="D22" s="331"/>
      <c r="E22" s="328">
        <v>36625.0</v>
      </c>
      <c r="F22" s="328">
        <v>1739.0</v>
      </c>
      <c r="G22" s="328">
        <v>1126.0</v>
      </c>
      <c r="H22" s="329">
        <v>500.0</v>
      </c>
      <c r="I22" s="329">
        <v>496.84</v>
      </c>
      <c r="J22" s="329">
        <v>3.16</v>
      </c>
      <c r="K22" s="248">
        <v>28.57</v>
      </c>
      <c r="L22" s="54"/>
      <c r="M22" s="79">
        <f>SUM(F18:F29)</f>
        <v>21248</v>
      </c>
      <c r="N22" s="79">
        <f>SUM(I18:I29)</f>
        <v>6349.92</v>
      </c>
      <c r="O22" s="214">
        <f>N22/M22*100</f>
        <v>29.88478916</v>
      </c>
      <c r="P22" s="54"/>
      <c r="Q22" s="54"/>
      <c r="R22" s="54"/>
      <c r="S22" s="54"/>
      <c r="T22" s="54"/>
      <c r="U22" s="54"/>
      <c r="V22" s="54"/>
    </row>
    <row r="23">
      <c r="A23" s="54"/>
      <c r="B23" s="326">
        <v>45369.0</v>
      </c>
      <c r="C23" s="327"/>
      <c r="D23" s="331"/>
      <c r="E23" s="328">
        <v>39059.0</v>
      </c>
      <c r="F23" s="328">
        <v>2434.0</v>
      </c>
      <c r="G23" s="328">
        <v>1152.0</v>
      </c>
      <c r="H23" s="329">
        <v>669.0</v>
      </c>
      <c r="I23" s="329">
        <v>700.0</v>
      </c>
      <c r="J23" s="329">
        <v>-31.0</v>
      </c>
      <c r="K23" s="248">
        <v>28.76</v>
      </c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</row>
    <row r="24">
      <c r="A24" s="54"/>
      <c r="B24" s="326">
        <v>45371.0</v>
      </c>
      <c r="C24" s="327"/>
      <c r="D24" s="331"/>
      <c r="E24" s="328">
        <v>40616.0</v>
      </c>
      <c r="F24" s="328">
        <v>1557.0</v>
      </c>
      <c r="G24" s="328">
        <v>1134.0</v>
      </c>
      <c r="H24" s="329">
        <v>430.0</v>
      </c>
      <c r="I24" s="329">
        <v>412.3</v>
      </c>
      <c r="J24" s="329">
        <v>17.7</v>
      </c>
      <c r="K24" s="248">
        <v>26.48</v>
      </c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</row>
    <row r="25">
      <c r="A25" s="54"/>
      <c r="B25" s="326">
        <v>45373.0</v>
      </c>
      <c r="C25" s="327"/>
      <c r="D25" s="331"/>
      <c r="E25" s="328">
        <v>42157.0</v>
      </c>
      <c r="F25" s="328">
        <v>1541.0</v>
      </c>
      <c r="G25" s="328">
        <v>1125.0</v>
      </c>
      <c r="H25" s="329">
        <v>431.0</v>
      </c>
      <c r="I25" s="329">
        <v>414.02</v>
      </c>
      <c r="J25" s="329">
        <v>16.98</v>
      </c>
      <c r="K25" s="248">
        <v>26.87</v>
      </c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</row>
    <row r="26">
      <c r="A26" s="54"/>
      <c r="B26" s="326">
        <v>45375.0</v>
      </c>
      <c r="C26" s="327"/>
      <c r="D26" s="331"/>
      <c r="E26" s="328">
        <v>43512.0</v>
      </c>
      <c r="F26" s="328">
        <v>1355.0</v>
      </c>
      <c r="G26" s="328">
        <v>1136.0</v>
      </c>
      <c r="H26" s="329">
        <v>407.0</v>
      </c>
      <c r="I26" s="329">
        <v>404.69</v>
      </c>
      <c r="J26" s="329">
        <v>2.31</v>
      </c>
      <c r="K26" s="248">
        <v>29.87</v>
      </c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</row>
    <row r="27">
      <c r="A27" s="54"/>
      <c r="B27" s="326">
        <v>45377.0</v>
      </c>
      <c r="C27" s="327"/>
      <c r="D27" s="331"/>
      <c r="E27" s="328">
        <v>45304.0</v>
      </c>
      <c r="F27" s="328">
        <v>1792.0</v>
      </c>
      <c r="G27" s="328">
        <v>1154.0</v>
      </c>
      <c r="H27" s="329">
        <v>529.0</v>
      </c>
      <c r="I27" s="329">
        <v>517.86</v>
      </c>
      <c r="J27" s="329">
        <v>11.14</v>
      </c>
      <c r="K27" s="248">
        <v>28.9</v>
      </c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</row>
    <row r="28">
      <c r="A28" s="54"/>
      <c r="B28" s="326">
        <v>45379.0</v>
      </c>
      <c r="C28" s="327"/>
      <c r="D28" s="331"/>
      <c r="E28" s="328">
        <v>47043.0</v>
      </c>
      <c r="F28" s="328">
        <v>1739.0</v>
      </c>
      <c r="G28" s="328">
        <v>1129.0</v>
      </c>
      <c r="H28" s="329">
        <v>447.0</v>
      </c>
      <c r="I28" s="329">
        <v>487.67</v>
      </c>
      <c r="J28" s="329">
        <v>-40.67</v>
      </c>
      <c r="K28" s="248">
        <v>28.04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</row>
    <row r="29">
      <c r="A29" s="54"/>
      <c r="B29" s="326">
        <v>45381.0</v>
      </c>
      <c r="C29" s="327"/>
      <c r="D29" s="331"/>
      <c r="E29" s="328">
        <v>48775.0</v>
      </c>
      <c r="F29" s="328">
        <v>1732.0</v>
      </c>
      <c r="G29" s="328">
        <v>1130.0</v>
      </c>
      <c r="H29" s="329">
        <v>516.0</v>
      </c>
      <c r="I29" s="329">
        <v>508.18</v>
      </c>
      <c r="J29" s="329">
        <v>7.82</v>
      </c>
      <c r="K29" s="248">
        <v>29.34</v>
      </c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</row>
    <row r="30">
      <c r="A30" s="66"/>
      <c r="B30" s="67" t="s">
        <v>74</v>
      </c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8"/>
      <c r="X30" s="68"/>
      <c r="Y30" s="68"/>
      <c r="Z30" s="68"/>
      <c r="AA30" s="68"/>
    </row>
    <row r="31">
      <c r="A31" s="54"/>
      <c r="B31" s="322">
        <v>45388.0</v>
      </c>
      <c r="C31" s="323"/>
      <c r="D31" s="332"/>
      <c r="E31" s="324">
        <v>50974.0</v>
      </c>
      <c r="F31" s="324">
        <v>2199.0</v>
      </c>
      <c r="G31" s="324">
        <v>1082.0</v>
      </c>
      <c r="H31" s="325">
        <v>647.0</v>
      </c>
      <c r="I31" s="325">
        <v>683.45</v>
      </c>
      <c r="J31" s="325">
        <v>-36.45</v>
      </c>
      <c r="K31" s="248">
        <v>31.08</v>
      </c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</row>
    <row r="32">
      <c r="A32" s="54"/>
      <c r="B32" s="326">
        <v>45393.0</v>
      </c>
      <c r="C32" s="327"/>
      <c r="D32" s="331"/>
      <c r="E32" s="328">
        <v>53251.0</v>
      </c>
      <c r="F32" s="328">
        <v>2277.0</v>
      </c>
      <c r="G32" s="328">
        <v>994.0</v>
      </c>
      <c r="H32" s="329">
        <v>446.0</v>
      </c>
      <c r="I32" s="329">
        <v>650.02</v>
      </c>
      <c r="J32" s="329">
        <v>-204.02</v>
      </c>
      <c r="K32" s="248">
        <v>28.55</v>
      </c>
      <c r="L32" s="54"/>
      <c r="M32" s="74" t="s">
        <v>392</v>
      </c>
      <c r="N32" s="75"/>
      <c r="O32" s="76"/>
      <c r="P32" s="54"/>
      <c r="Q32" s="54"/>
      <c r="R32" s="54"/>
      <c r="S32" s="54"/>
      <c r="T32" s="54"/>
      <c r="U32" s="54"/>
      <c r="V32" s="54"/>
    </row>
    <row r="33">
      <c r="A33" s="54"/>
      <c r="B33" s="326">
        <v>45395.0</v>
      </c>
      <c r="C33" s="327"/>
      <c r="D33" s="331"/>
      <c r="E33" s="328">
        <v>54967.0</v>
      </c>
      <c r="F33" s="328">
        <v>1716.0</v>
      </c>
      <c r="G33" s="328">
        <v>1024.0</v>
      </c>
      <c r="H33" s="329">
        <v>269.0</v>
      </c>
      <c r="I33" s="329">
        <v>525.66</v>
      </c>
      <c r="J33" s="329">
        <v>-256.66</v>
      </c>
      <c r="K33" s="248">
        <v>30.63</v>
      </c>
      <c r="L33" s="54"/>
      <c r="M33" s="77" t="s">
        <v>70</v>
      </c>
      <c r="N33" s="77" t="s">
        <v>71</v>
      </c>
      <c r="O33" s="77" t="s">
        <v>27</v>
      </c>
      <c r="P33" s="54"/>
      <c r="Q33" s="54"/>
      <c r="R33" s="54"/>
      <c r="S33" s="54"/>
      <c r="T33" s="54"/>
      <c r="U33" s="54"/>
      <c r="V33" s="54"/>
    </row>
    <row r="34">
      <c r="A34" s="54"/>
      <c r="B34" s="326">
        <v>45405.0</v>
      </c>
      <c r="C34" s="327"/>
      <c r="D34" s="331"/>
      <c r="E34" s="328">
        <v>58099.0</v>
      </c>
      <c r="F34" s="328">
        <v>3132.0</v>
      </c>
      <c r="G34" s="328">
        <v>778.0</v>
      </c>
      <c r="H34" s="329">
        <v>494.0</v>
      </c>
      <c r="I34" s="329">
        <v>700.0</v>
      </c>
      <c r="J34" s="329">
        <v>-206.0</v>
      </c>
      <c r="K34" s="248">
        <v>22.35</v>
      </c>
      <c r="L34" s="54"/>
      <c r="M34" s="79">
        <f>SUM(F31:F36)</f>
        <v>12801</v>
      </c>
      <c r="N34" s="79">
        <f>SUM(I31:I36)</f>
        <v>3771.99</v>
      </c>
      <c r="O34" s="214">
        <f>N34/M34*100</f>
        <v>29.46636981</v>
      </c>
      <c r="P34" s="54"/>
      <c r="Q34" s="54"/>
      <c r="R34" s="54"/>
      <c r="S34" s="54"/>
      <c r="T34" s="54"/>
      <c r="U34" s="54"/>
      <c r="V34" s="54"/>
    </row>
    <row r="35">
      <c r="A35" s="54"/>
      <c r="B35" s="326">
        <v>45407.0</v>
      </c>
      <c r="C35" s="327"/>
      <c r="D35" s="331"/>
      <c r="E35" s="328">
        <v>59836.0</v>
      </c>
      <c r="F35" s="328">
        <v>1737.0</v>
      </c>
      <c r="G35" s="328">
        <v>1001.0</v>
      </c>
      <c r="H35" s="329">
        <v>284.0</v>
      </c>
      <c r="I35" s="329">
        <v>700.0</v>
      </c>
      <c r="J35" s="329">
        <v>-416.0</v>
      </c>
      <c r="K35" s="248">
        <v>40.3</v>
      </c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</row>
    <row r="36">
      <c r="A36" s="54"/>
      <c r="B36" s="326">
        <v>45409.0</v>
      </c>
      <c r="C36" s="327"/>
      <c r="D36" s="331"/>
      <c r="E36" s="328">
        <v>61576.0</v>
      </c>
      <c r="F36" s="328">
        <v>1740.0</v>
      </c>
      <c r="G36" s="328">
        <v>991.0</v>
      </c>
      <c r="H36" s="329">
        <v>317.0</v>
      </c>
      <c r="I36" s="329">
        <v>512.86</v>
      </c>
      <c r="J36" s="329">
        <v>-195.86</v>
      </c>
      <c r="K36" s="248">
        <v>29.47</v>
      </c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</row>
    <row r="37">
      <c r="A37" s="66"/>
      <c r="B37" s="67" t="s">
        <v>75</v>
      </c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8"/>
      <c r="X37" s="68"/>
      <c r="Y37" s="68"/>
      <c r="Z37" s="68"/>
      <c r="AA37" s="68"/>
    </row>
    <row r="38">
      <c r="A38" s="54"/>
      <c r="B38" s="201">
        <v>45415.0</v>
      </c>
      <c r="C38" s="201"/>
      <c r="D38" s="95"/>
      <c r="E38" s="96">
        <v>63618.0</v>
      </c>
      <c r="F38" s="96">
        <v>2042.0</v>
      </c>
      <c r="G38" s="96">
        <v>850.0</v>
      </c>
      <c r="H38" s="97">
        <v>177.0</v>
      </c>
      <c r="I38" s="97">
        <v>560.38</v>
      </c>
      <c r="J38" s="97">
        <v>-383.38</v>
      </c>
      <c r="K38" s="97">
        <v>27.44</v>
      </c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</row>
    <row r="39">
      <c r="A39" s="54"/>
      <c r="B39" s="201">
        <v>45418.0</v>
      </c>
      <c r="C39" s="201"/>
      <c r="D39" s="95"/>
      <c r="E39" s="96">
        <v>65421.0</v>
      </c>
      <c r="F39" s="96">
        <v>1803.0</v>
      </c>
      <c r="G39" s="96">
        <v>775.0</v>
      </c>
      <c r="H39" s="97">
        <v>40.0</v>
      </c>
      <c r="I39" s="97">
        <v>518.51</v>
      </c>
      <c r="J39" s="97">
        <v>-478.51</v>
      </c>
      <c r="K39" s="97">
        <v>28.76</v>
      </c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</row>
    <row r="40">
      <c r="A40" s="54"/>
      <c r="B40" s="201">
        <v>45420.0</v>
      </c>
      <c r="C40" s="201"/>
      <c r="D40" s="95"/>
      <c r="E40" s="206">
        <v>67215.0</v>
      </c>
      <c r="F40" s="96">
        <f t="shared" ref="F40:F41" si="1">E40-E39</f>
        <v>1794</v>
      </c>
      <c r="G40" s="96">
        <v>1145.0</v>
      </c>
      <c r="H40" s="97">
        <v>520.0</v>
      </c>
      <c r="I40" s="97">
        <v>500.3</v>
      </c>
      <c r="J40" s="97">
        <f>H40-I40</f>
        <v>19.7</v>
      </c>
      <c r="K40" s="202">
        <f t="shared" ref="K40:K41" si="2">I40/F40*100</f>
        <v>27.88740245</v>
      </c>
      <c r="L40" s="54"/>
      <c r="M40" s="74" t="s">
        <v>448</v>
      </c>
      <c r="N40" s="75"/>
      <c r="O40" s="76"/>
      <c r="P40" s="54"/>
      <c r="Q40" s="54"/>
      <c r="R40" s="54"/>
      <c r="S40" s="54"/>
      <c r="T40" s="54"/>
      <c r="U40" s="54"/>
      <c r="V40" s="54"/>
    </row>
    <row r="41">
      <c r="A41" s="54"/>
      <c r="B41" s="201">
        <v>45423.0</v>
      </c>
      <c r="C41" s="201"/>
      <c r="D41" s="95"/>
      <c r="E41" s="96">
        <v>69020.0</v>
      </c>
      <c r="F41" s="96">
        <f t="shared" si="1"/>
        <v>1805</v>
      </c>
      <c r="G41" s="96">
        <v>1146.0</v>
      </c>
      <c r="H41" s="97">
        <v>538.0</v>
      </c>
      <c r="I41" s="97">
        <v>513.95</v>
      </c>
      <c r="J41" s="97">
        <v>24.05</v>
      </c>
      <c r="K41" s="202">
        <f t="shared" si="2"/>
        <v>28.47368421</v>
      </c>
      <c r="L41" s="54"/>
      <c r="M41" s="77" t="s">
        <v>281</v>
      </c>
      <c r="N41" s="77" t="s">
        <v>71</v>
      </c>
      <c r="O41" s="77" t="s">
        <v>27</v>
      </c>
      <c r="P41" s="54"/>
      <c r="Q41" s="54"/>
      <c r="R41" s="54"/>
      <c r="S41" s="54"/>
      <c r="T41" s="54"/>
      <c r="U41" s="54"/>
      <c r="V41" s="54"/>
    </row>
    <row r="42">
      <c r="A42" s="54"/>
      <c r="B42" s="201">
        <v>45433.0</v>
      </c>
      <c r="C42" s="201"/>
      <c r="D42" s="95"/>
      <c r="E42" s="96">
        <v>71945.0</v>
      </c>
      <c r="F42" s="96">
        <v>2925.0</v>
      </c>
      <c r="G42" s="96">
        <v>1101.0</v>
      </c>
      <c r="H42" s="97">
        <v>795.0</v>
      </c>
      <c r="I42" s="97">
        <v>800.0</v>
      </c>
      <c r="J42" s="97">
        <v>-5.0</v>
      </c>
      <c r="K42" s="97">
        <v>27.35</v>
      </c>
      <c r="L42" s="54"/>
      <c r="M42" s="79">
        <f>SUM(F38:F45)</f>
        <v>15830</v>
      </c>
      <c r="N42" s="79">
        <f>SUM(I38:I45)</f>
        <v>4434.68</v>
      </c>
      <c r="O42" s="214">
        <f>N42/M42*100</f>
        <v>28.01440303</v>
      </c>
      <c r="P42" s="54"/>
      <c r="Q42" s="54"/>
      <c r="R42" s="54"/>
      <c r="S42" s="54"/>
      <c r="T42" s="54"/>
      <c r="U42" s="54"/>
      <c r="V42" s="54"/>
    </row>
    <row r="43">
      <c r="A43" s="54"/>
      <c r="B43" s="201">
        <v>45435.0</v>
      </c>
      <c r="C43" s="201"/>
      <c r="D43" s="95"/>
      <c r="E43" s="96">
        <v>73687.0</v>
      </c>
      <c r="F43" s="96">
        <v>1742.0</v>
      </c>
      <c r="G43" s="96">
        <v>1135.0</v>
      </c>
      <c r="H43" s="97">
        <v>500.0</v>
      </c>
      <c r="I43" s="97">
        <v>484.12</v>
      </c>
      <c r="J43" s="97">
        <v>15.88</v>
      </c>
      <c r="K43" s="97">
        <v>27.79</v>
      </c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</row>
    <row r="44">
      <c r="A44" s="54"/>
      <c r="B44" s="94">
        <v>45437.0</v>
      </c>
      <c r="C44" s="94"/>
      <c r="D44" s="95"/>
      <c r="E44" s="96">
        <v>75410.0</v>
      </c>
      <c r="F44" s="96">
        <v>1723.0</v>
      </c>
      <c r="G44" s="96">
        <v>1128.0</v>
      </c>
      <c r="H44" s="97">
        <v>491.0</v>
      </c>
      <c r="I44" s="97">
        <v>467.14</v>
      </c>
      <c r="J44" s="97">
        <v>23.86</v>
      </c>
      <c r="K44" s="97">
        <v>27.11</v>
      </c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</row>
    <row r="45">
      <c r="A45" s="54"/>
      <c r="B45" s="94">
        <v>45443.0</v>
      </c>
      <c r="C45" s="94"/>
      <c r="D45" s="95"/>
      <c r="E45" s="104">
        <v>77406.0</v>
      </c>
      <c r="F45" s="96">
        <f>E45-E44</f>
        <v>1996</v>
      </c>
      <c r="G45" s="96">
        <v>1129.0</v>
      </c>
      <c r="H45" s="97">
        <v>620.0</v>
      </c>
      <c r="I45" s="97">
        <v>590.28</v>
      </c>
      <c r="J45" s="97">
        <f>H45-I45</f>
        <v>29.72</v>
      </c>
      <c r="K45" s="202">
        <f>I45/F45*100</f>
        <v>29.57314629</v>
      </c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</row>
    <row r="46">
      <c r="A46" s="66"/>
      <c r="B46" s="67" t="s">
        <v>90</v>
      </c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8"/>
      <c r="X46" s="68"/>
      <c r="Y46" s="68"/>
      <c r="Z46" s="68"/>
      <c r="AA46" s="68"/>
    </row>
    <row r="47">
      <c r="A47" s="54"/>
      <c r="B47" s="94">
        <v>45447.0</v>
      </c>
      <c r="C47" s="94"/>
      <c r="D47" s="95"/>
      <c r="E47" s="96">
        <v>79552.0</v>
      </c>
      <c r="F47" s="96">
        <v>2071.0</v>
      </c>
      <c r="G47" s="96">
        <v>1134.0</v>
      </c>
      <c r="H47" s="97">
        <v>568.0</v>
      </c>
      <c r="I47" s="97">
        <v>545.07</v>
      </c>
      <c r="J47" s="97">
        <v>22.93</v>
      </c>
      <c r="K47" s="97">
        <v>26.32</v>
      </c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</row>
    <row r="48">
      <c r="A48" s="54"/>
      <c r="B48" s="94">
        <v>45449.0</v>
      </c>
      <c r="C48" s="94"/>
      <c r="D48" s="95"/>
      <c r="E48" s="96">
        <v>81306.0</v>
      </c>
      <c r="F48" s="96">
        <v>1754.0</v>
      </c>
      <c r="G48" s="96">
        <v>1127.0</v>
      </c>
      <c r="H48" s="97">
        <v>472.0</v>
      </c>
      <c r="I48" s="97">
        <v>452.49</v>
      </c>
      <c r="J48" s="97">
        <v>19.51</v>
      </c>
      <c r="K48" s="97">
        <v>25.8</v>
      </c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</row>
    <row r="49">
      <c r="A49" s="54"/>
      <c r="B49" s="94">
        <v>45458.0</v>
      </c>
      <c r="C49" s="94"/>
      <c r="D49" s="95"/>
      <c r="E49" s="96">
        <v>82686.0</v>
      </c>
      <c r="F49" s="96">
        <v>1380.0</v>
      </c>
      <c r="G49" s="96">
        <v>1169.0</v>
      </c>
      <c r="H49" s="97">
        <v>431.0</v>
      </c>
      <c r="I49" s="97">
        <v>409.19</v>
      </c>
      <c r="J49" s="97">
        <v>21.81</v>
      </c>
      <c r="K49" s="97">
        <v>29.65</v>
      </c>
      <c r="L49" s="54"/>
      <c r="M49" s="74" t="s">
        <v>91</v>
      </c>
      <c r="N49" s="75"/>
      <c r="O49" s="76"/>
      <c r="P49" s="54"/>
      <c r="Q49" s="54"/>
      <c r="R49" s="54"/>
      <c r="S49" s="54"/>
      <c r="T49" s="54"/>
      <c r="U49" s="54"/>
      <c r="V49" s="54"/>
    </row>
    <row r="50">
      <c r="A50" s="54"/>
      <c r="B50" s="94">
        <v>45461.0</v>
      </c>
      <c r="C50" s="94"/>
      <c r="D50" s="95"/>
      <c r="E50" s="96">
        <v>84782.0</v>
      </c>
      <c r="F50" s="96">
        <v>2096.0</v>
      </c>
      <c r="G50" s="96">
        <v>1131.0</v>
      </c>
      <c r="H50" s="97">
        <v>528.0</v>
      </c>
      <c r="I50" s="97">
        <v>507.51</v>
      </c>
      <c r="J50" s="97">
        <v>20.49</v>
      </c>
      <c r="K50" s="97">
        <v>24.21</v>
      </c>
      <c r="L50" s="54"/>
      <c r="M50" s="77" t="s">
        <v>281</v>
      </c>
      <c r="N50" s="77" t="s">
        <v>119</v>
      </c>
      <c r="O50" s="77" t="s">
        <v>27</v>
      </c>
      <c r="P50" s="54"/>
      <c r="Q50" s="54"/>
      <c r="R50" s="54"/>
      <c r="S50" s="54"/>
      <c r="T50" s="54"/>
      <c r="U50" s="54"/>
      <c r="V50" s="54"/>
    </row>
    <row r="51">
      <c r="A51" s="54"/>
      <c r="B51" s="94">
        <v>45463.0</v>
      </c>
      <c r="C51" s="94"/>
      <c r="D51" s="95"/>
      <c r="E51" s="96">
        <v>86518.0</v>
      </c>
      <c r="F51" s="96">
        <v>1736.0</v>
      </c>
      <c r="G51" s="96">
        <v>1135.0</v>
      </c>
      <c r="H51" s="97">
        <v>491.0</v>
      </c>
      <c r="I51" s="97">
        <v>466.92</v>
      </c>
      <c r="J51" s="97">
        <v>24.08</v>
      </c>
      <c r="K51" s="97">
        <v>26.9</v>
      </c>
      <c r="L51" s="54"/>
      <c r="M51" s="79">
        <f>SUM(F47:F55)</f>
        <v>15916</v>
      </c>
      <c r="N51" s="79">
        <f>SUM(I47:I55)</f>
        <v>4125.34</v>
      </c>
      <c r="O51" s="214">
        <f>N51/M51*100</f>
        <v>25.91945212</v>
      </c>
      <c r="P51" s="54"/>
      <c r="Q51" s="54"/>
      <c r="R51" s="54"/>
      <c r="S51" s="54"/>
      <c r="T51" s="54"/>
      <c r="U51" s="54"/>
      <c r="V51" s="54"/>
    </row>
    <row r="52">
      <c r="A52" s="54"/>
      <c r="B52" s="94">
        <v>45465.0</v>
      </c>
      <c r="C52" s="94"/>
      <c r="D52" s="95"/>
      <c r="E52" s="96">
        <v>88254.0</v>
      </c>
      <c r="F52" s="96">
        <v>1736.0</v>
      </c>
      <c r="G52" s="96">
        <v>1128.0</v>
      </c>
      <c r="H52" s="97">
        <v>474.0</v>
      </c>
      <c r="I52" s="97">
        <v>455.07</v>
      </c>
      <c r="J52" s="97">
        <v>18.93</v>
      </c>
      <c r="K52" s="97">
        <v>26.21</v>
      </c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</row>
    <row r="53">
      <c r="A53" s="54"/>
      <c r="B53" s="94">
        <v>45468.0</v>
      </c>
      <c r="C53" s="94"/>
      <c r="D53" s="95"/>
      <c r="E53" s="96">
        <v>90278.0</v>
      </c>
      <c r="F53" s="96">
        <v>2024.0</v>
      </c>
      <c r="G53" s="96">
        <v>1143.0</v>
      </c>
      <c r="H53" s="97">
        <v>570.0</v>
      </c>
      <c r="I53" s="97">
        <v>546.75</v>
      </c>
      <c r="J53" s="97">
        <v>23.25</v>
      </c>
      <c r="K53" s="97">
        <v>27.01</v>
      </c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</row>
    <row r="54">
      <c r="A54" s="54"/>
      <c r="B54" s="94">
        <v>45470.0</v>
      </c>
      <c r="C54" s="94"/>
      <c r="D54" s="95"/>
      <c r="E54" s="96">
        <v>91837.0</v>
      </c>
      <c r="F54" s="96">
        <v>1559.0</v>
      </c>
      <c r="G54" s="96">
        <v>1103.0</v>
      </c>
      <c r="H54" s="97">
        <v>358.0</v>
      </c>
      <c r="I54" s="97">
        <v>351.78</v>
      </c>
      <c r="J54" s="97">
        <v>6.22</v>
      </c>
      <c r="K54" s="97">
        <v>22.56</v>
      </c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</row>
    <row r="55">
      <c r="A55" s="54"/>
      <c r="B55" s="94">
        <v>45472.0</v>
      </c>
      <c r="C55" s="94"/>
      <c r="D55" s="95"/>
      <c r="E55" s="96">
        <v>93397.0</v>
      </c>
      <c r="F55" s="96">
        <v>1560.0</v>
      </c>
      <c r="G55" s="96">
        <v>1104.0</v>
      </c>
      <c r="H55" s="97">
        <v>394.0</v>
      </c>
      <c r="I55" s="97">
        <v>390.56</v>
      </c>
      <c r="J55" s="97">
        <v>3.44</v>
      </c>
      <c r="K55" s="97">
        <v>25.04</v>
      </c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</row>
    <row r="56">
      <c r="A56" s="66"/>
      <c r="B56" s="67" t="s">
        <v>92</v>
      </c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8"/>
      <c r="X56" s="68"/>
      <c r="Y56" s="68"/>
      <c r="Z56" s="68"/>
      <c r="AA56" s="68"/>
    </row>
    <row r="57">
      <c r="A57" s="54"/>
      <c r="B57" s="201">
        <v>45475.0</v>
      </c>
      <c r="C57" s="201"/>
      <c r="D57" s="95"/>
      <c r="E57" s="128">
        <v>94748.0</v>
      </c>
      <c r="F57" s="96">
        <v>1351.0</v>
      </c>
      <c r="G57" s="96">
        <v>1104.0</v>
      </c>
      <c r="H57" s="97">
        <v>356.0</v>
      </c>
      <c r="I57" s="97">
        <v>340.55</v>
      </c>
      <c r="J57" s="97">
        <v>15.45</v>
      </c>
      <c r="K57" s="97">
        <v>25.21</v>
      </c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</row>
    <row r="58">
      <c r="A58" s="54"/>
      <c r="B58" s="201">
        <v>45477.0</v>
      </c>
      <c r="C58" s="201"/>
      <c r="D58" s="95"/>
      <c r="E58" s="128">
        <v>96516.0</v>
      </c>
      <c r="F58" s="96">
        <v>1768.0</v>
      </c>
      <c r="G58" s="96">
        <v>1125.0</v>
      </c>
      <c r="H58" s="97">
        <v>512.0</v>
      </c>
      <c r="I58" s="97">
        <v>509.29</v>
      </c>
      <c r="J58" s="97">
        <v>2.71</v>
      </c>
      <c r="K58" s="97">
        <v>28.81</v>
      </c>
      <c r="L58" s="54"/>
      <c r="M58" s="74" t="s">
        <v>118</v>
      </c>
      <c r="N58" s="75"/>
      <c r="O58" s="76"/>
      <c r="P58" s="54"/>
      <c r="Q58" s="54"/>
      <c r="S58" s="120"/>
      <c r="T58" s="120"/>
      <c r="U58" s="120"/>
      <c r="V58" s="120"/>
    </row>
    <row r="59">
      <c r="A59" s="54"/>
      <c r="B59" s="201">
        <v>45479.0</v>
      </c>
      <c r="C59" s="201"/>
      <c r="D59" s="95"/>
      <c r="E59" s="128">
        <v>98337.0</v>
      </c>
      <c r="F59" s="96">
        <v>1821.0</v>
      </c>
      <c r="G59" s="96">
        <v>1127.0</v>
      </c>
      <c r="H59" s="97">
        <v>522.0</v>
      </c>
      <c r="I59" s="97">
        <v>503.2</v>
      </c>
      <c r="J59" s="97">
        <v>18.8</v>
      </c>
      <c r="K59" s="97">
        <v>27.63</v>
      </c>
      <c r="L59" s="54"/>
      <c r="M59" s="77" t="s">
        <v>70</v>
      </c>
      <c r="N59" s="77" t="s">
        <v>71</v>
      </c>
      <c r="O59" s="77" t="s">
        <v>27</v>
      </c>
      <c r="P59" s="54"/>
      <c r="Q59" s="54"/>
      <c r="S59" s="120"/>
      <c r="T59" s="120"/>
      <c r="U59" s="120"/>
      <c r="V59" s="120"/>
    </row>
    <row r="60">
      <c r="A60" s="54"/>
      <c r="B60" s="201">
        <v>45482.0</v>
      </c>
      <c r="C60" s="201"/>
      <c r="D60" s="95"/>
      <c r="E60" s="128">
        <v>100377.0</v>
      </c>
      <c r="F60" s="96">
        <v>2040.0</v>
      </c>
      <c r="G60" s="96">
        <v>772.0</v>
      </c>
      <c r="H60" s="97">
        <v>208.0</v>
      </c>
      <c r="I60" s="97">
        <v>196.0</v>
      </c>
      <c r="J60" s="97">
        <v>12.0</v>
      </c>
      <c r="K60" s="97">
        <v>9.61</v>
      </c>
      <c r="L60" s="54"/>
      <c r="M60" s="79">
        <f>SUM(F57:F69)</f>
        <v>22019</v>
      </c>
      <c r="N60" s="79">
        <f>SUM(I57:I69)</f>
        <v>5720.21</v>
      </c>
      <c r="O60" s="214">
        <f>N60/M60*100</f>
        <v>25.97851855</v>
      </c>
      <c r="P60" s="54"/>
      <c r="Q60" s="54"/>
      <c r="S60" s="120"/>
      <c r="T60" s="120"/>
      <c r="U60" s="120"/>
      <c r="V60" s="120"/>
    </row>
    <row r="61">
      <c r="A61" s="54"/>
      <c r="B61" s="201">
        <v>45483.0</v>
      </c>
      <c r="C61" s="201"/>
      <c r="D61" s="95"/>
      <c r="E61" s="128">
        <v>100942.0</v>
      </c>
      <c r="F61" s="96">
        <v>565.0</v>
      </c>
      <c r="G61" s="96">
        <v>1152.0</v>
      </c>
      <c r="H61" s="97">
        <v>529.0</v>
      </c>
      <c r="I61" s="97">
        <v>509.53</v>
      </c>
      <c r="J61" s="97">
        <v>19.47</v>
      </c>
      <c r="K61" s="202">
        <f t="shared" ref="K61:K69" si="3">I61/F61*100</f>
        <v>90.18230088</v>
      </c>
      <c r="L61" s="54"/>
      <c r="M61" s="54"/>
      <c r="N61" s="54"/>
      <c r="O61" s="54"/>
      <c r="P61" s="54"/>
      <c r="Q61" s="54"/>
      <c r="R61" s="54"/>
      <c r="S61" s="120"/>
      <c r="T61" s="120"/>
      <c r="U61" s="120"/>
      <c r="V61" s="120"/>
    </row>
    <row r="62" ht="18.0" customHeight="1">
      <c r="A62" s="54"/>
      <c r="B62" s="98">
        <v>45486.0</v>
      </c>
      <c r="C62" s="98"/>
      <c r="D62" s="99"/>
      <c r="E62" s="104">
        <v>103500.0</v>
      </c>
      <c r="F62" s="99">
        <f t="shared" ref="F62:F69" si="4">E62-E61</f>
        <v>2558</v>
      </c>
      <c r="G62" s="100">
        <v>1140.0</v>
      </c>
      <c r="H62" s="101">
        <v>653.0</v>
      </c>
      <c r="I62" s="101">
        <v>628.5</v>
      </c>
      <c r="J62" s="102">
        <f t="shared" ref="J62:J69" si="5">H62-I62</f>
        <v>24.5</v>
      </c>
      <c r="K62" s="103">
        <f t="shared" si="3"/>
        <v>24.56997654</v>
      </c>
      <c r="L62" s="54"/>
      <c r="M62" s="120"/>
      <c r="N62" s="120"/>
      <c r="O62" s="120"/>
      <c r="P62" s="120"/>
      <c r="Q62" s="54"/>
      <c r="R62" s="54"/>
      <c r="S62" s="120"/>
      <c r="T62" s="120"/>
      <c r="U62" s="120"/>
      <c r="V62" s="120"/>
    </row>
    <row r="63">
      <c r="A63" s="54"/>
      <c r="B63" s="98">
        <v>45489.0</v>
      </c>
      <c r="C63" s="98"/>
      <c r="D63" s="102"/>
      <c r="E63" s="100">
        <v>104846.0</v>
      </c>
      <c r="F63" s="99">
        <f t="shared" si="4"/>
        <v>1346</v>
      </c>
      <c r="G63" s="100">
        <v>1128.0</v>
      </c>
      <c r="H63" s="101">
        <v>347.0</v>
      </c>
      <c r="I63" s="101">
        <v>332.97</v>
      </c>
      <c r="J63" s="102">
        <f t="shared" si="5"/>
        <v>14.03</v>
      </c>
      <c r="K63" s="103">
        <f t="shared" si="3"/>
        <v>24.73774146</v>
      </c>
      <c r="L63" s="54"/>
      <c r="M63" s="120"/>
      <c r="N63" s="120"/>
      <c r="O63" s="120"/>
      <c r="P63" s="120"/>
      <c r="Q63" s="54"/>
      <c r="R63" s="54"/>
      <c r="S63" s="120"/>
      <c r="T63" s="120"/>
      <c r="U63" s="120"/>
      <c r="V63" s="120"/>
    </row>
    <row r="64">
      <c r="A64" s="54"/>
      <c r="B64" s="98">
        <v>45491.0</v>
      </c>
      <c r="C64" s="98"/>
      <c r="D64" s="102"/>
      <c r="E64" s="104">
        <v>106662.0</v>
      </c>
      <c r="F64" s="99">
        <f t="shared" si="4"/>
        <v>1816</v>
      </c>
      <c r="G64" s="100">
        <v>1123.0</v>
      </c>
      <c r="H64" s="101">
        <v>485.0</v>
      </c>
      <c r="I64" s="101">
        <v>464.36</v>
      </c>
      <c r="J64" s="102">
        <f t="shared" si="5"/>
        <v>20.64</v>
      </c>
      <c r="K64" s="103">
        <f t="shared" si="3"/>
        <v>25.57048458</v>
      </c>
      <c r="L64" s="54"/>
      <c r="M64" s="120"/>
      <c r="N64" s="86"/>
      <c r="O64" s="493"/>
      <c r="P64" s="494"/>
      <c r="Q64" s="54"/>
      <c r="R64" s="54"/>
      <c r="S64" s="120"/>
      <c r="T64" s="120"/>
      <c r="U64" s="120"/>
      <c r="V64" s="120"/>
    </row>
    <row r="65">
      <c r="A65" s="54"/>
      <c r="B65" s="98">
        <v>45493.0</v>
      </c>
      <c r="C65" s="98"/>
      <c r="D65" s="102"/>
      <c r="E65" s="104">
        <v>108570.0</v>
      </c>
      <c r="F65" s="99">
        <f t="shared" si="4"/>
        <v>1908</v>
      </c>
      <c r="G65" s="100">
        <v>1161.0</v>
      </c>
      <c r="H65" s="101">
        <v>568.0</v>
      </c>
      <c r="I65" s="101">
        <v>541.46</v>
      </c>
      <c r="J65" s="102">
        <f t="shared" si="5"/>
        <v>26.54</v>
      </c>
      <c r="K65" s="103">
        <f t="shared" si="3"/>
        <v>28.37840671</v>
      </c>
      <c r="L65" s="54"/>
      <c r="M65" s="54"/>
      <c r="N65" s="54"/>
      <c r="O65" s="54"/>
      <c r="P65" s="54"/>
      <c r="Q65" s="54"/>
      <c r="R65" s="54"/>
    </row>
    <row r="66">
      <c r="A66" s="54"/>
      <c r="B66" s="98">
        <v>45496.0</v>
      </c>
      <c r="C66" s="98"/>
      <c r="D66" s="102"/>
      <c r="E66" s="104">
        <v>110670.0</v>
      </c>
      <c r="F66" s="99">
        <f t="shared" si="4"/>
        <v>2100</v>
      </c>
      <c r="G66" s="100">
        <v>1107.0</v>
      </c>
      <c r="H66" s="101">
        <v>519.0</v>
      </c>
      <c r="I66" s="101">
        <v>497.84</v>
      </c>
      <c r="J66" s="102">
        <f t="shared" si="5"/>
        <v>21.16</v>
      </c>
      <c r="K66" s="103">
        <f t="shared" si="3"/>
        <v>23.70666667</v>
      </c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</row>
    <row r="67">
      <c r="A67" s="54"/>
      <c r="B67" s="98">
        <v>45498.0</v>
      </c>
      <c r="C67" s="98"/>
      <c r="D67" s="102"/>
      <c r="E67" s="104">
        <v>112232.0</v>
      </c>
      <c r="F67" s="99">
        <f t="shared" si="4"/>
        <v>1562</v>
      </c>
      <c r="G67" s="100">
        <v>908.0</v>
      </c>
      <c r="H67" s="101">
        <v>217.0</v>
      </c>
      <c r="I67" s="101">
        <v>200.0</v>
      </c>
      <c r="J67" s="102">
        <f t="shared" si="5"/>
        <v>17</v>
      </c>
      <c r="K67" s="103">
        <f t="shared" si="3"/>
        <v>12.80409731</v>
      </c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</row>
    <row r="68">
      <c r="A68" s="54"/>
      <c r="B68" s="98">
        <v>45500.0</v>
      </c>
      <c r="C68" s="98"/>
      <c r="D68" s="102"/>
      <c r="E68" s="104">
        <v>113793.0</v>
      </c>
      <c r="F68" s="99">
        <f t="shared" si="4"/>
        <v>1561</v>
      </c>
      <c r="G68" s="100">
        <v>1161.0</v>
      </c>
      <c r="H68" s="101">
        <v>651.0</v>
      </c>
      <c r="I68" s="101">
        <v>626.06</v>
      </c>
      <c r="J68" s="102">
        <f t="shared" si="5"/>
        <v>24.94</v>
      </c>
      <c r="K68" s="103">
        <f t="shared" si="3"/>
        <v>40.10634209</v>
      </c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</row>
    <row r="69">
      <c r="A69" s="54"/>
      <c r="B69" s="98">
        <v>45503.0</v>
      </c>
      <c r="C69" s="98"/>
      <c r="D69" s="99"/>
      <c r="E69" s="104">
        <v>115416.0</v>
      </c>
      <c r="F69" s="99">
        <f t="shared" si="4"/>
        <v>1623</v>
      </c>
      <c r="G69" s="100">
        <v>1127.0</v>
      </c>
      <c r="H69" s="101">
        <v>382.0</v>
      </c>
      <c r="I69" s="101">
        <v>370.45</v>
      </c>
      <c r="J69" s="102">
        <f t="shared" si="5"/>
        <v>11.55</v>
      </c>
      <c r="K69" s="103">
        <f t="shared" si="3"/>
        <v>22.8250154</v>
      </c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</row>
    <row r="70">
      <c r="A70" s="66"/>
      <c r="B70" s="67" t="s">
        <v>95</v>
      </c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8"/>
      <c r="X70" s="68"/>
      <c r="Y70" s="68"/>
      <c r="Z70" s="68"/>
      <c r="AA70" s="68"/>
    </row>
    <row r="71">
      <c r="A71" s="54"/>
      <c r="B71" s="98">
        <v>45505.0</v>
      </c>
      <c r="C71" s="98"/>
      <c r="D71" s="99"/>
      <c r="E71" s="104">
        <v>116978.0</v>
      </c>
      <c r="F71" s="99">
        <f>E71-E69</f>
        <v>1562</v>
      </c>
      <c r="G71" s="100">
        <v>1124.0</v>
      </c>
      <c r="H71" s="101">
        <v>400.0</v>
      </c>
      <c r="I71" s="101">
        <v>382.5</v>
      </c>
      <c r="J71" s="102">
        <f t="shared" ref="J71:J84" si="6">H71-I71</f>
        <v>17.5</v>
      </c>
      <c r="K71" s="103">
        <f t="shared" ref="K71:K84" si="7">I71/F71*100</f>
        <v>24.48783611</v>
      </c>
      <c r="L71" s="54"/>
      <c r="M71" s="82" t="str">
        <f>"тотал"&amp;" "&amp;B70</f>
        <v>тотал АВГУСТ</v>
      </c>
      <c r="N71" s="75"/>
      <c r="O71" s="76"/>
      <c r="P71" s="54"/>
      <c r="Q71" s="54"/>
      <c r="R71" s="54"/>
      <c r="S71" s="54"/>
      <c r="T71" s="54"/>
      <c r="U71" s="54"/>
      <c r="V71" s="54"/>
    </row>
    <row r="72">
      <c r="A72" s="54"/>
      <c r="B72" s="98">
        <v>45507.0</v>
      </c>
      <c r="C72" s="98"/>
      <c r="D72" s="99"/>
      <c r="E72" s="104">
        <v>118539.0</v>
      </c>
      <c r="F72" s="99">
        <f t="shared" ref="F72:F84" si="8">E72-E71</f>
        <v>1561</v>
      </c>
      <c r="G72" s="100">
        <v>1138.0</v>
      </c>
      <c r="H72" s="101">
        <v>399.0</v>
      </c>
      <c r="I72" s="101">
        <v>383.0</v>
      </c>
      <c r="J72" s="102">
        <f t="shared" si="6"/>
        <v>16</v>
      </c>
      <c r="K72" s="103">
        <f t="shared" si="7"/>
        <v>24.53555413</v>
      </c>
      <c r="L72" s="54"/>
      <c r="M72" s="83" t="s">
        <v>70</v>
      </c>
      <c r="N72" s="83" t="s">
        <v>71</v>
      </c>
      <c r="O72" s="83" t="s">
        <v>27</v>
      </c>
      <c r="P72" s="54"/>
      <c r="Q72" s="54"/>
      <c r="R72" s="54"/>
      <c r="S72" s="54"/>
      <c r="T72" s="54"/>
      <c r="U72" s="54"/>
      <c r="V72" s="54"/>
    </row>
    <row r="73">
      <c r="A73" s="54"/>
      <c r="B73" s="98">
        <v>45510.0</v>
      </c>
      <c r="C73" s="98"/>
      <c r="D73" s="99"/>
      <c r="E73" s="104">
        <v>120105.0</v>
      </c>
      <c r="F73" s="99">
        <f t="shared" si="8"/>
        <v>1566</v>
      </c>
      <c r="G73" s="100">
        <v>1133.0</v>
      </c>
      <c r="H73" s="101">
        <v>388.0</v>
      </c>
      <c r="I73" s="101">
        <v>375.9</v>
      </c>
      <c r="J73" s="102">
        <f t="shared" si="6"/>
        <v>12.1</v>
      </c>
      <c r="K73" s="103">
        <f t="shared" si="7"/>
        <v>24.00383142</v>
      </c>
      <c r="L73" s="54"/>
      <c r="M73" s="84">
        <f>SUM(F71:F84)</f>
        <v>21874</v>
      </c>
      <c r="N73" s="84">
        <f>SUM(I71:I84)</f>
        <v>5390.02</v>
      </c>
      <c r="O73" s="85">
        <f>N73/M73*100</f>
        <v>24.64121788</v>
      </c>
      <c r="P73" s="54"/>
      <c r="Q73" s="54"/>
      <c r="R73" s="54"/>
      <c r="S73" s="54"/>
      <c r="T73" s="54"/>
      <c r="U73" s="54"/>
      <c r="V73" s="54"/>
    </row>
    <row r="74">
      <c r="A74" s="54"/>
      <c r="B74" s="98">
        <v>45512.0</v>
      </c>
      <c r="C74" s="98"/>
      <c r="D74" s="99"/>
      <c r="E74" s="104">
        <v>121868.0</v>
      </c>
      <c r="F74" s="99">
        <f t="shared" si="8"/>
        <v>1763</v>
      </c>
      <c r="G74" s="100">
        <v>1134.0</v>
      </c>
      <c r="H74" s="101">
        <v>449.0</v>
      </c>
      <c r="I74" s="101">
        <v>429.83</v>
      </c>
      <c r="J74" s="102">
        <f t="shared" si="6"/>
        <v>19.17</v>
      </c>
      <c r="K74" s="103">
        <f t="shared" si="7"/>
        <v>24.38060125</v>
      </c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</row>
    <row r="75">
      <c r="A75" s="54"/>
      <c r="B75" s="98">
        <v>45514.0</v>
      </c>
      <c r="C75" s="98"/>
      <c r="D75" s="99"/>
      <c r="E75" s="104">
        <v>123431.0</v>
      </c>
      <c r="F75" s="99">
        <f t="shared" si="8"/>
        <v>1563</v>
      </c>
      <c r="G75" s="100">
        <v>1154.0</v>
      </c>
      <c r="H75" s="101">
        <v>420.0</v>
      </c>
      <c r="I75" s="101">
        <v>404.03</v>
      </c>
      <c r="J75" s="102">
        <f t="shared" si="6"/>
        <v>15.97</v>
      </c>
      <c r="K75" s="103">
        <f t="shared" si="7"/>
        <v>25.84964811</v>
      </c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</row>
    <row r="76">
      <c r="A76" s="54"/>
      <c r="B76" s="98">
        <v>45517.0</v>
      </c>
      <c r="C76" s="98"/>
      <c r="D76" s="99"/>
      <c r="E76" s="100">
        <v>124995.0</v>
      </c>
      <c r="F76" s="99">
        <f t="shared" si="8"/>
        <v>1564</v>
      </c>
      <c r="G76" s="100">
        <v>1143.0</v>
      </c>
      <c r="H76" s="101">
        <v>391.0</v>
      </c>
      <c r="I76" s="101">
        <v>367.78</v>
      </c>
      <c r="J76" s="102">
        <f t="shared" si="6"/>
        <v>23.22</v>
      </c>
      <c r="K76" s="103">
        <f t="shared" si="7"/>
        <v>23.51534527</v>
      </c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</row>
    <row r="77">
      <c r="A77" s="54"/>
      <c r="B77" s="98">
        <v>45519.0</v>
      </c>
      <c r="C77" s="98"/>
      <c r="D77" s="99"/>
      <c r="E77" s="104">
        <v>126560.0</v>
      </c>
      <c r="F77" s="99">
        <f t="shared" si="8"/>
        <v>1565</v>
      </c>
      <c r="G77" s="100">
        <v>1092.0</v>
      </c>
      <c r="H77" s="101">
        <v>357.0</v>
      </c>
      <c r="I77" s="101">
        <v>339.95</v>
      </c>
      <c r="J77" s="102">
        <f t="shared" si="6"/>
        <v>17.05</v>
      </c>
      <c r="K77" s="103">
        <f t="shared" si="7"/>
        <v>21.72204473</v>
      </c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</row>
    <row r="78">
      <c r="A78" s="54"/>
      <c r="B78" s="98">
        <v>45521.0</v>
      </c>
      <c r="C78" s="98"/>
      <c r="D78" s="99"/>
      <c r="E78" s="104">
        <v>127935.0</v>
      </c>
      <c r="F78" s="99">
        <f t="shared" si="8"/>
        <v>1375</v>
      </c>
      <c r="G78" s="100">
        <v>1099.0</v>
      </c>
      <c r="H78" s="101">
        <v>370.0</v>
      </c>
      <c r="I78" s="101">
        <v>360.53</v>
      </c>
      <c r="J78" s="102">
        <f t="shared" si="6"/>
        <v>9.47</v>
      </c>
      <c r="K78" s="103">
        <f t="shared" si="7"/>
        <v>26.22036364</v>
      </c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</row>
    <row r="79">
      <c r="A79" s="54"/>
      <c r="B79" s="98">
        <v>45524.0</v>
      </c>
      <c r="C79" s="98"/>
      <c r="D79" s="102"/>
      <c r="E79" s="100">
        <v>129577.0</v>
      </c>
      <c r="F79" s="99">
        <f t="shared" si="8"/>
        <v>1642</v>
      </c>
      <c r="G79" s="100">
        <v>1106.0</v>
      </c>
      <c r="H79" s="101">
        <v>418.0</v>
      </c>
      <c r="I79" s="101">
        <v>400.11</v>
      </c>
      <c r="J79" s="102">
        <f t="shared" si="6"/>
        <v>17.89</v>
      </c>
      <c r="K79" s="103">
        <f t="shared" si="7"/>
        <v>24.36723508</v>
      </c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</row>
    <row r="80">
      <c r="A80" s="54"/>
      <c r="B80" s="98">
        <v>45527.0</v>
      </c>
      <c r="C80" s="98"/>
      <c r="D80" s="99"/>
      <c r="E80" s="104">
        <v>131771.0</v>
      </c>
      <c r="F80" s="99">
        <f t="shared" si="8"/>
        <v>2194</v>
      </c>
      <c r="G80" s="100">
        <v>971.0</v>
      </c>
      <c r="H80" s="101">
        <v>431.0</v>
      </c>
      <c r="I80" s="101">
        <v>400.0</v>
      </c>
      <c r="J80" s="102">
        <f t="shared" si="6"/>
        <v>31</v>
      </c>
      <c r="K80" s="103">
        <f t="shared" si="7"/>
        <v>18.23154057</v>
      </c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</row>
    <row r="81">
      <c r="A81" s="54"/>
      <c r="B81" s="98">
        <v>45529.0</v>
      </c>
      <c r="C81" s="98"/>
      <c r="D81" s="99"/>
      <c r="E81" s="104">
        <v>133342.0</v>
      </c>
      <c r="F81" s="99">
        <f t="shared" si="8"/>
        <v>1571</v>
      </c>
      <c r="G81" s="100">
        <v>996.0</v>
      </c>
      <c r="H81" s="101">
        <v>431.0</v>
      </c>
      <c r="I81" s="101">
        <v>400.0</v>
      </c>
      <c r="J81" s="102">
        <f t="shared" si="6"/>
        <v>31</v>
      </c>
      <c r="K81" s="103">
        <f t="shared" si="7"/>
        <v>25.4614895</v>
      </c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</row>
    <row r="82">
      <c r="A82" s="54"/>
      <c r="B82" s="98">
        <v>45531.0</v>
      </c>
      <c r="C82" s="98"/>
      <c r="D82" s="99"/>
      <c r="E82" s="104">
        <v>134441.0</v>
      </c>
      <c r="F82" s="99">
        <f t="shared" si="8"/>
        <v>1099</v>
      </c>
      <c r="G82" s="100">
        <v>1161.0</v>
      </c>
      <c r="H82" s="101">
        <v>461.0</v>
      </c>
      <c r="I82" s="101">
        <v>445.75</v>
      </c>
      <c r="J82" s="102">
        <f t="shared" si="6"/>
        <v>15.25</v>
      </c>
      <c r="K82" s="103">
        <f t="shared" si="7"/>
        <v>40.55959964</v>
      </c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</row>
    <row r="83">
      <c r="A83" s="54"/>
      <c r="B83" s="98">
        <v>45534.0</v>
      </c>
      <c r="C83" s="98"/>
      <c r="D83" s="99"/>
      <c r="E83" s="104">
        <v>136629.0</v>
      </c>
      <c r="F83" s="99">
        <f t="shared" si="8"/>
        <v>2188</v>
      </c>
      <c r="G83" s="100">
        <v>1036.0</v>
      </c>
      <c r="H83" s="101">
        <v>430.0</v>
      </c>
      <c r="I83" s="101">
        <v>400.0</v>
      </c>
      <c r="J83" s="102">
        <f t="shared" si="6"/>
        <v>30</v>
      </c>
      <c r="K83" s="103">
        <f t="shared" si="7"/>
        <v>18.28153565</v>
      </c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</row>
    <row r="84">
      <c r="A84" s="54"/>
      <c r="B84" s="98">
        <v>45535.0</v>
      </c>
      <c r="C84" s="98"/>
      <c r="D84" s="99"/>
      <c r="E84" s="100">
        <v>137290.0</v>
      </c>
      <c r="F84" s="99">
        <f t="shared" si="8"/>
        <v>661</v>
      </c>
      <c r="G84" s="100">
        <v>1157.0</v>
      </c>
      <c r="H84" s="101">
        <v>316.0</v>
      </c>
      <c r="I84" s="101">
        <v>300.64</v>
      </c>
      <c r="J84" s="102">
        <f t="shared" si="6"/>
        <v>15.36</v>
      </c>
      <c r="K84" s="103">
        <f t="shared" si="7"/>
        <v>45.48260212</v>
      </c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</row>
    <row r="85">
      <c r="A85" s="66"/>
      <c r="B85" s="67" t="s">
        <v>104</v>
      </c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8"/>
      <c r="X85" s="68"/>
      <c r="Y85" s="68"/>
      <c r="Z85" s="68"/>
      <c r="AA85" s="68"/>
    </row>
    <row r="86">
      <c r="A86" s="54"/>
      <c r="B86" s="98">
        <v>45547.0</v>
      </c>
      <c r="C86" s="98"/>
      <c r="D86" s="99"/>
      <c r="E86" s="100">
        <v>140110.0</v>
      </c>
      <c r="F86" s="99">
        <f>E86-E84</f>
        <v>2820</v>
      </c>
      <c r="G86" s="100">
        <v>969.0</v>
      </c>
      <c r="H86" s="101">
        <v>521.0</v>
      </c>
      <c r="I86" s="101">
        <v>500.0</v>
      </c>
      <c r="J86" s="102">
        <f t="shared" ref="J86:J93" si="9">H86-I86</f>
        <v>21</v>
      </c>
      <c r="K86" s="103">
        <f t="shared" ref="K86:K93" si="10">I86/F86*100</f>
        <v>17.73049645</v>
      </c>
      <c r="L86" s="54"/>
      <c r="M86" s="82" t="str">
        <f>"тотал"&amp;" "&amp;B85</f>
        <v>тотал СЕНТЯБРЬ</v>
      </c>
      <c r="N86" s="75"/>
      <c r="O86" s="76"/>
      <c r="P86" s="54"/>
      <c r="Q86" s="54"/>
      <c r="R86" s="54"/>
      <c r="S86" s="54"/>
      <c r="T86" s="54"/>
      <c r="U86" s="54"/>
      <c r="V86" s="54"/>
    </row>
    <row r="87">
      <c r="A87" s="54"/>
      <c r="B87" s="98">
        <v>45549.0</v>
      </c>
      <c r="C87" s="98"/>
      <c r="D87" s="99"/>
      <c r="E87" s="131">
        <v>141674.0</v>
      </c>
      <c r="F87" s="99">
        <f t="shared" ref="F87:F93" si="11">E87-E86</f>
        <v>1564</v>
      </c>
      <c r="G87" s="100">
        <v>1107.0</v>
      </c>
      <c r="H87" s="101">
        <v>515.0</v>
      </c>
      <c r="I87" s="101">
        <v>500.0</v>
      </c>
      <c r="J87" s="102">
        <f t="shared" si="9"/>
        <v>15</v>
      </c>
      <c r="K87" s="103">
        <f t="shared" si="10"/>
        <v>31.96930946</v>
      </c>
      <c r="L87" s="54"/>
      <c r="M87" s="83" t="s">
        <v>70</v>
      </c>
      <c r="N87" s="83" t="s">
        <v>71</v>
      </c>
      <c r="O87" s="83" t="s">
        <v>27</v>
      </c>
      <c r="P87" s="54"/>
      <c r="Q87" s="54"/>
      <c r="R87" s="54"/>
      <c r="S87" s="54"/>
      <c r="T87" s="54"/>
      <c r="U87" s="54"/>
      <c r="V87" s="54"/>
    </row>
    <row r="88">
      <c r="A88" s="54"/>
      <c r="B88" s="98">
        <v>45552.0</v>
      </c>
      <c r="C88" s="98"/>
      <c r="D88" s="99"/>
      <c r="E88" s="100">
        <v>143035.0</v>
      </c>
      <c r="F88" s="99">
        <f t="shared" si="11"/>
        <v>1361</v>
      </c>
      <c r="G88" s="100">
        <v>1152.0</v>
      </c>
      <c r="H88" s="101">
        <v>391.0</v>
      </c>
      <c r="I88" s="101">
        <v>376.68</v>
      </c>
      <c r="J88" s="102">
        <f t="shared" si="9"/>
        <v>14.32</v>
      </c>
      <c r="K88" s="103">
        <f t="shared" si="10"/>
        <v>27.6767083</v>
      </c>
      <c r="L88" s="54"/>
      <c r="M88" s="84">
        <f>SUM(F86:F93)</f>
        <v>13781</v>
      </c>
      <c r="N88" s="84">
        <f>SUM(I86:I93)</f>
        <v>3372.84</v>
      </c>
      <c r="O88" s="85">
        <f>N88/M88*100</f>
        <v>24.47456643</v>
      </c>
      <c r="P88" s="54"/>
      <c r="Q88" s="54"/>
      <c r="R88" s="54"/>
      <c r="S88" s="54"/>
      <c r="T88" s="54"/>
      <c r="U88" s="54"/>
      <c r="V88" s="54"/>
    </row>
    <row r="89">
      <c r="A89" s="54"/>
      <c r="B89" s="98">
        <v>45554.0</v>
      </c>
      <c r="C89" s="98"/>
      <c r="D89" s="99"/>
      <c r="E89" s="104">
        <v>145026.0</v>
      </c>
      <c r="F89" s="99">
        <f t="shared" si="11"/>
        <v>1991</v>
      </c>
      <c r="G89" s="100">
        <v>1113.0</v>
      </c>
      <c r="H89" s="101">
        <v>467.0</v>
      </c>
      <c r="I89" s="101">
        <v>449.97</v>
      </c>
      <c r="J89" s="102">
        <f t="shared" si="9"/>
        <v>17.03</v>
      </c>
      <c r="K89" s="103">
        <f t="shared" si="10"/>
        <v>22.6002009</v>
      </c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</row>
    <row r="90">
      <c r="A90" s="54"/>
      <c r="B90" s="98">
        <v>45556.0</v>
      </c>
      <c r="C90" s="98"/>
      <c r="D90" s="99"/>
      <c r="E90" s="104">
        <v>146593.0</v>
      </c>
      <c r="F90" s="99">
        <f t="shared" si="11"/>
        <v>1567</v>
      </c>
      <c r="G90" s="100">
        <v>1124.0</v>
      </c>
      <c r="H90" s="101">
        <v>406.0</v>
      </c>
      <c r="I90" s="101">
        <v>390.04</v>
      </c>
      <c r="J90" s="102">
        <f t="shared" si="9"/>
        <v>15.96</v>
      </c>
      <c r="K90" s="103">
        <f t="shared" si="10"/>
        <v>24.89087428</v>
      </c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</row>
    <row r="91">
      <c r="A91" s="54"/>
      <c r="B91" s="98">
        <v>45560.0</v>
      </c>
      <c r="C91" s="98"/>
      <c r="D91" s="99"/>
      <c r="E91" s="100">
        <v>149225.0</v>
      </c>
      <c r="F91" s="99">
        <f t="shared" si="11"/>
        <v>2632</v>
      </c>
      <c r="G91" s="100">
        <v>887.0</v>
      </c>
      <c r="H91" s="101">
        <v>420.0</v>
      </c>
      <c r="I91" s="101">
        <v>400.0</v>
      </c>
      <c r="J91" s="102">
        <f t="shared" si="9"/>
        <v>20</v>
      </c>
      <c r="K91" s="103">
        <f t="shared" si="10"/>
        <v>15.19756839</v>
      </c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</row>
    <row r="92">
      <c r="A92" s="54"/>
      <c r="B92" s="98">
        <v>45562.0</v>
      </c>
      <c r="C92" s="98"/>
      <c r="D92" s="99"/>
      <c r="E92" s="100">
        <v>150806.0</v>
      </c>
      <c r="F92" s="99">
        <f t="shared" si="11"/>
        <v>1581</v>
      </c>
      <c r="G92" s="100">
        <v>899.0</v>
      </c>
      <c r="H92" s="101">
        <v>429.0</v>
      </c>
      <c r="I92" s="101">
        <v>400.0</v>
      </c>
      <c r="J92" s="102">
        <f t="shared" si="9"/>
        <v>29</v>
      </c>
      <c r="K92" s="103">
        <f t="shared" si="10"/>
        <v>25.30044276</v>
      </c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</row>
    <row r="93">
      <c r="A93" s="54"/>
      <c r="B93" s="98">
        <v>45562.0</v>
      </c>
      <c r="C93" s="98"/>
      <c r="D93" s="99"/>
      <c r="E93" s="100">
        <v>151071.0</v>
      </c>
      <c r="F93" s="99">
        <f t="shared" si="11"/>
        <v>265</v>
      </c>
      <c r="G93" s="100">
        <v>1182.0</v>
      </c>
      <c r="H93" s="101">
        <v>374.0</v>
      </c>
      <c r="I93" s="101">
        <v>356.15</v>
      </c>
      <c r="J93" s="102">
        <f t="shared" si="9"/>
        <v>17.85</v>
      </c>
      <c r="K93" s="103">
        <f t="shared" si="10"/>
        <v>134.3962264</v>
      </c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</row>
    <row r="94">
      <c r="A94" s="66"/>
      <c r="B94" s="67" t="s">
        <v>96</v>
      </c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8"/>
      <c r="X94" s="68"/>
      <c r="Y94" s="68"/>
      <c r="Z94" s="68"/>
      <c r="AA94" s="68"/>
    </row>
    <row r="95">
      <c r="A95" s="54"/>
      <c r="B95" s="110">
        <v>45566.0</v>
      </c>
      <c r="C95" s="110"/>
      <c r="D95" s="99"/>
      <c r="E95" s="480">
        <v>153298.0</v>
      </c>
      <c r="F95" s="99">
        <f>E95-E93</f>
        <v>2227</v>
      </c>
      <c r="G95" s="100">
        <v>1081.0</v>
      </c>
      <c r="H95" s="101">
        <v>476.0</v>
      </c>
      <c r="I95" s="101">
        <v>448.58</v>
      </c>
      <c r="J95" s="102">
        <f t="shared" ref="J95:J108" si="12">H95-I95</f>
        <v>27.42</v>
      </c>
      <c r="K95" s="103">
        <f>I95/F95*100</f>
        <v>20.142793</v>
      </c>
      <c r="L95" s="54"/>
      <c r="M95" s="205" t="str">
        <f>"тотал"&amp;" "&amp;B94&amp;" "&amp;RIGHT(YEAR(B95),2)</f>
        <v>тотал ОКТЯБРЬ 24</v>
      </c>
      <c r="N95" s="75"/>
      <c r="O95" s="75"/>
      <c r="P95" s="75"/>
      <c r="Q95" s="76"/>
      <c r="R95" s="54"/>
      <c r="S95" s="54"/>
      <c r="T95" s="54"/>
      <c r="U95" s="54"/>
      <c r="V95" s="54"/>
    </row>
    <row r="96">
      <c r="A96" s="54"/>
      <c r="B96" s="110">
        <v>45568.0</v>
      </c>
      <c r="C96" s="110"/>
      <c r="D96" s="102"/>
      <c r="E96" s="102"/>
      <c r="F96" s="102"/>
      <c r="G96" s="102"/>
      <c r="H96" s="102"/>
      <c r="I96" s="101">
        <v>15.2</v>
      </c>
      <c r="J96" s="102">
        <f t="shared" si="12"/>
        <v>-15.2</v>
      </c>
      <c r="K96" s="103"/>
      <c r="L96" s="54"/>
      <c r="M96" s="83" t="s">
        <v>70</v>
      </c>
      <c r="N96" s="83" t="s">
        <v>71</v>
      </c>
      <c r="O96" s="83" t="s">
        <v>27</v>
      </c>
      <c r="P96" s="83" t="s">
        <v>28</v>
      </c>
      <c r="Q96" s="321" t="s">
        <v>78</v>
      </c>
      <c r="R96" s="54"/>
      <c r="S96" s="54"/>
      <c r="T96" s="54"/>
      <c r="U96" s="54"/>
      <c r="V96" s="54"/>
    </row>
    <row r="97">
      <c r="A97" s="54"/>
      <c r="B97" s="110">
        <v>45569.0</v>
      </c>
      <c r="C97" s="110"/>
      <c r="D97" s="99"/>
      <c r="E97" s="100">
        <v>155532.0</v>
      </c>
      <c r="F97" s="99">
        <f>E97-E95</f>
        <v>2234</v>
      </c>
      <c r="G97" s="100">
        <v>433.0</v>
      </c>
      <c r="H97" s="101">
        <v>433.0</v>
      </c>
      <c r="I97" s="101">
        <v>400.0</v>
      </c>
      <c r="J97" s="102">
        <f t="shared" si="12"/>
        <v>33</v>
      </c>
      <c r="K97" s="103">
        <f t="shared" ref="K97:K108" si="13">I97/F97*100</f>
        <v>17.90510295</v>
      </c>
      <c r="L97" s="54"/>
      <c r="M97" s="84">
        <f>SUM(F95:F108)</f>
        <v>21976</v>
      </c>
      <c r="N97" s="84">
        <f>SUM(I95:I108)</f>
        <v>5589.25</v>
      </c>
      <c r="O97" s="85">
        <f>N97/M97*100</f>
        <v>25.43342738</v>
      </c>
      <c r="P97" s="84">
        <f>(M97/100)*(O97-Q97)</f>
        <v>-344.27</v>
      </c>
      <c r="Q97" s="464">
        <v>27.0</v>
      </c>
      <c r="R97" s="54"/>
      <c r="S97" s="54"/>
      <c r="T97" s="54"/>
      <c r="U97" s="54"/>
      <c r="V97" s="54"/>
    </row>
    <row r="98">
      <c r="A98" s="54"/>
      <c r="B98" s="110">
        <v>45571.0</v>
      </c>
      <c r="C98" s="110"/>
      <c r="D98" s="99"/>
      <c r="E98" s="100">
        <v>157095.0</v>
      </c>
      <c r="F98" s="99">
        <f t="shared" ref="F98:F108" si="14">E98-E97</f>
        <v>1563</v>
      </c>
      <c r="G98" s="100">
        <v>426.0</v>
      </c>
      <c r="H98" s="101">
        <v>426.0</v>
      </c>
      <c r="I98" s="101">
        <v>400.0</v>
      </c>
      <c r="J98" s="102">
        <f t="shared" si="12"/>
        <v>26</v>
      </c>
      <c r="K98" s="103">
        <f t="shared" si="13"/>
        <v>25.59181062</v>
      </c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</row>
    <row r="99">
      <c r="A99" s="54"/>
      <c r="B99" s="110">
        <v>45574.0</v>
      </c>
      <c r="C99" s="110"/>
      <c r="D99" s="99"/>
      <c r="E99" s="100">
        <v>158539.0</v>
      </c>
      <c r="F99" s="99">
        <f t="shared" si="14"/>
        <v>1444</v>
      </c>
      <c r="G99" s="100">
        <v>516.0</v>
      </c>
      <c r="H99" s="101">
        <v>528.0</v>
      </c>
      <c r="I99" s="101">
        <v>500.0</v>
      </c>
      <c r="J99" s="102">
        <f t="shared" si="12"/>
        <v>28</v>
      </c>
      <c r="K99" s="103">
        <f t="shared" si="13"/>
        <v>34.62603878</v>
      </c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</row>
    <row r="100">
      <c r="A100" s="54"/>
      <c r="B100" s="110">
        <v>45576.0</v>
      </c>
      <c r="C100" s="110"/>
      <c r="D100" s="99"/>
      <c r="E100" s="100">
        <v>160108.0</v>
      </c>
      <c r="F100" s="99">
        <f t="shared" si="14"/>
        <v>1569</v>
      </c>
      <c r="G100" s="100">
        <v>670.0</v>
      </c>
      <c r="H100" s="101">
        <v>557.0</v>
      </c>
      <c r="I100" s="101">
        <v>525.47</v>
      </c>
      <c r="J100" s="102">
        <f t="shared" si="12"/>
        <v>31.53</v>
      </c>
      <c r="K100" s="103">
        <f t="shared" si="13"/>
        <v>33.49075844</v>
      </c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</row>
    <row r="101">
      <c r="A101" s="54"/>
      <c r="B101" s="110">
        <v>45579.0</v>
      </c>
      <c r="C101" s="110"/>
      <c r="D101" s="99"/>
      <c r="E101" s="100">
        <v>162072.0</v>
      </c>
      <c r="F101" s="99">
        <f t="shared" si="14"/>
        <v>1964</v>
      </c>
      <c r="G101" s="100">
        <v>1042.0</v>
      </c>
      <c r="H101" s="101">
        <v>417.0</v>
      </c>
      <c r="I101" s="101">
        <v>400.0</v>
      </c>
      <c r="J101" s="102">
        <f t="shared" si="12"/>
        <v>17</v>
      </c>
      <c r="K101" s="103">
        <f t="shared" si="13"/>
        <v>20.36659878</v>
      </c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</row>
    <row r="102">
      <c r="A102" s="54"/>
      <c r="B102" s="110">
        <v>45581.0</v>
      </c>
      <c r="C102" s="110"/>
      <c r="D102" s="99"/>
      <c r="E102" s="100">
        <v>163260.0</v>
      </c>
      <c r="F102" s="99">
        <f t="shared" si="14"/>
        <v>1188</v>
      </c>
      <c r="G102" s="100">
        <v>935.0</v>
      </c>
      <c r="H102" s="101">
        <v>213.0</v>
      </c>
      <c r="I102" s="101">
        <v>200.0</v>
      </c>
      <c r="J102" s="102">
        <f t="shared" si="12"/>
        <v>13</v>
      </c>
      <c r="K102" s="103">
        <f t="shared" si="13"/>
        <v>16.83501684</v>
      </c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</row>
    <row r="103">
      <c r="A103" s="54"/>
      <c r="B103" s="110">
        <v>45583.0</v>
      </c>
      <c r="C103" s="110"/>
      <c r="D103" s="99"/>
      <c r="E103" s="100">
        <v>164835.0</v>
      </c>
      <c r="F103" s="99">
        <f t="shared" si="14"/>
        <v>1575</v>
      </c>
      <c r="G103" s="100">
        <v>1033.0</v>
      </c>
      <c r="H103" s="101">
        <v>525.0</v>
      </c>
      <c r="I103" s="101">
        <v>500.0</v>
      </c>
      <c r="J103" s="102">
        <f t="shared" si="12"/>
        <v>25</v>
      </c>
      <c r="K103" s="103">
        <f t="shared" si="13"/>
        <v>31.74603175</v>
      </c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</row>
    <row r="104">
      <c r="A104" s="54"/>
      <c r="B104" s="110">
        <v>45584.0</v>
      </c>
      <c r="C104" s="110"/>
      <c r="D104" s="99"/>
      <c r="E104" s="100">
        <v>166469.0</v>
      </c>
      <c r="F104" s="99">
        <f t="shared" si="14"/>
        <v>1634</v>
      </c>
      <c r="G104" s="100">
        <v>1082.0</v>
      </c>
      <c r="H104" s="101">
        <v>525.0</v>
      </c>
      <c r="I104" s="101">
        <v>500.0</v>
      </c>
      <c r="J104" s="102">
        <f t="shared" si="12"/>
        <v>25</v>
      </c>
      <c r="K104" s="103">
        <f t="shared" si="13"/>
        <v>30.5997552</v>
      </c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</row>
    <row r="105">
      <c r="A105" s="54"/>
      <c r="B105" s="110">
        <v>45588.0</v>
      </c>
      <c r="C105" s="110"/>
      <c r="D105" s="99"/>
      <c r="E105" s="100">
        <v>168330.0</v>
      </c>
      <c r="F105" s="99">
        <f t="shared" si="14"/>
        <v>1861</v>
      </c>
      <c r="G105" s="100">
        <v>1121.0</v>
      </c>
      <c r="H105" s="101">
        <v>534.0</v>
      </c>
      <c r="I105" s="101">
        <v>500.0</v>
      </c>
      <c r="J105" s="102">
        <f t="shared" si="12"/>
        <v>34</v>
      </c>
      <c r="K105" s="103">
        <f t="shared" si="13"/>
        <v>26.86727566</v>
      </c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</row>
    <row r="106">
      <c r="A106" s="54"/>
      <c r="B106" s="110">
        <v>45590.0</v>
      </c>
      <c r="C106" s="110"/>
      <c r="D106" s="99"/>
      <c r="E106" s="100">
        <v>169911.0</v>
      </c>
      <c r="F106" s="99">
        <f t="shared" si="14"/>
        <v>1581</v>
      </c>
      <c r="G106" s="100">
        <v>1003.0</v>
      </c>
      <c r="H106" s="101">
        <v>327.0</v>
      </c>
      <c r="I106" s="101">
        <v>300.0</v>
      </c>
      <c r="J106" s="102">
        <f t="shared" si="12"/>
        <v>27</v>
      </c>
      <c r="K106" s="103">
        <f t="shared" si="13"/>
        <v>18.97533207</v>
      </c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</row>
    <row r="107">
      <c r="A107" s="54"/>
      <c r="B107" s="110">
        <v>45592.0</v>
      </c>
      <c r="C107" s="110"/>
      <c r="D107" s="99"/>
      <c r="E107" s="100">
        <v>171486.0</v>
      </c>
      <c r="F107" s="99">
        <f t="shared" si="14"/>
        <v>1575</v>
      </c>
      <c r="G107" s="100">
        <v>1008.0</v>
      </c>
      <c r="H107" s="101">
        <v>432.0</v>
      </c>
      <c r="I107" s="101">
        <v>400.0</v>
      </c>
      <c r="J107" s="102">
        <f t="shared" si="12"/>
        <v>32</v>
      </c>
      <c r="K107" s="103">
        <f t="shared" si="13"/>
        <v>25.3968254</v>
      </c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</row>
    <row r="108">
      <c r="A108" s="54"/>
      <c r="B108" s="110">
        <v>45595.0</v>
      </c>
      <c r="C108" s="110"/>
      <c r="D108" s="99"/>
      <c r="E108" s="100">
        <v>173047.0</v>
      </c>
      <c r="F108" s="99">
        <f t="shared" si="14"/>
        <v>1561</v>
      </c>
      <c r="G108" s="100">
        <v>1113.0</v>
      </c>
      <c r="H108" s="101">
        <v>542.0</v>
      </c>
      <c r="I108" s="101">
        <v>500.0</v>
      </c>
      <c r="J108" s="102">
        <f t="shared" si="12"/>
        <v>42</v>
      </c>
      <c r="K108" s="103">
        <f t="shared" si="13"/>
        <v>32.03074952</v>
      </c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</row>
    <row r="109">
      <c r="A109" s="66"/>
      <c r="B109" s="67" t="s">
        <v>97</v>
      </c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8"/>
      <c r="X109" s="68"/>
      <c r="Y109" s="68"/>
      <c r="Z109" s="68"/>
      <c r="AA109" s="68"/>
    </row>
    <row r="110">
      <c r="A110" s="54"/>
      <c r="B110" s="110">
        <v>45599.0</v>
      </c>
      <c r="C110" s="110"/>
      <c r="D110" s="99"/>
      <c r="E110" s="100">
        <v>176141.0</v>
      </c>
      <c r="F110" s="99">
        <f>E110-E108</f>
        <v>3094</v>
      </c>
      <c r="G110" s="100">
        <v>1197.0</v>
      </c>
      <c r="H110" s="101">
        <v>944.0</v>
      </c>
      <c r="I110" s="101">
        <v>947.37</v>
      </c>
      <c r="J110" s="102">
        <f t="shared" ref="J110:J120" si="15">H110-I110</f>
        <v>-3.37</v>
      </c>
      <c r="K110" s="103">
        <f t="shared" ref="K110:K120" si="16">I110/F110*100</f>
        <v>30.6195863</v>
      </c>
      <c r="L110" s="54"/>
      <c r="M110" s="205" t="str">
        <f>"тотал"&amp;" "&amp;B109&amp;" "&amp;RIGHT(YEAR(B110),2)</f>
        <v>тотал НОЯБРЬ 24</v>
      </c>
      <c r="N110" s="75"/>
      <c r="O110" s="75"/>
      <c r="P110" s="75"/>
      <c r="Q110" s="76"/>
      <c r="R110" s="54"/>
      <c r="S110" s="54"/>
      <c r="T110" s="54"/>
      <c r="U110" s="54"/>
      <c r="V110" s="54"/>
    </row>
    <row r="111">
      <c r="A111" s="54"/>
      <c r="B111" s="110">
        <v>45604.0</v>
      </c>
      <c r="C111" s="110"/>
      <c r="D111" s="99"/>
      <c r="E111" s="100">
        <v>178765.0</v>
      </c>
      <c r="F111" s="99">
        <f t="shared" ref="F111:F120" si="17">E111-E110</f>
        <v>2624</v>
      </c>
      <c r="G111" s="100">
        <v>1109.0</v>
      </c>
      <c r="H111" s="101">
        <v>639.0</v>
      </c>
      <c r="I111" s="101">
        <v>600.0</v>
      </c>
      <c r="J111" s="102">
        <f t="shared" si="15"/>
        <v>39</v>
      </c>
      <c r="K111" s="103">
        <f t="shared" si="16"/>
        <v>22.86585366</v>
      </c>
      <c r="L111" s="54"/>
      <c r="M111" s="83" t="s">
        <v>70</v>
      </c>
      <c r="N111" s="83" t="s">
        <v>71</v>
      </c>
      <c r="O111" s="83" t="s">
        <v>27</v>
      </c>
      <c r="P111" s="83" t="s">
        <v>28</v>
      </c>
      <c r="Q111" s="321" t="s">
        <v>78</v>
      </c>
      <c r="R111" s="54"/>
      <c r="S111" s="54"/>
      <c r="T111" s="54"/>
      <c r="U111" s="54"/>
      <c r="V111" s="54"/>
    </row>
    <row r="112">
      <c r="A112" s="54"/>
      <c r="B112" s="110">
        <v>45606.0</v>
      </c>
      <c r="C112" s="110"/>
      <c r="D112" s="99"/>
      <c r="E112" s="100">
        <v>180323.0</v>
      </c>
      <c r="F112" s="99">
        <f t="shared" si="17"/>
        <v>1558</v>
      </c>
      <c r="G112" s="100">
        <v>1106.0</v>
      </c>
      <c r="H112" s="101">
        <v>427.0</v>
      </c>
      <c r="I112" s="101">
        <v>400.0</v>
      </c>
      <c r="J112" s="102">
        <f t="shared" si="15"/>
        <v>27</v>
      </c>
      <c r="K112" s="103">
        <f t="shared" si="16"/>
        <v>25.67394095</v>
      </c>
      <c r="L112" s="54"/>
      <c r="M112" s="84">
        <f>SUM(F110:F120)</f>
        <v>20488</v>
      </c>
      <c r="N112" s="84">
        <f>SUM(I110:I120)</f>
        <v>5447.37</v>
      </c>
      <c r="O112" s="85">
        <f>N112/M112*100</f>
        <v>26.58810035</v>
      </c>
      <c r="P112" s="84">
        <f>(M112/100)*(O112-Q112)</f>
        <v>-84.39</v>
      </c>
      <c r="Q112" s="464">
        <v>27.0</v>
      </c>
      <c r="R112" s="54"/>
      <c r="S112" s="54"/>
      <c r="T112" s="54"/>
      <c r="U112" s="54"/>
      <c r="V112" s="54"/>
    </row>
    <row r="113">
      <c r="A113" s="54"/>
      <c r="B113" s="110">
        <v>45609.0</v>
      </c>
      <c r="C113" s="110"/>
      <c r="D113" s="99"/>
      <c r="E113" s="100">
        <v>182453.0</v>
      </c>
      <c r="F113" s="99">
        <f t="shared" si="17"/>
        <v>2130</v>
      </c>
      <c r="G113" s="100">
        <v>1054.0</v>
      </c>
      <c r="H113" s="101">
        <v>532.0</v>
      </c>
      <c r="I113" s="101">
        <v>500.0</v>
      </c>
      <c r="J113" s="102">
        <f t="shared" si="15"/>
        <v>32</v>
      </c>
      <c r="K113" s="103">
        <f t="shared" si="16"/>
        <v>23.4741784</v>
      </c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</row>
    <row r="114">
      <c r="A114" s="54"/>
      <c r="B114" s="110">
        <v>45611.0</v>
      </c>
      <c r="C114" s="110"/>
      <c r="D114" s="99"/>
      <c r="E114" s="100">
        <v>184032.0</v>
      </c>
      <c r="F114" s="99">
        <f t="shared" si="17"/>
        <v>1579</v>
      </c>
      <c r="G114" s="100">
        <v>1139.0</v>
      </c>
      <c r="H114" s="101">
        <v>534.0</v>
      </c>
      <c r="I114" s="101">
        <v>500.0</v>
      </c>
      <c r="J114" s="102">
        <f t="shared" si="15"/>
        <v>34</v>
      </c>
      <c r="K114" s="103">
        <f t="shared" si="16"/>
        <v>31.66561115</v>
      </c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</row>
    <row r="115">
      <c r="A115" s="54"/>
      <c r="B115" s="110">
        <v>45613.0</v>
      </c>
      <c r="C115" s="110"/>
      <c r="D115" s="99"/>
      <c r="E115" s="100">
        <v>185625.0</v>
      </c>
      <c r="F115" s="99">
        <f t="shared" si="17"/>
        <v>1593</v>
      </c>
      <c r="G115" s="100">
        <v>1093.0</v>
      </c>
      <c r="H115" s="101">
        <v>418.0</v>
      </c>
      <c r="I115" s="101">
        <v>400.0</v>
      </c>
      <c r="J115" s="102">
        <f t="shared" si="15"/>
        <v>18</v>
      </c>
      <c r="K115" s="103">
        <f t="shared" si="16"/>
        <v>25.10985562</v>
      </c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</row>
    <row r="116">
      <c r="A116" s="54"/>
      <c r="B116" s="110">
        <v>45616.0</v>
      </c>
      <c r="C116" s="110"/>
      <c r="D116" s="99"/>
      <c r="E116" s="100">
        <v>187209.0</v>
      </c>
      <c r="F116" s="99">
        <f t="shared" si="17"/>
        <v>1584</v>
      </c>
      <c r="G116" s="100">
        <v>1076.0</v>
      </c>
      <c r="H116" s="101">
        <v>419.0</v>
      </c>
      <c r="I116" s="101">
        <v>400.0</v>
      </c>
      <c r="J116" s="102">
        <f t="shared" si="15"/>
        <v>19</v>
      </c>
      <c r="K116" s="103">
        <f t="shared" si="16"/>
        <v>25.25252525</v>
      </c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</row>
    <row r="117">
      <c r="A117" s="54"/>
      <c r="B117" s="110">
        <v>45618.0</v>
      </c>
      <c r="C117" s="110"/>
      <c r="D117" s="99"/>
      <c r="E117" s="100">
        <v>188787.0</v>
      </c>
      <c r="F117" s="99">
        <f t="shared" si="17"/>
        <v>1578</v>
      </c>
      <c r="G117" s="100">
        <v>1045.0</v>
      </c>
      <c r="H117" s="101">
        <v>413.0</v>
      </c>
      <c r="I117" s="101">
        <v>400.0</v>
      </c>
      <c r="J117" s="102">
        <f t="shared" si="15"/>
        <v>13</v>
      </c>
      <c r="K117" s="103">
        <f t="shared" si="16"/>
        <v>25.34854246</v>
      </c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</row>
    <row r="118">
      <c r="A118" s="54"/>
      <c r="B118" s="110">
        <v>45620.0</v>
      </c>
      <c r="C118" s="110"/>
      <c r="D118" s="99"/>
      <c r="E118" s="100">
        <v>190366.0</v>
      </c>
      <c r="F118" s="99">
        <f t="shared" si="17"/>
        <v>1579</v>
      </c>
      <c r="G118" s="100">
        <v>1027.0</v>
      </c>
      <c r="H118" s="101">
        <v>420.0</v>
      </c>
      <c r="I118" s="101">
        <v>400.0</v>
      </c>
      <c r="J118" s="102">
        <f t="shared" si="15"/>
        <v>20</v>
      </c>
      <c r="K118" s="103">
        <f t="shared" si="16"/>
        <v>25.33248892</v>
      </c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</row>
    <row r="119">
      <c r="A119" s="54"/>
      <c r="B119" s="110">
        <v>45623.0</v>
      </c>
      <c r="C119" s="110"/>
      <c r="D119" s="99"/>
      <c r="E119" s="100">
        <v>191950.0</v>
      </c>
      <c r="F119" s="99">
        <f t="shared" si="17"/>
        <v>1584</v>
      </c>
      <c r="G119" s="100">
        <v>998.0</v>
      </c>
      <c r="H119" s="101">
        <v>418.0</v>
      </c>
      <c r="I119" s="101">
        <v>400.0</v>
      </c>
      <c r="J119" s="102">
        <f t="shared" si="15"/>
        <v>18</v>
      </c>
      <c r="K119" s="103">
        <f t="shared" si="16"/>
        <v>25.25252525</v>
      </c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</row>
    <row r="120">
      <c r="A120" s="54"/>
      <c r="B120" s="110">
        <v>45625.0</v>
      </c>
      <c r="C120" s="110"/>
      <c r="D120" s="99"/>
      <c r="E120" s="100">
        <v>193535.0</v>
      </c>
      <c r="F120" s="99">
        <f t="shared" si="17"/>
        <v>1585</v>
      </c>
      <c r="G120" s="100">
        <v>1076.0</v>
      </c>
      <c r="H120" s="101">
        <v>527.0</v>
      </c>
      <c r="I120" s="101">
        <v>500.0</v>
      </c>
      <c r="J120" s="102">
        <f t="shared" si="15"/>
        <v>27</v>
      </c>
      <c r="K120" s="103">
        <f t="shared" si="16"/>
        <v>31.54574132</v>
      </c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</row>
    <row r="121">
      <c r="A121" s="66"/>
      <c r="B121" s="67" t="s">
        <v>98</v>
      </c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8"/>
      <c r="X121" s="68"/>
      <c r="Y121" s="68"/>
      <c r="Z121" s="68"/>
      <c r="AA121" s="68"/>
    </row>
    <row r="122">
      <c r="A122" s="54"/>
      <c r="B122" s="110">
        <v>45627.0</v>
      </c>
      <c r="C122" s="110"/>
      <c r="D122" s="99"/>
      <c r="E122" s="100">
        <v>195114.0</v>
      </c>
      <c r="F122" s="99">
        <f>E122-E120</f>
        <v>1579</v>
      </c>
      <c r="G122" s="100">
        <v>1039.0</v>
      </c>
      <c r="H122" s="101">
        <v>427.0</v>
      </c>
      <c r="I122" s="101">
        <v>400.0</v>
      </c>
      <c r="J122" s="102">
        <f t="shared" ref="J122:J132" si="18">H122-I122</f>
        <v>27</v>
      </c>
      <c r="K122" s="103">
        <f t="shared" ref="K122:K132" si="19">I122/F122*100</f>
        <v>25.33248892</v>
      </c>
      <c r="L122" s="54"/>
      <c r="M122" s="205" t="str">
        <f>"тотал"&amp;" "&amp;B121&amp;" "&amp;RIGHT(YEAR(B122),2)</f>
        <v>тотал ДЕКАБРЬ 24</v>
      </c>
      <c r="N122" s="75"/>
      <c r="O122" s="75"/>
      <c r="P122" s="75"/>
      <c r="Q122" s="76"/>
      <c r="R122" s="54"/>
      <c r="S122" s="54"/>
      <c r="T122" s="54"/>
      <c r="U122" s="54"/>
      <c r="V122" s="54"/>
    </row>
    <row r="123">
      <c r="A123" s="54"/>
      <c r="B123" s="110">
        <v>45629.0</v>
      </c>
      <c r="C123" s="110"/>
      <c r="D123" s="99"/>
      <c r="E123" s="100">
        <v>196693.0</v>
      </c>
      <c r="F123" s="99">
        <f t="shared" ref="F123:F132" si="20">E123-E122</f>
        <v>1579</v>
      </c>
      <c r="G123" s="100">
        <v>1000.0</v>
      </c>
      <c r="H123" s="101">
        <v>407.0</v>
      </c>
      <c r="I123" s="101">
        <v>400.0</v>
      </c>
      <c r="J123" s="102">
        <f t="shared" si="18"/>
        <v>7</v>
      </c>
      <c r="K123" s="103">
        <f t="shared" si="19"/>
        <v>25.33248892</v>
      </c>
      <c r="L123" s="54"/>
      <c r="M123" s="83" t="s">
        <v>70</v>
      </c>
      <c r="N123" s="83" t="s">
        <v>71</v>
      </c>
      <c r="O123" s="83" t="s">
        <v>27</v>
      </c>
      <c r="P123" s="83" t="s">
        <v>28</v>
      </c>
      <c r="Q123" s="321" t="s">
        <v>78</v>
      </c>
      <c r="R123" s="54"/>
      <c r="S123" s="54"/>
      <c r="T123" s="54"/>
      <c r="U123" s="54"/>
      <c r="V123" s="54"/>
    </row>
    <row r="124">
      <c r="A124" s="54"/>
      <c r="B124" s="110">
        <v>45631.0</v>
      </c>
      <c r="C124" s="110"/>
      <c r="D124" s="99"/>
      <c r="E124" s="100">
        <v>198298.0</v>
      </c>
      <c r="F124" s="99">
        <f t="shared" si="20"/>
        <v>1605</v>
      </c>
      <c r="G124" s="100">
        <v>1047.0</v>
      </c>
      <c r="H124" s="101">
        <v>523.0</v>
      </c>
      <c r="I124" s="101">
        <v>500.0</v>
      </c>
      <c r="J124" s="102">
        <f t="shared" si="18"/>
        <v>23</v>
      </c>
      <c r="K124" s="103">
        <f t="shared" si="19"/>
        <v>31.15264798</v>
      </c>
      <c r="L124" s="54"/>
      <c r="M124" s="84">
        <f>SUM(F122:F132)</f>
        <v>17643</v>
      </c>
      <c r="N124" s="84">
        <f>SUM(I122:I132)</f>
        <v>4910.69</v>
      </c>
      <c r="O124" s="85">
        <f>N124/M124*100</f>
        <v>27.83364507</v>
      </c>
      <c r="P124" s="84">
        <f>(M124/100)*(O124-Q124)</f>
        <v>147.08</v>
      </c>
      <c r="Q124" s="464">
        <v>27.0</v>
      </c>
      <c r="R124" s="54"/>
      <c r="S124" s="54"/>
      <c r="T124" s="54"/>
      <c r="U124" s="54"/>
      <c r="V124" s="54"/>
    </row>
    <row r="125">
      <c r="A125" s="54"/>
      <c r="B125" s="110">
        <v>45633.0</v>
      </c>
      <c r="C125" s="110"/>
      <c r="D125" s="99"/>
      <c r="E125" s="100">
        <v>199852.0</v>
      </c>
      <c r="F125" s="99">
        <f t="shared" si="20"/>
        <v>1554</v>
      </c>
      <c r="G125" s="100">
        <v>1024.0</v>
      </c>
      <c r="H125" s="101">
        <v>408.0</v>
      </c>
      <c r="I125" s="101">
        <v>400.0</v>
      </c>
      <c r="J125" s="102">
        <f t="shared" si="18"/>
        <v>8</v>
      </c>
      <c r="K125" s="103">
        <f t="shared" si="19"/>
        <v>25.74002574</v>
      </c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</row>
    <row r="126">
      <c r="A126" s="54"/>
      <c r="B126" s="110">
        <v>45637.0</v>
      </c>
      <c r="C126" s="110"/>
      <c r="D126" s="99"/>
      <c r="E126" s="100">
        <v>201432.0</v>
      </c>
      <c r="F126" s="99">
        <f t="shared" si="20"/>
        <v>1580</v>
      </c>
      <c r="G126" s="100">
        <v>994.0</v>
      </c>
      <c r="H126" s="101">
        <v>414.0</v>
      </c>
      <c r="I126" s="101">
        <v>400.0</v>
      </c>
      <c r="J126" s="102">
        <f t="shared" si="18"/>
        <v>14</v>
      </c>
      <c r="K126" s="103">
        <f t="shared" si="19"/>
        <v>25.3164557</v>
      </c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</row>
    <row r="127">
      <c r="A127" s="54"/>
      <c r="B127" s="110">
        <v>45639.0</v>
      </c>
      <c r="C127" s="110"/>
      <c r="D127" s="99"/>
      <c r="E127" s="100">
        <v>203012.0</v>
      </c>
      <c r="F127" s="99">
        <f t="shared" si="20"/>
        <v>1580</v>
      </c>
      <c r="G127" s="100">
        <v>1050.0</v>
      </c>
      <c r="H127" s="101">
        <v>517.0</v>
      </c>
      <c r="I127" s="101">
        <v>500.0</v>
      </c>
      <c r="J127" s="102">
        <f t="shared" si="18"/>
        <v>17</v>
      </c>
      <c r="K127" s="103">
        <f t="shared" si="19"/>
        <v>31.64556962</v>
      </c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</row>
    <row r="128">
      <c r="A128" s="54"/>
      <c r="B128" s="110">
        <v>45641.0</v>
      </c>
      <c r="C128" s="110"/>
      <c r="D128" s="99"/>
      <c r="E128" s="100">
        <v>204599.0</v>
      </c>
      <c r="F128" s="99">
        <f t="shared" si="20"/>
        <v>1587</v>
      </c>
      <c r="G128" s="100">
        <v>976.0</v>
      </c>
      <c r="H128" s="101">
        <v>416.0</v>
      </c>
      <c r="I128" s="101">
        <v>400.0</v>
      </c>
      <c r="J128" s="102">
        <f t="shared" si="18"/>
        <v>16</v>
      </c>
      <c r="K128" s="103">
        <f t="shared" si="19"/>
        <v>25.20478891</v>
      </c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</row>
    <row r="129">
      <c r="A129" s="54"/>
      <c r="B129" s="110">
        <v>45644.0</v>
      </c>
      <c r="C129" s="110"/>
      <c r="D129" s="99"/>
      <c r="E129" s="100">
        <v>206187.0</v>
      </c>
      <c r="F129" s="99">
        <f t="shared" si="20"/>
        <v>1588</v>
      </c>
      <c r="G129" s="100">
        <v>1005.0</v>
      </c>
      <c r="H129" s="101">
        <v>513.0</v>
      </c>
      <c r="I129" s="101">
        <v>500.0</v>
      </c>
      <c r="J129" s="102">
        <f t="shared" si="18"/>
        <v>13</v>
      </c>
      <c r="K129" s="103">
        <f t="shared" si="19"/>
        <v>31.4861461</v>
      </c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</row>
    <row r="130">
      <c r="A130" s="54"/>
      <c r="B130" s="110">
        <v>45646.0</v>
      </c>
      <c r="C130" s="110"/>
      <c r="D130" s="99"/>
      <c r="E130" s="100">
        <v>207775.0</v>
      </c>
      <c r="F130" s="99">
        <f t="shared" si="20"/>
        <v>1588</v>
      </c>
      <c r="G130" s="100">
        <v>965.0</v>
      </c>
      <c r="H130" s="101">
        <v>420.0</v>
      </c>
      <c r="I130" s="101">
        <v>400.0</v>
      </c>
      <c r="J130" s="102">
        <f t="shared" si="18"/>
        <v>20</v>
      </c>
      <c r="K130" s="103">
        <f t="shared" si="19"/>
        <v>25.18891688</v>
      </c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</row>
    <row r="131">
      <c r="A131" s="54"/>
      <c r="B131" s="110">
        <v>45648.0</v>
      </c>
      <c r="C131" s="110"/>
      <c r="D131" s="99"/>
      <c r="E131" s="100">
        <v>209356.0</v>
      </c>
      <c r="F131" s="99">
        <f t="shared" si="20"/>
        <v>1581</v>
      </c>
      <c r="G131" s="100">
        <v>1055.0</v>
      </c>
      <c r="H131" s="101">
        <v>571.0</v>
      </c>
      <c r="I131" s="101">
        <v>560.69</v>
      </c>
      <c r="J131" s="102">
        <f t="shared" si="18"/>
        <v>10.31</v>
      </c>
      <c r="K131" s="103">
        <f t="shared" si="19"/>
        <v>35.46426312</v>
      </c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</row>
    <row r="132">
      <c r="A132" s="54"/>
      <c r="B132" s="110">
        <v>45655.0</v>
      </c>
      <c r="C132" s="110"/>
      <c r="D132" s="99"/>
      <c r="E132" s="100">
        <v>211178.0</v>
      </c>
      <c r="F132" s="99">
        <f t="shared" si="20"/>
        <v>1822</v>
      </c>
      <c r="G132" s="100">
        <v>1008.0</v>
      </c>
      <c r="H132" s="101">
        <v>456.0</v>
      </c>
      <c r="I132" s="101">
        <v>450.0</v>
      </c>
      <c r="J132" s="102">
        <f t="shared" si="18"/>
        <v>6</v>
      </c>
      <c r="K132" s="103">
        <f t="shared" si="19"/>
        <v>24.69813392</v>
      </c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</row>
    <row r="133">
      <c r="A133" s="66"/>
      <c r="B133" s="191">
        <v>2025.0</v>
      </c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8"/>
      <c r="X133" s="68"/>
      <c r="Y133" s="68"/>
      <c r="Z133" s="68"/>
      <c r="AA133" s="68"/>
    </row>
    <row r="134">
      <c r="A134" s="66"/>
      <c r="B134" s="67" t="s">
        <v>66</v>
      </c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8"/>
      <c r="X134" s="68"/>
      <c r="Y134" s="68"/>
      <c r="Z134" s="68"/>
      <c r="AA134" s="68"/>
    </row>
    <row r="135">
      <c r="A135" s="54"/>
      <c r="B135" s="110">
        <v>45662.0</v>
      </c>
      <c r="C135" s="110"/>
      <c r="D135" s="99"/>
      <c r="E135" s="100">
        <v>212912.0</v>
      </c>
      <c r="F135" s="99">
        <f>E135-E132</f>
        <v>1734</v>
      </c>
      <c r="G135" s="100">
        <v>963.0</v>
      </c>
      <c r="H135" s="101">
        <v>416.0</v>
      </c>
      <c r="I135" s="101">
        <v>400.0</v>
      </c>
      <c r="J135" s="102">
        <f t="shared" ref="J135:J145" si="21">H135-I135</f>
        <v>16</v>
      </c>
      <c r="K135" s="103">
        <f t="shared" ref="K135:K145" si="22">I135/F135*100</f>
        <v>23.06805075</v>
      </c>
      <c r="L135" s="54"/>
      <c r="M135" s="205" t="str">
        <f>"тотал"&amp;" "&amp;B134&amp;" "&amp;RIGHT(YEAR(B135),2)</f>
        <v>тотал ЯНВАРЬ 25</v>
      </c>
      <c r="N135" s="75"/>
      <c r="O135" s="75"/>
      <c r="P135" s="75"/>
      <c r="Q135" s="76"/>
      <c r="R135" s="54"/>
      <c r="S135" s="54"/>
      <c r="T135" s="54"/>
      <c r="U135" s="54"/>
      <c r="V135" s="54"/>
    </row>
    <row r="136">
      <c r="A136" s="54"/>
      <c r="B136" s="110">
        <v>45664.0</v>
      </c>
      <c r="C136" s="110"/>
      <c r="D136" s="99"/>
      <c r="E136" s="100">
        <v>214474.0</v>
      </c>
      <c r="F136" s="99">
        <f t="shared" ref="F136:F145" si="23">E136-E135</f>
        <v>1562</v>
      </c>
      <c r="G136" s="100">
        <v>931.0</v>
      </c>
      <c r="H136" s="101">
        <v>403.0</v>
      </c>
      <c r="I136" s="101">
        <v>400.0</v>
      </c>
      <c r="J136" s="102">
        <f t="shared" si="21"/>
        <v>3</v>
      </c>
      <c r="K136" s="103">
        <f t="shared" si="22"/>
        <v>25.60819462</v>
      </c>
      <c r="L136" s="54"/>
      <c r="M136" s="83" t="s">
        <v>70</v>
      </c>
      <c r="N136" s="83" t="s">
        <v>71</v>
      </c>
      <c r="O136" s="83" t="s">
        <v>27</v>
      </c>
      <c r="P136" s="83" t="s">
        <v>28</v>
      </c>
      <c r="Q136" s="321" t="s">
        <v>78</v>
      </c>
      <c r="R136" s="54"/>
      <c r="S136" s="54"/>
      <c r="T136" s="54"/>
      <c r="U136" s="54"/>
      <c r="V136" s="54"/>
    </row>
    <row r="137">
      <c r="A137" s="54"/>
      <c r="B137" s="110">
        <v>45667.0</v>
      </c>
      <c r="C137" s="110"/>
      <c r="D137" s="99"/>
      <c r="E137" s="100">
        <v>216037.0</v>
      </c>
      <c r="F137" s="99">
        <f t="shared" si="23"/>
        <v>1563</v>
      </c>
      <c r="G137" s="100">
        <v>904.0</v>
      </c>
      <c r="H137" s="101">
        <v>415.0</v>
      </c>
      <c r="I137" s="101">
        <v>400.0</v>
      </c>
      <c r="J137" s="102">
        <f t="shared" si="21"/>
        <v>15</v>
      </c>
      <c r="K137" s="103">
        <f t="shared" si="22"/>
        <v>25.59181062</v>
      </c>
      <c r="L137" s="54"/>
      <c r="M137" s="84">
        <f>SUM(F135:F145)</f>
        <v>17837</v>
      </c>
      <c r="N137" s="84">
        <f>SUM(I135:I145)</f>
        <v>4700</v>
      </c>
      <c r="O137" s="85">
        <f>N137/M137*100</f>
        <v>26.34972249</v>
      </c>
      <c r="P137" s="84">
        <f>(M137/100)*(O137-Q137)</f>
        <v>-115.99</v>
      </c>
      <c r="Q137" s="464">
        <v>27.0</v>
      </c>
      <c r="R137" s="54"/>
      <c r="S137" s="54"/>
      <c r="T137" s="54"/>
      <c r="U137" s="54"/>
      <c r="V137" s="54"/>
    </row>
    <row r="138">
      <c r="A138" s="54"/>
      <c r="B138" s="110">
        <v>45669.0</v>
      </c>
      <c r="C138" s="110"/>
      <c r="D138" s="99"/>
      <c r="E138" s="100">
        <v>217618.0</v>
      </c>
      <c r="F138" s="99">
        <f t="shared" si="23"/>
        <v>1581</v>
      </c>
      <c r="G138" s="100">
        <v>977.0</v>
      </c>
      <c r="H138" s="101">
        <v>518.0</v>
      </c>
      <c r="I138" s="101">
        <v>500.0</v>
      </c>
      <c r="J138" s="102">
        <f t="shared" si="21"/>
        <v>18</v>
      </c>
      <c r="K138" s="103">
        <f t="shared" si="22"/>
        <v>31.62555345</v>
      </c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</row>
    <row r="139">
      <c r="A139" s="54"/>
      <c r="B139" s="110">
        <v>45672.0</v>
      </c>
      <c r="C139" s="110"/>
      <c r="D139" s="99"/>
      <c r="E139" s="100">
        <v>219200.0</v>
      </c>
      <c r="F139" s="99">
        <f t="shared" si="23"/>
        <v>1582</v>
      </c>
      <c r="G139" s="100">
        <v>939.0</v>
      </c>
      <c r="H139" s="101">
        <v>412.0</v>
      </c>
      <c r="I139" s="101">
        <v>400.0</v>
      </c>
      <c r="J139" s="102">
        <f t="shared" si="21"/>
        <v>12</v>
      </c>
      <c r="K139" s="103">
        <f t="shared" si="22"/>
        <v>25.28445006</v>
      </c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</row>
    <row r="140">
      <c r="A140" s="54"/>
      <c r="B140" s="110">
        <v>45674.0</v>
      </c>
      <c r="C140" s="110"/>
      <c r="D140" s="99"/>
      <c r="E140" s="100">
        <v>220908.0</v>
      </c>
      <c r="F140" s="99">
        <f t="shared" si="23"/>
        <v>1708</v>
      </c>
      <c r="G140" s="100">
        <v>904.0</v>
      </c>
      <c r="H140" s="101">
        <v>435.0</v>
      </c>
      <c r="I140" s="101">
        <v>400.0</v>
      </c>
      <c r="J140" s="102">
        <f t="shared" si="21"/>
        <v>35</v>
      </c>
      <c r="K140" s="103">
        <f t="shared" si="22"/>
        <v>23.41920375</v>
      </c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</row>
    <row r="141">
      <c r="A141" s="54"/>
      <c r="B141" s="110">
        <v>45676.0</v>
      </c>
      <c r="C141" s="110"/>
      <c r="D141" s="99"/>
      <c r="E141" s="100">
        <v>222363.0</v>
      </c>
      <c r="F141" s="99">
        <f t="shared" si="23"/>
        <v>1455</v>
      </c>
      <c r="G141" s="100">
        <v>897.0</v>
      </c>
      <c r="H141" s="101">
        <v>408.0</v>
      </c>
      <c r="I141" s="101">
        <v>400.0</v>
      </c>
      <c r="J141" s="102">
        <f t="shared" si="21"/>
        <v>8</v>
      </c>
      <c r="K141" s="103">
        <f t="shared" si="22"/>
        <v>27.49140893</v>
      </c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</row>
    <row r="142">
      <c r="A142" s="54"/>
      <c r="B142" s="110">
        <v>45681.0</v>
      </c>
      <c r="C142" s="110"/>
      <c r="D142" s="99"/>
      <c r="E142" s="100">
        <v>224103.0</v>
      </c>
      <c r="F142" s="99">
        <f t="shared" si="23"/>
        <v>1740</v>
      </c>
      <c r="G142" s="100">
        <v>936.0</v>
      </c>
      <c r="H142" s="101">
        <v>514.0</v>
      </c>
      <c r="I142" s="101">
        <v>500.0</v>
      </c>
      <c r="J142" s="102">
        <f t="shared" si="21"/>
        <v>14</v>
      </c>
      <c r="K142" s="103">
        <f t="shared" si="22"/>
        <v>28.73563218</v>
      </c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</row>
    <row r="143">
      <c r="A143" s="54"/>
      <c r="B143" s="110">
        <v>45683.0</v>
      </c>
      <c r="C143" s="110"/>
      <c r="D143" s="99"/>
      <c r="E143" s="100">
        <v>225696.0</v>
      </c>
      <c r="F143" s="99">
        <f t="shared" si="23"/>
        <v>1593</v>
      </c>
      <c r="G143" s="100">
        <v>901.0</v>
      </c>
      <c r="H143" s="101">
        <v>406.0</v>
      </c>
      <c r="I143" s="101">
        <v>400.0</v>
      </c>
      <c r="J143" s="102">
        <f t="shared" si="21"/>
        <v>6</v>
      </c>
      <c r="K143" s="103">
        <f t="shared" si="22"/>
        <v>25.10985562</v>
      </c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</row>
    <row r="144">
      <c r="A144" s="54"/>
      <c r="B144" s="110">
        <v>45687.0</v>
      </c>
      <c r="C144" s="110"/>
      <c r="D144" s="99"/>
      <c r="E144" s="100">
        <v>227927.0</v>
      </c>
      <c r="F144" s="99">
        <f t="shared" si="23"/>
        <v>2231</v>
      </c>
      <c r="G144" s="100">
        <v>914.0</v>
      </c>
      <c r="H144" s="101">
        <v>626.0</v>
      </c>
      <c r="I144" s="101">
        <v>600.0</v>
      </c>
      <c r="J144" s="102">
        <f t="shared" si="21"/>
        <v>26</v>
      </c>
      <c r="K144" s="103">
        <f t="shared" si="22"/>
        <v>26.89376961</v>
      </c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</row>
    <row r="145">
      <c r="A145" s="54"/>
      <c r="B145" s="110">
        <v>45688.0</v>
      </c>
      <c r="C145" s="110"/>
      <c r="D145" s="99"/>
      <c r="E145" s="100">
        <v>229015.0</v>
      </c>
      <c r="F145" s="99">
        <f t="shared" si="23"/>
        <v>1088</v>
      </c>
      <c r="G145" s="100">
        <v>930.0</v>
      </c>
      <c r="H145" s="101">
        <v>308.0</v>
      </c>
      <c r="I145" s="101">
        <v>300.0</v>
      </c>
      <c r="J145" s="102">
        <f t="shared" si="21"/>
        <v>8</v>
      </c>
      <c r="K145" s="103">
        <f t="shared" si="22"/>
        <v>27.57352941</v>
      </c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</row>
    <row r="146">
      <c r="A146" s="68"/>
      <c r="B146" s="203" t="str">
        <f>IF(L146=4,"АПРЕЛЬ",IF(L146=5,"МАЙ",IF(L146=1,"ЯНВАРЬ",IF(L146=2,"ФЕВРАЛЬ",IF(L146=3,"МАРТ",IF(L146=6,"ИЮНЬ",IF(L146=7,"ИЮЛЬ",IF(L146=8,"АВГУСТ",IF(L146=9,"СЕНТЯБРЬ",IF(L146=10,"ОКТЯБРЬ",IF(L146=11,"НОЯБРЬ",IF(L146=12,"ДЕКАБРЬ"))))))))))))</f>
        <v>ФЕВРАЛЬ</v>
      </c>
      <c r="J146" s="88"/>
      <c r="K146" s="204"/>
      <c r="L146" s="91">
        <f>MONTH(B147)</f>
        <v>2</v>
      </c>
      <c r="M146" s="66"/>
      <c r="N146" s="66"/>
      <c r="O146" s="66"/>
      <c r="P146" s="66"/>
      <c r="Q146" s="66"/>
    </row>
    <row r="147">
      <c r="A147" s="54"/>
      <c r="B147" s="110">
        <v>45690.0</v>
      </c>
      <c r="C147" s="110"/>
      <c r="D147" s="99"/>
      <c r="E147" s="100">
        <v>230596.0</v>
      </c>
      <c r="F147" s="99">
        <f>E147-E145</f>
        <v>1581</v>
      </c>
      <c r="G147" s="100">
        <v>816.0</v>
      </c>
      <c r="H147" s="101">
        <v>305.0</v>
      </c>
      <c r="I147" s="101">
        <v>300.0</v>
      </c>
      <c r="J147" s="102">
        <f t="shared" ref="J147:J158" si="24">H147-I147</f>
        <v>5</v>
      </c>
      <c r="K147" s="103">
        <f t="shared" ref="K147:K158" si="25">I147/F147*100</f>
        <v>18.97533207</v>
      </c>
      <c r="L147" s="54"/>
      <c r="M147" s="205" t="str">
        <f>"тотал"&amp;" "&amp;B146&amp;" "&amp;RIGHT(YEAR(B147),2)</f>
        <v>тотал ФЕВРАЛЬ 25</v>
      </c>
      <c r="N147" s="75"/>
      <c r="O147" s="75"/>
      <c r="P147" s="75"/>
      <c r="Q147" s="76"/>
      <c r="R147" s="54"/>
      <c r="S147" s="54"/>
      <c r="T147" s="54"/>
      <c r="U147" s="54"/>
      <c r="V147" s="54"/>
    </row>
    <row r="148">
      <c r="A148" s="54"/>
      <c r="B148" s="110">
        <v>45693.0</v>
      </c>
      <c r="C148" s="110"/>
      <c r="D148" s="99"/>
      <c r="E148" s="100">
        <v>232180.0</v>
      </c>
      <c r="F148" s="99">
        <f t="shared" ref="F148:F158" si="26">E148-E147</f>
        <v>1584</v>
      </c>
      <c r="G148" s="100">
        <v>882.0</v>
      </c>
      <c r="H148" s="101">
        <v>511.0</v>
      </c>
      <c r="I148" s="101">
        <v>500.0</v>
      </c>
      <c r="J148" s="102">
        <f t="shared" si="24"/>
        <v>11</v>
      </c>
      <c r="K148" s="103">
        <f t="shared" si="25"/>
        <v>31.56565657</v>
      </c>
      <c r="L148" s="54"/>
      <c r="M148" s="83" t="s">
        <v>70</v>
      </c>
      <c r="N148" s="83" t="s">
        <v>71</v>
      </c>
      <c r="O148" s="83" t="s">
        <v>27</v>
      </c>
      <c r="P148" s="83" t="s">
        <v>28</v>
      </c>
      <c r="Q148" s="321" t="s">
        <v>78</v>
      </c>
      <c r="R148" s="54"/>
      <c r="S148" s="54"/>
      <c r="T148" s="54"/>
      <c r="U148" s="54"/>
      <c r="V148" s="54"/>
    </row>
    <row r="149">
      <c r="A149" s="54"/>
      <c r="B149" s="110">
        <v>45695.0</v>
      </c>
      <c r="C149" s="110"/>
      <c r="D149" s="99"/>
      <c r="E149" s="100">
        <v>233761.0</v>
      </c>
      <c r="F149" s="99">
        <f t="shared" si="26"/>
        <v>1581</v>
      </c>
      <c r="G149" s="100">
        <v>862.0</v>
      </c>
      <c r="H149" s="101">
        <v>408.0</v>
      </c>
      <c r="I149" s="101">
        <v>400.0</v>
      </c>
      <c r="J149" s="102">
        <f t="shared" si="24"/>
        <v>8</v>
      </c>
      <c r="K149" s="103">
        <f t="shared" si="25"/>
        <v>25.30044276</v>
      </c>
      <c r="L149" s="54"/>
      <c r="M149" s="84">
        <f>SUM(F147:F158)</f>
        <v>18996</v>
      </c>
      <c r="N149" s="84">
        <f>SUM(I147:I158)</f>
        <v>5100</v>
      </c>
      <c r="O149" s="85">
        <f>N149/M149*100</f>
        <v>26.84775742</v>
      </c>
      <c r="P149" s="84">
        <f>(M149/100)*(O149-Q149)</f>
        <v>-28.92</v>
      </c>
      <c r="Q149" s="464">
        <v>27.0</v>
      </c>
      <c r="R149" s="54"/>
      <c r="S149" s="54"/>
      <c r="T149" s="54"/>
      <c r="U149" s="54"/>
      <c r="V149" s="54"/>
    </row>
    <row r="150">
      <c r="A150" s="54"/>
      <c r="B150" s="110">
        <v>45697.0</v>
      </c>
      <c r="C150" s="110"/>
      <c r="D150" s="99"/>
      <c r="E150" s="100">
        <v>235342.0</v>
      </c>
      <c r="F150" s="99">
        <f t="shared" si="26"/>
        <v>1581</v>
      </c>
      <c r="G150" s="100">
        <v>834.0</v>
      </c>
      <c r="H150" s="101">
        <v>409.0</v>
      </c>
      <c r="I150" s="101">
        <v>400.0</v>
      </c>
      <c r="J150" s="102">
        <f t="shared" si="24"/>
        <v>9</v>
      </c>
      <c r="K150" s="103">
        <f t="shared" si="25"/>
        <v>25.30044276</v>
      </c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</row>
    <row r="151">
      <c r="A151" s="54"/>
      <c r="B151" s="110">
        <v>45700.0</v>
      </c>
      <c r="C151" s="110"/>
      <c r="D151" s="99"/>
      <c r="E151" s="100">
        <v>236924.0</v>
      </c>
      <c r="F151" s="99">
        <f t="shared" si="26"/>
        <v>1582</v>
      </c>
      <c r="G151" s="100">
        <v>922.0</v>
      </c>
      <c r="H151" s="101">
        <v>515.0</v>
      </c>
      <c r="I151" s="101">
        <v>500.0</v>
      </c>
      <c r="J151" s="102">
        <f t="shared" si="24"/>
        <v>15</v>
      </c>
      <c r="K151" s="103">
        <f t="shared" si="25"/>
        <v>31.60556258</v>
      </c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</row>
    <row r="152">
      <c r="A152" s="54"/>
      <c r="B152" s="110">
        <v>45702.0</v>
      </c>
      <c r="C152" s="110"/>
      <c r="D152" s="99"/>
      <c r="E152" s="100">
        <v>238506.0</v>
      </c>
      <c r="F152" s="99">
        <f t="shared" si="26"/>
        <v>1582</v>
      </c>
      <c r="G152" s="100">
        <v>889.0</v>
      </c>
      <c r="H152" s="101">
        <v>416.0</v>
      </c>
      <c r="I152" s="101">
        <v>400.0</v>
      </c>
      <c r="J152" s="102">
        <f t="shared" si="24"/>
        <v>16</v>
      </c>
      <c r="K152" s="103">
        <f t="shared" si="25"/>
        <v>25.28445006</v>
      </c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</row>
    <row r="153">
      <c r="A153" s="54"/>
      <c r="B153" s="110">
        <v>45704.0</v>
      </c>
      <c r="C153" s="110"/>
      <c r="D153" s="99"/>
      <c r="E153" s="100">
        <v>240093.0</v>
      </c>
      <c r="F153" s="99">
        <f t="shared" si="26"/>
        <v>1587</v>
      </c>
      <c r="G153" s="100">
        <v>849.0</v>
      </c>
      <c r="H153" s="101">
        <v>409.0</v>
      </c>
      <c r="I153" s="101">
        <v>400.0</v>
      </c>
      <c r="J153" s="102">
        <f t="shared" si="24"/>
        <v>9</v>
      </c>
      <c r="K153" s="103">
        <f t="shared" si="25"/>
        <v>25.20478891</v>
      </c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</row>
    <row r="154">
      <c r="A154" s="54"/>
      <c r="B154" s="110">
        <v>45707.0</v>
      </c>
      <c r="C154" s="110"/>
      <c r="D154" s="99"/>
      <c r="E154" s="100">
        <v>241676.0</v>
      </c>
      <c r="F154" s="99">
        <f t="shared" si="26"/>
        <v>1583</v>
      </c>
      <c r="G154" s="100">
        <v>817.0</v>
      </c>
      <c r="H154" s="101">
        <v>410.0</v>
      </c>
      <c r="I154" s="101">
        <v>400.0</v>
      </c>
      <c r="J154" s="102">
        <f t="shared" si="24"/>
        <v>10</v>
      </c>
      <c r="K154" s="103">
        <f t="shared" si="25"/>
        <v>25.26847757</v>
      </c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</row>
    <row r="155">
      <c r="A155" s="54"/>
      <c r="B155" s="110">
        <v>45709.0</v>
      </c>
      <c r="C155" s="110"/>
      <c r="D155" s="99"/>
      <c r="E155" s="100">
        <v>243259.0</v>
      </c>
      <c r="F155" s="99">
        <f t="shared" si="26"/>
        <v>1583</v>
      </c>
      <c r="G155" s="100">
        <v>878.0</v>
      </c>
      <c r="H155" s="101">
        <v>513.0</v>
      </c>
      <c r="I155" s="101">
        <v>500.0</v>
      </c>
      <c r="J155" s="102">
        <f t="shared" si="24"/>
        <v>13</v>
      </c>
      <c r="K155" s="103">
        <f t="shared" si="25"/>
        <v>31.58559697</v>
      </c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</row>
    <row r="156">
      <c r="A156" s="54"/>
      <c r="B156" s="110">
        <v>45711.0</v>
      </c>
      <c r="C156" s="110"/>
      <c r="D156" s="99"/>
      <c r="E156" s="100">
        <v>244841.0</v>
      </c>
      <c r="F156" s="99">
        <f t="shared" si="26"/>
        <v>1582</v>
      </c>
      <c r="G156" s="100">
        <v>855.0</v>
      </c>
      <c r="H156" s="101">
        <v>417.0</v>
      </c>
      <c r="I156" s="101">
        <v>400.0</v>
      </c>
      <c r="J156" s="102">
        <f t="shared" si="24"/>
        <v>17</v>
      </c>
      <c r="K156" s="103">
        <f t="shared" si="25"/>
        <v>25.28445006</v>
      </c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</row>
    <row r="157">
      <c r="A157" s="54"/>
      <c r="B157" s="110">
        <v>45714.0</v>
      </c>
      <c r="C157" s="110"/>
      <c r="D157" s="99"/>
      <c r="E157" s="100">
        <v>246423.0</v>
      </c>
      <c r="F157" s="99">
        <f t="shared" si="26"/>
        <v>1582</v>
      </c>
      <c r="G157" s="100">
        <v>832.0</v>
      </c>
      <c r="H157" s="101">
        <v>408.0</v>
      </c>
      <c r="I157" s="101">
        <v>400.0</v>
      </c>
      <c r="J157" s="102">
        <f t="shared" si="24"/>
        <v>8</v>
      </c>
      <c r="K157" s="103">
        <f t="shared" si="25"/>
        <v>25.28445006</v>
      </c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</row>
    <row r="158">
      <c r="A158" s="54"/>
      <c r="B158" s="110">
        <v>45716.0</v>
      </c>
      <c r="C158" s="110"/>
      <c r="D158" s="99"/>
      <c r="E158" s="100">
        <v>248011.0</v>
      </c>
      <c r="F158" s="99">
        <f t="shared" si="26"/>
        <v>1588</v>
      </c>
      <c r="G158" s="100">
        <v>922.0</v>
      </c>
      <c r="H158" s="101">
        <v>510.0</v>
      </c>
      <c r="I158" s="101">
        <v>500.0</v>
      </c>
      <c r="J158" s="102">
        <f t="shared" si="24"/>
        <v>10</v>
      </c>
      <c r="K158" s="103">
        <f t="shared" si="25"/>
        <v>31.4861461</v>
      </c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</row>
    <row r="159">
      <c r="A159" s="68"/>
      <c r="B159" s="203" t="str">
        <f>IF(L159=4,"АПРЕЛЬ",IF(L159=5,"МАЙ",IF(L159=1,"ЯНВАРЬ",IF(L159=2,"ФЕВРАЛЬ",IF(L159=3,"МАРТ",IF(L159=6,"ИЮНЬ",IF(L159=7,"ИЮЛЬ",IF(L159=8,"АВГУСТ",IF(L159=9,"СЕНТЯБРЬ",IF(L159=10,"ОКТЯБРЬ",IF(L159=11,"НОЯБРЬ",IF(L159=12,"ДЕКАБРЬ"))))))))))))</f>
        <v>МАРТ</v>
      </c>
      <c r="J159" s="88"/>
      <c r="K159" s="204"/>
      <c r="L159" s="91">
        <f>MONTH(B160)</f>
        <v>3</v>
      </c>
      <c r="M159" s="66"/>
      <c r="N159" s="66"/>
      <c r="O159" s="66"/>
      <c r="P159" s="66"/>
      <c r="Q159" s="66"/>
    </row>
    <row r="160">
      <c r="A160" s="54"/>
      <c r="B160" s="110">
        <v>45720.0</v>
      </c>
      <c r="C160" s="110"/>
      <c r="D160" s="99"/>
      <c r="E160" s="100">
        <v>250177.0</v>
      </c>
      <c r="F160" s="100">
        <f>E160-E158</f>
        <v>2166</v>
      </c>
      <c r="G160" s="100">
        <v>905.0</v>
      </c>
      <c r="H160" s="101">
        <v>576.0</v>
      </c>
      <c r="I160" s="101">
        <v>552.07</v>
      </c>
      <c r="J160" s="102">
        <f t="shared" ref="J160:J172" si="27">H160-I160</f>
        <v>23.93</v>
      </c>
      <c r="K160" s="103">
        <f t="shared" ref="K160:K172" si="28">I160/F160*100</f>
        <v>25.48799631</v>
      </c>
      <c r="L160" s="54"/>
      <c r="M160" s="205" t="str">
        <f>"тотал"&amp;" "&amp;B159&amp;" "&amp;RIGHT(YEAR(B160),2)</f>
        <v>тотал МАРТ 25</v>
      </c>
      <c r="N160" s="75"/>
      <c r="O160" s="75"/>
      <c r="P160" s="75"/>
      <c r="Q160" s="76"/>
      <c r="R160" s="54"/>
      <c r="S160" s="54"/>
      <c r="T160" s="54"/>
      <c r="U160" s="54"/>
      <c r="V160" s="54"/>
    </row>
    <row r="161">
      <c r="A161" s="54"/>
      <c r="B161" s="110">
        <v>45722.0</v>
      </c>
      <c r="C161" s="110"/>
      <c r="D161" s="99"/>
      <c r="E161" s="100">
        <v>251760.0</v>
      </c>
      <c r="F161" s="99">
        <f t="shared" ref="F161:F172" si="29">E161-E160</f>
        <v>1583</v>
      </c>
      <c r="G161" s="100">
        <v>886.0</v>
      </c>
      <c r="H161" s="101">
        <v>412.0</v>
      </c>
      <c r="I161" s="101">
        <v>400.0</v>
      </c>
      <c r="J161" s="102">
        <f t="shared" si="27"/>
        <v>12</v>
      </c>
      <c r="K161" s="103">
        <f t="shared" si="28"/>
        <v>25.26847757</v>
      </c>
      <c r="L161" s="54"/>
      <c r="M161" s="83" t="s">
        <v>70</v>
      </c>
      <c r="N161" s="83" t="s">
        <v>71</v>
      </c>
      <c r="O161" s="83" t="s">
        <v>27</v>
      </c>
      <c r="P161" s="83" t="s">
        <v>28</v>
      </c>
      <c r="Q161" s="321" t="s">
        <v>78</v>
      </c>
      <c r="R161" s="54"/>
      <c r="S161" s="54"/>
      <c r="T161" s="54"/>
      <c r="U161" s="54"/>
      <c r="V161" s="54"/>
    </row>
    <row r="162">
      <c r="A162" s="54"/>
      <c r="B162" s="110">
        <v>45724.0</v>
      </c>
      <c r="C162" s="110"/>
      <c r="D162" s="99"/>
      <c r="E162" s="100">
        <v>253342.0</v>
      </c>
      <c r="F162" s="99">
        <f t="shared" si="29"/>
        <v>1582</v>
      </c>
      <c r="G162" s="100">
        <v>874.0</v>
      </c>
      <c r="H162" s="101">
        <v>410.0</v>
      </c>
      <c r="I162" s="101">
        <v>400.0</v>
      </c>
      <c r="J162" s="102">
        <f t="shared" si="27"/>
        <v>10</v>
      </c>
      <c r="K162" s="103">
        <f t="shared" si="28"/>
        <v>25.28445006</v>
      </c>
      <c r="L162" s="54"/>
      <c r="M162" s="84">
        <f>SUM(F160:F172)</f>
        <v>20580</v>
      </c>
      <c r="N162" s="84">
        <f>SUM(I160:I172)</f>
        <v>5252.07</v>
      </c>
      <c r="O162" s="85">
        <f>N162/M162*100</f>
        <v>25.52026239</v>
      </c>
      <c r="P162" s="84">
        <f>(M162/100)*(O162-Q162)</f>
        <v>-304.53</v>
      </c>
      <c r="Q162" s="464">
        <v>27.0</v>
      </c>
      <c r="R162" s="54"/>
      <c r="S162" s="54"/>
      <c r="T162" s="54"/>
      <c r="U162" s="54"/>
      <c r="V162" s="54"/>
    </row>
    <row r="163">
      <c r="A163" s="54"/>
      <c r="B163" s="110">
        <v>45727.0</v>
      </c>
      <c r="C163" s="110"/>
      <c r="D163" s="99"/>
      <c r="E163" s="100">
        <v>255044.0</v>
      </c>
      <c r="F163" s="99">
        <f t="shared" si="29"/>
        <v>1702</v>
      </c>
      <c r="G163" s="100">
        <v>849.0</v>
      </c>
      <c r="H163" s="101">
        <v>414.0</v>
      </c>
      <c r="I163" s="101">
        <v>400.0</v>
      </c>
      <c r="J163" s="102">
        <f t="shared" si="27"/>
        <v>14</v>
      </c>
      <c r="K163" s="103">
        <f t="shared" si="28"/>
        <v>23.50176263</v>
      </c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>
      <c r="A164" s="54"/>
      <c r="B164" s="110">
        <v>45729.0</v>
      </c>
      <c r="C164" s="110"/>
      <c r="D164" s="99"/>
      <c r="E164" s="100">
        <v>256623.0</v>
      </c>
      <c r="F164" s="99">
        <f t="shared" si="29"/>
        <v>1579</v>
      </c>
      <c r="G164" s="100">
        <v>851.0</v>
      </c>
      <c r="H164" s="101">
        <v>410.0</v>
      </c>
      <c r="I164" s="101">
        <v>400.0</v>
      </c>
      <c r="J164" s="102">
        <f t="shared" si="27"/>
        <v>10</v>
      </c>
      <c r="K164" s="103">
        <f t="shared" si="28"/>
        <v>25.33248892</v>
      </c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>
      <c r="A165" s="54"/>
      <c r="B165" s="110">
        <v>45730.0</v>
      </c>
      <c r="C165" s="110"/>
      <c r="D165" s="99"/>
      <c r="E165" s="100">
        <v>257626.0</v>
      </c>
      <c r="F165" s="99">
        <f t="shared" si="29"/>
        <v>1003</v>
      </c>
      <c r="G165" s="100">
        <v>899.0</v>
      </c>
      <c r="H165" s="101">
        <v>316.0</v>
      </c>
      <c r="I165" s="101">
        <v>300.0</v>
      </c>
      <c r="J165" s="102">
        <f t="shared" si="27"/>
        <v>16</v>
      </c>
      <c r="K165" s="103">
        <f t="shared" si="28"/>
        <v>29.91026919</v>
      </c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>
      <c r="A166" s="54"/>
      <c r="B166" s="110">
        <v>45732.0</v>
      </c>
      <c r="C166" s="110"/>
      <c r="D166" s="99"/>
      <c r="E166" s="100">
        <v>259208.0</v>
      </c>
      <c r="F166" s="99">
        <f t="shared" si="29"/>
        <v>1582</v>
      </c>
      <c r="G166" s="100">
        <v>869.0</v>
      </c>
      <c r="H166" s="101">
        <v>425.0</v>
      </c>
      <c r="I166" s="101">
        <v>400.0</v>
      </c>
      <c r="J166" s="102">
        <f t="shared" si="27"/>
        <v>25</v>
      </c>
      <c r="K166" s="103">
        <f t="shared" si="28"/>
        <v>25.28445006</v>
      </c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>
      <c r="A167" s="54"/>
      <c r="B167" s="110">
        <v>45735.0</v>
      </c>
      <c r="C167" s="110"/>
      <c r="D167" s="99"/>
      <c r="E167" s="100">
        <v>260702.0</v>
      </c>
      <c r="F167" s="99">
        <f t="shared" si="29"/>
        <v>1494</v>
      </c>
      <c r="G167" s="100">
        <v>864.0</v>
      </c>
      <c r="H167" s="101">
        <v>413.0</v>
      </c>
      <c r="I167" s="101">
        <v>400.0</v>
      </c>
      <c r="J167" s="102">
        <f t="shared" si="27"/>
        <v>13</v>
      </c>
      <c r="K167" s="103">
        <f t="shared" si="28"/>
        <v>26.77376171</v>
      </c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>
      <c r="A168" s="54"/>
      <c r="B168" s="110">
        <v>45737.0</v>
      </c>
      <c r="C168" s="110"/>
      <c r="D168" s="99"/>
      <c r="E168" s="100">
        <v>262282.0</v>
      </c>
      <c r="F168" s="99">
        <f t="shared" si="29"/>
        <v>1580</v>
      </c>
      <c r="G168" s="100">
        <v>855.0</v>
      </c>
      <c r="H168" s="101">
        <v>412.0</v>
      </c>
      <c r="I168" s="101">
        <v>400.0</v>
      </c>
      <c r="J168" s="102">
        <f t="shared" si="27"/>
        <v>12</v>
      </c>
      <c r="K168" s="103">
        <f t="shared" si="28"/>
        <v>25.3164557</v>
      </c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>
      <c r="A169" s="54"/>
      <c r="B169" s="110">
        <v>45739.0</v>
      </c>
      <c r="C169" s="110"/>
      <c r="D169" s="99"/>
      <c r="E169" s="100">
        <v>263857.0</v>
      </c>
      <c r="F169" s="99">
        <f t="shared" si="29"/>
        <v>1575</v>
      </c>
      <c r="G169" s="100">
        <v>852.0</v>
      </c>
      <c r="H169" s="101">
        <v>411.0</v>
      </c>
      <c r="I169" s="101">
        <v>400.0</v>
      </c>
      <c r="J169" s="102">
        <f t="shared" si="27"/>
        <v>11</v>
      </c>
      <c r="K169" s="103">
        <f t="shared" si="28"/>
        <v>25.3968254</v>
      </c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>
      <c r="A170" s="54"/>
      <c r="B170" s="110">
        <v>45742.0</v>
      </c>
      <c r="C170" s="110"/>
      <c r="D170" s="99"/>
      <c r="E170" s="100">
        <v>265433.0</v>
      </c>
      <c r="F170" s="99">
        <f t="shared" si="29"/>
        <v>1576</v>
      </c>
      <c r="G170" s="100">
        <v>857.0</v>
      </c>
      <c r="H170" s="101">
        <v>411.0</v>
      </c>
      <c r="I170" s="101">
        <v>400.0</v>
      </c>
      <c r="J170" s="102">
        <f t="shared" si="27"/>
        <v>11</v>
      </c>
      <c r="K170" s="103">
        <f t="shared" si="28"/>
        <v>25.38071066</v>
      </c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>
      <c r="A171" s="54"/>
      <c r="B171" s="110">
        <v>45744.0</v>
      </c>
      <c r="C171" s="110"/>
      <c r="D171" s="99"/>
      <c r="E171" s="100">
        <v>267015.0</v>
      </c>
      <c r="F171" s="99">
        <f t="shared" si="29"/>
        <v>1582</v>
      </c>
      <c r="G171" s="100">
        <v>861.0</v>
      </c>
      <c r="H171" s="101">
        <v>415.0</v>
      </c>
      <c r="I171" s="101">
        <v>400.0</v>
      </c>
      <c r="J171" s="102">
        <f t="shared" si="27"/>
        <v>15</v>
      </c>
      <c r="K171" s="103">
        <f t="shared" si="28"/>
        <v>25.28445006</v>
      </c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2">
      <c r="A172" s="54"/>
      <c r="B172" s="110">
        <v>45746.0</v>
      </c>
      <c r="C172" s="110"/>
      <c r="D172" s="99"/>
      <c r="E172" s="100">
        <v>268591.0</v>
      </c>
      <c r="F172" s="99">
        <f t="shared" si="29"/>
        <v>1576</v>
      </c>
      <c r="G172" s="100">
        <v>873.0</v>
      </c>
      <c r="H172" s="101">
        <v>411.0</v>
      </c>
      <c r="I172" s="101">
        <v>400.0</v>
      </c>
      <c r="J172" s="102">
        <f t="shared" si="27"/>
        <v>11</v>
      </c>
      <c r="K172" s="103">
        <f t="shared" si="28"/>
        <v>25.38071066</v>
      </c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</row>
    <row r="173">
      <c r="A173" s="68"/>
      <c r="B173" s="203" t="str">
        <f>IF(L173=4,"АПРЕЛЬ",IF(L173=5,"МАЙ",IF(L173=1,"ЯНВАРЬ",IF(L173=2,"ФЕВРАЛЬ",IF(L173=3,"МАРТ",IF(L173=6,"ИЮНЬ",IF(L173=7,"ИЮЛЬ",IF(L173=8,"АВГУСТ",IF(L173=9,"СЕНТЯБРЬ",IF(L173=10,"ОКТЯБРЬ",IF(L173=11,"НОЯБРЬ",IF(L173=12,"ДЕКАБРЬ"))))))))))))</f>
        <v>АПРЕЛЬ</v>
      </c>
      <c r="J173" s="88"/>
      <c r="K173" s="204"/>
      <c r="L173" s="91">
        <f>MONTH(B174)</f>
        <v>4</v>
      </c>
      <c r="M173" s="66"/>
      <c r="N173" s="66"/>
      <c r="O173" s="66"/>
      <c r="P173" s="66"/>
      <c r="Q173" s="66"/>
    </row>
    <row r="174">
      <c r="A174" s="54"/>
      <c r="B174" s="110">
        <v>45763.0</v>
      </c>
      <c r="C174" s="110"/>
      <c r="D174" s="99"/>
      <c r="E174" s="100">
        <v>270366.0</v>
      </c>
      <c r="F174" s="99">
        <f>E174-E172</f>
        <v>1775</v>
      </c>
      <c r="G174" s="100">
        <v>838.0</v>
      </c>
      <c r="H174" s="101">
        <v>414.0</v>
      </c>
      <c r="I174" s="101">
        <v>400.0</v>
      </c>
      <c r="J174" s="102">
        <f t="shared" ref="J174:J179" si="30">H174-I174</f>
        <v>14</v>
      </c>
      <c r="K174" s="103">
        <f t="shared" ref="K174:K179" si="31">I174/F174*100</f>
        <v>22.53521127</v>
      </c>
      <c r="L174" s="54"/>
      <c r="M174" s="205" t="str">
        <f>"тотал"&amp;" "&amp;B173&amp;" "&amp;RIGHT(YEAR(B174),2)</f>
        <v>тотал АПРЕЛЬ 25</v>
      </c>
      <c r="N174" s="75"/>
      <c r="O174" s="75"/>
      <c r="P174" s="75"/>
      <c r="Q174" s="76"/>
      <c r="R174" s="54"/>
      <c r="S174" s="54"/>
      <c r="T174" s="54"/>
      <c r="U174" s="54"/>
      <c r="V174" s="54"/>
    </row>
    <row r="175">
      <c r="A175" s="54"/>
      <c r="B175" s="110">
        <v>45765.0</v>
      </c>
      <c r="C175" s="110"/>
      <c r="D175" s="99"/>
      <c r="E175" s="100">
        <v>271947.0</v>
      </c>
      <c r="F175" s="99">
        <f t="shared" ref="F175:F179" si="32">E175-E174</f>
        <v>1581</v>
      </c>
      <c r="G175" s="100">
        <v>849.0</v>
      </c>
      <c r="H175" s="101">
        <v>412.0</v>
      </c>
      <c r="I175" s="101">
        <v>400.0</v>
      </c>
      <c r="J175" s="102">
        <f t="shared" si="30"/>
        <v>12</v>
      </c>
      <c r="K175" s="103">
        <f t="shared" si="31"/>
        <v>25.30044276</v>
      </c>
      <c r="L175" s="54"/>
      <c r="M175" s="83" t="s">
        <v>70</v>
      </c>
      <c r="N175" s="83" t="s">
        <v>71</v>
      </c>
      <c r="O175" s="83" t="s">
        <v>27</v>
      </c>
      <c r="P175" s="83" t="s">
        <v>28</v>
      </c>
      <c r="Q175" s="321" t="s">
        <v>78</v>
      </c>
      <c r="R175" s="54"/>
      <c r="S175" s="54"/>
      <c r="T175" s="54"/>
      <c r="U175" s="54"/>
      <c r="V175" s="54"/>
    </row>
    <row r="176">
      <c r="A176" s="54"/>
      <c r="B176" s="110">
        <v>45767.0</v>
      </c>
      <c r="C176" s="110"/>
      <c r="D176" s="99"/>
      <c r="E176" s="100">
        <v>273522.0</v>
      </c>
      <c r="F176" s="99">
        <f t="shared" si="32"/>
        <v>1575</v>
      </c>
      <c r="G176" s="100">
        <v>876.0</v>
      </c>
      <c r="H176" s="101">
        <v>415.0</v>
      </c>
      <c r="I176" s="101">
        <v>400.0</v>
      </c>
      <c r="J176" s="102">
        <f t="shared" si="30"/>
        <v>15</v>
      </c>
      <c r="K176" s="103">
        <f t="shared" si="31"/>
        <v>25.3968254</v>
      </c>
      <c r="L176" s="54"/>
      <c r="M176" s="84">
        <f>SUM(F174:F179)</f>
        <v>9837</v>
      </c>
      <c r="N176" s="84">
        <f>SUM(I174:I179)</f>
        <v>2400</v>
      </c>
      <c r="O176" s="85">
        <f>N176/M176*100</f>
        <v>24.39768222</v>
      </c>
      <c r="P176" s="84">
        <f>(M176/100)*(O176-Q176)</f>
        <v>-255.99</v>
      </c>
      <c r="Q176" s="464">
        <v>27.0</v>
      </c>
      <c r="R176" s="54"/>
      <c r="S176" s="54"/>
      <c r="T176" s="54"/>
      <c r="U176" s="54"/>
      <c r="V176" s="54"/>
    </row>
    <row r="177">
      <c r="A177" s="54"/>
      <c r="B177" s="110">
        <v>45771.0</v>
      </c>
      <c r="C177" s="110"/>
      <c r="D177" s="99"/>
      <c r="E177" s="100">
        <v>275102.0</v>
      </c>
      <c r="F177" s="99">
        <f t="shared" si="32"/>
        <v>1580</v>
      </c>
      <c r="G177" s="100">
        <v>886.0</v>
      </c>
      <c r="H177" s="101">
        <v>410.0</v>
      </c>
      <c r="I177" s="101">
        <v>400.0</v>
      </c>
      <c r="J177" s="102">
        <f t="shared" si="30"/>
        <v>10</v>
      </c>
      <c r="K177" s="103">
        <f t="shared" si="31"/>
        <v>25.3164557</v>
      </c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</row>
    <row r="178">
      <c r="A178" s="54"/>
      <c r="B178" s="110">
        <v>45773.0</v>
      </c>
      <c r="C178" s="110"/>
      <c r="D178" s="99"/>
      <c r="E178" s="100">
        <v>276678.0</v>
      </c>
      <c r="F178" s="99">
        <f t="shared" si="32"/>
        <v>1576</v>
      </c>
      <c r="G178" s="100">
        <v>888.0</v>
      </c>
      <c r="H178" s="101">
        <v>413.0</v>
      </c>
      <c r="I178" s="101">
        <v>400.0</v>
      </c>
      <c r="J178" s="102">
        <f t="shared" si="30"/>
        <v>13</v>
      </c>
      <c r="K178" s="103">
        <f t="shared" si="31"/>
        <v>25.38071066</v>
      </c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</row>
    <row r="179">
      <c r="A179" s="54"/>
      <c r="B179" s="110">
        <v>45777.0</v>
      </c>
      <c r="C179" s="110"/>
      <c r="D179" s="99"/>
      <c r="E179" s="100">
        <v>278428.0</v>
      </c>
      <c r="F179" s="99">
        <f t="shared" si="32"/>
        <v>1750</v>
      </c>
      <c r="G179" s="100">
        <v>837.0</v>
      </c>
      <c r="H179" s="101">
        <v>415.0</v>
      </c>
      <c r="I179" s="101">
        <v>400.0</v>
      </c>
      <c r="J179" s="102">
        <f t="shared" si="30"/>
        <v>15</v>
      </c>
      <c r="K179" s="103">
        <f t="shared" si="31"/>
        <v>22.85714286</v>
      </c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</row>
    <row r="180">
      <c r="A180" s="68"/>
      <c r="B180" s="203" t="str">
        <f>IF(L180=4,"АПРЕЛЬ",IF(L180=5,"МАЙ",IF(L180=1,"ЯНВАРЬ",IF(L180=2,"ФЕВРАЛЬ",IF(L180=3,"МАРТ",IF(L180=6,"ИЮНЬ",IF(L180=7,"ИЮЛЬ",IF(L180=8,"АВГУСТ",IF(L180=9,"СЕНТЯБРЬ",IF(L180=10,"ОКТЯБРЬ",IF(L180=11,"НОЯБРЬ",IF(L180=12,"ДЕКАБРЬ"))))))))))))</f>
        <v>МАЙ</v>
      </c>
      <c r="J180" s="88"/>
      <c r="K180" s="204"/>
      <c r="L180" s="91">
        <f>MONTH(B181)</f>
        <v>5</v>
      </c>
      <c r="M180" s="66"/>
      <c r="N180" s="66"/>
      <c r="O180" s="66"/>
      <c r="P180" s="66"/>
      <c r="Q180" s="66"/>
    </row>
    <row r="181">
      <c r="A181" s="54"/>
      <c r="B181" s="110">
        <v>45779.0</v>
      </c>
      <c r="C181" s="100" t="s">
        <v>123</v>
      </c>
      <c r="D181" s="100" t="s">
        <v>290</v>
      </c>
      <c r="E181" s="100">
        <v>279988.0</v>
      </c>
      <c r="F181" s="99">
        <f>E181-E179</f>
        <v>1560</v>
      </c>
      <c r="G181" s="100">
        <v>851.0</v>
      </c>
      <c r="H181" s="101">
        <v>420.0</v>
      </c>
      <c r="I181" s="101">
        <v>400.0</v>
      </c>
      <c r="J181" s="102">
        <f t="shared" ref="J181:J191" si="33">H181-I181</f>
        <v>20</v>
      </c>
      <c r="K181" s="103">
        <f t="shared" ref="K181:K191" si="34">I181/F181*100</f>
        <v>25.64102564</v>
      </c>
      <c r="L181" s="54"/>
      <c r="M181" s="205" t="str">
        <f>"тотал"&amp;" "&amp;B180&amp;" "&amp;RIGHT(YEAR(B181),2)</f>
        <v>тотал МАЙ 25</v>
      </c>
      <c r="N181" s="75"/>
      <c r="O181" s="75"/>
      <c r="P181" s="75"/>
      <c r="Q181" s="76"/>
      <c r="R181" s="54"/>
      <c r="S181" s="54"/>
      <c r="T181" s="54"/>
      <c r="U181" s="54"/>
      <c r="V181" s="54"/>
    </row>
    <row r="182">
      <c r="A182" s="54"/>
      <c r="B182" s="110">
        <v>45780.0</v>
      </c>
      <c r="C182" s="100" t="s">
        <v>123</v>
      </c>
      <c r="D182" s="100" t="s">
        <v>290</v>
      </c>
      <c r="E182" s="100">
        <v>281550.0</v>
      </c>
      <c r="F182" s="99">
        <f t="shared" ref="F182:F190" si="35">E182-E181</f>
        <v>1562</v>
      </c>
      <c r="G182" s="100">
        <v>865.0</v>
      </c>
      <c r="H182" s="101">
        <v>417.0</v>
      </c>
      <c r="I182" s="101">
        <v>400.0</v>
      </c>
      <c r="J182" s="102">
        <f t="shared" si="33"/>
        <v>17</v>
      </c>
      <c r="K182" s="103">
        <f t="shared" si="34"/>
        <v>25.60819462</v>
      </c>
      <c r="L182" s="54"/>
      <c r="M182" s="83" t="s">
        <v>70</v>
      </c>
      <c r="N182" s="83" t="s">
        <v>71</v>
      </c>
      <c r="O182" s="83" t="s">
        <v>27</v>
      </c>
      <c r="P182" s="83" t="s">
        <v>28</v>
      </c>
      <c r="Q182" s="321" t="s">
        <v>78</v>
      </c>
      <c r="R182" s="54"/>
      <c r="S182" s="54"/>
      <c r="T182" s="54"/>
      <c r="U182" s="54"/>
      <c r="V182" s="54"/>
    </row>
    <row r="183">
      <c r="A183" s="54"/>
      <c r="B183" s="110">
        <v>45784.0</v>
      </c>
      <c r="C183" s="100" t="s">
        <v>123</v>
      </c>
      <c r="D183" s="100" t="s">
        <v>290</v>
      </c>
      <c r="E183" s="100">
        <v>283300.0</v>
      </c>
      <c r="F183" s="99">
        <f t="shared" si="35"/>
        <v>1750</v>
      </c>
      <c r="G183" s="100">
        <v>811.0</v>
      </c>
      <c r="H183" s="101">
        <v>421.0</v>
      </c>
      <c r="I183" s="101">
        <v>400.0</v>
      </c>
      <c r="J183" s="102">
        <f t="shared" si="33"/>
        <v>21</v>
      </c>
      <c r="K183" s="103">
        <f t="shared" si="34"/>
        <v>22.85714286</v>
      </c>
      <c r="L183" s="54"/>
      <c r="M183" s="84">
        <f>SUM(F181:F191)</f>
        <v>17894</v>
      </c>
      <c r="N183" s="84">
        <f>SUM(I181:I191)</f>
        <v>4450</v>
      </c>
      <c r="O183" s="85">
        <f>N183/M183*100</f>
        <v>24.86867106</v>
      </c>
      <c r="P183" s="84">
        <f>(M183/100)*(O183-Q183)</f>
        <v>-381.38</v>
      </c>
      <c r="Q183" s="464">
        <v>27.0</v>
      </c>
      <c r="R183" s="54"/>
      <c r="S183" s="54"/>
      <c r="T183" s="54"/>
      <c r="U183" s="54"/>
      <c r="V183" s="54"/>
    </row>
    <row r="184">
      <c r="A184" s="54"/>
      <c r="B184" s="110">
        <v>45786.0</v>
      </c>
      <c r="C184" s="100" t="s">
        <v>123</v>
      </c>
      <c r="D184" s="100" t="s">
        <v>290</v>
      </c>
      <c r="E184" s="100">
        <v>285221.0</v>
      </c>
      <c r="F184" s="99">
        <f t="shared" si="35"/>
        <v>1921</v>
      </c>
      <c r="G184" s="100">
        <v>819.0</v>
      </c>
      <c r="H184" s="101">
        <v>523.0</v>
      </c>
      <c r="I184" s="101">
        <v>500.0</v>
      </c>
      <c r="J184" s="102">
        <f t="shared" si="33"/>
        <v>23</v>
      </c>
      <c r="K184" s="103">
        <f t="shared" si="34"/>
        <v>26.02811036</v>
      </c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</row>
    <row r="185">
      <c r="A185" s="54"/>
      <c r="B185" s="110">
        <v>45788.0</v>
      </c>
      <c r="C185" s="100" t="s">
        <v>123</v>
      </c>
      <c r="D185" s="100" t="s">
        <v>290</v>
      </c>
      <c r="E185" s="100">
        <v>286457.0</v>
      </c>
      <c r="F185" s="99">
        <f t="shared" si="35"/>
        <v>1236</v>
      </c>
      <c r="G185" s="100">
        <v>869.0</v>
      </c>
      <c r="H185" s="101">
        <v>368.0</v>
      </c>
      <c r="I185" s="101">
        <v>350.0</v>
      </c>
      <c r="J185" s="102">
        <f t="shared" si="33"/>
        <v>18</v>
      </c>
      <c r="K185" s="103">
        <f t="shared" si="34"/>
        <v>28.3171521</v>
      </c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</row>
    <row r="186">
      <c r="A186" s="54"/>
      <c r="B186" s="110">
        <v>45791.0</v>
      </c>
      <c r="C186" s="100" t="s">
        <v>123</v>
      </c>
      <c r="D186" s="100" t="s">
        <v>290</v>
      </c>
      <c r="E186" s="100">
        <v>288224.0</v>
      </c>
      <c r="F186" s="99">
        <f t="shared" si="35"/>
        <v>1767</v>
      </c>
      <c r="G186" s="100">
        <v>848.0</v>
      </c>
      <c r="H186" s="101">
        <v>416.0</v>
      </c>
      <c r="I186" s="101">
        <v>400.0</v>
      </c>
      <c r="J186" s="102">
        <f t="shared" si="33"/>
        <v>16</v>
      </c>
      <c r="K186" s="103">
        <f t="shared" si="34"/>
        <v>22.63723826</v>
      </c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</row>
    <row r="187">
      <c r="A187" s="54"/>
      <c r="B187" s="110">
        <v>45795.0</v>
      </c>
      <c r="C187" s="100" t="s">
        <v>123</v>
      </c>
      <c r="D187" s="100" t="s">
        <v>290</v>
      </c>
      <c r="E187" s="100">
        <v>289801.0</v>
      </c>
      <c r="F187" s="99">
        <f t="shared" si="35"/>
        <v>1577</v>
      </c>
      <c r="G187" s="100">
        <v>858.0</v>
      </c>
      <c r="H187" s="101">
        <v>414.0</v>
      </c>
      <c r="I187" s="101">
        <v>400.0</v>
      </c>
      <c r="J187" s="102">
        <f t="shared" si="33"/>
        <v>14</v>
      </c>
      <c r="K187" s="103">
        <f t="shared" si="34"/>
        <v>25.36461636</v>
      </c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</row>
    <row r="188">
      <c r="A188" s="54"/>
      <c r="B188" s="110">
        <v>45798.0</v>
      </c>
      <c r="C188" s="100" t="s">
        <v>123</v>
      </c>
      <c r="D188" s="100" t="s">
        <v>290</v>
      </c>
      <c r="E188" s="100">
        <v>291549.0</v>
      </c>
      <c r="F188" s="99">
        <f t="shared" si="35"/>
        <v>1748</v>
      </c>
      <c r="G188" s="100">
        <v>828.0</v>
      </c>
      <c r="H188" s="101">
        <v>410.0</v>
      </c>
      <c r="I188" s="101">
        <v>400.0</v>
      </c>
      <c r="J188" s="102">
        <f t="shared" si="33"/>
        <v>10</v>
      </c>
      <c r="K188" s="103">
        <f t="shared" si="34"/>
        <v>22.88329519</v>
      </c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</row>
    <row r="189">
      <c r="A189" s="54"/>
      <c r="B189" s="110">
        <v>45800.0</v>
      </c>
      <c r="C189" s="100" t="s">
        <v>123</v>
      </c>
      <c r="D189" s="100" t="s">
        <v>290</v>
      </c>
      <c r="E189" s="100">
        <v>293126.0</v>
      </c>
      <c r="F189" s="99">
        <f t="shared" si="35"/>
        <v>1577</v>
      </c>
      <c r="G189" s="100">
        <v>838.0</v>
      </c>
      <c r="H189" s="101">
        <v>411.0</v>
      </c>
      <c r="I189" s="101">
        <v>400.0</v>
      </c>
      <c r="J189" s="102">
        <f t="shared" si="33"/>
        <v>11</v>
      </c>
      <c r="K189" s="103">
        <f t="shared" si="34"/>
        <v>25.36461636</v>
      </c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</row>
    <row r="190">
      <c r="A190" s="54"/>
      <c r="B190" s="110">
        <v>45802.0</v>
      </c>
      <c r="C190" s="100" t="s">
        <v>123</v>
      </c>
      <c r="D190" s="100" t="s">
        <v>290</v>
      </c>
      <c r="E190" s="100">
        <v>294719.0</v>
      </c>
      <c r="F190" s="99">
        <f t="shared" si="35"/>
        <v>1593</v>
      </c>
      <c r="G190" s="100">
        <v>850.0</v>
      </c>
      <c r="H190" s="101">
        <v>413.0</v>
      </c>
      <c r="I190" s="101">
        <v>400.0</v>
      </c>
      <c r="J190" s="102">
        <f t="shared" si="33"/>
        <v>13</v>
      </c>
      <c r="K190" s="103">
        <f t="shared" si="34"/>
        <v>25.10985562</v>
      </c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</row>
    <row r="191">
      <c r="A191" s="54"/>
      <c r="B191" s="110">
        <v>45804.0</v>
      </c>
      <c r="C191" s="100" t="s">
        <v>123</v>
      </c>
      <c r="D191" s="100" t="s">
        <v>290</v>
      </c>
      <c r="E191" s="100"/>
      <c r="F191" s="135">
        <v>1603.0</v>
      </c>
      <c r="G191" s="100"/>
      <c r="H191" s="101"/>
      <c r="I191" s="101">
        <v>400.0</v>
      </c>
      <c r="J191" s="102">
        <f t="shared" si="33"/>
        <v>-400</v>
      </c>
      <c r="K191" s="103">
        <f t="shared" si="34"/>
        <v>24.95321273</v>
      </c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</row>
    <row r="192">
      <c r="A192" s="68"/>
      <c r="B192" s="203" t="str">
        <f>IF(L192=4,"АПРЕЛЬ",IF(L192=5,"МАЙ",IF(L192=1,"ЯНВАРЬ",IF(L192=2,"ФЕВРАЛЬ",IF(L192=3,"МАРТ",IF(L192=6,"ИЮНЬ",IF(L192=7,"ИЮЛЬ",IF(L192=8,"АВГУСТ",IF(L192=9,"СЕНТЯБРЬ",IF(L192=10,"ОКТЯБРЬ",IF(L192=11,"НОЯБРЬ",IF(L192=12,"ДЕКАБРЬ"))))))))))))</f>
        <v>ИЮНЬ</v>
      </c>
      <c r="J192" s="88"/>
      <c r="K192" s="204"/>
      <c r="L192" s="91">
        <f>MONTH(B193)</f>
        <v>6</v>
      </c>
      <c r="M192" s="66"/>
      <c r="N192" s="66"/>
      <c r="O192" s="66"/>
      <c r="P192" s="66"/>
      <c r="Q192" s="66"/>
    </row>
    <row r="193">
      <c r="A193" s="54"/>
      <c r="B193" s="110">
        <v>45817.0</v>
      </c>
      <c r="C193" s="100" t="s">
        <v>123</v>
      </c>
      <c r="D193" s="100" t="s">
        <v>290</v>
      </c>
      <c r="E193" s="99"/>
      <c r="F193" s="135">
        <v>1603.0</v>
      </c>
      <c r="G193" s="99"/>
      <c r="H193" s="102"/>
      <c r="I193" s="101">
        <v>400.0</v>
      </c>
      <c r="J193" s="102">
        <f t="shared" ref="J193:J201" si="36">H193-I193</f>
        <v>-400</v>
      </c>
      <c r="K193" s="103">
        <f t="shared" ref="K193:K201" si="37">I193/F193*100</f>
        <v>24.95321273</v>
      </c>
      <c r="L193" s="54"/>
      <c r="M193" s="205" t="str">
        <f>"тотал"&amp;" "&amp;B192&amp;" "&amp;RIGHT(YEAR(B193),2)</f>
        <v>тотал ИЮНЬ 25</v>
      </c>
      <c r="N193" s="75"/>
      <c r="O193" s="75"/>
      <c r="P193" s="75"/>
      <c r="Q193" s="76"/>
      <c r="R193" s="54"/>
      <c r="S193" s="54"/>
      <c r="T193" s="54"/>
      <c r="U193" s="54"/>
      <c r="V193" s="54"/>
    </row>
    <row r="194">
      <c r="A194" s="54"/>
      <c r="B194" s="110">
        <v>45819.0</v>
      </c>
      <c r="C194" s="100" t="s">
        <v>123</v>
      </c>
      <c r="D194" s="100" t="s">
        <v>290</v>
      </c>
      <c r="E194" s="99"/>
      <c r="F194" s="135">
        <v>1603.0</v>
      </c>
      <c r="G194" s="99"/>
      <c r="H194" s="102"/>
      <c r="I194" s="101">
        <v>400.0</v>
      </c>
      <c r="J194" s="102">
        <f t="shared" si="36"/>
        <v>-400</v>
      </c>
      <c r="K194" s="103">
        <f t="shared" si="37"/>
        <v>24.95321273</v>
      </c>
      <c r="L194" s="54"/>
      <c r="M194" s="83" t="s">
        <v>70</v>
      </c>
      <c r="N194" s="83" t="s">
        <v>71</v>
      </c>
      <c r="O194" s="83" t="s">
        <v>27</v>
      </c>
      <c r="P194" s="83" t="s">
        <v>28</v>
      </c>
      <c r="Q194" s="321" t="s">
        <v>78</v>
      </c>
      <c r="R194" s="54"/>
      <c r="S194" s="54"/>
      <c r="T194" s="54"/>
      <c r="U194" s="54"/>
      <c r="V194" s="54"/>
    </row>
    <row r="195">
      <c r="A195" s="54"/>
      <c r="B195" s="110">
        <v>45821.0</v>
      </c>
      <c r="C195" s="100" t="s">
        <v>123</v>
      </c>
      <c r="D195" s="100" t="s">
        <v>290</v>
      </c>
      <c r="E195" s="100">
        <v>301131.0</v>
      </c>
      <c r="F195" s="135">
        <v>1603.0</v>
      </c>
      <c r="G195" s="100">
        <v>886.0</v>
      </c>
      <c r="H195" s="101">
        <v>411.0</v>
      </c>
      <c r="I195" s="101">
        <f>400-0.07</f>
        <v>399.93</v>
      </c>
      <c r="J195" s="102">
        <f t="shared" si="36"/>
        <v>11.07</v>
      </c>
      <c r="K195" s="103">
        <f t="shared" si="37"/>
        <v>24.94884591</v>
      </c>
      <c r="L195" s="54"/>
      <c r="M195" s="84">
        <f>SUM(F193:F201)</f>
        <v>14238</v>
      </c>
      <c r="N195" s="84">
        <f>SUM(I193:I201)</f>
        <v>3599.79</v>
      </c>
      <c r="O195" s="85">
        <f>N195/M195*100</f>
        <v>25.28297514</v>
      </c>
      <c r="P195" s="84">
        <f>(M195/100)*(O195-Q195)</f>
        <v>-244.47</v>
      </c>
      <c r="Q195" s="464">
        <v>27.0</v>
      </c>
      <c r="R195" s="54"/>
      <c r="S195" s="54"/>
      <c r="T195" s="54"/>
      <c r="U195" s="54"/>
      <c r="V195" s="54"/>
    </row>
    <row r="196">
      <c r="A196" s="54"/>
      <c r="B196" s="110">
        <v>45825.0</v>
      </c>
      <c r="C196" s="100" t="s">
        <v>123</v>
      </c>
      <c r="D196" s="100" t="s">
        <v>290</v>
      </c>
      <c r="E196" s="100">
        <v>302707.0</v>
      </c>
      <c r="F196" s="99">
        <f t="shared" ref="F196:F201" si="38">E196-E195</f>
        <v>1576</v>
      </c>
      <c r="G196" s="100">
        <v>911.0</v>
      </c>
      <c r="H196" s="101">
        <v>417.0</v>
      </c>
      <c r="I196" s="101">
        <v>400.0</v>
      </c>
      <c r="J196" s="102">
        <f t="shared" si="36"/>
        <v>17</v>
      </c>
      <c r="K196" s="103">
        <f t="shared" si="37"/>
        <v>25.38071066</v>
      </c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</row>
    <row r="197">
      <c r="A197" s="54"/>
      <c r="B197" s="110">
        <v>45827.0</v>
      </c>
      <c r="C197" s="100" t="s">
        <v>123</v>
      </c>
      <c r="D197" s="100" t="s">
        <v>290</v>
      </c>
      <c r="E197" s="100">
        <v>304266.0</v>
      </c>
      <c r="F197" s="99">
        <f t="shared" si="38"/>
        <v>1559</v>
      </c>
      <c r="G197" s="100">
        <v>933.0</v>
      </c>
      <c r="H197" s="101">
        <v>415.0</v>
      </c>
      <c r="I197" s="101">
        <v>400.0</v>
      </c>
      <c r="J197" s="102">
        <f t="shared" si="36"/>
        <v>15</v>
      </c>
      <c r="K197" s="103">
        <f t="shared" si="37"/>
        <v>25.65747274</v>
      </c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</row>
    <row r="198">
      <c r="A198" s="54"/>
      <c r="B198" s="110">
        <v>45831.0</v>
      </c>
      <c r="C198" s="100" t="s">
        <v>123</v>
      </c>
      <c r="D198" s="100" t="s">
        <v>290</v>
      </c>
      <c r="E198" s="100">
        <v>305844.0</v>
      </c>
      <c r="F198" s="99">
        <f t="shared" si="38"/>
        <v>1578</v>
      </c>
      <c r="G198" s="100">
        <v>951.0</v>
      </c>
      <c r="H198" s="101">
        <v>413.0</v>
      </c>
      <c r="I198" s="102">
        <f>400-0.07</f>
        <v>399.93</v>
      </c>
      <c r="J198" s="102">
        <f t="shared" si="36"/>
        <v>13.07</v>
      </c>
      <c r="K198" s="103">
        <f t="shared" si="37"/>
        <v>25.34410646</v>
      </c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</row>
    <row r="199">
      <c r="A199" s="54"/>
      <c r="B199" s="110">
        <v>45833.0</v>
      </c>
      <c r="C199" s="100" t="s">
        <v>123</v>
      </c>
      <c r="D199" s="100" t="s">
        <v>290</v>
      </c>
      <c r="E199" s="100">
        <v>307402.0</v>
      </c>
      <c r="F199" s="99">
        <f t="shared" si="38"/>
        <v>1558</v>
      </c>
      <c r="G199" s="100">
        <v>995.0</v>
      </c>
      <c r="H199" s="101">
        <v>415.0</v>
      </c>
      <c r="I199" s="101">
        <v>400.0</v>
      </c>
      <c r="J199" s="102">
        <f t="shared" si="36"/>
        <v>15</v>
      </c>
      <c r="K199" s="103">
        <f t="shared" si="37"/>
        <v>25.67394095</v>
      </c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</row>
    <row r="200">
      <c r="A200" s="54"/>
      <c r="B200" s="110">
        <v>45835.0</v>
      </c>
      <c r="C200" s="100" t="s">
        <v>123</v>
      </c>
      <c r="D200" s="100" t="s">
        <v>290</v>
      </c>
      <c r="E200" s="100">
        <v>308984.0</v>
      </c>
      <c r="F200" s="99">
        <f t="shared" si="38"/>
        <v>1582</v>
      </c>
      <c r="G200" s="100">
        <v>1011.0</v>
      </c>
      <c r="H200" s="101">
        <v>412.0</v>
      </c>
      <c r="I200" s="102">
        <f>400-0.07</f>
        <v>399.93</v>
      </c>
      <c r="J200" s="102">
        <f t="shared" si="36"/>
        <v>12.07</v>
      </c>
      <c r="K200" s="103">
        <f t="shared" si="37"/>
        <v>25.28002528</v>
      </c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</row>
    <row r="201">
      <c r="A201" s="54"/>
      <c r="B201" s="110">
        <v>45837.0</v>
      </c>
      <c r="C201" s="100" t="s">
        <v>123</v>
      </c>
      <c r="D201" s="100" t="s">
        <v>290</v>
      </c>
      <c r="E201" s="100">
        <v>310560.0</v>
      </c>
      <c r="F201" s="99">
        <f t="shared" si="38"/>
        <v>1576</v>
      </c>
      <c r="G201" s="100">
        <v>1040.0</v>
      </c>
      <c r="H201" s="101">
        <v>411.0</v>
      </c>
      <c r="I201" s="101">
        <v>400.0</v>
      </c>
      <c r="J201" s="102">
        <f t="shared" si="36"/>
        <v>11</v>
      </c>
      <c r="K201" s="103">
        <f t="shared" si="37"/>
        <v>25.38071066</v>
      </c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</row>
    <row r="202">
      <c r="A202" s="68"/>
      <c r="B202" s="203" t="str">
        <f>IF(L202=4,"АПРЕЛЬ",IF(L202=5,"МАЙ",IF(L202=1,"ЯНВАРЬ",IF(L202=2,"ФЕВРАЛЬ",IF(L202=3,"МАРТ",IF(L202=6,"ИЮНЬ",IF(L202=7,"ИЮЛЬ",IF(L202=8,"АВГУСТ",IF(L202=9,"СЕНТЯБРЬ",IF(L202=10,"ОКТЯБРЬ",IF(L202=11,"НОЯБРЬ",IF(L202=12,"ДЕКАБРЬ"))))))))))))</f>
        <v>ИЮЛЬ</v>
      </c>
      <c r="J202" s="88"/>
      <c r="K202" s="204"/>
      <c r="L202" s="91">
        <f>MONTH(B203)</f>
        <v>7</v>
      </c>
      <c r="M202" s="66"/>
      <c r="N202" s="66"/>
      <c r="O202" s="66"/>
      <c r="P202" s="66"/>
      <c r="Q202" s="66"/>
    </row>
    <row r="203">
      <c r="A203" s="54"/>
      <c r="B203" s="110">
        <v>45840.0</v>
      </c>
      <c r="C203" s="321" t="s">
        <v>123</v>
      </c>
      <c r="D203" s="321" t="s">
        <v>290</v>
      </c>
      <c r="E203" s="100">
        <v>311193.0</v>
      </c>
      <c r="F203" s="99">
        <f>E203-E201</f>
        <v>633</v>
      </c>
      <c r="G203" s="100">
        <v>861.0</v>
      </c>
      <c r="H203" s="101">
        <v>66.0</v>
      </c>
      <c r="I203" s="101">
        <v>400.0</v>
      </c>
      <c r="J203" s="102">
        <f t="shared" ref="J203:J214" si="39">H203-I203</f>
        <v>-334</v>
      </c>
      <c r="K203" s="103">
        <f t="shared" ref="K203:K214" si="40">I203/F203*100</f>
        <v>63.19115324</v>
      </c>
      <c r="L203" s="54"/>
      <c r="M203" s="205" t="str">
        <f>"тотал"&amp;" "&amp;B202&amp;" "&amp;RIGHT(YEAR(B203),2)</f>
        <v>тотал ИЮЛЬ 25</v>
      </c>
      <c r="N203" s="75"/>
      <c r="O203" s="75"/>
      <c r="P203" s="75"/>
      <c r="Q203" s="76"/>
      <c r="R203" s="54"/>
      <c r="S203" s="54"/>
      <c r="T203" s="54"/>
      <c r="U203" s="54"/>
      <c r="V203" s="54"/>
    </row>
    <row r="204">
      <c r="A204" s="54"/>
      <c r="B204" s="110">
        <v>45842.0</v>
      </c>
      <c r="C204" s="321" t="s">
        <v>123</v>
      </c>
      <c r="D204" s="321" t="s">
        <v>290</v>
      </c>
      <c r="E204" s="100">
        <v>312492.0</v>
      </c>
      <c r="F204" s="99">
        <f t="shared" ref="F204:F214" si="41">E204-E203</f>
        <v>1299</v>
      </c>
      <c r="G204" s="100">
        <v>954.0</v>
      </c>
      <c r="H204" s="101">
        <v>411.0</v>
      </c>
      <c r="I204" s="101">
        <v>400.0</v>
      </c>
      <c r="J204" s="102">
        <f t="shared" si="39"/>
        <v>11</v>
      </c>
      <c r="K204" s="103">
        <f t="shared" si="40"/>
        <v>30.79291763</v>
      </c>
      <c r="L204" s="54"/>
      <c r="M204" s="83" t="s">
        <v>70</v>
      </c>
      <c r="N204" s="83" t="s">
        <v>71</v>
      </c>
      <c r="O204" s="83" t="s">
        <v>27</v>
      </c>
      <c r="P204" s="83" t="s">
        <v>28</v>
      </c>
      <c r="Q204" s="321" t="s">
        <v>78</v>
      </c>
      <c r="R204" s="54"/>
      <c r="S204" s="54"/>
      <c r="T204" s="54"/>
      <c r="U204" s="54"/>
      <c r="V204" s="54"/>
    </row>
    <row r="205">
      <c r="A205" s="54"/>
      <c r="B205" s="110">
        <v>45844.0</v>
      </c>
      <c r="C205" s="321" t="s">
        <v>123</v>
      </c>
      <c r="D205" s="321" t="s">
        <v>290</v>
      </c>
      <c r="E205" s="100">
        <v>314033.0</v>
      </c>
      <c r="F205" s="99">
        <f t="shared" si="41"/>
        <v>1541</v>
      </c>
      <c r="G205" s="100">
        <v>990.0</v>
      </c>
      <c r="H205" s="101">
        <v>415.0</v>
      </c>
      <c r="I205" s="101">
        <v>400.0</v>
      </c>
      <c r="J205" s="102">
        <f t="shared" si="39"/>
        <v>15</v>
      </c>
      <c r="K205" s="103">
        <f t="shared" si="40"/>
        <v>25.95717067</v>
      </c>
      <c r="L205" s="54"/>
      <c r="M205" s="84">
        <f>SUM(F203:F214)</f>
        <v>18221</v>
      </c>
      <c r="N205" s="84">
        <f>SUM(I203:I214)</f>
        <v>4799.94</v>
      </c>
      <c r="O205" s="85">
        <f>N205/M205*100</f>
        <v>26.34290105</v>
      </c>
      <c r="P205" s="84">
        <f>(M205/100)*(O205-Q205)</f>
        <v>-119.73</v>
      </c>
      <c r="Q205" s="464">
        <v>27.0</v>
      </c>
      <c r="R205" s="54"/>
      <c r="S205" s="54"/>
      <c r="T205" s="54"/>
      <c r="U205" s="54"/>
      <c r="V205" s="54"/>
    </row>
    <row r="206">
      <c r="A206" s="54"/>
      <c r="B206" s="110">
        <v>45849.0</v>
      </c>
      <c r="C206" s="321" t="s">
        <v>123</v>
      </c>
      <c r="D206" s="321" t="s">
        <v>290</v>
      </c>
      <c r="E206" s="100">
        <v>315784.0</v>
      </c>
      <c r="F206" s="99">
        <f t="shared" si="41"/>
        <v>1751</v>
      </c>
      <c r="G206" s="100">
        <v>966.0</v>
      </c>
      <c r="H206" s="101">
        <v>413.0</v>
      </c>
      <c r="I206" s="101">
        <v>400.0</v>
      </c>
      <c r="J206" s="102">
        <f t="shared" si="39"/>
        <v>13</v>
      </c>
      <c r="K206" s="103">
        <f t="shared" si="40"/>
        <v>22.84408909</v>
      </c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</row>
    <row r="207">
      <c r="A207" s="54"/>
      <c r="B207" s="110">
        <v>45851.0</v>
      </c>
      <c r="C207" s="321" t="s">
        <v>123</v>
      </c>
      <c r="D207" s="321" t="s">
        <v>290</v>
      </c>
      <c r="E207" s="100">
        <v>317407.0</v>
      </c>
      <c r="F207" s="99">
        <f t="shared" si="41"/>
        <v>1623</v>
      </c>
      <c r="G207" s="100">
        <v>983.0</v>
      </c>
      <c r="H207" s="101">
        <v>409.0</v>
      </c>
      <c r="I207" s="101">
        <v>400.0</v>
      </c>
      <c r="J207" s="102">
        <f t="shared" si="39"/>
        <v>9</v>
      </c>
      <c r="K207" s="103">
        <f t="shared" si="40"/>
        <v>24.64571781</v>
      </c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</row>
    <row r="208">
      <c r="A208" s="54"/>
      <c r="B208" s="110">
        <v>45854.0</v>
      </c>
      <c r="C208" s="321" t="s">
        <v>123</v>
      </c>
      <c r="D208" s="321" t="s">
        <v>290</v>
      </c>
      <c r="E208" s="100">
        <v>318978.0</v>
      </c>
      <c r="F208" s="99">
        <f t="shared" si="41"/>
        <v>1571</v>
      </c>
      <c r="G208" s="100">
        <v>1012.0</v>
      </c>
      <c r="H208" s="101">
        <v>410.0</v>
      </c>
      <c r="I208" s="101">
        <v>400.0</v>
      </c>
      <c r="J208" s="102">
        <f t="shared" si="39"/>
        <v>10</v>
      </c>
      <c r="K208" s="103">
        <f t="shared" si="40"/>
        <v>25.4614895</v>
      </c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</row>
    <row r="209">
      <c r="A209" s="54"/>
      <c r="B209" s="110">
        <v>45856.0</v>
      </c>
      <c r="C209" s="321" t="s">
        <v>123</v>
      </c>
      <c r="D209" s="321" t="s">
        <v>290</v>
      </c>
      <c r="E209" s="100">
        <v>320550.0</v>
      </c>
      <c r="F209" s="99">
        <f t="shared" si="41"/>
        <v>1572</v>
      </c>
      <c r="G209" s="100">
        <v>1032.0</v>
      </c>
      <c r="H209" s="101">
        <v>416.0</v>
      </c>
      <c r="I209" s="101">
        <v>400.0</v>
      </c>
      <c r="J209" s="102">
        <f t="shared" si="39"/>
        <v>16</v>
      </c>
      <c r="K209" s="103">
        <f t="shared" si="40"/>
        <v>25.44529262</v>
      </c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</row>
    <row r="210">
      <c r="A210" s="54"/>
      <c r="B210" s="110">
        <v>45858.0</v>
      </c>
      <c r="C210" s="321" t="s">
        <v>123</v>
      </c>
      <c r="D210" s="321" t="s">
        <v>290</v>
      </c>
      <c r="E210" s="100">
        <v>322121.0</v>
      </c>
      <c r="F210" s="99">
        <f t="shared" si="41"/>
        <v>1571</v>
      </c>
      <c r="G210" s="100">
        <v>1067.0</v>
      </c>
      <c r="H210" s="101">
        <v>416.0</v>
      </c>
      <c r="I210" s="101">
        <v>400.0</v>
      </c>
      <c r="J210" s="102">
        <f t="shared" si="39"/>
        <v>16</v>
      </c>
      <c r="K210" s="103">
        <f t="shared" si="40"/>
        <v>25.4614895</v>
      </c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</row>
    <row r="211">
      <c r="A211" s="54"/>
      <c r="B211" s="110">
        <v>45861.0</v>
      </c>
      <c r="C211" s="321" t="s">
        <v>123</v>
      </c>
      <c r="D211" s="321" t="s">
        <v>290</v>
      </c>
      <c r="E211" s="100">
        <v>323866.0</v>
      </c>
      <c r="F211" s="99">
        <f t="shared" si="41"/>
        <v>1745</v>
      </c>
      <c r="G211" s="100">
        <v>1052.0</v>
      </c>
      <c r="H211" s="101">
        <v>427.0</v>
      </c>
      <c r="I211" s="101">
        <v>400.0</v>
      </c>
      <c r="J211" s="102">
        <f t="shared" si="39"/>
        <v>27</v>
      </c>
      <c r="K211" s="103">
        <f t="shared" si="40"/>
        <v>22.9226361</v>
      </c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</row>
    <row r="212">
      <c r="A212" s="54"/>
      <c r="B212" s="110">
        <v>45863.0</v>
      </c>
      <c r="C212" s="321" t="s">
        <v>123</v>
      </c>
      <c r="D212" s="321" t="s">
        <v>290</v>
      </c>
      <c r="E212" s="100">
        <v>325442.0</v>
      </c>
      <c r="F212" s="99">
        <f t="shared" si="41"/>
        <v>1576</v>
      </c>
      <c r="G212" s="100">
        <v>1076.0</v>
      </c>
      <c r="H212" s="101">
        <v>424.0</v>
      </c>
      <c r="I212" s="101">
        <v>400.0</v>
      </c>
      <c r="J212" s="102">
        <f t="shared" si="39"/>
        <v>24</v>
      </c>
      <c r="K212" s="103">
        <f t="shared" si="40"/>
        <v>25.38071066</v>
      </c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</row>
    <row r="213">
      <c r="A213" s="54"/>
      <c r="B213" s="110">
        <v>45865.0</v>
      </c>
      <c r="C213" s="321" t="s">
        <v>123</v>
      </c>
      <c r="D213" s="321" t="s">
        <v>290</v>
      </c>
      <c r="E213" s="100">
        <v>327025.0</v>
      </c>
      <c r="F213" s="99">
        <f t="shared" si="41"/>
        <v>1583</v>
      </c>
      <c r="G213" s="100">
        <v>1103.0</v>
      </c>
      <c r="H213" s="101">
        <v>415.0</v>
      </c>
      <c r="I213" s="102">
        <f>400-50.06--50</f>
        <v>399.94</v>
      </c>
      <c r="J213" s="102">
        <f t="shared" si="39"/>
        <v>15.06</v>
      </c>
      <c r="K213" s="103">
        <f t="shared" si="40"/>
        <v>25.2646873</v>
      </c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</row>
    <row r="214">
      <c r="A214" s="54"/>
      <c r="B214" s="110">
        <v>45868.0</v>
      </c>
      <c r="C214" s="321" t="s">
        <v>123</v>
      </c>
      <c r="D214" s="321" t="s">
        <v>290</v>
      </c>
      <c r="E214" s="100">
        <v>328781.0</v>
      </c>
      <c r="F214" s="99">
        <f t="shared" si="41"/>
        <v>1756</v>
      </c>
      <c r="G214" s="100">
        <v>1079.0</v>
      </c>
      <c r="H214" s="101">
        <v>423.0</v>
      </c>
      <c r="I214" s="101">
        <v>400.0</v>
      </c>
      <c r="J214" s="102">
        <f t="shared" si="39"/>
        <v>23</v>
      </c>
      <c r="K214" s="103">
        <f t="shared" si="40"/>
        <v>22.77904328</v>
      </c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</row>
    <row r="215">
      <c r="A215" s="68"/>
      <c r="B215" s="203" t="str">
        <f>IF(L215=4,"АПРЕЛЬ",IF(L215=5,"МАЙ",IF(L215=1,"ЯНВАРЬ",IF(L215=2,"ФЕВРАЛЬ",IF(L215=3,"МАРТ",IF(L215=6,"ИЮНЬ",IF(L215=7,"ИЮЛЬ",IF(L215=8,"АВГУСТ",IF(L215=9,"СЕНТЯБРЬ",IF(L215=10,"ОКТЯБРЬ",IF(L215=11,"НОЯБРЬ",IF(L215=12,"ДЕКАБРЬ"))))))))))))</f>
        <v>АВГУСТ</v>
      </c>
      <c r="J215" s="88"/>
      <c r="K215" s="204"/>
      <c r="L215" s="91">
        <f>MONTH(B216)</f>
        <v>8</v>
      </c>
      <c r="M215" s="66"/>
      <c r="N215" s="66"/>
      <c r="O215" s="66"/>
      <c r="P215" s="66"/>
      <c r="Q215" s="66"/>
    </row>
    <row r="216">
      <c r="A216" s="54"/>
      <c r="B216" s="110">
        <v>45870.0</v>
      </c>
      <c r="C216" s="321" t="s">
        <v>123</v>
      </c>
      <c r="D216" s="321" t="s">
        <v>290</v>
      </c>
      <c r="E216" s="100">
        <v>330346.0</v>
      </c>
      <c r="F216" s="99">
        <f>E216-E214</f>
        <v>1565</v>
      </c>
      <c r="G216" s="100">
        <v>1104.0</v>
      </c>
      <c r="H216" s="101">
        <v>421.0</v>
      </c>
      <c r="I216" s="101">
        <v>400.0</v>
      </c>
      <c r="J216" s="102">
        <f t="shared" ref="J216:J228" si="42">H216-I216</f>
        <v>21</v>
      </c>
      <c r="K216" s="103">
        <f t="shared" ref="K216:K228" si="43">I216/F216*100</f>
        <v>25.55910543</v>
      </c>
      <c r="L216" s="54"/>
      <c r="M216" s="205" t="str">
        <f>"тотал"&amp;" "&amp;B215&amp;" "&amp;RIGHT(YEAR(B216),2)</f>
        <v>тотал АВГУСТ 25</v>
      </c>
      <c r="N216" s="75"/>
      <c r="O216" s="75"/>
      <c r="P216" s="75"/>
      <c r="Q216" s="76"/>
      <c r="R216" s="54"/>
      <c r="S216" s="54"/>
      <c r="T216" s="54"/>
      <c r="U216" s="54"/>
      <c r="V216" s="54"/>
    </row>
    <row r="217">
      <c r="A217" s="54"/>
      <c r="B217" s="110">
        <v>45872.0</v>
      </c>
      <c r="C217" s="321" t="s">
        <v>123</v>
      </c>
      <c r="D217" s="321" t="s">
        <v>290</v>
      </c>
      <c r="E217" s="100">
        <v>331888.0</v>
      </c>
      <c r="F217" s="99">
        <f t="shared" ref="F217:F228" si="44">E217-E216</f>
        <v>1542</v>
      </c>
      <c r="G217" s="100">
        <v>1133.0</v>
      </c>
      <c r="H217" s="101">
        <v>414.0</v>
      </c>
      <c r="I217" s="101">
        <v>400.0</v>
      </c>
      <c r="J217" s="102">
        <f t="shared" si="42"/>
        <v>14</v>
      </c>
      <c r="K217" s="103">
        <f t="shared" si="43"/>
        <v>25.94033722</v>
      </c>
      <c r="L217" s="54"/>
      <c r="M217" s="83" t="s">
        <v>70</v>
      </c>
      <c r="N217" s="83" t="s">
        <v>71</v>
      </c>
      <c r="O217" s="83" t="s">
        <v>27</v>
      </c>
      <c r="P217" s="83" t="s">
        <v>28</v>
      </c>
      <c r="Q217" s="321" t="s">
        <v>78</v>
      </c>
      <c r="R217" s="54"/>
      <c r="S217" s="54"/>
      <c r="T217" s="54"/>
      <c r="U217" s="54"/>
      <c r="V217" s="54"/>
    </row>
    <row r="218">
      <c r="A218" s="54"/>
      <c r="B218" s="110">
        <v>45875.0</v>
      </c>
      <c r="C218" s="321" t="s">
        <v>123</v>
      </c>
      <c r="D218" s="321" t="s">
        <v>290</v>
      </c>
      <c r="E218" s="100">
        <v>333464.0</v>
      </c>
      <c r="F218" s="99">
        <f t="shared" si="44"/>
        <v>1576</v>
      </c>
      <c r="G218" s="100">
        <v>1142.0</v>
      </c>
      <c r="H218" s="101">
        <v>413.0</v>
      </c>
      <c r="I218" s="102">
        <f>400-30.09--30</f>
        <v>399.91</v>
      </c>
      <c r="J218" s="102">
        <f t="shared" si="42"/>
        <v>13.09</v>
      </c>
      <c r="K218" s="103">
        <f t="shared" si="43"/>
        <v>25.375</v>
      </c>
      <c r="L218" s="54"/>
      <c r="M218" s="84">
        <f>SUM(F216:F228)</f>
        <v>20725</v>
      </c>
      <c r="N218" s="84">
        <f>SUM(I216:I228)</f>
        <v>5190.2</v>
      </c>
      <c r="O218" s="85">
        <f>N218/M218*100</f>
        <v>25.04318456</v>
      </c>
      <c r="P218" s="84">
        <f>(M218/100)*(O218-Q218)</f>
        <v>-405.55</v>
      </c>
      <c r="Q218" s="464">
        <v>27.0</v>
      </c>
      <c r="R218" s="54"/>
      <c r="S218" s="54"/>
      <c r="T218" s="54"/>
      <c r="U218" s="54"/>
      <c r="V218" s="54"/>
    </row>
    <row r="219">
      <c r="A219" s="54"/>
      <c r="B219" s="110">
        <v>45877.0</v>
      </c>
      <c r="C219" s="321" t="s">
        <v>123</v>
      </c>
      <c r="D219" s="321" t="s">
        <v>290</v>
      </c>
      <c r="E219" s="100">
        <v>335006.0</v>
      </c>
      <c r="F219" s="99">
        <f t="shared" si="44"/>
        <v>1542</v>
      </c>
      <c r="G219" s="100">
        <v>1168.0</v>
      </c>
      <c r="H219" s="101">
        <v>410.0</v>
      </c>
      <c r="I219" s="102">
        <f>400-30.1--30</f>
        <v>399.9</v>
      </c>
      <c r="J219" s="102">
        <f t="shared" si="42"/>
        <v>10.1</v>
      </c>
      <c r="K219" s="103">
        <f t="shared" si="43"/>
        <v>25.93385214</v>
      </c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</row>
    <row r="220">
      <c r="A220" s="54"/>
      <c r="B220" s="110">
        <v>45882.0</v>
      </c>
      <c r="C220" s="321" t="s">
        <v>123</v>
      </c>
      <c r="D220" s="321" t="s">
        <v>290</v>
      </c>
      <c r="E220" s="100">
        <v>336566.0</v>
      </c>
      <c r="F220" s="99">
        <f t="shared" si="44"/>
        <v>1560</v>
      </c>
      <c r="G220" s="100">
        <v>1184.0</v>
      </c>
      <c r="H220" s="101">
        <v>413.0</v>
      </c>
      <c r="I220" s="101">
        <v>400.0</v>
      </c>
      <c r="J220" s="102">
        <f t="shared" si="42"/>
        <v>13</v>
      </c>
      <c r="K220" s="103">
        <f t="shared" si="43"/>
        <v>25.64102564</v>
      </c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</row>
    <row r="221">
      <c r="A221" s="54"/>
      <c r="B221" s="110">
        <v>45884.0</v>
      </c>
      <c r="C221" s="321" t="s">
        <v>123</v>
      </c>
      <c r="D221" s="321" t="s">
        <v>290</v>
      </c>
      <c r="E221" s="100">
        <v>338150.0</v>
      </c>
      <c r="F221" s="99">
        <f t="shared" si="44"/>
        <v>1584</v>
      </c>
      <c r="G221" s="100">
        <v>1189.0</v>
      </c>
      <c r="H221" s="101">
        <v>413.0</v>
      </c>
      <c r="I221" s="101">
        <v>400.0</v>
      </c>
      <c r="J221" s="102">
        <f t="shared" si="42"/>
        <v>13</v>
      </c>
      <c r="K221" s="103">
        <f t="shared" si="43"/>
        <v>25.25252525</v>
      </c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</row>
    <row r="222">
      <c r="A222" s="54"/>
      <c r="B222" s="110">
        <v>45886.0</v>
      </c>
      <c r="C222" s="321" t="s">
        <v>123</v>
      </c>
      <c r="D222" s="321" t="s">
        <v>290</v>
      </c>
      <c r="E222" s="100">
        <v>339736.0</v>
      </c>
      <c r="F222" s="99">
        <f t="shared" si="44"/>
        <v>1586</v>
      </c>
      <c r="G222" s="100">
        <v>1201.0</v>
      </c>
      <c r="H222" s="101">
        <v>410.0</v>
      </c>
      <c r="I222" s="101">
        <f>400-9.55</f>
        <v>390.45</v>
      </c>
      <c r="J222" s="102">
        <f t="shared" si="42"/>
        <v>19.55</v>
      </c>
      <c r="K222" s="103">
        <f t="shared" si="43"/>
        <v>24.6185372</v>
      </c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</row>
    <row r="223">
      <c r="A223" s="54"/>
      <c r="B223" s="110">
        <v>45889.0</v>
      </c>
      <c r="C223" s="321" t="s">
        <v>123</v>
      </c>
      <c r="D223" s="321" t="s">
        <v>290</v>
      </c>
      <c r="E223" s="100">
        <v>341490.0</v>
      </c>
      <c r="F223" s="99">
        <f t="shared" si="44"/>
        <v>1754</v>
      </c>
      <c r="G223" s="100">
        <v>1157.0</v>
      </c>
      <c r="H223" s="101">
        <v>409.0</v>
      </c>
      <c r="I223" s="101">
        <v>400.0</v>
      </c>
      <c r="J223" s="102">
        <f t="shared" si="42"/>
        <v>9</v>
      </c>
      <c r="K223" s="103">
        <f t="shared" si="43"/>
        <v>22.8050171</v>
      </c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</row>
    <row r="224">
      <c r="A224" s="54"/>
      <c r="B224" s="110">
        <v>45891.0</v>
      </c>
      <c r="C224" s="321" t="s">
        <v>123</v>
      </c>
      <c r="D224" s="321" t="s">
        <v>290</v>
      </c>
      <c r="E224" s="100">
        <v>343067.0</v>
      </c>
      <c r="F224" s="99">
        <f t="shared" si="44"/>
        <v>1577</v>
      </c>
      <c r="G224" s="100">
        <v>1163.0</v>
      </c>
      <c r="H224" s="101">
        <v>415.0</v>
      </c>
      <c r="I224" s="102">
        <f>400-63.06--63</f>
        <v>399.94</v>
      </c>
      <c r="J224" s="102">
        <f t="shared" si="42"/>
        <v>15.06</v>
      </c>
      <c r="K224" s="103">
        <f t="shared" si="43"/>
        <v>25.36081167</v>
      </c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</row>
    <row r="225">
      <c r="A225" s="54"/>
      <c r="B225" s="110">
        <v>45893.0</v>
      </c>
      <c r="C225" s="321" t="s">
        <v>123</v>
      </c>
      <c r="D225" s="321" t="s">
        <v>290</v>
      </c>
      <c r="E225" s="100">
        <v>344648.0</v>
      </c>
      <c r="F225" s="99">
        <f t="shared" si="44"/>
        <v>1581</v>
      </c>
      <c r="G225" s="100">
        <v>1180.0</v>
      </c>
      <c r="H225" s="101">
        <v>417.0</v>
      </c>
      <c r="I225" s="101">
        <v>400.0</v>
      </c>
      <c r="J225" s="102">
        <f t="shared" si="42"/>
        <v>17</v>
      </c>
      <c r="K225" s="103">
        <f t="shared" si="43"/>
        <v>25.30044276</v>
      </c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</row>
    <row r="226">
      <c r="A226" s="54"/>
      <c r="B226" s="110">
        <v>45896.0</v>
      </c>
      <c r="C226" s="321" t="s">
        <v>123</v>
      </c>
      <c r="D226" s="321" t="s">
        <v>290</v>
      </c>
      <c r="E226" s="100">
        <v>346404.0</v>
      </c>
      <c r="F226" s="99">
        <f t="shared" si="44"/>
        <v>1756</v>
      </c>
      <c r="G226" s="100">
        <v>1145.0</v>
      </c>
      <c r="H226" s="101">
        <v>410.0</v>
      </c>
      <c r="I226" s="101">
        <v>400.0</v>
      </c>
      <c r="J226" s="102">
        <f t="shared" si="42"/>
        <v>10</v>
      </c>
      <c r="K226" s="103">
        <f t="shared" si="43"/>
        <v>22.77904328</v>
      </c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</row>
    <row r="227">
      <c r="A227" s="54"/>
      <c r="B227" s="110">
        <v>45898.0</v>
      </c>
      <c r="C227" s="321" t="s">
        <v>123</v>
      </c>
      <c r="D227" s="321" t="s">
        <v>290</v>
      </c>
      <c r="E227" s="100">
        <v>347965.0</v>
      </c>
      <c r="F227" s="99">
        <f t="shared" si="44"/>
        <v>1561</v>
      </c>
      <c r="G227" s="100">
        <v>1159.0</v>
      </c>
      <c r="H227" s="101">
        <v>411.0</v>
      </c>
      <c r="I227" s="101">
        <v>400.0</v>
      </c>
      <c r="J227" s="102">
        <f t="shared" si="42"/>
        <v>11</v>
      </c>
      <c r="K227" s="103">
        <f t="shared" si="43"/>
        <v>25.62459962</v>
      </c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</row>
    <row r="228">
      <c r="A228" s="54"/>
      <c r="B228" s="110">
        <v>45900.0</v>
      </c>
      <c r="C228" s="321" t="s">
        <v>123</v>
      </c>
      <c r="D228" s="321" t="s">
        <v>290</v>
      </c>
      <c r="E228" s="100">
        <v>349506.0</v>
      </c>
      <c r="F228" s="99">
        <f t="shared" si="44"/>
        <v>1541</v>
      </c>
      <c r="G228" s="100">
        <v>1201.0</v>
      </c>
      <c r="H228" s="101">
        <v>415.0</v>
      </c>
      <c r="I228" s="101">
        <v>400.0</v>
      </c>
      <c r="J228" s="102">
        <f t="shared" si="42"/>
        <v>15</v>
      </c>
      <c r="K228" s="103">
        <f t="shared" si="43"/>
        <v>25.95717067</v>
      </c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</row>
    <row r="229">
      <c r="A229" s="68"/>
      <c r="B229" s="203" t="str">
        <f>IF(L229=4,"АПРЕЛЬ",IF(L229=5,"МАЙ",IF(L229=1,"ЯНВАРЬ",IF(L229=2,"ФЕВРАЛЬ",IF(L229=3,"МАРТ",IF(L229=6,"ИЮНЬ",IF(L229=7,"ИЮЛЬ",IF(L229=8,"АВГУСТ",IF(L229=9,"СЕНТЯБРЬ",IF(L229=10,"ОКТЯБРЬ",IF(L229=11,"НОЯБРЬ",IF(L229=12,"ДЕКАБРЬ"))))))))))))</f>
        <v>СЕНТЯБРЬ</v>
      </c>
      <c r="J229" s="88"/>
      <c r="K229" s="204"/>
      <c r="L229" s="91">
        <f>MONTH(B230)</f>
        <v>9</v>
      </c>
      <c r="M229" s="66"/>
      <c r="N229" s="66"/>
      <c r="O229" s="66"/>
      <c r="P229" s="66"/>
      <c r="Q229" s="66"/>
    </row>
    <row r="230">
      <c r="A230" s="54"/>
      <c r="B230" s="110">
        <v>45903.0</v>
      </c>
      <c r="C230" s="321" t="s">
        <v>123</v>
      </c>
      <c r="D230" s="321" t="s">
        <v>290</v>
      </c>
      <c r="E230" s="100">
        <v>351355.0</v>
      </c>
      <c r="F230" s="99">
        <f>E230-E228</f>
        <v>1849</v>
      </c>
      <c r="G230" s="100">
        <v>1123.0</v>
      </c>
      <c r="H230" s="101">
        <v>413.0</v>
      </c>
      <c r="I230" s="101">
        <v>400.0</v>
      </c>
      <c r="J230" s="102">
        <f t="shared" ref="J230:J241" si="45">H230-I230</f>
        <v>13</v>
      </c>
      <c r="K230" s="103">
        <f t="shared" ref="K230:K241" si="46">I230/F230*100</f>
        <v>21.63331531</v>
      </c>
      <c r="L230" s="54"/>
      <c r="M230" s="205" t="str">
        <f>"тотал"&amp;" "&amp;B229&amp;" "&amp;RIGHT(YEAR(B230),2)</f>
        <v>тотал СЕНТЯБРЬ 25</v>
      </c>
      <c r="N230" s="75"/>
      <c r="O230" s="75"/>
      <c r="P230" s="75"/>
      <c r="Q230" s="76"/>
      <c r="R230" s="54"/>
      <c r="S230" s="54"/>
      <c r="T230" s="54"/>
      <c r="U230" s="54"/>
      <c r="V230" s="54"/>
    </row>
    <row r="231">
      <c r="A231" s="54"/>
      <c r="B231" s="110">
        <v>45905.0</v>
      </c>
      <c r="C231" s="321" t="s">
        <v>123</v>
      </c>
      <c r="D231" s="321" t="s">
        <v>290</v>
      </c>
      <c r="E231" s="100">
        <v>352833.0</v>
      </c>
      <c r="F231" s="99">
        <f t="shared" ref="F231:F241" si="47">E231-E230</f>
        <v>1478</v>
      </c>
      <c r="G231" s="100">
        <v>1150.0</v>
      </c>
      <c r="H231" s="101">
        <v>409.0</v>
      </c>
      <c r="I231" s="101">
        <v>400.0</v>
      </c>
      <c r="J231" s="102">
        <f t="shared" si="45"/>
        <v>9</v>
      </c>
      <c r="K231" s="103">
        <f t="shared" si="46"/>
        <v>27.06359946</v>
      </c>
      <c r="L231" s="54"/>
      <c r="M231" s="83" t="s">
        <v>70</v>
      </c>
      <c r="N231" s="83" t="s">
        <v>71</v>
      </c>
      <c r="O231" s="83" t="s">
        <v>27</v>
      </c>
      <c r="P231" s="83" t="s">
        <v>28</v>
      </c>
      <c r="Q231" s="321" t="s">
        <v>78</v>
      </c>
      <c r="R231" s="54"/>
      <c r="S231" s="54"/>
      <c r="T231" s="54"/>
      <c r="U231" s="54"/>
      <c r="V231" s="54"/>
    </row>
    <row r="232">
      <c r="A232" s="54"/>
      <c r="B232" s="110">
        <v>45907.0</v>
      </c>
      <c r="C232" s="321" t="s">
        <v>123</v>
      </c>
      <c r="D232" s="321" t="s">
        <v>290</v>
      </c>
      <c r="E232" s="100">
        <v>354306.0</v>
      </c>
      <c r="F232" s="99">
        <f t="shared" si="47"/>
        <v>1473</v>
      </c>
      <c r="G232" s="100">
        <v>1184.0</v>
      </c>
      <c r="H232" s="101">
        <v>411.0</v>
      </c>
      <c r="I232" s="101">
        <v>400.0</v>
      </c>
      <c r="J232" s="102">
        <f t="shared" si="45"/>
        <v>11</v>
      </c>
      <c r="K232" s="103">
        <f t="shared" si="46"/>
        <v>27.15546504</v>
      </c>
      <c r="L232" s="54"/>
      <c r="M232" s="84">
        <f>SUM(F230:F241)</f>
        <v>18759</v>
      </c>
      <c r="N232" s="84">
        <f>SUM(I230:I241)</f>
        <v>4800</v>
      </c>
      <c r="O232" s="85">
        <f>N232/M232*100</f>
        <v>25.5877179</v>
      </c>
      <c r="P232" s="84">
        <f>(M232/100)*(O232-Q232)</f>
        <v>-264.93</v>
      </c>
      <c r="Q232" s="464">
        <v>27.0</v>
      </c>
      <c r="R232" s="54"/>
      <c r="S232" s="54"/>
      <c r="T232" s="54"/>
      <c r="U232" s="54"/>
      <c r="V232" s="54"/>
    </row>
    <row r="233">
      <c r="A233" s="54"/>
      <c r="B233" s="110">
        <v>45910.0</v>
      </c>
      <c r="C233" s="321" t="s">
        <v>123</v>
      </c>
      <c r="D233" s="321" t="s">
        <v>290</v>
      </c>
      <c r="E233" s="100">
        <v>355941.0</v>
      </c>
      <c r="F233" s="99">
        <f t="shared" si="47"/>
        <v>1635</v>
      </c>
      <c r="G233" s="100">
        <v>1178.0</v>
      </c>
      <c r="H233" s="101">
        <v>411.0</v>
      </c>
      <c r="I233" s="101">
        <v>400.0</v>
      </c>
      <c r="J233" s="102">
        <f t="shared" si="45"/>
        <v>11</v>
      </c>
      <c r="K233" s="103">
        <f t="shared" si="46"/>
        <v>24.4648318</v>
      </c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</row>
    <row r="234">
      <c r="A234" s="54"/>
      <c r="B234" s="110">
        <v>45912.0</v>
      </c>
      <c r="C234" s="321" t="s">
        <v>123</v>
      </c>
      <c r="D234" s="321" t="s">
        <v>290</v>
      </c>
      <c r="E234" s="100">
        <v>357452.0</v>
      </c>
      <c r="F234" s="99">
        <f t="shared" si="47"/>
        <v>1511</v>
      </c>
      <c r="G234" s="100">
        <v>1191.0</v>
      </c>
      <c r="H234" s="101">
        <v>415.0</v>
      </c>
      <c r="I234" s="101">
        <v>400.0</v>
      </c>
      <c r="J234" s="102">
        <f t="shared" si="45"/>
        <v>15</v>
      </c>
      <c r="K234" s="103">
        <f t="shared" si="46"/>
        <v>26.47253475</v>
      </c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</row>
    <row r="235">
      <c r="A235" s="54"/>
      <c r="B235" s="110">
        <v>45914.0</v>
      </c>
      <c r="C235" s="338" t="s">
        <v>126</v>
      </c>
      <c r="D235" s="321" t="s">
        <v>290</v>
      </c>
      <c r="E235" s="100">
        <v>358961.0</v>
      </c>
      <c r="F235" s="99">
        <f t="shared" si="47"/>
        <v>1509</v>
      </c>
      <c r="G235" s="100">
        <v>1207.0</v>
      </c>
      <c r="H235" s="101">
        <v>411.0</v>
      </c>
      <c r="I235" s="101">
        <v>400.0</v>
      </c>
      <c r="J235" s="102">
        <f t="shared" si="45"/>
        <v>11</v>
      </c>
      <c r="K235" s="103">
        <f t="shared" si="46"/>
        <v>26.50762094</v>
      </c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</row>
    <row r="236">
      <c r="A236" s="54"/>
      <c r="B236" s="110">
        <v>45917.0</v>
      </c>
      <c r="C236" s="321" t="s">
        <v>123</v>
      </c>
      <c r="D236" s="321" t="s">
        <v>290</v>
      </c>
      <c r="E236" s="100">
        <v>360635.0</v>
      </c>
      <c r="F236" s="99">
        <f t="shared" si="47"/>
        <v>1674</v>
      </c>
      <c r="G236" s="100">
        <v>1155.0</v>
      </c>
      <c r="H236" s="101">
        <v>407.0</v>
      </c>
      <c r="I236" s="101">
        <v>400.0</v>
      </c>
      <c r="J236" s="102">
        <f t="shared" si="45"/>
        <v>7</v>
      </c>
      <c r="K236" s="103">
        <f t="shared" si="46"/>
        <v>23.8948626</v>
      </c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</row>
    <row r="237">
      <c r="A237" s="54"/>
      <c r="B237" s="110">
        <v>45919.0</v>
      </c>
      <c r="C237" s="321" t="s">
        <v>123</v>
      </c>
      <c r="D237" s="321" t="s">
        <v>290</v>
      </c>
      <c r="E237" s="100">
        <v>362144.0</v>
      </c>
      <c r="F237" s="99">
        <f t="shared" si="47"/>
        <v>1509</v>
      </c>
      <c r="G237" s="100">
        <v>1169.0</v>
      </c>
      <c r="H237" s="101">
        <v>414.0</v>
      </c>
      <c r="I237" s="101">
        <v>400.0</v>
      </c>
      <c r="J237" s="102">
        <f t="shared" si="45"/>
        <v>14</v>
      </c>
      <c r="K237" s="103">
        <f t="shared" si="46"/>
        <v>26.50762094</v>
      </c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</row>
    <row r="238">
      <c r="A238" s="54"/>
      <c r="B238" s="110">
        <v>45921.0</v>
      </c>
      <c r="C238" s="321" t="s">
        <v>123</v>
      </c>
      <c r="D238" s="321" t="s">
        <v>290</v>
      </c>
      <c r="E238" s="100">
        <v>363653.0</v>
      </c>
      <c r="F238" s="99">
        <f t="shared" si="47"/>
        <v>1509</v>
      </c>
      <c r="G238" s="100">
        <v>1164.0</v>
      </c>
      <c r="H238" s="101">
        <v>413.0</v>
      </c>
      <c r="I238" s="101">
        <v>400.0</v>
      </c>
      <c r="J238" s="102">
        <f t="shared" si="45"/>
        <v>13</v>
      </c>
      <c r="K238" s="103">
        <f t="shared" si="46"/>
        <v>26.50762094</v>
      </c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</row>
    <row r="239">
      <c r="A239" s="54"/>
      <c r="B239" s="110">
        <v>45924.0</v>
      </c>
      <c r="C239" s="321" t="s">
        <v>123</v>
      </c>
      <c r="D239" s="321" t="s">
        <v>290</v>
      </c>
      <c r="E239" s="100">
        <v>365314.0</v>
      </c>
      <c r="F239" s="99">
        <f t="shared" si="47"/>
        <v>1661</v>
      </c>
      <c r="G239" s="100">
        <v>1134.0</v>
      </c>
      <c r="H239" s="101">
        <v>416.0</v>
      </c>
      <c r="I239" s="101">
        <v>400.0</v>
      </c>
      <c r="J239" s="102">
        <f t="shared" si="45"/>
        <v>16</v>
      </c>
      <c r="K239" s="103">
        <f t="shared" si="46"/>
        <v>24.08187839</v>
      </c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</row>
    <row r="240">
      <c r="A240" s="54"/>
      <c r="B240" s="110">
        <v>45926.0</v>
      </c>
      <c r="C240" s="321" t="s">
        <v>123</v>
      </c>
      <c r="D240" s="321" t="s">
        <v>290</v>
      </c>
      <c r="E240" s="100">
        <v>366789.0</v>
      </c>
      <c r="F240" s="99">
        <f t="shared" si="47"/>
        <v>1475</v>
      </c>
      <c r="G240" s="100">
        <v>1144.0</v>
      </c>
      <c r="H240" s="101">
        <v>414.0</v>
      </c>
      <c r="I240" s="101">
        <v>400.0</v>
      </c>
      <c r="J240" s="102">
        <f t="shared" si="45"/>
        <v>14</v>
      </c>
      <c r="K240" s="103">
        <f t="shared" si="46"/>
        <v>27.11864407</v>
      </c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</row>
    <row r="241">
      <c r="A241" s="54"/>
      <c r="B241" s="110">
        <v>45928.0</v>
      </c>
      <c r="C241" s="321" t="s">
        <v>123</v>
      </c>
      <c r="D241" s="321" t="s">
        <v>290</v>
      </c>
      <c r="E241" s="100">
        <v>368265.0</v>
      </c>
      <c r="F241" s="99">
        <f t="shared" si="47"/>
        <v>1476</v>
      </c>
      <c r="G241" s="100">
        <v>1162.0</v>
      </c>
      <c r="H241" s="101">
        <v>412.0</v>
      </c>
      <c r="I241" s="101">
        <v>400.0</v>
      </c>
      <c r="J241" s="102">
        <f t="shared" si="45"/>
        <v>12</v>
      </c>
      <c r="K241" s="103">
        <f t="shared" si="46"/>
        <v>27.100271</v>
      </c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</row>
    <row r="242">
      <c r="A242" s="68"/>
      <c r="B242" s="203" t="str">
        <f>IF(L242=4,"АПРЕЛЬ",IF(L242=5,"МАЙ",IF(L242=1,"ЯНВАРЬ",IF(L242=2,"ФЕВРАЛЬ",IF(L242=3,"МАРТ",IF(L242=6,"ИЮНЬ",IF(L242=7,"ИЮЛЬ",IF(L242=8,"АВГУСТ",IF(L242=9,"СЕНТЯБРЬ",IF(L242=10,"ОКТЯБРЬ",IF(L242=11,"НОЯБРЬ",IF(L242=12,"ДЕКАБРЬ"))))))))))))</f>
        <v>ОКТЯБРЬ</v>
      </c>
      <c r="J242" s="88"/>
      <c r="K242" s="204"/>
      <c r="L242" s="91">
        <f>MONTH(B243)</f>
        <v>10</v>
      </c>
      <c r="M242" s="66"/>
      <c r="N242" s="66"/>
      <c r="O242" s="66"/>
      <c r="P242" s="66"/>
      <c r="Q242" s="66"/>
    </row>
    <row r="243">
      <c r="A243" s="54"/>
      <c r="B243" s="110">
        <v>45931.0</v>
      </c>
      <c r="C243" s="321" t="s">
        <v>123</v>
      </c>
      <c r="D243" s="321" t="s">
        <v>290</v>
      </c>
      <c r="E243" s="100">
        <v>369916.0</v>
      </c>
      <c r="F243" s="99">
        <f>E243-E241</f>
        <v>1651</v>
      </c>
      <c r="G243" s="100">
        <v>1123.0</v>
      </c>
      <c r="H243" s="101">
        <v>415.0</v>
      </c>
      <c r="I243" s="101">
        <v>400.0</v>
      </c>
      <c r="J243" s="102">
        <f t="shared" ref="J243:J246" si="48">H243-I243</f>
        <v>15</v>
      </c>
      <c r="K243" s="103">
        <f t="shared" ref="K243:K246" si="49">I243/F243*100</f>
        <v>24.22774076</v>
      </c>
      <c r="L243" s="54"/>
      <c r="M243" s="205" t="str">
        <f>"тотал"&amp;" "&amp;B242&amp;" "&amp;RIGHT(YEAR(B243),2)</f>
        <v>тотал ОКТЯБРЬ 25</v>
      </c>
      <c r="N243" s="75"/>
      <c r="O243" s="75"/>
      <c r="P243" s="75"/>
      <c r="Q243" s="76"/>
      <c r="R243" s="54"/>
      <c r="S243" s="54"/>
      <c r="T243" s="54"/>
      <c r="U243" s="54"/>
      <c r="V243" s="54"/>
    </row>
    <row r="244">
      <c r="A244" s="54"/>
      <c r="B244" s="110">
        <v>45938.0</v>
      </c>
      <c r="C244" s="321" t="s">
        <v>123</v>
      </c>
      <c r="D244" s="321" t="s">
        <v>290</v>
      </c>
      <c r="E244" s="100">
        <v>371542.0</v>
      </c>
      <c r="F244" s="99">
        <f t="shared" ref="F244:F246" si="50">E244-E243</f>
        <v>1626</v>
      </c>
      <c r="G244" s="100">
        <v>1172.0</v>
      </c>
      <c r="H244" s="101">
        <v>513.0</v>
      </c>
      <c r="I244" s="101">
        <v>500.0</v>
      </c>
      <c r="J244" s="102">
        <f t="shared" si="48"/>
        <v>13</v>
      </c>
      <c r="K244" s="103">
        <f t="shared" si="49"/>
        <v>30.7503075</v>
      </c>
      <c r="L244" s="54"/>
      <c r="M244" s="83" t="s">
        <v>70</v>
      </c>
      <c r="N244" s="83" t="s">
        <v>71</v>
      </c>
      <c r="O244" s="83" t="s">
        <v>27</v>
      </c>
      <c r="P244" s="83" t="s">
        <v>28</v>
      </c>
      <c r="Q244" s="321" t="s">
        <v>78</v>
      </c>
      <c r="R244" s="54"/>
      <c r="S244" s="54"/>
      <c r="T244" s="54"/>
      <c r="U244" s="54"/>
      <c r="V244" s="54"/>
    </row>
    <row r="245">
      <c r="A245" s="54"/>
      <c r="B245" s="110">
        <v>45939.0</v>
      </c>
      <c r="C245" s="321" t="s">
        <v>123</v>
      </c>
      <c r="D245" s="321" t="s">
        <v>290</v>
      </c>
      <c r="E245" s="100">
        <v>372138.0</v>
      </c>
      <c r="F245" s="99">
        <f t="shared" si="50"/>
        <v>596</v>
      </c>
      <c r="G245" s="100">
        <v>1203.0</v>
      </c>
      <c r="H245" s="101">
        <v>209.0</v>
      </c>
      <c r="I245" s="101">
        <v>200.0</v>
      </c>
      <c r="J245" s="102">
        <f t="shared" si="48"/>
        <v>9</v>
      </c>
      <c r="K245" s="103">
        <f t="shared" si="49"/>
        <v>33.55704698</v>
      </c>
      <c r="L245" s="54"/>
      <c r="M245" s="84">
        <f>SUM(F243:F254)</f>
        <v>5349</v>
      </c>
      <c r="N245" s="84">
        <f>SUM(I243:I254)</f>
        <v>1500</v>
      </c>
      <c r="O245" s="85">
        <f>N245/M245*100</f>
        <v>28.04262479</v>
      </c>
      <c r="P245" s="84">
        <f>(M245/100)*(O245-Q245)</f>
        <v>55.77</v>
      </c>
      <c r="Q245" s="464">
        <v>27.0</v>
      </c>
      <c r="R245" s="54"/>
      <c r="S245" s="54"/>
      <c r="T245" s="54"/>
      <c r="U245" s="54"/>
      <c r="V245" s="54"/>
    </row>
    <row r="246">
      <c r="A246" s="54"/>
      <c r="B246" s="110">
        <v>45941.0</v>
      </c>
      <c r="C246" s="321" t="s">
        <v>123</v>
      </c>
      <c r="D246" s="321" t="s">
        <v>290</v>
      </c>
      <c r="E246" s="100">
        <v>373614.0</v>
      </c>
      <c r="F246" s="99">
        <f t="shared" si="50"/>
        <v>1476</v>
      </c>
      <c r="G246" s="100">
        <v>1195.0</v>
      </c>
      <c r="H246" s="101">
        <v>418.0</v>
      </c>
      <c r="I246" s="101">
        <v>400.0</v>
      </c>
      <c r="J246" s="102">
        <f t="shared" si="48"/>
        <v>18</v>
      </c>
      <c r="K246" s="103">
        <f t="shared" si="49"/>
        <v>27.100271</v>
      </c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</row>
    <row r="247">
      <c r="A247" s="54"/>
      <c r="B247" s="99"/>
      <c r="C247" s="99"/>
      <c r="D247" s="99"/>
      <c r="E247" s="99"/>
      <c r="F247" s="99"/>
      <c r="G247" s="99"/>
      <c r="H247" s="102"/>
      <c r="I247" s="102"/>
      <c r="J247" s="102"/>
      <c r="K247" s="102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</row>
    <row r="248">
      <c r="A248" s="54"/>
      <c r="B248" s="99"/>
      <c r="C248" s="99"/>
      <c r="D248" s="99"/>
      <c r="E248" s="99"/>
      <c r="F248" s="99"/>
      <c r="G248" s="99"/>
      <c r="H248" s="102"/>
      <c r="I248" s="102"/>
      <c r="J248" s="102"/>
      <c r="K248" s="102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</row>
    <row r="249">
      <c r="A249" s="54"/>
      <c r="B249" s="99"/>
      <c r="C249" s="99"/>
      <c r="D249" s="99"/>
      <c r="E249" s="99"/>
      <c r="F249" s="99"/>
      <c r="G249" s="99"/>
      <c r="H249" s="102"/>
      <c r="I249" s="102"/>
      <c r="J249" s="102"/>
      <c r="K249" s="102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</row>
    <row r="258">
      <c r="A258" s="54"/>
      <c r="B258" s="99"/>
      <c r="C258" s="99"/>
      <c r="D258" s="99"/>
      <c r="E258" s="99"/>
      <c r="F258" s="99"/>
      <c r="G258" s="99"/>
      <c r="H258" s="102"/>
      <c r="I258" s="102"/>
      <c r="J258" s="102"/>
      <c r="K258" s="102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</row>
    <row r="259">
      <c r="A259" s="54"/>
      <c r="B259" s="99"/>
      <c r="C259" s="99"/>
      <c r="D259" s="99"/>
      <c r="E259" s="99"/>
      <c r="F259" s="99"/>
      <c r="G259" s="99"/>
      <c r="H259" s="102"/>
      <c r="I259" s="102"/>
      <c r="J259" s="102"/>
      <c r="K259" s="102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</row>
    <row r="260">
      <c r="A260" s="54"/>
      <c r="B260" s="99"/>
      <c r="C260" s="99"/>
      <c r="D260" s="99"/>
      <c r="E260" s="99"/>
      <c r="F260" s="99"/>
      <c r="G260" s="99"/>
      <c r="H260" s="102"/>
      <c r="I260" s="102"/>
      <c r="J260" s="102"/>
      <c r="K260" s="102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</row>
    <row r="261">
      <c r="A261" s="54"/>
      <c r="B261" s="99"/>
      <c r="C261" s="99"/>
      <c r="D261" s="99"/>
      <c r="E261" s="99"/>
      <c r="F261" s="99"/>
      <c r="G261" s="99"/>
      <c r="H261" s="102"/>
      <c r="I261" s="102"/>
      <c r="J261" s="102"/>
      <c r="K261" s="102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</row>
    <row r="262">
      <c r="A262" s="54"/>
      <c r="B262" s="99"/>
      <c r="C262" s="99"/>
      <c r="D262" s="99"/>
      <c r="E262" s="99"/>
      <c r="F262" s="99"/>
      <c r="G262" s="99"/>
      <c r="H262" s="102"/>
      <c r="I262" s="102"/>
      <c r="J262" s="102"/>
      <c r="K262" s="102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</row>
    <row r="263">
      <c r="A263" s="54"/>
      <c r="B263" s="99"/>
      <c r="C263" s="99"/>
      <c r="D263" s="99"/>
      <c r="E263" s="99"/>
      <c r="F263" s="99"/>
      <c r="G263" s="99"/>
      <c r="H263" s="102"/>
      <c r="I263" s="102"/>
      <c r="J263" s="102"/>
      <c r="K263" s="102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</row>
    <row r="264">
      <c r="A264" s="54"/>
      <c r="B264" s="99"/>
      <c r="C264" s="99"/>
      <c r="D264" s="99"/>
      <c r="E264" s="99"/>
      <c r="F264" s="99"/>
      <c r="G264" s="99"/>
      <c r="H264" s="102"/>
      <c r="I264" s="102"/>
      <c r="J264" s="102"/>
      <c r="K264" s="102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</row>
    <row r="265">
      <c r="A265" s="54"/>
      <c r="B265" s="99"/>
      <c r="C265" s="99"/>
      <c r="D265" s="99"/>
      <c r="E265" s="99"/>
      <c r="F265" s="99"/>
      <c r="G265" s="99"/>
      <c r="H265" s="102"/>
      <c r="I265" s="102"/>
      <c r="J265" s="102"/>
      <c r="K265" s="102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</row>
    <row r="266">
      <c r="A266" s="54"/>
      <c r="B266" s="99"/>
      <c r="C266" s="99"/>
      <c r="D266" s="99"/>
      <c r="E266" s="99"/>
      <c r="F266" s="99"/>
      <c r="G266" s="99"/>
      <c r="H266" s="102"/>
      <c r="I266" s="102"/>
      <c r="J266" s="102"/>
      <c r="K266" s="102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</row>
    <row r="267">
      <c r="A267" s="54"/>
      <c r="B267" s="99"/>
      <c r="C267" s="99"/>
      <c r="D267" s="99"/>
      <c r="E267" s="99"/>
      <c r="F267" s="99"/>
      <c r="G267" s="99"/>
      <c r="H267" s="102"/>
      <c r="I267" s="102"/>
      <c r="J267" s="102"/>
      <c r="K267" s="102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</row>
    <row r="268">
      <c r="A268" s="54"/>
      <c r="B268" s="99"/>
      <c r="C268" s="99"/>
      <c r="D268" s="99"/>
      <c r="E268" s="99"/>
      <c r="F268" s="99"/>
      <c r="G268" s="99"/>
      <c r="H268" s="102"/>
      <c r="I268" s="102"/>
      <c r="J268" s="102"/>
      <c r="K268" s="102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</row>
    <row r="269">
      <c r="A269" s="54"/>
      <c r="B269" s="99"/>
      <c r="C269" s="99"/>
      <c r="D269" s="99"/>
      <c r="E269" s="99"/>
      <c r="F269" s="99"/>
      <c r="G269" s="99"/>
      <c r="H269" s="102"/>
      <c r="I269" s="102"/>
      <c r="J269" s="102"/>
      <c r="K269" s="102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</row>
    <row r="270">
      <c r="A270" s="54"/>
      <c r="B270" s="99"/>
      <c r="C270" s="99"/>
      <c r="D270" s="99"/>
      <c r="E270" s="99"/>
      <c r="F270" s="99"/>
      <c r="G270" s="99"/>
      <c r="H270" s="102"/>
      <c r="I270" s="102"/>
      <c r="J270" s="102"/>
      <c r="K270" s="102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</row>
    <row r="271">
      <c r="A271" s="54"/>
      <c r="B271" s="99"/>
      <c r="C271" s="99"/>
      <c r="D271" s="99"/>
      <c r="E271" s="99"/>
      <c r="F271" s="99"/>
      <c r="G271" s="99"/>
      <c r="H271" s="102"/>
      <c r="I271" s="102"/>
      <c r="J271" s="102"/>
      <c r="K271" s="102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</row>
    <row r="272">
      <c r="A272" s="54"/>
      <c r="B272" s="99"/>
      <c r="C272" s="99"/>
      <c r="D272" s="99"/>
      <c r="E272" s="99"/>
      <c r="F272" s="99"/>
      <c r="G272" s="99"/>
      <c r="H272" s="102"/>
      <c r="I272" s="102"/>
      <c r="J272" s="102"/>
      <c r="K272" s="102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</row>
    <row r="273">
      <c r="A273" s="54"/>
      <c r="B273" s="99"/>
      <c r="C273" s="99"/>
      <c r="D273" s="99"/>
      <c r="E273" s="99"/>
      <c r="F273" s="99"/>
      <c r="G273" s="99"/>
      <c r="H273" s="102"/>
      <c r="I273" s="102"/>
      <c r="J273" s="102"/>
      <c r="K273" s="102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</row>
    <row r="274">
      <c r="A274" s="54"/>
      <c r="B274" s="99"/>
      <c r="C274" s="99"/>
      <c r="D274" s="99"/>
      <c r="E274" s="99"/>
      <c r="F274" s="99"/>
      <c r="G274" s="99"/>
      <c r="H274" s="102"/>
      <c r="I274" s="102"/>
      <c r="J274" s="102"/>
      <c r="K274" s="102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</row>
    <row r="275">
      <c r="A275" s="54"/>
      <c r="B275" s="99"/>
      <c r="C275" s="99"/>
      <c r="D275" s="99"/>
      <c r="E275" s="99"/>
      <c r="F275" s="99"/>
      <c r="G275" s="99"/>
      <c r="H275" s="102"/>
      <c r="I275" s="102"/>
      <c r="J275" s="102"/>
      <c r="K275" s="102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</row>
    <row r="276">
      <c r="A276" s="54"/>
      <c r="B276" s="99"/>
      <c r="C276" s="99"/>
      <c r="D276" s="99"/>
      <c r="E276" s="99"/>
      <c r="F276" s="99"/>
      <c r="G276" s="99"/>
      <c r="H276" s="102"/>
      <c r="I276" s="102"/>
      <c r="J276" s="102"/>
      <c r="K276" s="102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</row>
    <row r="277">
      <c r="A277" s="54"/>
      <c r="B277" s="99"/>
      <c r="C277" s="99"/>
      <c r="D277" s="99"/>
      <c r="E277" s="99"/>
      <c r="F277" s="99"/>
      <c r="G277" s="99"/>
      <c r="H277" s="102"/>
      <c r="I277" s="102"/>
      <c r="J277" s="102"/>
      <c r="K277" s="102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</row>
    <row r="278">
      <c r="A278" s="54"/>
      <c r="B278" s="99"/>
      <c r="C278" s="99"/>
      <c r="D278" s="99"/>
      <c r="E278" s="99"/>
      <c r="F278" s="99"/>
      <c r="G278" s="99"/>
      <c r="H278" s="102"/>
      <c r="I278" s="102"/>
      <c r="J278" s="102"/>
      <c r="K278" s="102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</row>
    <row r="279">
      <c r="A279" s="54"/>
      <c r="B279" s="99"/>
      <c r="C279" s="99"/>
      <c r="D279" s="99"/>
      <c r="E279" s="99"/>
      <c r="F279" s="99"/>
      <c r="G279" s="99"/>
      <c r="H279" s="102"/>
      <c r="I279" s="102"/>
      <c r="J279" s="102"/>
      <c r="K279" s="102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</row>
    <row r="280">
      <c r="A280" s="54"/>
      <c r="B280" s="99"/>
      <c r="C280" s="99"/>
      <c r="D280" s="99"/>
      <c r="E280" s="99"/>
      <c r="F280" s="99"/>
      <c r="G280" s="99"/>
      <c r="H280" s="102"/>
      <c r="I280" s="102"/>
      <c r="J280" s="102"/>
      <c r="K280" s="102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</row>
    <row r="281">
      <c r="A281" s="54"/>
      <c r="B281" s="99"/>
      <c r="C281" s="99"/>
      <c r="D281" s="99"/>
      <c r="E281" s="99"/>
      <c r="F281" s="99"/>
      <c r="G281" s="99"/>
      <c r="H281" s="102"/>
      <c r="I281" s="102"/>
      <c r="J281" s="102"/>
      <c r="K281" s="102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</row>
    <row r="282">
      <c r="A282" s="54"/>
      <c r="B282" s="99"/>
      <c r="C282" s="99"/>
      <c r="D282" s="99"/>
      <c r="E282" s="99"/>
      <c r="F282" s="99"/>
      <c r="G282" s="99"/>
      <c r="H282" s="102"/>
      <c r="I282" s="102"/>
      <c r="J282" s="102"/>
      <c r="K282" s="102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</row>
    <row r="283">
      <c r="A283" s="54"/>
      <c r="B283" s="99"/>
      <c r="C283" s="99"/>
      <c r="D283" s="99"/>
      <c r="E283" s="99"/>
      <c r="F283" s="99"/>
      <c r="G283" s="99"/>
      <c r="H283" s="102"/>
      <c r="I283" s="102"/>
      <c r="J283" s="102"/>
      <c r="K283" s="102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</row>
    <row r="284">
      <c r="A284" s="54"/>
      <c r="B284" s="99"/>
      <c r="C284" s="99"/>
      <c r="D284" s="99"/>
      <c r="E284" s="99"/>
      <c r="F284" s="99"/>
      <c r="G284" s="99"/>
      <c r="H284" s="102"/>
      <c r="I284" s="102"/>
      <c r="J284" s="102"/>
      <c r="K284" s="102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</row>
    <row r="285">
      <c r="A285" s="54"/>
      <c r="B285" s="99"/>
      <c r="C285" s="99"/>
      <c r="D285" s="99"/>
      <c r="E285" s="99"/>
      <c r="F285" s="99"/>
      <c r="G285" s="99"/>
      <c r="H285" s="102"/>
      <c r="I285" s="102"/>
      <c r="J285" s="102"/>
      <c r="K285" s="102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</row>
    <row r="286">
      <c r="A286" s="54"/>
      <c r="B286" s="99"/>
      <c r="C286" s="99"/>
      <c r="D286" s="99"/>
      <c r="E286" s="99"/>
      <c r="F286" s="99"/>
      <c r="G286" s="99"/>
      <c r="H286" s="102"/>
      <c r="I286" s="102"/>
      <c r="J286" s="102"/>
      <c r="K286" s="102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</row>
    <row r="287">
      <c r="A287" s="54"/>
      <c r="B287" s="99"/>
      <c r="C287" s="99"/>
      <c r="D287" s="99"/>
      <c r="E287" s="99"/>
      <c r="F287" s="99"/>
      <c r="G287" s="99"/>
      <c r="H287" s="102"/>
      <c r="I287" s="102"/>
      <c r="J287" s="102"/>
      <c r="K287" s="102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</row>
    <row r="288">
      <c r="A288" s="54"/>
      <c r="B288" s="99"/>
      <c r="C288" s="99"/>
      <c r="D288" s="99"/>
      <c r="E288" s="99"/>
      <c r="F288" s="99"/>
      <c r="G288" s="99"/>
      <c r="H288" s="102"/>
      <c r="I288" s="102"/>
      <c r="J288" s="102"/>
      <c r="K288" s="102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</row>
    <row r="289">
      <c r="A289" s="54"/>
      <c r="B289" s="99"/>
      <c r="C289" s="99"/>
      <c r="D289" s="99"/>
      <c r="E289" s="99"/>
      <c r="F289" s="99"/>
      <c r="G289" s="99"/>
      <c r="H289" s="102"/>
      <c r="I289" s="102"/>
      <c r="J289" s="102"/>
      <c r="K289" s="102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</row>
    <row r="290">
      <c r="A290" s="54"/>
      <c r="B290" s="99"/>
      <c r="C290" s="99"/>
      <c r="D290" s="99"/>
      <c r="E290" s="99"/>
      <c r="F290" s="99"/>
      <c r="G290" s="99"/>
      <c r="H290" s="102"/>
      <c r="I290" s="102"/>
      <c r="J290" s="102"/>
      <c r="K290" s="102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</row>
    <row r="291">
      <c r="A291" s="54"/>
      <c r="B291" s="99"/>
      <c r="C291" s="99"/>
      <c r="D291" s="99"/>
      <c r="E291" s="99"/>
      <c r="F291" s="99"/>
      <c r="G291" s="99"/>
      <c r="H291" s="102"/>
      <c r="I291" s="102"/>
      <c r="J291" s="102"/>
      <c r="K291" s="102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</row>
    <row r="292">
      <c r="A292" s="54"/>
      <c r="B292" s="99"/>
      <c r="C292" s="99"/>
      <c r="D292" s="99"/>
      <c r="E292" s="99"/>
      <c r="F292" s="99"/>
      <c r="G292" s="99"/>
      <c r="H292" s="102"/>
      <c r="I292" s="102"/>
      <c r="J292" s="102"/>
      <c r="K292" s="102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</row>
    <row r="293">
      <c r="A293" s="54"/>
      <c r="B293" s="99"/>
      <c r="C293" s="99"/>
      <c r="D293" s="99"/>
      <c r="E293" s="99"/>
      <c r="F293" s="99"/>
      <c r="G293" s="99"/>
      <c r="H293" s="102"/>
      <c r="I293" s="102"/>
      <c r="J293" s="102"/>
      <c r="K293" s="102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</row>
    <row r="294">
      <c r="A294" s="54"/>
      <c r="B294" s="99"/>
      <c r="C294" s="99"/>
      <c r="D294" s="99"/>
      <c r="E294" s="99"/>
      <c r="F294" s="99"/>
      <c r="G294" s="99"/>
      <c r="H294" s="102"/>
      <c r="I294" s="102"/>
      <c r="J294" s="102"/>
      <c r="K294" s="102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</row>
    <row r="295">
      <c r="A295" s="54"/>
      <c r="B295" s="99"/>
      <c r="C295" s="99"/>
      <c r="D295" s="99"/>
      <c r="E295" s="99"/>
      <c r="F295" s="99"/>
      <c r="G295" s="99"/>
      <c r="H295" s="102"/>
      <c r="I295" s="102"/>
      <c r="J295" s="102"/>
      <c r="K295" s="102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</row>
    <row r="296">
      <c r="A296" s="54"/>
      <c r="B296" s="99"/>
      <c r="C296" s="99"/>
      <c r="D296" s="99"/>
      <c r="E296" s="99"/>
      <c r="F296" s="99"/>
      <c r="G296" s="99"/>
      <c r="H296" s="102"/>
      <c r="I296" s="102"/>
      <c r="J296" s="102"/>
      <c r="K296" s="102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</row>
    <row r="297">
      <c r="A297" s="54"/>
      <c r="B297" s="99"/>
      <c r="C297" s="99"/>
      <c r="D297" s="99"/>
      <c r="E297" s="99"/>
      <c r="F297" s="99"/>
      <c r="G297" s="99"/>
      <c r="H297" s="102"/>
      <c r="I297" s="102"/>
      <c r="J297" s="102"/>
      <c r="K297" s="102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</row>
    <row r="298">
      <c r="A298" s="54"/>
      <c r="B298" s="99"/>
      <c r="C298" s="99"/>
      <c r="D298" s="99"/>
      <c r="E298" s="99"/>
      <c r="F298" s="99"/>
      <c r="G298" s="99"/>
      <c r="H298" s="102"/>
      <c r="I298" s="102"/>
      <c r="J298" s="102"/>
      <c r="K298" s="102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</row>
    <row r="299">
      <c r="A299" s="54"/>
      <c r="B299" s="99"/>
      <c r="C299" s="99"/>
      <c r="D299" s="99"/>
      <c r="E299" s="99"/>
      <c r="F299" s="99"/>
      <c r="G299" s="99"/>
      <c r="H299" s="102"/>
      <c r="I299" s="102"/>
      <c r="J299" s="102"/>
      <c r="K299" s="102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</row>
    <row r="300">
      <c r="A300" s="54"/>
      <c r="B300" s="99"/>
      <c r="C300" s="99"/>
      <c r="D300" s="99"/>
      <c r="E300" s="99"/>
      <c r="F300" s="99"/>
      <c r="G300" s="99"/>
      <c r="H300" s="102"/>
      <c r="I300" s="102"/>
      <c r="J300" s="102"/>
      <c r="K300" s="102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</row>
    <row r="301">
      <c r="A301" s="54"/>
      <c r="B301" s="99"/>
      <c r="C301" s="99"/>
      <c r="D301" s="99"/>
      <c r="E301" s="99"/>
      <c r="F301" s="99"/>
      <c r="G301" s="99"/>
      <c r="H301" s="102"/>
      <c r="I301" s="102"/>
      <c r="J301" s="102"/>
      <c r="K301" s="102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</row>
    <row r="302">
      <c r="A302" s="54"/>
      <c r="B302" s="99"/>
      <c r="C302" s="99"/>
      <c r="D302" s="99"/>
      <c r="E302" s="99"/>
      <c r="F302" s="99"/>
      <c r="G302" s="99"/>
      <c r="H302" s="102"/>
      <c r="I302" s="102"/>
      <c r="J302" s="102"/>
      <c r="K302" s="102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</row>
    <row r="303">
      <c r="A303" s="54"/>
      <c r="B303" s="99"/>
      <c r="C303" s="99"/>
      <c r="D303" s="99"/>
      <c r="E303" s="99"/>
      <c r="F303" s="99"/>
      <c r="G303" s="99"/>
      <c r="H303" s="102"/>
      <c r="I303" s="102"/>
      <c r="J303" s="102"/>
      <c r="K303" s="102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</row>
    <row r="304">
      <c r="A304" s="54"/>
      <c r="B304" s="99"/>
      <c r="C304" s="99"/>
      <c r="D304" s="99"/>
      <c r="E304" s="99"/>
      <c r="F304" s="99"/>
      <c r="G304" s="99"/>
      <c r="H304" s="102"/>
      <c r="I304" s="102"/>
      <c r="J304" s="102"/>
      <c r="K304" s="102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</row>
    <row r="305">
      <c r="A305" s="54"/>
      <c r="B305" s="99"/>
      <c r="C305" s="99"/>
      <c r="D305" s="99"/>
      <c r="E305" s="99"/>
      <c r="F305" s="99"/>
      <c r="G305" s="99"/>
      <c r="H305" s="102"/>
      <c r="I305" s="102"/>
      <c r="J305" s="102"/>
      <c r="K305" s="102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</row>
    <row r="306">
      <c r="A306" s="54"/>
      <c r="B306" s="99"/>
      <c r="C306" s="99"/>
      <c r="D306" s="99"/>
      <c r="E306" s="99"/>
      <c r="F306" s="99"/>
      <c r="G306" s="99"/>
      <c r="H306" s="102"/>
      <c r="I306" s="102"/>
      <c r="J306" s="102"/>
      <c r="K306" s="102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</row>
    <row r="307">
      <c r="A307" s="54"/>
      <c r="B307" s="99"/>
      <c r="C307" s="99"/>
      <c r="D307" s="99"/>
      <c r="E307" s="99"/>
      <c r="F307" s="99"/>
      <c r="G307" s="99"/>
      <c r="H307" s="102"/>
      <c r="I307" s="102"/>
      <c r="J307" s="102"/>
      <c r="K307" s="102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</row>
    <row r="308">
      <c r="A308" s="54"/>
      <c r="B308" s="99"/>
      <c r="C308" s="99"/>
      <c r="D308" s="99"/>
      <c r="E308" s="99"/>
      <c r="F308" s="99"/>
      <c r="G308" s="99"/>
      <c r="H308" s="102"/>
      <c r="I308" s="102"/>
      <c r="J308" s="102"/>
      <c r="K308" s="102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</row>
    <row r="309">
      <c r="A309" s="54"/>
      <c r="B309" s="99"/>
      <c r="C309" s="99"/>
      <c r="D309" s="99"/>
      <c r="E309" s="99"/>
      <c r="F309" s="99"/>
      <c r="G309" s="99"/>
      <c r="H309" s="102"/>
      <c r="I309" s="102"/>
      <c r="J309" s="102"/>
      <c r="K309" s="102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</row>
    <row r="310">
      <c r="A310" s="54"/>
      <c r="B310" s="99"/>
      <c r="C310" s="99"/>
      <c r="D310" s="99"/>
      <c r="E310" s="99"/>
      <c r="F310" s="99"/>
      <c r="G310" s="99"/>
      <c r="H310" s="102"/>
      <c r="I310" s="102"/>
      <c r="J310" s="102"/>
      <c r="K310" s="102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</row>
    <row r="311">
      <c r="A311" s="54"/>
      <c r="B311" s="99"/>
      <c r="C311" s="99"/>
      <c r="D311" s="99"/>
      <c r="E311" s="99"/>
      <c r="F311" s="99"/>
      <c r="G311" s="99"/>
      <c r="H311" s="102"/>
      <c r="I311" s="102"/>
      <c r="J311" s="102"/>
      <c r="K311" s="102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</row>
    <row r="312">
      <c r="A312" s="54"/>
      <c r="B312" s="99"/>
      <c r="C312" s="99"/>
      <c r="D312" s="99"/>
      <c r="E312" s="99"/>
      <c r="F312" s="99"/>
      <c r="G312" s="99"/>
      <c r="H312" s="102"/>
      <c r="I312" s="102"/>
      <c r="J312" s="102"/>
      <c r="K312" s="102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</row>
    <row r="313">
      <c r="A313" s="54"/>
      <c r="B313" s="99"/>
      <c r="C313" s="99"/>
      <c r="D313" s="99"/>
      <c r="E313" s="99"/>
      <c r="F313" s="99"/>
      <c r="G313" s="99"/>
      <c r="H313" s="102"/>
      <c r="I313" s="102"/>
      <c r="J313" s="102"/>
      <c r="K313" s="102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</row>
    <row r="314">
      <c r="A314" s="54"/>
      <c r="B314" s="99"/>
      <c r="C314" s="99"/>
      <c r="D314" s="99"/>
      <c r="E314" s="99"/>
      <c r="F314" s="99"/>
      <c r="G314" s="99"/>
      <c r="H314" s="102"/>
      <c r="I314" s="102"/>
      <c r="J314" s="102"/>
      <c r="K314" s="102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</row>
    <row r="315">
      <c r="A315" s="54"/>
      <c r="B315" s="99"/>
      <c r="C315" s="99"/>
      <c r="D315" s="99"/>
      <c r="E315" s="99"/>
      <c r="F315" s="99"/>
      <c r="G315" s="99"/>
      <c r="H315" s="102"/>
      <c r="I315" s="102"/>
      <c r="J315" s="102"/>
      <c r="K315" s="102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</row>
    <row r="316">
      <c r="A316" s="54"/>
      <c r="B316" s="99"/>
      <c r="C316" s="99"/>
      <c r="D316" s="99"/>
      <c r="E316" s="99"/>
      <c r="F316" s="99"/>
      <c r="G316" s="99"/>
      <c r="H316" s="102"/>
      <c r="I316" s="102"/>
      <c r="J316" s="102"/>
      <c r="K316" s="102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</row>
    <row r="317">
      <c r="A317" s="54"/>
      <c r="B317" s="99"/>
      <c r="C317" s="99"/>
      <c r="D317" s="99"/>
      <c r="E317" s="99"/>
      <c r="F317" s="99"/>
      <c r="G317" s="99"/>
      <c r="H317" s="102"/>
      <c r="I317" s="102"/>
      <c r="J317" s="102"/>
      <c r="K317" s="102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</row>
    <row r="318">
      <c r="A318" s="54"/>
      <c r="B318" s="99"/>
      <c r="C318" s="99"/>
      <c r="D318" s="99"/>
      <c r="E318" s="99"/>
      <c r="F318" s="99"/>
      <c r="G318" s="99"/>
      <c r="H318" s="102"/>
      <c r="I318" s="102"/>
      <c r="J318" s="102"/>
      <c r="K318" s="102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</row>
    <row r="319">
      <c r="A319" s="54"/>
      <c r="B319" s="99"/>
      <c r="C319" s="99"/>
      <c r="D319" s="99"/>
      <c r="E319" s="99"/>
      <c r="F319" s="99"/>
      <c r="G319" s="99"/>
      <c r="H319" s="102"/>
      <c r="I319" s="102"/>
      <c r="J319" s="102"/>
      <c r="K319" s="102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</row>
    <row r="320">
      <c r="A320" s="54"/>
      <c r="B320" s="99"/>
      <c r="C320" s="99"/>
      <c r="D320" s="99"/>
      <c r="E320" s="99"/>
      <c r="F320" s="99"/>
      <c r="G320" s="99"/>
      <c r="H320" s="102"/>
      <c r="I320" s="102"/>
      <c r="J320" s="102"/>
      <c r="K320" s="102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</row>
    <row r="321">
      <c r="A321" s="54"/>
      <c r="B321" s="99"/>
      <c r="C321" s="99"/>
      <c r="D321" s="99"/>
      <c r="E321" s="99"/>
      <c r="F321" s="99"/>
      <c r="G321" s="99"/>
      <c r="H321" s="102"/>
      <c r="I321" s="102"/>
      <c r="J321" s="102"/>
      <c r="K321" s="102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</row>
    <row r="322">
      <c r="A322" s="54"/>
      <c r="B322" s="99"/>
      <c r="C322" s="99"/>
      <c r="D322" s="99"/>
      <c r="E322" s="99"/>
      <c r="F322" s="99"/>
      <c r="G322" s="99"/>
      <c r="H322" s="102"/>
      <c r="I322" s="102"/>
      <c r="J322" s="102"/>
      <c r="K322" s="102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</row>
    <row r="323">
      <c r="A323" s="54"/>
      <c r="B323" s="99"/>
      <c r="C323" s="99"/>
      <c r="D323" s="99"/>
      <c r="E323" s="99"/>
      <c r="F323" s="99"/>
      <c r="G323" s="99"/>
      <c r="H323" s="102"/>
      <c r="I323" s="102"/>
      <c r="J323" s="102"/>
      <c r="K323" s="102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</row>
    <row r="324">
      <c r="A324" s="54"/>
      <c r="B324" s="99"/>
      <c r="C324" s="99"/>
      <c r="D324" s="99"/>
      <c r="E324" s="99"/>
      <c r="F324" s="99"/>
      <c r="G324" s="99"/>
      <c r="H324" s="102"/>
      <c r="I324" s="102"/>
      <c r="J324" s="102"/>
      <c r="K324" s="102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</row>
    <row r="325">
      <c r="A325" s="54"/>
      <c r="B325" s="99"/>
      <c r="C325" s="99"/>
      <c r="D325" s="99"/>
      <c r="E325" s="99"/>
      <c r="F325" s="99"/>
      <c r="G325" s="99"/>
      <c r="H325" s="102"/>
      <c r="I325" s="102"/>
      <c r="J325" s="102"/>
      <c r="K325" s="102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</row>
    <row r="326">
      <c r="A326" s="54"/>
      <c r="B326" s="99"/>
      <c r="C326" s="99"/>
      <c r="D326" s="99"/>
      <c r="E326" s="99"/>
      <c r="F326" s="99"/>
      <c r="G326" s="99"/>
      <c r="H326" s="102"/>
      <c r="I326" s="102"/>
      <c r="J326" s="102"/>
      <c r="K326" s="102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</row>
    <row r="327">
      <c r="A327" s="54"/>
      <c r="B327" s="99"/>
      <c r="C327" s="99"/>
      <c r="D327" s="99"/>
      <c r="E327" s="99"/>
      <c r="F327" s="99"/>
      <c r="G327" s="99"/>
      <c r="H327" s="102"/>
      <c r="I327" s="102"/>
      <c r="J327" s="102"/>
      <c r="K327" s="102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</row>
    <row r="328">
      <c r="A328" s="54"/>
      <c r="B328" s="99"/>
      <c r="C328" s="99"/>
      <c r="D328" s="99"/>
      <c r="E328" s="99"/>
      <c r="F328" s="99"/>
      <c r="G328" s="99"/>
      <c r="H328" s="102"/>
      <c r="I328" s="102"/>
      <c r="J328" s="102"/>
      <c r="K328" s="102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</row>
    <row r="329">
      <c r="A329" s="54"/>
      <c r="B329" s="99"/>
      <c r="C329" s="99"/>
      <c r="D329" s="99"/>
      <c r="E329" s="99"/>
      <c r="F329" s="99"/>
      <c r="G329" s="99"/>
      <c r="H329" s="102"/>
      <c r="I329" s="102"/>
      <c r="J329" s="102"/>
      <c r="K329" s="102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</row>
    <row r="330">
      <c r="A330" s="54"/>
      <c r="B330" s="99"/>
      <c r="C330" s="99"/>
      <c r="D330" s="99"/>
      <c r="E330" s="99"/>
      <c r="F330" s="99"/>
      <c r="G330" s="99"/>
      <c r="H330" s="102"/>
      <c r="I330" s="102"/>
      <c r="J330" s="102"/>
      <c r="K330" s="102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</row>
    <row r="331">
      <c r="A331" s="54"/>
      <c r="B331" s="99"/>
      <c r="C331" s="99"/>
      <c r="D331" s="99"/>
      <c r="E331" s="99"/>
      <c r="F331" s="99"/>
      <c r="G331" s="99"/>
      <c r="H331" s="102"/>
      <c r="I331" s="102"/>
      <c r="J331" s="102"/>
      <c r="K331" s="102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</row>
    <row r="332">
      <c r="A332" s="54"/>
      <c r="B332" s="99"/>
      <c r="C332" s="99"/>
      <c r="D332" s="99"/>
      <c r="E332" s="99"/>
      <c r="F332" s="99"/>
      <c r="G332" s="99"/>
      <c r="H332" s="102"/>
      <c r="I332" s="102"/>
      <c r="J332" s="102"/>
      <c r="K332" s="102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</row>
    <row r="333">
      <c r="A333" s="54"/>
      <c r="B333" s="99"/>
      <c r="C333" s="99"/>
      <c r="D333" s="99"/>
      <c r="E333" s="99"/>
      <c r="F333" s="99"/>
      <c r="G333" s="99"/>
      <c r="H333" s="102"/>
      <c r="I333" s="102"/>
      <c r="J333" s="102"/>
      <c r="K333" s="102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</row>
    <row r="334">
      <c r="A334" s="54"/>
      <c r="B334" s="99"/>
      <c r="C334" s="99"/>
      <c r="D334" s="99"/>
      <c r="E334" s="99"/>
      <c r="F334" s="99"/>
      <c r="G334" s="99"/>
      <c r="H334" s="102"/>
      <c r="I334" s="102"/>
      <c r="J334" s="102"/>
      <c r="K334" s="102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</row>
    <row r="335">
      <c r="A335" s="54"/>
      <c r="B335" s="99"/>
      <c r="C335" s="99"/>
      <c r="D335" s="99"/>
      <c r="E335" s="99"/>
      <c r="F335" s="99"/>
      <c r="G335" s="99"/>
      <c r="H335" s="102"/>
      <c r="I335" s="102"/>
      <c r="J335" s="102"/>
      <c r="K335" s="102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</row>
    <row r="336">
      <c r="A336" s="54"/>
      <c r="B336" s="99"/>
      <c r="C336" s="99"/>
      <c r="D336" s="99"/>
      <c r="E336" s="99"/>
      <c r="F336" s="99"/>
      <c r="G336" s="99"/>
      <c r="H336" s="102"/>
      <c r="I336" s="102"/>
      <c r="J336" s="102"/>
      <c r="K336" s="102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</row>
    <row r="337">
      <c r="A337" s="54"/>
      <c r="B337" s="99"/>
      <c r="C337" s="99"/>
      <c r="D337" s="99"/>
      <c r="E337" s="99"/>
      <c r="F337" s="99"/>
      <c r="G337" s="99"/>
      <c r="H337" s="102"/>
      <c r="I337" s="102"/>
      <c r="J337" s="102"/>
      <c r="K337" s="102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</row>
    <row r="338">
      <c r="A338" s="54"/>
      <c r="B338" s="99"/>
      <c r="C338" s="99"/>
      <c r="D338" s="99"/>
      <c r="E338" s="99"/>
      <c r="F338" s="99"/>
      <c r="G338" s="99"/>
      <c r="H338" s="102"/>
      <c r="I338" s="102"/>
      <c r="J338" s="102"/>
      <c r="K338" s="102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</row>
    <row r="339">
      <c r="A339" s="54"/>
      <c r="B339" s="99"/>
      <c r="C339" s="99"/>
      <c r="D339" s="99"/>
      <c r="E339" s="99"/>
      <c r="F339" s="99"/>
      <c r="G339" s="99"/>
      <c r="H339" s="102"/>
      <c r="I339" s="102"/>
      <c r="J339" s="102"/>
      <c r="K339" s="102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</row>
    <row r="340">
      <c r="A340" s="54"/>
      <c r="B340" s="99"/>
      <c r="C340" s="99"/>
      <c r="D340" s="99"/>
      <c r="E340" s="99"/>
      <c r="F340" s="99"/>
      <c r="G340" s="99"/>
      <c r="H340" s="102"/>
      <c r="I340" s="102"/>
      <c r="J340" s="102"/>
      <c r="K340" s="102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</row>
    <row r="341">
      <c r="A341" s="54"/>
      <c r="B341" s="99"/>
      <c r="C341" s="99"/>
      <c r="D341" s="99"/>
      <c r="E341" s="99"/>
      <c r="F341" s="99"/>
      <c r="G341" s="99"/>
      <c r="H341" s="102"/>
      <c r="I341" s="102"/>
      <c r="J341" s="102"/>
      <c r="K341" s="102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</row>
    <row r="342">
      <c r="A342" s="54"/>
      <c r="B342" s="99"/>
      <c r="C342" s="99"/>
      <c r="D342" s="99"/>
      <c r="E342" s="99"/>
      <c r="F342" s="99"/>
      <c r="G342" s="99"/>
      <c r="H342" s="102"/>
      <c r="I342" s="102"/>
      <c r="J342" s="102"/>
      <c r="K342" s="102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</row>
    <row r="343">
      <c r="A343" s="54"/>
      <c r="B343" s="99"/>
      <c r="C343" s="99"/>
      <c r="D343" s="99"/>
      <c r="E343" s="99"/>
      <c r="F343" s="99"/>
      <c r="G343" s="99"/>
      <c r="H343" s="102"/>
      <c r="I343" s="102"/>
      <c r="J343" s="102"/>
      <c r="K343" s="102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</row>
    <row r="344">
      <c r="A344" s="54"/>
      <c r="B344" s="99"/>
      <c r="C344" s="99"/>
      <c r="D344" s="99"/>
      <c r="E344" s="99"/>
      <c r="F344" s="99"/>
      <c r="G344" s="99"/>
      <c r="H344" s="102"/>
      <c r="I344" s="102"/>
      <c r="J344" s="102"/>
      <c r="K344" s="102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</row>
    <row r="345">
      <c r="A345" s="54"/>
      <c r="B345" s="99"/>
      <c r="C345" s="99"/>
      <c r="D345" s="99"/>
      <c r="E345" s="99"/>
      <c r="F345" s="99"/>
      <c r="G345" s="99"/>
      <c r="H345" s="102"/>
      <c r="I345" s="102"/>
      <c r="J345" s="102"/>
      <c r="K345" s="102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</row>
    <row r="346">
      <c r="A346" s="54"/>
      <c r="B346" s="99"/>
      <c r="C346" s="99"/>
      <c r="D346" s="99"/>
      <c r="E346" s="99"/>
      <c r="F346" s="99"/>
      <c r="G346" s="99"/>
      <c r="H346" s="102"/>
      <c r="I346" s="102"/>
      <c r="J346" s="102"/>
      <c r="K346" s="102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</row>
    <row r="347">
      <c r="A347" s="54"/>
      <c r="B347" s="99"/>
      <c r="C347" s="99"/>
      <c r="D347" s="99"/>
      <c r="E347" s="99"/>
      <c r="F347" s="99"/>
      <c r="G347" s="99"/>
      <c r="H347" s="102"/>
      <c r="I347" s="102"/>
      <c r="J347" s="102"/>
      <c r="K347" s="102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</row>
    <row r="348">
      <c r="A348" s="54"/>
      <c r="B348" s="99"/>
      <c r="C348" s="99"/>
      <c r="D348" s="99"/>
      <c r="E348" s="99"/>
      <c r="F348" s="99"/>
      <c r="G348" s="99"/>
      <c r="H348" s="102"/>
      <c r="I348" s="102"/>
      <c r="J348" s="102"/>
      <c r="K348" s="102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</row>
    <row r="349">
      <c r="A349" s="54"/>
      <c r="B349" s="99"/>
      <c r="C349" s="99"/>
      <c r="D349" s="99"/>
      <c r="E349" s="99"/>
      <c r="F349" s="99"/>
      <c r="G349" s="99"/>
      <c r="H349" s="102"/>
      <c r="I349" s="102"/>
      <c r="J349" s="102"/>
      <c r="K349" s="102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</row>
    <row r="350">
      <c r="A350" s="54"/>
      <c r="B350" s="99"/>
      <c r="C350" s="99"/>
      <c r="D350" s="99"/>
      <c r="E350" s="99"/>
      <c r="F350" s="99"/>
      <c r="G350" s="99"/>
      <c r="H350" s="102"/>
      <c r="I350" s="102"/>
      <c r="J350" s="102"/>
      <c r="K350" s="102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</row>
    <row r="351">
      <c r="A351" s="54"/>
      <c r="B351" s="99"/>
      <c r="C351" s="99"/>
      <c r="D351" s="99"/>
      <c r="E351" s="99"/>
      <c r="F351" s="99"/>
      <c r="G351" s="99"/>
      <c r="H351" s="102"/>
      <c r="I351" s="102"/>
      <c r="J351" s="102"/>
      <c r="K351" s="102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</row>
    <row r="352">
      <c r="A352" s="54"/>
      <c r="B352" s="99"/>
      <c r="C352" s="99"/>
      <c r="D352" s="99"/>
      <c r="E352" s="99"/>
      <c r="F352" s="99"/>
      <c r="G352" s="99"/>
      <c r="H352" s="102"/>
      <c r="I352" s="102"/>
      <c r="J352" s="102"/>
      <c r="K352" s="102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</row>
    <row r="353">
      <c r="A353" s="54"/>
      <c r="B353" s="99"/>
      <c r="C353" s="99"/>
      <c r="D353" s="99"/>
      <c r="E353" s="99"/>
      <c r="F353" s="99"/>
      <c r="G353" s="99"/>
      <c r="H353" s="102"/>
      <c r="I353" s="102"/>
      <c r="J353" s="102"/>
      <c r="K353" s="102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</row>
    <row r="354">
      <c r="A354" s="54"/>
      <c r="B354" s="99"/>
      <c r="C354" s="99"/>
      <c r="D354" s="99"/>
      <c r="E354" s="99"/>
      <c r="F354" s="99"/>
      <c r="G354" s="99"/>
      <c r="H354" s="102"/>
      <c r="I354" s="102"/>
      <c r="J354" s="102"/>
      <c r="K354" s="102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</row>
    <row r="355">
      <c r="A355" s="54"/>
      <c r="B355" s="99"/>
      <c r="C355" s="99"/>
      <c r="D355" s="99"/>
      <c r="E355" s="99"/>
      <c r="F355" s="99"/>
      <c r="G355" s="99"/>
      <c r="H355" s="102"/>
      <c r="I355" s="102"/>
      <c r="J355" s="102"/>
      <c r="K355" s="102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</row>
    <row r="356">
      <c r="A356" s="54"/>
      <c r="B356" s="99"/>
      <c r="C356" s="99"/>
      <c r="D356" s="99"/>
      <c r="E356" s="99"/>
      <c r="F356" s="99"/>
      <c r="G356" s="99"/>
      <c r="H356" s="102"/>
      <c r="I356" s="102"/>
      <c r="J356" s="102"/>
      <c r="K356" s="102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</row>
    <row r="357">
      <c r="A357" s="54"/>
      <c r="B357" s="99"/>
      <c r="C357" s="99"/>
      <c r="D357" s="99"/>
      <c r="E357" s="99"/>
      <c r="F357" s="99"/>
      <c r="G357" s="99"/>
      <c r="H357" s="102"/>
      <c r="I357" s="102"/>
      <c r="J357" s="102"/>
      <c r="K357" s="102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</row>
    <row r="358">
      <c r="A358" s="54"/>
      <c r="B358" s="99"/>
      <c r="C358" s="99"/>
      <c r="D358" s="99"/>
      <c r="E358" s="99"/>
      <c r="F358" s="99"/>
      <c r="G358" s="99"/>
      <c r="H358" s="102"/>
      <c r="I358" s="102"/>
      <c r="J358" s="102"/>
      <c r="K358" s="102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</row>
    <row r="359">
      <c r="A359" s="54"/>
      <c r="B359" s="99"/>
      <c r="C359" s="99"/>
      <c r="D359" s="99"/>
      <c r="E359" s="99"/>
      <c r="F359" s="99"/>
      <c r="G359" s="99"/>
      <c r="H359" s="102"/>
      <c r="I359" s="102"/>
      <c r="J359" s="102"/>
      <c r="K359" s="102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</row>
    <row r="360">
      <c r="A360" s="54"/>
      <c r="B360" s="99"/>
      <c r="C360" s="99"/>
      <c r="D360" s="99"/>
      <c r="E360" s="99"/>
      <c r="F360" s="99"/>
      <c r="G360" s="99"/>
      <c r="H360" s="102"/>
      <c r="I360" s="102"/>
      <c r="J360" s="102"/>
      <c r="K360" s="102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</row>
    <row r="361">
      <c r="A361" s="54"/>
      <c r="B361" s="99"/>
      <c r="C361" s="99"/>
      <c r="D361" s="99"/>
      <c r="E361" s="99"/>
      <c r="F361" s="99"/>
      <c r="G361" s="99"/>
      <c r="H361" s="102"/>
      <c r="I361" s="102"/>
      <c r="J361" s="102"/>
      <c r="K361" s="102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</row>
    <row r="362">
      <c r="A362" s="54"/>
      <c r="B362" s="99"/>
      <c r="C362" s="99"/>
      <c r="D362" s="99"/>
      <c r="E362" s="99"/>
      <c r="F362" s="99"/>
      <c r="G362" s="99"/>
      <c r="H362" s="102"/>
      <c r="I362" s="102"/>
      <c r="J362" s="102"/>
      <c r="K362" s="102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</row>
    <row r="363">
      <c r="A363" s="54"/>
      <c r="B363" s="99"/>
      <c r="C363" s="99"/>
      <c r="D363" s="99"/>
      <c r="E363" s="99"/>
      <c r="F363" s="99"/>
      <c r="G363" s="99"/>
      <c r="H363" s="102"/>
      <c r="I363" s="102"/>
      <c r="J363" s="102"/>
      <c r="K363" s="102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</row>
    <row r="364">
      <c r="A364" s="54"/>
      <c r="B364" s="99"/>
      <c r="C364" s="99"/>
      <c r="D364" s="99"/>
      <c r="E364" s="99"/>
      <c r="F364" s="99"/>
      <c r="G364" s="99"/>
      <c r="H364" s="102"/>
      <c r="I364" s="102"/>
      <c r="J364" s="102"/>
      <c r="K364" s="102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</row>
    <row r="365">
      <c r="A365" s="54"/>
      <c r="B365" s="99"/>
      <c r="C365" s="99"/>
      <c r="D365" s="99"/>
      <c r="E365" s="99"/>
      <c r="F365" s="99"/>
      <c r="G365" s="99"/>
      <c r="H365" s="102"/>
      <c r="I365" s="102"/>
      <c r="J365" s="102"/>
      <c r="K365" s="102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</row>
    <row r="366">
      <c r="A366" s="54"/>
      <c r="B366" s="99"/>
      <c r="C366" s="99"/>
      <c r="D366" s="99"/>
      <c r="E366" s="99"/>
      <c r="F366" s="99"/>
      <c r="G366" s="99"/>
      <c r="H366" s="102"/>
      <c r="I366" s="102"/>
      <c r="J366" s="102"/>
      <c r="K366" s="102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</row>
    <row r="367">
      <c r="A367" s="54"/>
      <c r="B367" s="99"/>
      <c r="C367" s="99"/>
      <c r="D367" s="99"/>
      <c r="E367" s="99"/>
      <c r="F367" s="99"/>
      <c r="G367" s="99"/>
      <c r="H367" s="102"/>
      <c r="I367" s="102"/>
      <c r="J367" s="102"/>
      <c r="K367" s="102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</row>
    <row r="368">
      <c r="A368" s="54"/>
      <c r="B368" s="99"/>
      <c r="C368" s="99"/>
      <c r="D368" s="99"/>
      <c r="E368" s="99"/>
      <c r="F368" s="99"/>
      <c r="G368" s="99"/>
      <c r="H368" s="102"/>
      <c r="I368" s="102"/>
      <c r="J368" s="102"/>
      <c r="K368" s="102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</row>
    <row r="369">
      <c r="A369" s="54"/>
      <c r="B369" s="99"/>
      <c r="C369" s="99"/>
      <c r="D369" s="99"/>
      <c r="E369" s="99"/>
      <c r="F369" s="99"/>
      <c r="G369" s="99"/>
      <c r="H369" s="102"/>
      <c r="I369" s="102"/>
      <c r="J369" s="102"/>
      <c r="K369" s="102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</row>
    <row r="370">
      <c r="A370" s="54"/>
      <c r="B370" s="99"/>
      <c r="C370" s="99"/>
      <c r="D370" s="99"/>
      <c r="E370" s="99"/>
      <c r="F370" s="99"/>
      <c r="G370" s="99"/>
      <c r="H370" s="102"/>
      <c r="I370" s="102"/>
      <c r="J370" s="102"/>
      <c r="K370" s="102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</row>
    <row r="371">
      <c r="A371" s="54"/>
      <c r="B371" s="99"/>
      <c r="C371" s="99"/>
      <c r="D371" s="99"/>
      <c r="E371" s="99"/>
      <c r="F371" s="99"/>
      <c r="G371" s="99"/>
      <c r="H371" s="102"/>
      <c r="I371" s="102"/>
      <c r="J371" s="102"/>
      <c r="K371" s="102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</row>
    <row r="372">
      <c r="A372" s="54"/>
      <c r="B372" s="99"/>
      <c r="C372" s="99"/>
      <c r="D372" s="99"/>
      <c r="E372" s="99"/>
      <c r="F372" s="99"/>
      <c r="G372" s="99"/>
      <c r="H372" s="102"/>
      <c r="I372" s="102"/>
      <c r="J372" s="102"/>
      <c r="K372" s="102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</row>
    <row r="373">
      <c r="A373" s="54"/>
      <c r="B373" s="99"/>
      <c r="C373" s="99"/>
      <c r="D373" s="99"/>
      <c r="E373" s="99"/>
      <c r="F373" s="99"/>
      <c r="G373" s="99"/>
      <c r="H373" s="102"/>
      <c r="I373" s="102"/>
      <c r="J373" s="102"/>
      <c r="K373" s="102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</row>
    <row r="374">
      <c r="A374" s="54"/>
      <c r="B374" s="99"/>
      <c r="C374" s="99"/>
      <c r="D374" s="99"/>
      <c r="E374" s="99"/>
      <c r="F374" s="99"/>
      <c r="G374" s="99"/>
      <c r="H374" s="102"/>
      <c r="I374" s="102"/>
      <c r="J374" s="102"/>
      <c r="K374" s="102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</row>
    <row r="375">
      <c r="A375" s="54"/>
      <c r="B375" s="99"/>
      <c r="C375" s="99"/>
      <c r="D375" s="99"/>
      <c r="E375" s="99"/>
      <c r="F375" s="99"/>
      <c r="G375" s="99"/>
      <c r="H375" s="102"/>
      <c r="I375" s="102"/>
      <c r="J375" s="102"/>
      <c r="K375" s="102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</row>
    <row r="376">
      <c r="A376" s="54"/>
      <c r="B376" s="99"/>
      <c r="C376" s="99"/>
      <c r="D376" s="99"/>
      <c r="E376" s="99"/>
      <c r="F376" s="99"/>
      <c r="G376" s="99"/>
      <c r="H376" s="102"/>
      <c r="I376" s="102"/>
      <c r="J376" s="102"/>
      <c r="K376" s="102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</row>
    <row r="377">
      <c r="A377" s="54"/>
      <c r="B377" s="99"/>
      <c r="C377" s="99"/>
      <c r="D377" s="99"/>
      <c r="E377" s="99"/>
      <c r="F377" s="99"/>
      <c r="G377" s="99"/>
      <c r="H377" s="102"/>
      <c r="I377" s="102"/>
      <c r="J377" s="102"/>
      <c r="K377" s="102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</row>
    <row r="378">
      <c r="A378" s="54"/>
      <c r="B378" s="99"/>
      <c r="C378" s="99"/>
      <c r="D378" s="99"/>
      <c r="E378" s="99"/>
      <c r="F378" s="99"/>
      <c r="G378" s="99"/>
      <c r="H378" s="102"/>
      <c r="I378" s="102"/>
      <c r="J378" s="102"/>
      <c r="K378" s="102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</row>
    <row r="379">
      <c r="A379" s="54"/>
      <c r="B379" s="99"/>
      <c r="C379" s="99"/>
      <c r="D379" s="99"/>
      <c r="E379" s="99"/>
      <c r="F379" s="99"/>
      <c r="G379" s="99"/>
      <c r="H379" s="102"/>
      <c r="I379" s="102"/>
      <c r="J379" s="102"/>
      <c r="K379" s="102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</row>
    <row r="380">
      <c r="A380" s="54"/>
      <c r="B380" s="99"/>
      <c r="C380" s="99"/>
      <c r="D380" s="99"/>
      <c r="E380" s="99"/>
      <c r="F380" s="99"/>
      <c r="G380" s="99"/>
      <c r="H380" s="102"/>
      <c r="I380" s="102"/>
      <c r="J380" s="102"/>
      <c r="K380" s="102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</row>
    <row r="381">
      <c r="A381" s="54"/>
      <c r="B381" s="99"/>
      <c r="C381" s="99"/>
      <c r="D381" s="99"/>
      <c r="E381" s="99"/>
      <c r="F381" s="99"/>
      <c r="G381" s="99"/>
      <c r="H381" s="102"/>
      <c r="I381" s="102"/>
      <c r="J381" s="102"/>
      <c r="K381" s="102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</row>
    <row r="382">
      <c r="A382" s="54"/>
      <c r="B382" s="99"/>
      <c r="C382" s="99"/>
      <c r="D382" s="99"/>
      <c r="E382" s="99"/>
      <c r="F382" s="99"/>
      <c r="G382" s="99"/>
      <c r="H382" s="102"/>
      <c r="I382" s="102"/>
      <c r="J382" s="102"/>
      <c r="K382" s="102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</row>
    <row r="383">
      <c r="A383" s="54"/>
      <c r="B383" s="99"/>
      <c r="C383" s="99"/>
      <c r="D383" s="99"/>
      <c r="E383" s="99"/>
      <c r="F383" s="99"/>
      <c r="G383" s="99"/>
      <c r="H383" s="102"/>
      <c r="I383" s="102"/>
      <c r="J383" s="102"/>
      <c r="K383" s="102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</row>
    <row r="384">
      <c r="A384" s="54"/>
      <c r="B384" s="99"/>
      <c r="C384" s="99"/>
      <c r="D384" s="99"/>
      <c r="E384" s="99"/>
      <c r="F384" s="99"/>
      <c r="G384" s="99"/>
      <c r="H384" s="102"/>
      <c r="I384" s="102"/>
      <c r="J384" s="102"/>
      <c r="K384" s="102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</row>
    <row r="385">
      <c r="A385" s="54"/>
      <c r="B385" s="99"/>
      <c r="C385" s="99"/>
      <c r="D385" s="99"/>
      <c r="E385" s="99"/>
      <c r="F385" s="99"/>
      <c r="G385" s="99"/>
      <c r="H385" s="102"/>
      <c r="I385" s="102"/>
      <c r="J385" s="102"/>
      <c r="K385" s="102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</row>
    <row r="386">
      <c r="A386" s="54"/>
      <c r="B386" s="99"/>
      <c r="C386" s="99"/>
      <c r="D386" s="99"/>
      <c r="E386" s="99"/>
      <c r="F386" s="99"/>
      <c r="G386" s="99"/>
      <c r="H386" s="102"/>
      <c r="I386" s="102"/>
      <c r="J386" s="102"/>
      <c r="K386" s="102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</row>
    <row r="387">
      <c r="A387" s="54"/>
      <c r="B387" s="99"/>
      <c r="C387" s="99"/>
      <c r="D387" s="99"/>
      <c r="E387" s="99"/>
      <c r="F387" s="99"/>
      <c r="G387" s="99"/>
      <c r="H387" s="102"/>
      <c r="I387" s="102"/>
      <c r="J387" s="102"/>
      <c r="K387" s="102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</row>
    <row r="388">
      <c r="A388" s="54"/>
      <c r="B388" s="99"/>
      <c r="C388" s="99"/>
      <c r="D388" s="99"/>
      <c r="E388" s="99"/>
      <c r="F388" s="99"/>
      <c r="G388" s="99"/>
      <c r="H388" s="102"/>
      <c r="I388" s="102"/>
      <c r="J388" s="102"/>
      <c r="K388" s="102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</row>
    <row r="389">
      <c r="A389" s="54"/>
      <c r="B389" s="99"/>
      <c r="C389" s="99"/>
      <c r="D389" s="99"/>
      <c r="E389" s="99"/>
      <c r="F389" s="99"/>
      <c r="G389" s="99"/>
      <c r="H389" s="102"/>
      <c r="I389" s="102"/>
      <c r="J389" s="102"/>
      <c r="K389" s="102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</row>
    <row r="390">
      <c r="A390" s="54"/>
      <c r="B390" s="99"/>
      <c r="C390" s="99"/>
      <c r="D390" s="99"/>
      <c r="E390" s="99"/>
      <c r="F390" s="99"/>
      <c r="G390" s="99"/>
      <c r="H390" s="102"/>
      <c r="I390" s="102"/>
      <c r="J390" s="102"/>
      <c r="K390" s="102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</row>
    <row r="391">
      <c r="A391" s="54"/>
      <c r="B391" s="99"/>
      <c r="C391" s="99"/>
      <c r="D391" s="99"/>
      <c r="E391" s="99"/>
      <c r="F391" s="99"/>
      <c r="G391" s="99"/>
      <c r="H391" s="102"/>
      <c r="I391" s="102"/>
      <c r="J391" s="102"/>
      <c r="K391" s="102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</row>
    <row r="392">
      <c r="A392" s="54"/>
      <c r="B392" s="99"/>
      <c r="C392" s="99"/>
      <c r="D392" s="99"/>
      <c r="E392" s="99"/>
      <c r="F392" s="99"/>
      <c r="G392" s="99"/>
      <c r="H392" s="102"/>
      <c r="I392" s="102"/>
      <c r="J392" s="102"/>
      <c r="K392" s="102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</row>
    <row r="393">
      <c r="A393" s="54"/>
      <c r="B393" s="99"/>
      <c r="C393" s="99"/>
      <c r="D393" s="99"/>
      <c r="E393" s="99"/>
      <c r="F393" s="99"/>
      <c r="G393" s="99"/>
      <c r="H393" s="102"/>
      <c r="I393" s="102"/>
      <c r="J393" s="102"/>
      <c r="K393" s="102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</row>
    <row r="394">
      <c r="A394" s="54"/>
      <c r="B394" s="99"/>
      <c r="C394" s="99"/>
      <c r="D394" s="99"/>
      <c r="E394" s="99"/>
      <c r="F394" s="99"/>
      <c r="G394" s="99"/>
      <c r="H394" s="102"/>
      <c r="I394" s="102"/>
      <c r="J394" s="102"/>
      <c r="K394" s="102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</row>
    <row r="395">
      <c r="A395" s="54"/>
      <c r="B395" s="99"/>
      <c r="C395" s="99"/>
      <c r="D395" s="99"/>
      <c r="E395" s="99"/>
      <c r="F395" s="99"/>
      <c r="G395" s="99"/>
      <c r="H395" s="102"/>
      <c r="I395" s="102"/>
      <c r="J395" s="102"/>
      <c r="K395" s="102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</row>
    <row r="396">
      <c r="A396" s="54"/>
      <c r="B396" s="99"/>
      <c r="C396" s="99"/>
      <c r="D396" s="99"/>
      <c r="E396" s="99"/>
      <c r="F396" s="99"/>
      <c r="G396" s="99"/>
      <c r="H396" s="102"/>
      <c r="I396" s="102"/>
      <c r="J396" s="102"/>
      <c r="K396" s="102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</row>
    <row r="397">
      <c r="A397" s="54"/>
      <c r="B397" s="99"/>
      <c r="C397" s="99"/>
      <c r="D397" s="99"/>
      <c r="E397" s="99"/>
      <c r="F397" s="99"/>
      <c r="G397" s="99"/>
      <c r="H397" s="102"/>
      <c r="I397" s="102"/>
      <c r="J397" s="102"/>
      <c r="K397" s="102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</row>
    <row r="398">
      <c r="A398" s="54"/>
      <c r="B398" s="99"/>
      <c r="C398" s="99"/>
      <c r="D398" s="99"/>
      <c r="E398" s="99"/>
      <c r="F398" s="99"/>
      <c r="G398" s="99"/>
      <c r="H398" s="102"/>
      <c r="I398" s="102"/>
      <c r="J398" s="102"/>
      <c r="K398" s="102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</row>
    <row r="399">
      <c r="A399" s="54"/>
      <c r="B399" s="99"/>
      <c r="C399" s="99"/>
      <c r="D399" s="99"/>
      <c r="E399" s="99"/>
      <c r="F399" s="99"/>
      <c r="G399" s="99"/>
      <c r="H399" s="102"/>
      <c r="I399" s="102"/>
      <c r="J399" s="102"/>
      <c r="K399" s="102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</row>
    <row r="400">
      <c r="A400" s="54"/>
      <c r="B400" s="99"/>
      <c r="C400" s="99"/>
      <c r="D400" s="99"/>
      <c r="E400" s="99"/>
      <c r="F400" s="99"/>
      <c r="G400" s="99"/>
      <c r="H400" s="102"/>
      <c r="I400" s="102"/>
      <c r="J400" s="102"/>
      <c r="K400" s="102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</row>
    <row r="401">
      <c r="A401" s="54"/>
      <c r="B401" s="99"/>
      <c r="C401" s="99"/>
      <c r="D401" s="99"/>
      <c r="E401" s="99"/>
      <c r="F401" s="99"/>
      <c r="G401" s="99"/>
      <c r="H401" s="102"/>
      <c r="I401" s="102"/>
      <c r="J401" s="102"/>
      <c r="K401" s="102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</row>
    <row r="402">
      <c r="A402" s="54"/>
      <c r="B402" s="99"/>
      <c r="C402" s="99"/>
      <c r="D402" s="99"/>
      <c r="E402" s="99"/>
      <c r="F402" s="99"/>
      <c r="G402" s="99"/>
      <c r="H402" s="102"/>
      <c r="I402" s="102"/>
      <c r="J402" s="102"/>
      <c r="K402" s="102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</row>
    <row r="403">
      <c r="A403" s="54"/>
      <c r="B403" s="99"/>
      <c r="C403" s="99"/>
      <c r="D403" s="99"/>
      <c r="E403" s="99"/>
      <c r="F403" s="99"/>
      <c r="G403" s="99"/>
      <c r="H403" s="102"/>
      <c r="I403" s="102"/>
      <c r="J403" s="102"/>
      <c r="K403" s="102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</row>
    <row r="404">
      <c r="A404" s="54"/>
      <c r="B404" s="99"/>
      <c r="C404" s="99"/>
      <c r="D404" s="99"/>
      <c r="E404" s="99"/>
      <c r="F404" s="99"/>
      <c r="G404" s="99"/>
      <c r="H404" s="102"/>
      <c r="I404" s="102"/>
      <c r="J404" s="102"/>
      <c r="K404" s="102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</row>
    <row r="405">
      <c r="A405" s="54"/>
      <c r="B405" s="99"/>
      <c r="C405" s="99"/>
      <c r="D405" s="99"/>
      <c r="E405" s="99"/>
      <c r="F405" s="99"/>
      <c r="G405" s="99"/>
      <c r="H405" s="102"/>
      <c r="I405" s="102"/>
      <c r="J405" s="102"/>
      <c r="K405" s="102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</row>
    <row r="406">
      <c r="A406" s="54"/>
      <c r="B406" s="99"/>
      <c r="C406" s="99"/>
      <c r="D406" s="99"/>
      <c r="E406" s="99"/>
      <c r="F406" s="99"/>
      <c r="G406" s="99"/>
      <c r="H406" s="102"/>
      <c r="I406" s="102"/>
      <c r="J406" s="102"/>
      <c r="K406" s="102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</row>
    <row r="407">
      <c r="A407" s="54"/>
      <c r="B407" s="99"/>
      <c r="C407" s="99"/>
      <c r="D407" s="99"/>
      <c r="E407" s="99"/>
      <c r="F407" s="99"/>
      <c r="G407" s="99"/>
      <c r="H407" s="102"/>
      <c r="I407" s="102"/>
      <c r="J407" s="102"/>
      <c r="K407" s="102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</row>
    <row r="408">
      <c r="A408" s="54"/>
      <c r="B408" s="99"/>
      <c r="C408" s="99"/>
      <c r="D408" s="99"/>
      <c r="E408" s="99"/>
      <c r="F408" s="99"/>
      <c r="G408" s="99"/>
      <c r="H408" s="102"/>
      <c r="I408" s="102"/>
      <c r="J408" s="102"/>
      <c r="K408" s="102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</row>
    <row r="409">
      <c r="A409" s="54"/>
      <c r="B409" s="99"/>
      <c r="C409" s="99"/>
      <c r="D409" s="99"/>
      <c r="E409" s="99"/>
      <c r="F409" s="99"/>
      <c r="G409" s="99"/>
      <c r="H409" s="102"/>
      <c r="I409" s="102"/>
      <c r="J409" s="102"/>
      <c r="K409" s="102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</row>
    <row r="410">
      <c r="A410" s="54"/>
      <c r="B410" s="99"/>
      <c r="C410" s="99"/>
      <c r="D410" s="99"/>
      <c r="E410" s="99"/>
      <c r="F410" s="99"/>
      <c r="G410" s="99"/>
      <c r="H410" s="102"/>
      <c r="I410" s="102"/>
      <c r="J410" s="102"/>
      <c r="K410" s="102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</row>
    <row r="411">
      <c r="A411" s="54"/>
      <c r="B411" s="99"/>
      <c r="C411" s="99"/>
      <c r="D411" s="99"/>
      <c r="E411" s="99"/>
      <c r="F411" s="99"/>
      <c r="G411" s="99"/>
      <c r="H411" s="102"/>
      <c r="I411" s="102"/>
      <c r="J411" s="102"/>
      <c r="K411" s="102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</row>
    <row r="412">
      <c r="A412" s="54"/>
      <c r="B412" s="99"/>
      <c r="C412" s="99"/>
      <c r="D412" s="99"/>
      <c r="E412" s="99"/>
      <c r="F412" s="99"/>
      <c r="G412" s="99"/>
      <c r="H412" s="102"/>
      <c r="I412" s="102"/>
      <c r="J412" s="102"/>
      <c r="K412" s="102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</row>
    <row r="413">
      <c r="A413" s="54"/>
      <c r="B413" s="99"/>
      <c r="C413" s="99"/>
      <c r="D413" s="99"/>
      <c r="E413" s="99"/>
      <c r="F413" s="99"/>
      <c r="G413" s="99"/>
      <c r="H413" s="102"/>
      <c r="I413" s="102"/>
      <c r="J413" s="102"/>
      <c r="K413" s="102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</row>
    <row r="414">
      <c r="A414" s="54"/>
      <c r="B414" s="99"/>
      <c r="C414" s="99"/>
      <c r="D414" s="99"/>
      <c r="E414" s="99"/>
      <c r="F414" s="99"/>
      <c r="G414" s="99"/>
      <c r="H414" s="102"/>
      <c r="I414" s="102"/>
      <c r="J414" s="102"/>
      <c r="K414" s="102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</row>
    <row r="415">
      <c r="A415" s="54"/>
      <c r="B415" s="99"/>
      <c r="C415" s="99"/>
      <c r="D415" s="99"/>
      <c r="E415" s="99"/>
      <c r="F415" s="99"/>
      <c r="G415" s="99"/>
      <c r="H415" s="102"/>
      <c r="I415" s="102"/>
      <c r="J415" s="102"/>
      <c r="K415" s="102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</row>
    <row r="416">
      <c r="A416" s="54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</row>
    <row r="417">
      <c r="A417" s="54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</row>
    <row r="418">
      <c r="A418" s="54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</row>
    <row r="419">
      <c r="A419" s="54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</row>
    <row r="420">
      <c r="A420" s="54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</row>
    <row r="421">
      <c r="A421" s="54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</row>
    <row r="422">
      <c r="A422" s="54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</row>
    <row r="423">
      <c r="A423" s="54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</row>
    <row r="424">
      <c r="A424" s="54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</row>
    <row r="425">
      <c r="A425" s="54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</row>
    <row r="426">
      <c r="A426" s="54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</row>
    <row r="427">
      <c r="A427" s="54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</row>
    <row r="428">
      <c r="A428" s="54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</row>
    <row r="429">
      <c r="A429" s="54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</row>
    <row r="430">
      <c r="A430" s="54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</row>
    <row r="431">
      <c r="A431" s="54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</row>
    <row r="432">
      <c r="A432" s="54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</row>
    <row r="433">
      <c r="A433" s="54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</row>
    <row r="434">
      <c r="A434" s="54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</row>
    <row r="435">
      <c r="A435" s="54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</row>
    <row r="436">
      <c r="A436" s="54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</row>
    <row r="437">
      <c r="A437" s="54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</row>
    <row r="438">
      <c r="A438" s="54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</row>
    <row r="439">
      <c r="A439" s="54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</row>
    <row r="440">
      <c r="A440" s="54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</row>
    <row r="441">
      <c r="A441" s="54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</row>
    <row r="442">
      <c r="A442" s="54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</row>
    <row r="443">
      <c r="A443" s="54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</row>
    <row r="444">
      <c r="A444" s="54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</row>
    <row r="445">
      <c r="A445" s="54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</row>
    <row r="446">
      <c r="A446" s="54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</row>
    <row r="447">
      <c r="A447" s="54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</row>
    <row r="448">
      <c r="A448" s="54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</row>
    <row r="449">
      <c r="A449" s="54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</row>
    <row r="450">
      <c r="A450" s="54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</row>
    <row r="451">
      <c r="A451" s="54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</row>
    <row r="452">
      <c r="A452" s="54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</row>
    <row r="453">
      <c r="A453" s="54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</row>
    <row r="454">
      <c r="A454" s="54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</row>
    <row r="455">
      <c r="A455" s="54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</row>
    <row r="456">
      <c r="A456" s="54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</row>
    <row r="457">
      <c r="A457" s="54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</row>
    <row r="458">
      <c r="A458" s="54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</row>
    <row r="459">
      <c r="A459" s="54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</row>
    <row r="460">
      <c r="A460" s="54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</row>
    <row r="461">
      <c r="A461" s="54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</row>
    <row r="462">
      <c r="A462" s="54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</row>
    <row r="463">
      <c r="A463" s="54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</row>
    <row r="464">
      <c r="A464" s="54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</row>
    <row r="465">
      <c r="A465" s="54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</row>
    <row r="466">
      <c r="A466" s="54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</row>
    <row r="467">
      <c r="A467" s="54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</row>
    <row r="468">
      <c r="A468" s="54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</row>
    <row r="469">
      <c r="A469" s="54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</row>
    <row r="470">
      <c r="A470" s="54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</row>
    <row r="471">
      <c r="A471" s="54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</row>
    <row r="472">
      <c r="A472" s="54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</row>
    <row r="473">
      <c r="A473" s="54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</row>
    <row r="474">
      <c r="A474" s="54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</row>
    <row r="475">
      <c r="A475" s="54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</row>
    <row r="476">
      <c r="A476" s="54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</row>
    <row r="477">
      <c r="A477" s="54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</row>
    <row r="478">
      <c r="A478" s="54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</row>
    <row r="479">
      <c r="A479" s="54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</row>
    <row r="480">
      <c r="A480" s="54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</row>
    <row r="481">
      <c r="A481" s="54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</row>
    <row r="482">
      <c r="A482" s="54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</row>
    <row r="483">
      <c r="A483" s="54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</row>
    <row r="484">
      <c r="A484" s="54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</row>
    <row r="485">
      <c r="A485" s="54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</row>
    <row r="486">
      <c r="A486" s="54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</row>
    <row r="487">
      <c r="A487" s="54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</row>
    <row r="488">
      <c r="A488" s="54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</row>
    <row r="489">
      <c r="A489" s="54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</row>
    <row r="490">
      <c r="A490" s="54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</row>
    <row r="491">
      <c r="A491" s="54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</row>
    <row r="492">
      <c r="A492" s="54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</row>
    <row r="493">
      <c r="A493" s="54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</row>
    <row r="494">
      <c r="A494" s="54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</row>
    <row r="495">
      <c r="A495" s="54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</row>
    <row r="496">
      <c r="A496" s="54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</row>
    <row r="497">
      <c r="A497" s="54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</row>
    <row r="498">
      <c r="A498" s="54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</row>
    <row r="499">
      <c r="A499" s="54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</row>
    <row r="500">
      <c r="A500" s="54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</row>
    <row r="501">
      <c r="A501" s="54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</row>
    <row r="502">
      <c r="A502" s="54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</row>
    <row r="503">
      <c r="A503" s="54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</row>
    <row r="504">
      <c r="A504" s="54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</row>
    <row r="505">
      <c r="A505" s="54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</row>
    <row r="506">
      <c r="A506" s="54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</row>
    <row r="507">
      <c r="A507" s="54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</row>
    <row r="508">
      <c r="A508" s="54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</row>
    <row r="509">
      <c r="A509" s="54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</row>
    <row r="510">
      <c r="A510" s="54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</row>
    <row r="511">
      <c r="A511" s="54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</row>
    <row r="512">
      <c r="A512" s="54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</row>
    <row r="513">
      <c r="A513" s="54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</row>
    <row r="514">
      <c r="A514" s="54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</row>
    <row r="515">
      <c r="A515" s="54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</row>
    <row r="516">
      <c r="A516" s="54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</row>
    <row r="517">
      <c r="A517" s="54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</row>
    <row r="518">
      <c r="A518" s="54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</row>
    <row r="519">
      <c r="A519" s="54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</row>
    <row r="520">
      <c r="A520" s="54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</row>
    <row r="521">
      <c r="A521" s="54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</row>
    <row r="522">
      <c r="A522" s="54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</row>
    <row r="523">
      <c r="A523" s="54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</row>
    <row r="524">
      <c r="A524" s="54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</row>
    <row r="525">
      <c r="A525" s="54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</row>
    <row r="526">
      <c r="A526" s="54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</row>
    <row r="527">
      <c r="A527" s="54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</row>
    <row r="528">
      <c r="A528" s="54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</row>
    <row r="529">
      <c r="A529" s="54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</row>
    <row r="530">
      <c r="A530" s="54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</row>
    <row r="531">
      <c r="A531" s="54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</row>
    <row r="532">
      <c r="A532" s="54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</row>
    <row r="533">
      <c r="A533" s="54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</row>
    <row r="534">
      <c r="A534" s="54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</row>
    <row r="535">
      <c r="A535" s="54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</row>
    <row r="536">
      <c r="A536" s="54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</row>
    <row r="537">
      <c r="A537" s="54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</row>
    <row r="538">
      <c r="A538" s="54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</row>
    <row r="539">
      <c r="A539" s="54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</row>
    <row r="540">
      <c r="A540" s="54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</row>
    <row r="541">
      <c r="A541" s="54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</row>
    <row r="542">
      <c r="A542" s="54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</row>
    <row r="543">
      <c r="A543" s="54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</row>
    <row r="544">
      <c r="A544" s="54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</row>
    <row r="545">
      <c r="A545" s="54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</row>
    <row r="546">
      <c r="A546" s="54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</row>
    <row r="547">
      <c r="A547" s="54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</row>
    <row r="548">
      <c r="A548" s="54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</row>
    <row r="549">
      <c r="A549" s="54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</row>
    <row r="550">
      <c r="A550" s="54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</row>
    <row r="551">
      <c r="A551" s="54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</row>
    <row r="552">
      <c r="A552" s="54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</row>
    <row r="553">
      <c r="A553" s="54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</row>
    <row r="554">
      <c r="A554" s="54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</row>
    <row r="555">
      <c r="A555" s="54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</row>
    <row r="556">
      <c r="A556" s="54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</row>
    <row r="557">
      <c r="A557" s="54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</row>
    <row r="558">
      <c r="A558" s="54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</row>
    <row r="559">
      <c r="A559" s="54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</row>
    <row r="560">
      <c r="A560" s="54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</row>
    <row r="561">
      <c r="A561" s="54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</row>
    <row r="562">
      <c r="A562" s="54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</row>
    <row r="563">
      <c r="A563" s="54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</row>
    <row r="564">
      <c r="A564" s="54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</row>
    <row r="565">
      <c r="A565" s="54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</row>
    <row r="566">
      <c r="A566" s="54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</row>
    <row r="567">
      <c r="A567" s="54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</row>
    <row r="568">
      <c r="A568" s="54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</row>
    <row r="569">
      <c r="A569" s="54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</row>
    <row r="570">
      <c r="A570" s="54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</row>
    <row r="571">
      <c r="A571" s="54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</row>
    <row r="572">
      <c r="A572" s="54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</row>
    <row r="573">
      <c r="A573" s="54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</row>
    <row r="574">
      <c r="A574" s="54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</row>
    <row r="575">
      <c r="A575" s="54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</row>
    <row r="576">
      <c r="A576" s="54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</row>
    <row r="577">
      <c r="A577" s="54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</row>
    <row r="578">
      <c r="A578" s="54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</row>
    <row r="579">
      <c r="A579" s="54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</row>
    <row r="580">
      <c r="A580" s="54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</row>
    <row r="581">
      <c r="A581" s="54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</row>
    <row r="582">
      <c r="A582" s="54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</row>
    <row r="583">
      <c r="A583" s="54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</row>
    <row r="584">
      <c r="A584" s="54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</row>
    <row r="585">
      <c r="A585" s="54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</row>
    <row r="586">
      <c r="A586" s="54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</row>
    <row r="587">
      <c r="A587" s="54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</row>
    <row r="588">
      <c r="A588" s="54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</row>
    <row r="589">
      <c r="A589" s="54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</row>
    <row r="590">
      <c r="A590" s="54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</row>
    <row r="591">
      <c r="A591" s="54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</row>
    <row r="592">
      <c r="A592" s="54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</row>
    <row r="593">
      <c r="A593" s="54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</row>
    <row r="594">
      <c r="A594" s="54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</row>
    <row r="595">
      <c r="A595" s="54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</row>
    <row r="596">
      <c r="A596" s="54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</row>
    <row r="597">
      <c r="A597" s="54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</row>
    <row r="598">
      <c r="A598" s="54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</row>
    <row r="599">
      <c r="A599" s="54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</row>
    <row r="600">
      <c r="A600" s="54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</row>
    <row r="601">
      <c r="A601" s="54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</row>
    <row r="602">
      <c r="A602" s="54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</row>
    <row r="603">
      <c r="A603" s="54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</row>
    <row r="604">
      <c r="A604" s="54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</row>
    <row r="605">
      <c r="A605" s="54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</row>
    <row r="606">
      <c r="A606" s="54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</row>
    <row r="607">
      <c r="A607" s="54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</row>
    <row r="608">
      <c r="A608" s="54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</row>
    <row r="609">
      <c r="A609" s="54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</row>
    <row r="610">
      <c r="A610" s="54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</row>
    <row r="611">
      <c r="A611" s="54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</row>
    <row r="612">
      <c r="A612" s="54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</row>
    <row r="613">
      <c r="A613" s="54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</row>
    <row r="614">
      <c r="A614" s="54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</row>
    <row r="615">
      <c r="A615" s="54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</row>
    <row r="616">
      <c r="A616" s="54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</row>
    <row r="617">
      <c r="A617" s="54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</row>
    <row r="618">
      <c r="A618" s="54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</row>
    <row r="619">
      <c r="A619" s="54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</row>
    <row r="620">
      <c r="A620" s="54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</row>
    <row r="621">
      <c r="A621" s="54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</row>
    <row r="622">
      <c r="A622" s="54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</row>
    <row r="623">
      <c r="A623" s="54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</row>
    <row r="624">
      <c r="A624" s="54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</row>
    <row r="625">
      <c r="A625" s="54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</row>
    <row r="626">
      <c r="A626" s="54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</row>
    <row r="627">
      <c r="A627" s="54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</row>
    <row r="628">
      <c r="A628" s="54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</row>
    <row r="629">
      <c r="A629" s="54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</row>
    <row r="630">
      <c r="A630" s="54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</row>
    <row r="631">
      <c r="A631" s="54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</row>
    <row r="632">
      <c r="A632" s="54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</row>
    <row r="633">
      <c r="A633" s="54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</row>
    <row r="634">
      <c r="A634" s="54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</row>
    <row r="635">
      <c r="A635" s="54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</row>
    <row r="636">
      <c r="A636" s="54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</row>
    <row r="637">
      <c r="A637" s="54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</row>
    <row r="638">
      <c r="A638" s="54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</row>
    <row r="639">
      <c r="A639" s="54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</row>
    <row r="640">
      <c r="A640" s="54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</row>
    <row r="641">
      <c r="A641" s="54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</row>
    <row r="642">
      <c r="A642" s="54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</row>
    <row r="643">
      <c r="A643" s="54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</row>
    <row r="644">
      <c r="A644" s="54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</row>
    <row r="645">
      <c r="A645" s="54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</row>
    <row r="646">
      <c r="A646" s="54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</row>
    <row r="647">
      <c r="A647" s="54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</row>
    <row r="648">
      <c r="A648" s="54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</row>
    <row r="649">
      <c r="A649" s="54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</row>
    <row r="650">
      <c r="A650" s="54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</row>
    <row r="651">
      <c r="A651" s="54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</row>
    <row r="652">
      <c r="A652" s="54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</row>
    <row r="653">
      <c r="A653" s="54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</row>
    <row r="654">
      <c r="A654" s="54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</row>
    <row r="655">
      <c r="A655" s="54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</row>
    <row r="656">
      <c r="A656" s="54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</row>
    <row r="657">
      <c r="A657" s="54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</row>
    <row r="658">
      <c r="A658" s="54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</row>
    <row r="659">
      <c r="A659" s="54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</row>
    <row r="660">
      <c r="A660" s="54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</row>
    <row r="661">
      <c r="A661" s="54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</row>
    <row r="662">
      <c r="A662" s="54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</row>
    <row r="663">
      <c r="A663" s="54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</row>
    <row r="664">
      <c r="A664" s="54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</row>
    <row r="665">
      <c r="A665" s="54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</row>
    <row r="666">
      <c r="A666" s="54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</row>
    <row r="667">
      <c r="A667" s="54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</row>
    <row r="668">
      <c r="A668" s="54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</row>
    <row r="669">
      <c r="A669" s="54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</row>
    <row r="670">
      <c r="A670" s="54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</row>
    <row r="671">
      <c r="A671" s="54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</row>
    <row r="672">
      <c r="A672" s="54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</row>
    <row r="673">
      <c r="A673" s="54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</row>
    <row r="674">
      <c r="A674" s="54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</row>
    <row r="675">
      <c r="A675" s="54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</row>
    <row r="676">
      <c r="A676" s="54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</row>
    <row r="677">
      <c r="A677" s="54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</row>
    <row r="678">
      <c r="A678" s="54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</row>
    <row r="679">
      <c r="A679" s="54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</row>
    <row r="680">
      <c r="A680" s="54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</row>
    <row r="681">
      <c r="A681" s="54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</row>
    <row r="682">
      <c r="A682" s="54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</row>
    <row r="683">
      <c r="A683" s="54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</row>
    <row r="684">
      <c r="A684" s="54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</row>
    <row r="685">
      <c r="A685" s="54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</row>
    <row r="686">
      <c r="A686" s="54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</row>
    <row r="687">
      <c r="A687" s="54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</row>
    <row r="688">
      <c r="A688" s="54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</row>
    <row r="689">
      <c r="A689" s="54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</row>
    <row r="690">
      <c r="A690" s="54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</row>
    <row r="691">
      <c r="A691" s="54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</row>
    <row r="692">
      <c r="A692" s="54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</row>
    <row r="693">
      <c r="A693" s="54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</row>
    <row r="694">
      <c r="A694" s="54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</row>
    <row r="695">
      <c r="A695" s="54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</row>
    <row r="696">
      <c r="A696" s="54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</row>
    <row r="697">
      <c r="A697" s="54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</row>
    <row r="698">
      <c r="A698" s="54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</row>
    <row r="699">
      <c r="A699" s="54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</row>
    <row r="700">
      <c r="A700" s="54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</row>
    <row r="701">
      <c r="A701" s="54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</row>
    <row r="702">
      <c r="A702" s="54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</row>
    <row r="703">
      <c r="A703" s="54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</row>
    <row r="704">
      <c r="A704" s="54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</row>
    <row r="705">
      <c r="A705" s="54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</row>
    <row r="706">
      <c r="A706" s="54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</row>
    <row r="707">
      <c r="A707" s="54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</row>
    <row r="708">
      <c r="A708" s="54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</row>
    <row r="709">
      <c r="A709" s="54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</row>
    <row r="710">
      <c r="A710" s="54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</row>
    <row r="711">
      <c r="A711" s="54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</row>
    <row r="712">
      <c r="A712" s="54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</row>
    <row r="713">
      <c r="A713" s="54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</row>
    <row r="714">
      <c r="A714" s="54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</row>
    <row r="715">
      <c r="A715" s="54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</row>
    <row r="716">
      <c r="A716" s="54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</row>
    <row r="717">
      <c r="A717" s="54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</row>
    <row r="718">
      <c r="A718" s="54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</row>
    <row r="719">
      <c r="A719" s="54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</row>
    <row r="720">
      <c r="A720" s="54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</row>
    <row r="721">
      <c r="A721" s="54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</row>
    <row r="722">
      <c r="A722" s="54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</row>
    <row r="723">
      <c r="A723" s="54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</row>
    <row r="724">
      <c r="A724" s="54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</row>
    <row r="725">
      <c r="A725" s="54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</row>
    <row r="726">
      <c r="A726" s="54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</row>
    <row r="727">
      <c r="A727" s="54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</row>
    <row r="728">
      <c r="A728" s="54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</row>
    <row r="729">
      <c r="A729" s="54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</row>
    <row r="730">
      <c r="A730" s="54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</row>
    <row r="731">
      <c r="A731" s="54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</row>
    <row r="732">
      <c r="A732" s="54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</row>
    <row r="733">
      <c r="A733" s="54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</row>
    <row r="734">
      <c r="A734" s="54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</row>
    <row r="735">
      <c r="A735" s="54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</row>
    <row r="736">
      <c r="A736" s="54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</row>
    <row r="737">
      <c r="A737" s="54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</row>
    <row r="738">
      <c r="A738" s="54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</row>
    <row r="739">
      <c r="A739" s="54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</row>
    <row r="740">
      <c r="A740" s="54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</row>
    <row r="741">
      <c r="A741" s="54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</row>
    <row r="742">
      <c r="A742" s="54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</row>
    <row r="743">
      <c r="A743" s="54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</row>
    <row r="744">
      <c r="A744" s="54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</row>
    <row r="745">
      <c r="A745" s="54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</row>
    <row r="746">
      <c r="A746" s="54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</row>
    <row r="747">
      <c r="A747" s="54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</row>
    <row r="748">
      <c r="A748" s="54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</row>
    <row r="749">
      <c r="A749" s="54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</row>
    <row r="750">
      <c r="A750" s="54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</row>
    <row r="751">
      <c r="A751" s="54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</row>
    <row r="752">
      <c r="A752" s="54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</row>
    <row r="753">
      <c r="A753" s="54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</row>
    <row r="754">
      <c r="A754" s="54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</row>
    <row r="755">
      <c r="A755" s="54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</row>
    <row r="756">
      <c r="A756" s="54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</row>
    <row r="757">
      <c r="A757" s="54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</row>
    <row r="758">
      <c r="A758" s="54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</row>
    <row r="759">
      <c r="A759" s="54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</row>
    <row r="760">
      <c r="A760" s="54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</row>
    <row r="761">
      <c r="A761" s="54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</row>
    <row r="762">
      <c r="A762" s="54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</row>
    <row r="763">
      <c r="A763" s="54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</row>
    <row r="764">
      <c r="A764" s="54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</row>
    <row r="765">
      <c r="A765" s="54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</row>
    <row r="766">
      <c r="A766" s="54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</row>
    <row r="767">
      <c r="A767" s="54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</row>
    <row r="768">
      <c r="A768" s="54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</row>
    <row r="769">
      <c r="A769" s="54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</row>
    <row r="770">
      <c r="A770" s="54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</row>
    <row r="771">
      <c r="A771" s="54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</row>
    <row r="772">
      <c r="A772" s="54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</row>
    <row r="773">
      <c r="A773" s="54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</row>
    <row r="774">
      <c r="A774" s="54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</row>
    <row r="775">
      <c r="A775" s="54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</row>
    <row r="776">
      <c r="A776" s="54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</row>
    <row r="777">
      <c r="A777" s="54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</row>
    <row r="778">
      <c r="A778" s="54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</row>
    <row r="779">
      <c r="A779" s="54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</row>
    <row r="780">
      <c r="A780" s="54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</row>
    <row r="781">
      <c r="A781" s="54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</row>
    <row r="782">
      <c r="A782" s="54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</row>
    <row r="783">
      <c r="A783" s="54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</row>
    <row r="784">
      <c r="A784" s="54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</row>
    <row r="785">
      <c r="A785" s="54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</row>
    <row r="786">
      <c r="A786" s="54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</row>
    <row r="787">
      <c r="A787" s="54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</row>
    <row r="788">
      <c r="A788" s="54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</row>
    <row r="789">
      <c r="A789" s="54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</row>
    <row r="790">
      <c r="A790" s="54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</row>
    <row r="791">
      <c r="A791" s="54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</row>
    <row r="792">
      <c r="A792" s="54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</row>
    <row r="793">
      <c r="A793" s="54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</row>
    <row r="794">
      <c r="A794" s="54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</row>
    <row r="795">
      <c r="A795" s="54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</row>
    <row r="796">
      <c r="A796" s="54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</row>
    <row r="797">
      <c r="A797" s="54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</row>
    <row r="798">
      <c r="A798" s="54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</row>
    <row r="799">
      <c r="A799" s="54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</row>
    <row r="800">
      <c r="A800" s="54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</row>
    <row r="801">
      <c r="A801" s="54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</row>
    <row r="802">
      <c r="A802" s="54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</row>
    <row r="803">
      <c r="A803" s="54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</row>
    <row r="804">
      <c r="A804" s="54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</row>
    <row r="805">
      <c r="A805" s="54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</row>
    <row r="806">
      <c r="A806" s="54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</row>
    <row r="807">
      <c r="A807" s="54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</row>
    <row r="808">
      <c r="A808" s="54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</row>
    <row r="809">
      <c r="A809" s="54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</row>
    <row r="810">
      <c r="A810" s="54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</row>
    <row r="811">
      <c r="A811" s="54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</row>
    <row r="812">
      <c r="A812" s="54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</row>
    <row r="813">
      <c r="A813" s="54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</row>
    <row r="814">
      <c r="A814" s="54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</row>
    <row r="815">
      <c r="A815" s="54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</row>
    <row r="816">
      <c r="A816" s="54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</row>
    <row r="817">
      <c r="A817" s="54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</row>
    <row r="818">
      <c r="A818" s="54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</row>
    <row r="819">
      <c r="A819" s="54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</row>
    <row r="820">
      <c r="A820" s="54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</row>
    <row r="821">
      <c r="A821" s="54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</row>
    <row r="822">
      <c r="A822" s="54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</row>
    <row r="823">
      <c r="A823" s="54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</row>
    <row r="824">
      <c r="A824" s="54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</row>
    <row r="825">
      <c r="A825" s="54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</row>
    <row r="826">
      <c r="A826" s="54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</row>
    <row r="827">
      <c r="A827" s="54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</row>
    <row r="828">
      <c r="A828" s="54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</row>
    <row r="829">
      <c r="A829" s="54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</row>
    <row r="830">
      <c r="A830" s="54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</row>
    <row r="831">
      <c r="A831" s="54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</row>
    <row r="832">
      <c r="A832" s="54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</row>
    <row r="833">
      <c r="A833" s="54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</row>
    <row r="834">
      <c r="A834" s="54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</row>
    <row r="835">
      <c r="A835" s="54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</row>
    <row r="836">
      <c r="A836" s="54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</row>
    <row r="837">
      <c r="A837" s="54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</row>
    <row r="838">
      <c r="A838" s="54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</row>
    <row r="839">
      <c r="A839" s="54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</row>
    <row r="840">
      <c r="A840" s="54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</row>
    <row r="841">
      <c r="A841" s="54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</row>
    <row r="842">
      <c r="A842" s="54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</row>
    <row r="843">
      <c r="A843" s="54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</row>
    <row r="844">
      <c r="A844" s="54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</row>
    <row r="845">
      <c r="A845" s="54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</row>
    <row r="846">
      <c r="A846" s="54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</row>
    <row r="847">
      <c r="A847" s="54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</row>
    <row r="848">
      <c r="A848" s="54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</row>
    <row r="849">
      <c r="A849" s="54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</row>
    <row r="850">
      <c r="A850" s="54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</row>
    <row r="851">
      <c r="A851" s="54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</row>
    <row r="852">
      <c r="A852" s="54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</row>
    <row r="853">
      <c r="A853" s="54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</row>
    <row r="854">
      <c r="A854" s="54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</row>
    <row r="855">
      <c r="A855" s="54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</row>
    <row r="856">
      <c r="A856" s="54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</row>
    <row r="857">
      <c r="A857" s="54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</row>
    <row r="858">
      <c r="A858" s="54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</row>
    <row r="859">
      <c r="A859" s="54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</row>
    <row r="860">
      <c r="A860" s="54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</row>
    <row r="861">
      <c r="A861" s="54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</row>
    <row r="862">
      <c r="A862" s="54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</row>
    <row r="863">
      <c r="A863" s="54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</row>
    <row r="864">
      <c r="A864" s="54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</row>
    <row r="865">
      <c r="A865" s="54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</row>
    <row r="866">
      <c r="A866" s="54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</row>
    <row r="867">
      <c r="A867" s="54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</row>
    <row r="868">
      <c r="A868" s="54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</row>
    <row r="869">
      <c r="A869" s="54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</row>
    <row r="870">
      <c r="A870" s="54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</row>
    <row r="871">
      <c r="A871" s="54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</row>
    <row r="872">
      <c r="A872" s="54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</row>
    <row r="873">
      <c r="A873" s="54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</row>
    <row r="874">
      <c r="A874" s="54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</row>
    <row r="875">
      <c r="A875" s="54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>
      <c r="A876" s="54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>
      <c r="A877" s="54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>
      <c r="A878" s="54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>
      <c r="A879" s="54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>
      <c r="A880" s="54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>
      <c r="A881" s="54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>
      <c r="A882" s="54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>
      <c r="A883" s="54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>
      <c r="A885" s="54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>
      <c r="A886" s="54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>
      <c r="A887" s="54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>
      <c r="A888" s="54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>
      <c r="A889" s="54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>
      <c r="A890" s="54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>
      <c r="A891" s="54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>
      <c r="A892" s="54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>
      <c r="A893" s="54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>
      <c r="A894" s="54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5">
      <c r="A895" s="54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</row>
    <row r="896">
      <c r="A896" s="54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>
      <c r="A897" s="54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>
      <c r="A898" s="54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>
      <c r="A899" s="54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>
      <c r="A900" s="54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>
      <c r="A901" s="54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>
      <c r="A902" s="54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>
      <c r="A903" s="54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>
      <c r="A904" s="54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>
      <c r="A905" s="54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>
      <c r="A906" s="54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>
      <c r="A907" s="54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>
      <c r="A908" s="54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>
      <c r="A909" s="54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0">
      <c r="A910" s="54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</row>
    <row r="911">
      <c r="A911" s="54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</row>
    <row r="912">
      <c r="A912" s="54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</row>
    <row r="913">
      <c r="A913" s="54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</row>
    <row r="914">
      <c r="A914" s="54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</row>
    <row r="915">
      <c r="A915" s="54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</row>
    <row r="916">
      <c r="A916" s="54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</row>
    <row r="917">
      <c r="A917" s="54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</row>
    <row r="918">
      <c r="A918" s="54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</row>
    <row r="919">
      <c r="A919" s="54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</row>
    <row r="920">
      <c r="A920" s="54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</row>
    <row r="921">
      <c r="A921" s="54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</row>
    <row r="922">
      <c r="A922" s="54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</row>
    <row r="923">
      <c r="A923" s="54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</row>
    <row r="924">
      <c r="A924" s="54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</row>
    <row r="925">
      <c r="A925" s="54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</row>
    <row r="926">
      <c r="A926" s="54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</row>
    <row r="927">
      <c r="A927" s="54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</row>
    <row r="928">
      <c r="A928" s="54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</row>
    <row r="929">
      <c r="A929" s="54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</row>
    <row r="930">
      <c r="A930" s="54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</row>
    <row r="931">
      <c r="A931" s="54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</row>
    <row r="932">
      <c r="A932" s="54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</row>
    <row r="933">
      <c r="A933" s="54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</row>
    <row r="934">
      <c r="A934" s="54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</row>
    <row r="935">
      <c r="A935" s="54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</row>
    <row r="936">
      <c r="A936" s="54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</row>
    <row r="937">
      <c r="A937" s="54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</row>
    <row r="938">
      <c r="A938" s="54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</row>
    <row r="939">
      <c r="A939" s="54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</row>
    <row r="940">
      <c r="A940" s="54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</row>
    <row r="941">
      <c r="A941" s="54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</row>
    <row r="942">
      <c r="A942" s="54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</row>
    <row r="943">
      <c r="A943" s="54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</row>
    <row r="944">
      <c r="A944" s="54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</row>
    <row r="945">
      <c r="A945" s="54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</row>
    <row r="946">
      <c r="A946" s="54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</row>
    <row r="947">
      <c r="A947" s="54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</row>
    <row r="948">
      <c r="A948" s="54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</row>
    <row r="949">
      <c r="A949" s="54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</row>
    <row r="950">
      <c r="A950" s="54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</row>
    <row r="951">
      <c r="A951" s="54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</row>
    <row r="952">
      <c r="A952" s="54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</row>
    <row r="953">
      <c r="A953" s="54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</row>
    <row r="954">
      <c r="A954" s="54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</row>
    <row r="955">
      <c r="A955" s="54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</row>
    <row r="956">
      <c r="A956" s="54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</row>
    <row r="957">
      <c r="A957" s="54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</row>
    <row r="958">
      <c r="A958" s="54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</row>
    <row r="959">
      <c r="A959" s="54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</row>
    <row r="960">
      <c r="A960" s="54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</row>
    <row r="961">
      <c r="A961" s="54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</row>
    <row r="962">
      <c r="A962" s="54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</row>
    <row r="963">
      <c r="A963" s="54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</row>
    <row r="964">
      <c r="A964" s="54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</row>
    <row r="965">
      <c r="A965" s="54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</row>
    <row r="966">
      <c r="A966" s="54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</row>
    <row r="967">
      <c r="A967" s="54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</row>
    <row r="968">
      <c r="A968" s="54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</row>
    <row r="969">
      <c r="A969" s="54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</row>
    <row r="970">
      <c r="A970" s="54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</row>
    <row r="971">
      <c r="A971" s="54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</row>
    <row r="972">
      <c r="A972" s="54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</row>
    <row r="973">
      <c r="A973" s="54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</row>
    <row r="974">
      <c r="A974" s="54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</row>
    <row r="975">
      <c r="A975" s="54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</row>
    <row r="976">
      <c r="A976" s="54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</row>
    <row r="977">
      <c r="A977" s="54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</row>
    <row r="978">
      <c r="A978" s="54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</row>
    <row r="979">
      <c r="A979" s="54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</row>
    <row r="980">
      <c r="A980" s="54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</row>
    <row r="981">
      <c r="A981" s="54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</row>
    <row r="982">
      <c r="A982" s="54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</row>
    <row r="983">
      <c r="A983" s="54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</row>
    <row r="984">
      <c r="A984" s="54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</row>
    <row r="985">
      <c r="A985" s="54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</row>
    <row r="986">
      <c r="A986" s="54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</row>
    <row r="987">
      <c r="A987" s="54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</row>
    <row r="988">
      <c r="A988" s="54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</row>
    <row r="989">
      <c r="A989" s="54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</row>
    <row r="990">
      <c r="A990" s="54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</row>
    <row r="991">
      <c r="A991" s="54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</row>
    <row r="992">
      <c r="A992" s="54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</row>
    <row r="993">
      <c r="A993" s="54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</row>
    <row r="994">
      <c r="A994" s="54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</row>
    <row r="995">
      <c r="A995" s="54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</row>
    <row r="996">
      <c r="A996" s="54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</row>
    <row r="997">
      <c r="A997" s="54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</row>
    <row r="998">
      <c r="A998" s="54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</row>
    <row r="999">
      <c r="A999" s="54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</row>
  </sheetData>
  <mergeCells count="44">
    <mergeCell ref="B3:I3"/>
    <mergeCell ref="B7:I7"/>
    <mergeCell ref="M9:O9"/>
    <mergeCell ref="B17:I17"/>
    <mergeCell ref="M20:O20"/>
    <mergeCell ref="B30:I30"/>
    <mergeCell ref="B37:I37"/>
    <mergeCell ref="M110:Q110"/>
    <mergeCell ref="M122:Q122"/>
    <mergeCell ref="M32:O32"/>
    <mergeCell ref="M40:O40"/>
    <mergeCell ref="M49:O49"/>
    <mergeCell ref="M58:O58"/>
    <mergeCell ref="M71:O71"/>
    <mergeCell ref="M86:O86"/>
    <mergeCell ref="M95:Q95"/>
    <mergeCell ref="B46:I46"/>
    <mergeCell ref="B56:I56"/>
    <mergeCell ref="B70:I70"/>
    <mergeCell ref="B85:I85"/>
    <mergeCell ref="B94:I94"/>
    <mergeCell ref="B109:I109"/>
    <mergeCell ref="B121:I121"/>
    <mergeCell ref="B133:I133"/>
    <mergeCell ref="B134:I134"/>
    <mergeCell ref="M135:Q135"/>
    <mergeCell ref="B146:I146"/>
    <mergeCell ref="M147:Q147"/>
    <mergeCell ref="B159:I159"/>
    <mergeCell ref="M160:Q160"/>
    <mergeCell ref="B202:I202"/>
    <mergeCell ref="B215:I215"/>
    <mergeCell ref="M216:Q216"/>
    <mergeCell ref="B229:I229"/>
    <mergeCell ref="M230:Q230"/>
    <mergeCell ref="B242:I242"/>
    <mergeCell ref="M243:Q243"/>
    <mergeCell ref="B173:I173"/>
    <mergeCell ref="M174:Q174"/>
    <mergeCell ref="B180:I180"/>
    <mergeCell ref="M181:Q181"/>
    <mergeCell ref="B192:I192"/>
    <mergeCell ref="M193:Q193"/>
    <mergeCell ref="M203:Q203"/>
  </mergeCells>
  <conditionalFormatting sqref="K146 K159 K173 K180 K192 K202 K215 K229 K242">
    <cfRule type="cellIs" dxfId="3" priority="1" operator="greaterThanOrEqual">
      <formula>28</formula>
    </cfRule>
  </conditionalFormatting>
  <conditionalFormatting sqref="K146 K159 K173 K180 K192 K202 K215 K229 K242">
    <cfRule type="cellIs" dxfId="4" priority="2" operator="greaterThanOrEqual">
      <formula>24</formula>
    </cfRule>
  </conditionalFormatting>
  <conditionalFormatting sqref="J2">
    <cfRule type="expression" dxfId="0" priority="3">
      <formula>ABS(J2:J1000)&gt;5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33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999">
    <cfRule type="cellIs" dxfId="3" priority="9" operator="greaterThanOrEqual">
      <formula>30</formula>
    </cfRule>
  </conditionalFormatting>
  <conditionalFormatting sqref="K1:K999">
    <cfRule type="cellIs" dxfId="4" priority="10" operator="greaterThanOrEqual">
      <formula>28</formula>
    </cfRule>
  </conditionalFormatting>
  <conditionalFormatting sqref="J1:J999">
    <cfRule type="expression" dxfId="0" priority="11">
      <formula>ABS(J:J)&gt;5</formula>
    </cfRule>
  </conditionalFormatting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9" t="s">
        <v>55</v>
      </c>
      <c r="C1" s="120" t="s">
        <v>56</v>
      </c>
      <c r="D1" s="60" t="s">
        <v>57</v>
      </c>
      <c r="E1" s="60" t="s">
        <v>58</v>
      </c>
      <c r="F1" s="60" t="s">
        <v>59</v>
      </c>
      <c r="G1" s="60" t="s">
        <v>60</v>
      </c>
      <c r="H1" s="60" t="s">
        <v>61</v>
      </c>
      <c r="I1" s="60" t="s">
        <v>62</v>
      </c>
      <c r="J1" s="60" t="s">
        <v>63</v>
      </c>
      <c r="K1" s="61" t="s">
        <v>64</v>
      </c>
      <c r="L1" s="195" t="s">
        <v>128</v>
      </c>
      <c r="M1" s="195">
        <v>28.0</v>
      </c>
      <c r="N1" s="9" t="s">
        <v>129</v>
      </c>
      <c r="O1" s="9">
        <v>70.0</v>
      </c>
    </row>
    <row r="2">
      <c r="A2" s="216" t="s">
        <v>449</v>
      </c>
      <c r="B2" s="54"/>
      <c r="C2" s="60"/>
      <c r="D2" s="60" t="s">
        <v>280</v>
      </c>
      <c r="E2" s="54"/>
      <c r="F2" s="54">
        <f>SUM(F5:F999)</f>
        <v>214602</v>
      </c>
      <c r="G2" s="54">
        <f>MAX(G4:G999)</f>
        <v>1223</v>
      </c>
      <c r="H2" s="54">
        <f>SUM(H4:H999)</f>
        <v>54217</v>
      </c>
      <c r="I2" s="54">
        <f>SUM(I5:I999)</f>
        <v>57041.99</v>
      </c>
      <c r="J2" s="54">
        <f>H2-I2</f>
        <v>-2824.99</v>
      </c>
      <c r="K2" s="63">
        <f>I2/F2*100</f>
        <v>26.58036272</v>
      </c>
      <c r="L2" s="64" t="s">
        <v>65</v>
      </c>
      <c r="M2" s="65"/>
      <c r="N2" s="54"/>
    </row>
    <row r="3">
      <c r="A3" s="66"/>
      <c r="B3" s="67" t="s">
        <v>66</v>
      </c>
      <c r="J3" s="66"/>
      <c r="K3" s="66"/>
      <c r="L3" s="66"/>
      <c r="M3" s="66"/>
      <c r="N3" s="66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54"/>
      <c r="B4" s="401">
        <v>45314.0</v>
      </c>
      <c r="C4" s="495"/>
      <c r="D4" s="404" t="s">
        <v>315</v>
      </c>
      <c r="E4" s="412">
        <v>9454.0</v>
      </c>
      <c r="F4" s="405">
        <v>0.0</v>
      </c>
      <c r="G4" s="405">
        <v>1176.0</v>
      </c>
      <c r="H4" s="406">
        <v>306.0</v>
      </c>
      <c r="I4" s="406">
        <v>300.0</v>
      </c>
      <c r="J4" s="406">
        <v>6.0</v>
      </c>
      <c r="K4" s="290" t="s">
        <v>140</v>
      </c>
      <c r="L4" s="54"/>
      <c r="M4" s="54"/>
      <c r="N4" s="54"/>
    </row>
    <row r="5">
      <c r="A5" s="54"/>
      <c r="B5" s="430">
        <v>45317.0</v>
      </c>
      <c r="C5" s="410"/>
      <c r="D5" s="411" t="s">
        <v>315</v>
      </c>
      <c r="E5" s="412">
        <v>11515.0</v>
      </c>
      <c r="F5" s="412">
        <v>2061.0</v>
      </c>
      <c r="G5" s="412">
        <v>1193.0</v>
      </c>
      <c r="H5" s="413">
        <v>586.0</v>
      </c>
      <c r="I5" s="413">
        <v>600.0</v>
      </c>
      <c r="J5" s="413">
        <v>-14.0</v>
      </c>
      <c r="K5" s="290">
        <v>29.11</v>
      </c>
      <c r="L5" s="54"/>
      <c r="M5" s="54"/>
      <c r="N5" s="54"/>
    </row>
    <row r="6">
      <c r="A6" s="54"/>
      <c r="B6" s="430">
        <v>45319.0</v>
      </c>
      <c r="C6" s="410"/>
      <c r="D6" s="411" t="s">
        <v>315</v>
      </c>
      <c r="E6" s="412">
        <v>13473.0</v>
      </c>
      <c r="F6" s="412">
        <v>1958.0</v>
      </c>
      <c r="G6" s="412">
        <v>1171.0</v>
      </c>
      <c r="H6" s="413">
        <v>570.0</v>
      </c>
      <c r="I6" s="413">
        <v>550.0</v>
      </c>
      <c r="J6" s="413">
        <v>20.0</v>
      </c>
      <c r="K6" s="290">
        <v>28.09</v>
      </c>
      <c r="L6" s="54"/>
      <c r="M6" s="54"/>
      <c r="N6" s="54"/>
    </row>
    <row r="7">
      <c r="A7" s="54"/>
      <c r="B7" s="430">
        <v>45322.0</v>
      </c>
      <c r="C7" s="410"/>
      <c r="D7" s="411" t="s">
        <v>315</v>
      </c>
      <c r="E7" s="412">
        <v>15531.0</v>
      </c>
      <c r="F7" s="412">
        <v>2058.0</v>
      </c>
      <c r="G7" s="412">
        <v>1197.0</v>
      </c>
      <c r="H7" s="413">
        <v>639.0</v>
      </c>
      <c r="I7" s="413">
        <v>600.0</v>
      </c>
      <c r="J7" s="413">
        <v>39.0</v>
      </c>
      <c r="K7" s="290">
        <v>29.15</v>
      </c>
      <c r="L7" s="54"/>
      <c r="M7" s="54"/>
      <c r="N7" s="54"/>
    </row>
    <row r="8">
      <c r="A8" s="66"/>
      <c r="B8" s="67" t="s">
        <v>68</v>
      </c>
      <c r="J8" s="66"/>
      <c r="K8" s="66"/>
      <c r="L8" s="66"/>
      <c r="M8" s="66"/>
      <c r="N8" s="66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</row>
    <row r="9">
      <c r="A9" s="54"/>
      <c r="B9" s="70">
        <v>45324.0</v>
      </c>
      <c r="C9" s="73"/>
      <c r="D9" s="73"/>
      <c r="E9" s="71">
        <v>17135.0</v>
      </c>
      <c r="F9" s="71">
        <v>1604.0</v>
      </c>
      <c r="G9" s="71">
        <v>1188.0</v>
      </c>
      <c r="H9" s="72">
        <v>457.0</v>
      </c>
      <c r="I9" s="72">
        <v>449.62</v>
      </c>
      <c r="J9" s="72">
        <v>7.38</v>
      </c>
      <c r="K9" s="72">
        <v>28.03</v>
      </c>
      <c r="L9" s="54"/>
      <c r="M9" s="54"/>
      <c r="N9" s="54"/>
    </row>
    <row r="10">
      <c r="A10" s="54"/>
      <c r="B10" s="70">
        <v>45326.0</v>
      </c>
      <c r="C10" s="73"/>
      <c r="D10" s="73"/>
      <c r="E10" s="71">
        <v>18848.0</v>
      </c>
      <c r="F10" s="71">
        <v>1713.0</v>
      </c>
      <c r="G10" s="71">
        <v>1111.0</v>
      </c>
      <c r="H10" s="72">
        <v>427.0</v>
      </c>
      <c r="I10" s="72">
        <v>417.35</v>
      </c>
      <c r="J10" s="72">
        <v>9.65</v>
      </c>
      <c r="K10" s="72">
        <v>24.36</v>
      </c>
      <c r="L10" s="54"/>
      <c r="M10" s="54"/>
      <c r="N10" s="54"/>
    </row>
    <row r="11">
      <c r="A11" s="54"/>
      <c r="B11" s="70">
        <v>45329.0</v>
      </c>
      <c r="C11" s="73"/>
      <c r="D11" s="73"/>
      <c r="E11" s="71">
        <v>20869.0</v>
      </c>
      <c r="F11" s="71">
        <v>2021.0</v>
      </c>
      <c r="G11" s="71">
        <v>1088.0</v>
      </c>
      <c r="H11" s="72">
        <v>565.0</v>
      </c>
      <c r="I11" s="72">
        <v>550.0</v>
      </c>
      <c r="J11" s="72">
        <v>15.0</v>
      </c>
      <c r="K11" s="72">
        <v>27.21</v>
      </c>
      <c r="L11" s="54"/>
      <c r="M11" s="74" t="s">
        <v>69</v>
      </c>
      <c r="N11" s="75"/>
      <c r="O11" s="76"/>
    </row>
    <row r="12">
      <c r="A12" s="54"/>
      <c r="B12" s="70">
        <v>45331.0</v>
      </c>
      <c r="C12" s="73"/>
      <c r="D12" s="73"/>
      <c r="E12" s="71">
        <v>22579.0</v>
      </c>
      <c r="F12" s="71">
        <v>1710.0</v>
      </c>
      <c r="G12" s="71">
        <v>1154.0</v>
      </c>
      <c r="H12" s="72">
        <v>625.0</v>
      </c>
      <c r="I12" s="72">
        <v>600.0</v>
      </c>
      <c r="J12" s="72">
        <v>25.0</v>
      </c>
      <c r="K12" s="72">
        <v>35.09</v>
      </c>
      <c r="L12" s="54"/>
      <c r="M12" s="77" t="s">
        <v>70</v>
      </c>
      <c r="N12" s="77" t="s">
        <v>71</v>
      </c>
      <c r="O12" s="78" t="s">
        <v>27</v>
      </c>
    </row>
    <row r="13">
      <c r="A13" s="54"/>
      <c r="B13" s="70">
        <v>45333.0</v>
      </c>
      <c r="C13" s="73"/>
      <c r="D13" s="73"/>
      <c r="E13" s="71">
        <v>24657.0</v>
      </c>
      <c r="F13" s="71">
        <v>2078.0</v>
      </c>
      <c r="G13" s="71">
        <v>1046.0</v>
      </c>
      <c r="H13" s="72">
        <v>565.0</v>
      </c>
      <c r="I13" s="72">
        <v>550.0</v>
      </c>
      <c r="J13" s="72">
        <v>15.0</v>
      </c>
      <c r="K13" s="72">
        <v>26.47</v>
      </c>
      <c r="L13" s="54"/>
      <c r="M13" s="79">
        <f>SUM(F9:F20)</f>
        <v>20717</v>
      </c>
      <c r="N13" s="79">
        <f>SUM(I9:I20)</f>
        <v>6203.72</v>
      </c>
      <c r="O13" s="81">
        <f>N13/M13*100</f>
        <v>29.94506927</v>
      </c>
    </row>
    <row r="14">
      <c r="A14" s="54"/>
      <c r="B14" s="70">
        <v>45336.0</v>
      </c>
      <c r="C14" s="73"/>
      <c r="D14" s="73"/>
      <c r="E14" s="71">
        <v>26004.0</v>
      </c>
      <c r="F14" s="71">
        <v>1347.0</v>
      </c>
      <c r="G14" s="71">
        <v>1157.0</v>
      </c>
      <c r="H14" s="72">
        <v>565.0</v>
      </c>
      <c r="I14" s="72">
        <v>536.75</v>
      </c>
      <c r="J14" s="72">
        <v>28.25</v>
      </c>
      <c r="K14" s="72">
        <v>39.85</v>
      </c>
      <c r="L14" s="54"/>
      <c r="M14" s="54"/>
      <c r="N14" s="54"/>
    </row>
    <row r="15">
      <c r="A15" s="54"/>
      <c r="B15" s="70">
        <v>45338.0</v>
      </c>
      <c r="C15" s="73"/>
      <c r="D15" s="73"/>
      <c r="E15" s="71">
        <v>27972.0</v>
      </c>
      <c r="F15" s="71">
        <v>1968.0</v>
      </c>
      <c r="G15" s="71">
        <v>1115.0</v>
      </c>
      <c r="H15" s="72">
        <v>610.0</v>
      </c>
      <c r="I15" s="72">
        <v>600.0</v>
      </c>
      <c r="J15" s="72">
        <v>10.0</v>
      </c>
      <c r="K15" s="72">
        <v>30.49</v>
      </c>
      <c r="L15" s="54"/>
      <c r="M15" s="54"/>
      <c r="N15" s="54"/>
    </row>
    <row r="16">
      <c r="A16" s="54"/>
      <c r="B16" s="70">
        <v>45340.0</v>
      </c>
      <c r="C16" s="73"/>
      <c r="D16" s="73"/>
      <c r="E16" s="71">
        <v>29682.0</v>
      </c>
      <c r="F16" s="71">
        <v>1710.0</v>
      </c>
      <c r="G16" s="71">
        <v>1082.0</v>
      </c>
      <c r="H16" s="72">
        <v>515.0</v>
      </c>
      <c r="I16" s="72">
        <v>500.0</v>
      </c>
      <c r="J16" s="72">
        <v>15.0</v>
      </c>
      <c r="K16" s="72">
        <v>29.24</v>
      </c>
      <c r="L16" s="54"/>
      <c r="M16" s="54"/>
      <c r="N16" s="54"/>
    </row>
    <row r="17">
      <c r="A17" s="54"/>
      <c r="B17" s="70">
        <v>45343.0</v>
      </c>
      <c r="C17" s="73"/>
      <c r="D17" s="73"/>
      <c r="E17" s="71">
        <v>31392.0</v>
      </c>
      <c r="F17" s="71">
        <v>1710.0</v>
      </c>
      <c r="G17" s="71">
        <v>1083.0</v>
      </c>
      <c r="H17" s="72">
        <v>517.0</v>
      </c>
      <c r="I17" s="72">
        <v>500.0</v>
      </c>
      <c r="J17" s="72">
        <v>17.0</v>
      </c>
      <c r="K17" s="72">
        <v>29.24</v>
      </c>
      <c r="L17" s="54"/>
      <c r="M17" s="54"/>
      <c r="N17" s="54"/>
    </row>
    <row r="18">
      <c r="A18" s="54"/>
      <c r="B18" s="70">
        <v>45345.0</v>
      </c>
      <c r="C18" s="73"/>
      <c r="D18" s="73"/>
      <c r="E18" s="71">
        <v>33417.0</v>
      </c>
      <c r="F18" s="71">
        <v>2025.0</v>
      </c>
      <c r="G18" s="71">
        <v>985.0</v>
      </c>
      <c r="H18" s="72">
        <v>519.0</v>
      </c>
      <c r="I18" s="72">
        <v>500.0</v>
      </c>
      <c r="J18" s="72">
        <v>19.0</v>
      </c>
      <c r="K18" s="72">
        <v>24.69</v>
      </c>
      <c r="L18" s="54"/>
      <c r="M18" s="54"/>
      <c r="N18" s="54"/>
    </row>
    <row r="19">
      <c r="A19" s="54"/>
      <c r="B19" s="70">
        <v>45347.0</v>
      </c>
      <c r="C19" s="73"/>
      <c r="D19" s="73"/>
      <c r="E19" s="71">
        <v>34910.0</v>
      </c>
      <c r="F19" s="71">
        <v>1493.0</v>
      </c>
      <c r="G19" s="71">
        <v>1003.0</v>
      </c>
      <c r="H19" s="72">
        <v>521.0</v>
      </c>
      <c r="I19" s="72">
        <v>500.0</v>
      </c>
      <c r="J19" s="72">
        <v>21.0</v>
      </c>
      <c r="K19" s="72">
        <v>33.49</v>
      </c>
      <c r="L19" s="54"/>
      <c r="M19" s="54"/>
      <c r="N19" s="54"/>
    </row>
    <row r="20">
      <c r="A20" s="54"/>
      <c r="B20" s="70">
        <v>45350.0</v>
      </c>
      <c r="C20" s="73"/>
      <c r="D20" s="73"/>
      <c r="E20" s="71">
        <v>36248.0</v>
      </c>
      <c r="F20" s="71">
        <v>1338.0</v>
      </c>
      <c r="G20" s="71">
        <v>1112.0</v>
      </c>
      <c r="H20" s="72">
        <v>510.0</v>
      </c>
      <c r="I20" s="72">
        <v>500.0</v>
      </c>
      <c r="J20" s="72">
        <v>10.0</v>
      </c>
      <c r="K20" s="72">
        <v>37.37</v>
      </c>
      <c r="L20" s="54"/>
      <c r="M20" s="54"/>
      <c r="N20" s="54"/>
    </row>
    <row r="21">
      <c r="A21" s="66"/>
      <c r="B21" s="67" t="s">
        <v>72</v>
      </c>
      <c r="J21" s="66"/>
      <c r="K21" s="66"/>
      <c r="L21" s="66"/>
      <c r="M21" s="66"/>
      <c r="N21" s="66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>
      <c r="A22" s="54"/>
      <c r="B22" s="70">
        <v>45352.0</v>
      </c>
      <c r="C22" s="73"/>
      <c r="D22" s="73"/>
      <c r="E22" s="71">
        <v>37972.0</v>
      </c>
      <c r="F22" s="71">
        <v>1724.0</v>
      </c>
      <c r="G22" s="71">
        <v>1098.0</v>
      </c>
      <c r="H22" s="72">
        <v>508.0</v>
      </c>
      <c r="I22" s="72">
        <v>500.0</v>
      </c>
      <c r="J22" s="72">
        <v>8.0</v>
      </c>
      <c r="K22" s="72">
        <v>29.0</v>
      </c>
      <c r="L22" s="54"/>
      <c r="M22" s="54"/>
      <c r="N22" s="54"/>
    </row>
    <row r="23">
      <c r="A23" s="54"/>
      <c r="B23" s="70">
        <v>45354.0</v>
      </c>
      <c r="C23" s="73"/>
      <c r="D23" s="73"/>
      <c r="E23" s="71">
        <v>39656.0</v>
      </c>
      <c r="F23" s="71">
        <v>1684.0</v>
      </c>
      <c r="G23" s="71">
        <v>1102.0</v>
      </c>
      <c r="H23" s="72">
        <v>506.0</v>
      </c>
      <c r="I23" s="72">
        <v>493.27</v>
      </c>
      <c r="J23" s="72">
        <v>12.73</v>
      </c>
      <c r="K23" s="72">
        <v>29.29</v>
      </c>
      <c r="L23" s="54"/>
      <c r="M23" s="54"/>
      <c r="N23" s="54"/>
    </row>
    <row r="24">
      <c r="A24" s="54"/>
      <c r="B24" s="70">
        <v>45357.0</v>
      </c>
      <c r="C24" s="73"/>
      <c r="D24" s="73"/>
      <c r="E24" s="71">
        <v>41390.0</v>
      </c>
      <c r="F24" s="71">
        <v>1734.0</v>
      </c>
      <c r="G24" s="71">
        <v>1079.0</v>
      </c>
      <c r="H24" s="72">
        <v>492.0</v>
      </c>
      <c r="I24" s="72">
        <v>486.33</v>
      </c>
      <c r="J24" s="72">
        <v>5.67</v>
      </c>
      <c r="K24" s="72">
        <v>28.05</v>
      </c>
      <c r="L24" s="54"/>
      <c r="M24" s="74" t="s">
        <v>73</v>
      </c>
      <c r="N24" s="75"/>
      <c r="O24" s="76"/>
    </row>
    <row r="25">
      <c r="A25" s="54"/>
      <c r="B25" s="70">
        <v>45359.0</v>
      </c>
      <c r="C25" s="73"/>
      <c r="D25" s="73"/>
      <c r="E25" s="71">
        <v>43092.0</v>
      </c>
      <c r="F25" s="71">
        <v>1702.0</v>
      </c>
      <c r="G25" s="71">
        <v>1082.0</v>
      </c>
      <c r="H25" s="72">
        <v>513.0</v>
      </c>
      <c r="I25" s="72">
        <v>500.0</v>
      </c>
      <c r="J25" s="72">
        <v>13.0</v>
      </c>
      <c r="K25" s="72">
        <v>29.38</v>
      </c>
      <c r="L25" s="54"/>
      <c r="M25" s="77" t="s">
        <v>70</v>
      </c>
      <c r="N25" s="77" t="s">
        <v>71</v>
      </c>
      <c r="O25" s="78" t="s">
        <v>27</v>
      </c>
    </row>
    <row r="26">
      <c r="A26" s="54"/>
      <c r="B26" s="70">
        <v>45361.0</v>
      </c>
      <c r="C26" s="73"/>
      <c r="D26" s="73"/>
      <c r="E26" s="71">
        <v>44801.0</v>
      </c>
      <c r="F26" s="71">
        <v>1709.0</v>
      </c>
      <c r="G26" s="71">
        <v>1075.0</v>
      </c>
      <c r="H26" s="72">
        <v>512.0</v>
      </c>
      <c r="I26" s="72">
        <v>500.0</v>
      </c>
      <c r="J26" s="72">
        <v>12.0</v>
      </c>
      <c r="K26" s="72">
        <v>29.26</v>
      </c>
      <c r="L26" s="54"/>
      <c r="M26" s="79">
        <f>SUM(F22:F33)</f>
        <v>20920</v>
      </c>
      <c r="N26" s="79">
        <f>SUM(I22:I33)</f>
        <v>5979.6</v>
      </c>
      <c r="O26" s="81">
        <f>N26/M26*100</f>
        <v>28.583174</v>
      </c>
    </row>
    <row r="27">
      <c r="A27" s="54"/>
      <c r="B27" s="70">
        <v>45363.0</v>
      </c>
      <c r="C27" s="73"/>
      <c r="D27" s="73"/>
      <c r="E27" s="71">
        <v>46507.0</v>
      </c>
      <c r="F27" s="71">
        <v>1706.0</v>
      </c>
      <c r="G27" s="71">
        <v>1071.0</v>
      </c>
      <c r="H27" s="72">
        <v>67.0</v>
      </c>
      <c r="I27" s="72">
        <v>500.0</v>
      </c>
      <c r="J27" s="420">
        <v>-433.0</v>
      </c>
      <c r="K27" s="72">
        <v>29.31</v>
      </c>
      <c r="L27" s="54"/>
      <c r="M27" s="54"/>
      <c r="N27" s="54"/>
    </row>
    <row r="28">
      <c r="A28" s="54"/>
      <c r="B28" s="70">
        <v>45366.0</v>
      </c>
      <c r="C28" s="73"/>
      <c r="D28" s="73"/>
      <c r="E28" s="71">
        <v>48218.0</v>
      </c>
      <c r="F28" s="71">
        <v>1711.0</v>
      </c>
      <c r="G28" s="71">
        <v>1086.0</v>
      </c>
      <c r="H28" s="72">
        <v>372.0</v>
      </c>
      <c r="I28" s="72">
        <v>500.0</v>
      </c>
      <c r="J28" s="420">
        <v>-128.0</v>
      </c>
      <c r="K28" s="72">
        <v>29.22</v>
      </c>
      <c r="L28" s="54"/>
      <c r="M28" s="54"/>
      <c r="N28" s="54"/>
    </row>
    <row r="29">
      <c r="A29" s="54"/>
      <c r="B29" s="70">
        <v>45368.0</v>
      </c>
      <c r="C29" s="73"/>
      <c r="D29" s="73"/>
      <c r="E29" s="71">
        <v>49929.0</v>
      </c>
      <c r="F29" s="71">
        <v>1711.0</v>
      </c>
      <c r="G29" s="71">
        <v>1084.0</v>
      </c>
      <c r="H29" s="72">
        <v>513.0</v>
      </c>
      <c r="I29" s="72">
        <v>500.0</v>
      </c>
      <c r="J29" s="72">
        <v>13.0</v>
      </c>
      <c r="K29" s="72">
        <v>29.22</v>
      </c>
      <c r="L29" s="54"/>
      <c r="M29" s="54"/>
      <c r="N29" s="54"/>
    </row>
    <row r="30">
      <c r="A30" s="54"/>
      <c r="B30" s="70">
        <v>45371.0</v>
      </c>
      <c r="C30" s="73"/>
      <c r="D30" s="73"/>
      <c r="E30" s="71">
        <v>51637.0</v>
      </c>
      <c r="F30" s="71">
        <v>1708.0</v>
      </c>
      <c r="G30" s="71">
        <v>1098.0</v>
      </c>
      <c r="H30" s="72">
        <v>510.0</v>
      </c>
      <c r="I30" s="72">
        <v>500.0</v>
      </c>
      <c r="J30" s="72">
        <v>10.0</v>
      </c>
      <c r="K30" s="72">
        <v>29.27</v>
      </c>
      <c r="L30" s="54"/>
      <c r="M30" s="54"/>
      <c r="N30" s="54"/>
    </row>
    <row r="31">
      <c r="A31" s="54"/>
      <c r="B31" s="70">
        <v>45373.0</v>
      </c>
      <c r="C31" s="73"/>
      <c r="D31" s="73"/>
      <c r="E31" s="71">
        <v>53348.0</v>
      </c>
      <c r="F31" s="71">
        <v>1711.0</v>
      </c>
      <c r="G31" s="71">
        <v>1124.0</v>
      </c>
      <c r="H31" s="72">
        <v>479.0</v>
      </c>
      <c r="I31" s="72">
        <v>500.0</v>
      </c>
      <c r="J31" s="72">
        <v>-21.0</v>
      </c>
      <c r="K31" s="72">
        <v>29.22</v>
      </c>
      <c r="L31" s="54"/>
      <c r="M31" s="54"/>
      <c r="N31" s="54"/>
    </row>
    <row r="32">
      <c r="A32" s="54"/>
      <c r="B32" s="70">
        <v>45380.0</v>
      </c>
      <c r="C32" s="73"/>
      <c r="D32" s="73"/>
      <c r="E32" s="71">
        <v>55466.0</v>
      </c>
      <c r="F32" s="71">
        <v>2118.0</v>
      </c>
      <c r="G32" s="71">
        <v>1023.0</v>
      </c>
      <c r="H32" s="72">
        <v>385.0</v>
      </c>
      <c r="I32" s="72">
        <v>500.0</v>
      </c>
      <c r="J32" s="72">
        <v>-115.0</v>
      </c>
      <c r="K32" s="72">
        <v>23.61</v>
      </c>
      <c r="L32" s="54"/>
      <c r="M32" s="54"/>
      <c r="N32" s="54"/>
    </row>
    <row r="33">
      <c r="A33" s="54"/>
      <c r="B33" s="70">
        <v>45382.0</v>
      </c>
      <c r="C33" s="73"/>
      <c r="D33" s="73"/>
      <c r="E33" s="71">
        <v>57168.0</v>
      </c>
      <c r="F33" s="71">
        <v>1702.0</v>
      </c>
      <c r="G33" s="71">
        <v>1039.0</v>
      </c>
      <c r="H33" s="72">
        <v>451.0</v>
      </c>
      <c r="I33" s="72">
        <v>500.0</v>
      </c>
      <c r="J33" s="72">
        <v>-49.0</v>
      </c>
      <c r="K33" s="72">
        <v>29.38</v>
      </c>
      <c r="L33" s="54"/>
      <c r="M33" s="54"/>
      <c r="N33" s="54"/>
    </row>
    <row r="34">
      <c r="A34" s="66"/>
      <c r="B34" s="67" t="s">
        <v>74</v>
      </c>
      <c r="J34" s="66"/>
      <c r="K34" s="66"/>
      <c r="L34" s="66"/>
      <c r="M34" s="66"/>
      <c r="N34" s="66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</row>
    <row r="35">
      <c r="A35" s="54"/>
      <c r="B35" s="70">
        <v>45385.0</v>
      </c>
      <c r="C35" s="73"/>
      <c r="D35" s="73"/>
      <c r="E35" s="71">
        <v>58914.0</v>
      </c>
      <c r="F35" s="71">
        <v>1746.0</v>
      </c>
      <c r="G35" s="71">
        <v>1045.0</v>
      </c>
      <c r="H35" s="72">
        <v>503.0</v>
      </c>
      <c r="I35" s="72">
        <v>478.66</v>
      </c>
      <c r="J35" s="72">
        <v>24.34</v>
      </c>
      <c r="K35" s="72">
        <v>27.41</v>
      </c>
      <c r="L35" s="54"/>
      <c r="M35" s="82" t="str">
        <f>"тотал"&amp;" "&amp;B34</f>
        <v>тотал АПРЕЛЬ</v>
      </c>
      <c r="N35" s="75"/>
      <c r="O35" s="76"/>
    </row>
    <row r="36">
      <c r="A36" s="54"/>
      <c r="B36" s="70">
        <v>45387.0</v>
      </c>
      <c r="C36" s="73"/>
      <c r="D36" s="73"/>
      <c r="E36" s="71">
        <v>60879.0</v>
      </c>
      <c r="F36" s="71">
        <v>1965.0</v>
      </c>
      <c r="G36" s="71">
        <v>955.0</v>
      </c>
      <c r="H36" s="72">
        <v>519.0</v>
      </c>
      <c r="I36" s="72">
        <v>500.0</v>
      </c>
      <c r="J36" s="72">
        <v>19.0</v>
      </c>
      <c r="K36" s="72">
        <v>25.45</v>
      </c>
      <c r="L36" s="54"/>
      <c r="M36" s="83" t="s">
        <v>70</v>
      </c>
      <c r="N36" s="83" t="s">
        <v>71</v>
      </c>
      <c r="O36" s="83" t="s">
        <v>27</v>
      </c>
    </row>
    <row r="37">
      <c r="A37" s="54"/>
      <c r="B37" s="70">
        <v>45389.0</v>
      </c>
      <c r="C37" s="73"/>
      <c r="D37" s="73"/>
      <c r="E37" s="71">
        <v>62327.0</v>
      </c>
      <c r="F37" s="71">
        <v>1448.0</v>
      </c>
      <c r="G37" s="71">
        <v>1035.0</v>
      </c>
      <c r="H37" s="72">
        <v>530.0</v>
      </c>
      <c r="I37" s="72">
        <v>500.0</v>
      </c>
      <c r="J37" s="72">
        <v>30.0</v>
      </c>
      <c r="K37" s="72">
        <v>34.53</v>
      </c>
      <c r="L37" s="54"/>
      <c r="M37" s="84">
        <f>SUM(F35:F46)</f>
        <v>21488</v>
      </c>
      <c r="N37" s="84">
        <f>SUM(I35:I46)</f>
        <v>6143</v>
      </c>
      <c r="O37" s="85">
        <f>N37/M37*100</f>
        <v>28.58804914</v>
      </c>
    </row>
    <row r="38">
      <c r="A38" s="54"/>
      <c r="B38" s="70">
        <v>45392.0</v>
      </c>
      <c r="C38" s="73"/>
      <c r="D38" s="73"/>
      <c r="E38" s="71">
        <v>64069.0</v>
      </c>
      <c r="F38" s="71">
        <v>1742.0</v>
      </c>
      <c r="G38" s="71">
        <v>1057.0</v>
      </c>
      <c r="H38" s="72">
        <v>423.0</v>
      </c>
      <c r="I38" s="72">
        <v>500.0</v>
      </c>
      <c r="J38" s="72">
        <v>-77.0</v>
      </c>
      <c r="K38" s="72">
        <v>28.7</v>
      </c>
      <c r="L38" s="54"/>
      <c r="M38" s="54"/>
      <c r="N38" s="54"/>
    </row>
    <row r="39">
      <c r="A39" s="54"/>
      <c r="B39" s="70">
        <v>45394.0</v>
      </c>
      <c r="C39" s="73"/>
      <c r="D39" s="73"/>
      <c r="E39" s="71">
        <v>65764.0</v>
      </c>
      <c r="F39" s="71">
        <v>1695.0</v>
      </c>
      <c r="G39" s="71">
        <v>1088.0</v>
      </c>
      <c r="H39" s="72">
        <v>523.0</v>
      </c>
      <c r="I39" s="72">
        <v>500.0</v>
      </c>
      <c r="J39" s="72">
        <v>23.0</v>
      </c>
      <c r="K39" s="72">
        <v>29.5</v>
      </c>
      <c r="L39" s="54"/>
      <c r="M39" s="54"/>
      <c r="N39" s="54"/>
    </row>
    <row r="40">
      <c r="A40" s="54"/>
      <c r="B40" s="70">
        <v>45396.0</v>
      </c>
      <c r="C40" s="73"/>
      <c r="D40" s="73"/>
      <c r="E40" s="71">
        <v>67460.0</v>
      </c>
      <c r="F40" s="71">
        <v>1696.0</v>
      </c>
      <c r="G40" s="71">
        <v>1116.0</v>
      </c>
      <c r="H40" s="72">
        <v>522.0</v>
      </c>
      <c r="I40" s="72">
        <v>500.0</v>
      </c>
      <c r="J40" s="72">
        <v>22.0</v>
      </c>
      <c r="K40" s="72">
        <v>29.48</v>
      </c>
      <c r="L40" s="54"/>
      <c r="M40" s="54"/>
      <c r="N40" s="54"/>
    </row>
    <row r="41">
      <c r="A41" s="54"/>
      <c r="B41" s="70">
        <v>45399.0</v>
      </c>
      <c r="C41" s="73"/>
      <c r="D41" s="73"/>
      <c r="E41" s="71">
        <v>69478.0</v>
      </c>
      <c r="F41" s="71">
        <v>2018.0</v>
      </c>
      <c r="G41" s="71">
        <v>1064.0</v>
      </c>
      <c r="H41" s="72">
        <v>518.0</v>
      </c>
      <c r="I41" s="72">
        <v>500.0</v>
      </c>
      <c r="J41" s="72">
        <v>18.0</v>
      </c>
      <c r="K41" s="72">
        <v>24.78</v>
      </c>
      <c r="L41" s="54"/>
      <c r="M41" s="54"/>
      <c r="N41" s="54"/>
    </row>
    <row r="42">
      <c r="A42" s="54"/>
      <c r="B42" s="70">
        <v>45401.0</v>
      </c>
      <c r="C42" s="73"/>
      <c r="D42" s="73"/>
      <c r="E42" s="71">
        <v>70932.0</v>
      </c>
      <c r="F42" s="71">
        <v>1454.0</v>
      </c>
      <c r="G42" s="71">
        <v>1146.0</v>
      </c>
      <c r="H42" s="72">
        <v>403.0</v>
      </c>
      <c r="I42" s="72">
        <v>500.0</v>
      </c>
      <c r="J42" s="72">
        <v>-97.0</v>
      </c>
      <c r="K42" s="72">
        <v>34.39</v>
      </c>
      <c r="L42" s="54"/>
      <c r="M42" s="54"/>
      <c r="N42" s="54"/>
    </row>
    <row r="43">
      <c r="A43" s="54"/>
      <c r="B43" s="70">
        <v>45403.0</v>
      </c>
      <c r="C43" s="73"/>
      <c r="D43" s="73"/>
      <c r="E43" s="71">
        <v>72643.0</v>
      </c>
      <c r="F43" s="71">
        <v>1711.0</v>
      </c>
      <c r="G43" s="71">
        <v>1153.0</v>
      </c>
      <c r="H43" s="72">
        <v>474.0</v>
      </c>
      <c r="I43" s="72">
        <v>500.0</v>
      </c>
      <c r="J43" s="72">
        <v>-26.0</v>
      </c>
      <c r="K43" s="72">
        <v>29.22</v>
      </c>
      <c r="L43" s="54"/>
      <c r="M43" s="54"/>
      <c r="N43" s="54"/>
    </row>
    <row r="44">
      <c r="A44" s="54"/>
      <c r="B44" s="70">
        <v>45406.0</v>
      </c>
      <c r="C44" s="73"/>
      <c r="D44" s="73"/>
      <c r="E44" s="71">
        <v>74364.0</v>
      </c>
      <c r="F44" s="71">
        <v>1721.0</v>
      </c>
      <c r="G44" s="71">
        <v>1191.0</v>
      </c>
      <c r="H44" s="72">
        <v>507.0</v>
      </c>
      <c r="I44" s="72">
        <v>500.0</v>
      </c>
      <c r="J44" s="72">
        <v>7.0</v>
      </c>
      <c r="K44" s="72">
        <v>29.05</v>
      </c>
      <c r="L44" s="54"/>
      <c r="M44" s="54"/>
      <c r="N44" s="54"/>
    </row>
    <row r="45">
      <c r="A45" s="54"/>
      <c r="B45" s="70">
        <v>45408.0</v>
      </c>
      <c r="C45" s="73"/>
      <c r="D45" s="73"/>
      <c r="E45" s="71">
        <v>76075.0</v>
      </c>
      <c r="F45" s="71">
        <v>1711.0</v>
      </c>
      <c r="G45" s="71">
        <v>1179.0</v>
      </c>
      <c r="H45" s="72">
        <v>460.0</v>
      </c>
      <c r="I45" s="72">
        <v>454.18</v>
      </c>
      <c r="J45" s="72">
        <v>5.82</v>
      </c>
      <c r="K45" s="72">
        <v>26.54</v>
      </c>
      <c r="L45" s="54"/>
      <c r="M45" s="54"/>
      <c r="N45" s="54"/>
    </row>
    <row r="46">
      <c r="A46" s="54"/>
      <c r="B46" s="70">
        <v>45411.0</v>
      </c>
      <c r="C46" s="73"/>
      <c r="D46" s="73"/>
      <c r="E46" s="71">
        <v>78656.0</v>
      </c>
      <c r="F46" s="71">
        <v>2581.0</v>
      </c>
      <c r="G46" s="71">
        <v>1183.0</v>
      </c>
      <c r="H46" s="72">
        <v>721.0</v>
      </c>
      <c r="I46" s="72">
        <v>710.16</v>
      </c>
      <c r="J46" s="72">
        <v>10.84</v>
      </c>
      <c r="K46" s="72">
        <v>27.51</v>
      </c>
      <c r="L46" s="54"/>
      <c r="M46" s="54"/>
      <c r="N46" s="54"/>
    </row>
    <row r="47">
      <c r="A47" s="66"/>
      <c r="B47" s="67" t="s">
        <v>75</v>
      </c>
      <c r="J47" s="66"/>
      <c r="K47" s="66"/>
      <c r="L47" s="66"/>
      <c r="M47" s="66"/>
      <c r="N47" s="66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54"/>
      <c r="B48" s="436" t="s">
        <v>409</v>
      </c>
      <c r="C48" s="419"/>
      <c r="D48" s="432"/>
      <c r="E48" s="412">
        <v>79969.0</v>
      </c>
      <c r="F48" s="412">
        <v>1313.0</v>
      </c>
      <c r="G48" s="405">
        <v>1212.0</v>
      </c>
      <c r="H48" s="406">
        <v>389.0</v>
      </c>
      <c r="I48" s="406">
        <v>380.06</v>
      </c>
      <c r="J48" s="406">
        <v>8.94</v>
      </c>
      <c r="K48" s="290">
        <v>28.95</v>
      </c>
      <c r="L48" s="54"/>
      <c r="M48" s="132" t="str">
        <f>"тотал"&amp;" "&amp;B47</f>
        <v>тотал МАЙ</v>
      </c>
      <c r="N48" s="75"/>
      <c r="O48" s="76"/>
    </row>
    <row r="49">
      <c r="A49" s="54"/>
      <c r="B49" s="436" t="s">
        <v>76</v>
      </c>
      <c r="C49" s="419"/>
      <c r="D49" s="433"/>
      <c r="E49" s="412">
        <v>82169.0</v>
      </c>
      <c r="F49" s="412">
        <v>2200.0</v>
      </c>
      <c r="G49" s="412">
        <v>1118.0</v>
      </c>
      <c r="H49" s="413">
        <v>524.0</v>
      </c>
      <c r="I49" s="413">
        <v>500.0</v>
      </c>
      <c r="J49" s="413">
        <v>24.0</v>
      </c>
      <c r="K49" s="290">
        <v>22.73</v>
      </c>
      <c r="L49" s="54"/>
      <c r="M49" s="84" t="s">
        <v>70</v>
      </c>
      <c r="N49" s="84" t="s">
        <v>71</v>
      </c>
      <c r="O49" s="84" t="s">
        <v>27</v>
      </c>
    </row>
    <row r="50">
      <c r="A50" s="54"/>
      <c r="B50" s="436" t="s">
        <v>89</v>
      </c>
      <c r="C50" s="419"/>
      <c r="D50" s="433"/>
      <c r="E50" s="412">
        <v>83887.0</v>
      </c>
      <c r="F50" s="412">
        <v>1718.0</v>
      </c>
      <c r="G50" s="412">
        <v>1152.0</v>
      </c>
      <c r="H50" s="413">
        <v>526.0</v>
      </c>
      <c r="I50" s="413">
        <v>500.0</v>
      </c>
      <c r="J50" s="413">
        <v>26.0</v>
      </c>
      <c r="K50" s="290">
        <v>29.1</v>
      </c>
      <c r="L50" s="54"/>
      <c r="M50" s="84">
        <f>SUM(F48:F51)</f>
        <v>7921</v>
      </c>
      <c r="N50" s="84">
        <f>SUM(I48:I51)</f>
        <v>1980.06</v>
      </c>
      <c r="O50" s="85">
        <f>N50/M50*100</f>
        <v>24.99760131</v>
      </c>
    </row>
    <row r="51">
      <c r="A51" s="54"/>
      <c r="B51" s="436" t="s">
        <v>139</v>
      </c>
      <c r="C51" s="419"/>
      <c r="D51" s="433"/>
      <c r="E51" s="412">
        <v>86577.0</v>
      </c>
      <c r="F51" s="412">
        <v>2690.0</v>
      </c>
      <c r="G51" s="412">
        <v>1032.0</v>
      </c>
      <c r="H51" s="413">
        <v>632.0</v>
      </c>
      <c r="I51" s="413">
        <v>600.0</v>
      </c>
      <c r="J51" s="413">
        <v>32.0</v>
      </c>
      <c r="K51" s="290">
        <v>22.3</v>
      </c>
      <c r="L51" s="54"/>
      <c r="M51" s="54"/>
      <c r="N51" s="54"/>
    </row>
    <row r="52">
      <c r="A52" s="66"/>
      <c r="B52" s="67" t="s">
        <v>90</v>
      </c>
      <c r="J52" s="66"/>
      <c r="K52" s="66"/>
      <c r="L52" s="66"/>
      <c r="M52" s="66"/>
      <c r="N52" s="66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>
      <c r="A53" s="54"/>
      <c r="B53" s="401">
        <v>45452.0</v>
      </c>
      <c r="C53" s="496"/>
      <c r="D53" s="432"/>
      <c r="E53" s="412">
        <v>90653.0</v>
      </c>
      <c r="F53" s="405">
        <v>4076.0</v>
      </c>
      <c r="G53" s="405">
        <v>1074.0</v>
      </c>
      <c r="H53" s="406">
        <v>678.0</v>
      </c>
      <c r="I53" s="406">
        <v>650.29</v>
      </c>
      <c r="J53" s="406">
        <v>27.71</v>
      </c>
      <c r="K53" s="290">
        <v>15.95</v>
      </c>
      <c r="L53" s="54"/>
      <c r="M53" s="132" t="str">
        <f>"тотал"&amp;" "&amp;B52</f>
        <v>тотал ИЮНЬ</v>
      </c>
      <c r="N53" s="75"/>
      <c r="O53" s="76"/>
    </row>
    <row r="54">
      <c r="A54" s="54"/>
      <c r="B54" s="430">
        <v>45463.0</v>
      </c>
      <c r="C54" s="419"/>
      <c r="D54" s="433"/>
      <c r="E54" s="412">
        <v>92766.0</v>
      </c>
      <c r="F54" s="412">
        <v>2113.0</v>
      </c>
      <c r="G54" s="412">
        <v>1143.0</v>
      </c>
      <c r="H54" s="413">
        <v>721.0</v>
      </c>
      <c r="I54" s="413">
        <v>684.08</v>
      </c>
      <c r="J54" s="413">
        <v>36.92</v>
      </c>
      <c r="K54" s="290">
        <v>32.37</v>
      </c>
      <c r="L54" s="54"/>
      <c r="M54" s="84" t="s">
        <v>70</v>
      </c>
      <c r="N54" s="84" t="s">
        <v>71</v>
      </c>
      <c r="O54" s="84" t="s">
        <v>27</v>
      </c>
    </row>
    <row r="55">
      <c r="A55" s="54"/>
      <c r="B55" s="430">
        <v>45469.0</v>
      </c>
      <c r="C55" s="419"/>
      <c r="D55" s="433"/>
      <c r="E55" s="412">
        <v>94902.0</v>
      </c>
      <c r="F55" s="412">
        <v>2136.0</v>
      </c>
      <c r="G55" s="412">
        <v>1081.0</v>
      </c>
      <c r="H55" s="413">
        <v>414.0</v>
      </c>
      <c r="I55" s="413">
        <v>500.0</v>
      </c>
      <c r="J55" s="413">
        <v>-86.0</v>
      </c>
      <c r="K55" s="290">
        <v>23.41</v>
      </c>
      <c r="L55" s="54"/>
      <c r="M55" s="84">
        <f>SUM(F53:F55)</f>
        <v>8325</v>
      </c>
      <c r="N55" s="84">
        <f>SUM(I53:I55)</f>
        <v>1834.37</v>
      </c>
      <c r="O55" s="85">
        <f>N55/M55*100</f>
        <v>22.03447447</v>
      </c>
    </row>
    <row r="56">
      <c r="A56" s="66"/>
      <c r="B56" s="67" t="s">
        <v>92</v>
      </c>
      <c r="J56" s="66"/>
      <c r="K56" s="66"/>
      <c r="L56" s="66"/>
      <c r="M56" s="66"/>
      <c r="N56" s="66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>
      <c r="A57" s="54"/>
      <c r="B57" s="98">
        <v>45483.0</v>
      </c>
      <c r="C57" s="101"/>
      <c r="D57" s="101" t="s">
        <v>280</v>
      </c>
      <c r="E57" s="100">
        <v>96979.0</v>
      </c>
      <c r="F57" s="99">
        <f>E57-E55</f>
        <v>2077</v>
      </c>
      <c r="G57" s="100">
        <v>1164.0</v>
      </c>
      <c r="H57" s="101">
        <v>665.0</v>
      </c>
      <c r="I57" s="101">
        <v>636.31</v>
      </c>
      <c r="J57" s="102">
        <f t="shared" ref="J57:J61" si="1">H57-I57</f>
        <v>28.69</v>
      </c>
      <c r="K57" s="103">
        <f t="shared" ref="K57:K61" si="2">I57/F57*100</f>
        <v>30.63601348</v>
      </c>
      <c r="L57" s="54"/>
      <c r="M57" s="74" t="s">
        <v>118</v>
      </c>
      <c r="N57" s="75"/>
      <c r="O57" s="76"/>
    </row>
    <row r="58">
      <c r="A58" s="54"/>
      <c r="B58" s="98">
        <v>45486.0</v>
      </c>
      <c r="C58" s="102"/>
      <c r="D58" s="102"/>
      <c r="E58" s="130">
        <v>99912.0</v>
      </c>
      <c r="F58" s="99">
        <f t="shared" ref="F58:F61" si="3">E58-E57</f>
        <v>2933</v>
      </c>
      <c r="G58" s="100">
        <v>1069.0</v>
      </c>
      <c r="H58" s="101">
        <v>719.0</v>
      </c>
      <c r="I58" s="101">
        <v>684.53</v>
      </c>
      <c r="J58" s="102">
        <f t="shared" si="1"/>
        <v>34.47</v>
      </c>
      <c r="K58" s="103">
        <f t="shared" si="2"/>
        <v>23.33890215</v>
      </c>
      <c r="L58" s="54"/>
      <c r="M58" s="77" t="s">
        <v>70</v>
      </c>
      <c r="N58" s="77" t="s">
        <v>71</v>
      </c>
      <c r="O58" s="78" t="s">
        <v>27</v>
      </c>
    </row>
    <row r="59">
      <c r="A59" s="54"/>
      <c r="B59" s="98">
        <v>45488.0</v>
      </c>
      <c r="C59" s="102"/>
      <c r="D59" s="102"/>
      <c r="E59" s="453">
        <v>100810.0</v>
      </c>
      <c r="F59" s="99">
        <f t="shared" si="3"/>
        <v>898</v>
      </c>
      <c r="G59" s="100">
        <v>1149.0</v>
      </c>
      <c r="H59" s="101">
        <v>307.0</v>
      </c>
      <c r="I59" s="101">
        <v>308.19</v>
      </c>
      <c r="J59" s="102">
        <f t="shared" si="1"/>
        <v>-1.19</v>
      </c>
      <c r="K59" s="103">
        <f t="shared" si="2"/>
        <v>34.31959911</v>
      </c>
      <c r="L59" s="54"/>
      <c r="M59" s="79">
        <f>SUM(F57:F61)</f>
        <v>10851</v>
      </c>
      <c r="N59" s="79">
        <f>SUM(I57:I61)</f>
        <v>2892.52</v>
      </c>
      <c r="O59" s="81">
        <f>N59/M59*100</f>
        <v>26.65671367</v>
      </c>
    </row>
    <row r="60">
      <c r="A60" s="54"/>
      <c r="B60" s="98">
        <v>45499.0</v>
      </c>
      <c r="C60" s="99"/>
      <c r="D60" s="99"/>
      <c r="E60" s="130">
        <v>103993.0</v>
      </c>
      <c r="F60" s="99">
        <f t="shared" si="3"/>
        <v>3183</v>
      </c>
      <c r="G60" s="100">
        <v>1163.0</v>
      </c>
      <c r="H60" s="101">
        <v>762.0</v>
      </c>
      <c r="I60" s="101">
        <v>810.95</v>
      </c>
      <c r="J60" s="102">
        <f t="shared" si="1"/>
        <v>-48.95</v>
      </c>
      <c r="K60" s="103">
        <f t="shared" si="2"/>
        <v>25.47753691</v>
      </c>
      <c r="L60" s="54"/>
      <c r="M60" s="54"/>
      <c r="N60" s="54"/>
    </row>
    <row r="61">
      <c r="A61" s="54"/>
      <c r="B61" s="98">
        <v>45501.0</v>
      </c>
      <c r="C61" s="99"/>
      <c r="D61" s="99"/>
      <c r="E61" s="130">
        <v>105753.0</v>
      </c>
      <c r="F61" s="99">
        <f t="shared" si="3"/>
        <v>1760</v>
      </c>
      <c r="G61" s="100">
        <v>1175.0</v>
      </c>
      <c r="H61" s="101">
        <v>462.0</v>
      </c>
      <c r="I61" s="101">
        <v>452.54</v>
      </c>
      <c r="J61" s="102">
        <f t="shared" si="1"/>
        <v>9.46</v>
      </c>
      <c r="K61" s="103">
        <f t="shared" si="2"/>
        <v>25.7125</v>
      </c>
      <c r="L61" s="54"/>
      <c r="M61" s="54"/>
      <c r="N61" s="54"/>
    </row>
    <row r="62">
      <c r="A62" s="66"/>
      <c r="B62" s="67" t="s">
        <v>95</v>
      </c>
      <c r="J62" s="66"/>
      <c r="K62" s="66"/>
      <c r="L62" s="66"/>
      <c r="M62" s="66"/>
      <c r="N62" s="66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</row>
    <row r="63">
      <c r="A63" s="54"/>
      <c r="B63" s="98">
        <v>45505.0</v>
      </c>
      <c r="C63" s="99"/>
      <c r="D63" s="99"/>
      <c r="E63" s="104">
        <v>107822.0</v>
      </c>
      <c r="F63" s="99">
        <f>E63-E61</f>
        <v>2069</v>
      </c>
      <c r="G63" s="100">
        <v>1184.0</v>
      </c>
      <c r="H63" s="101">
        <v>497.0</v>
      </c>
      <c r="I63" s="101">
        <v>500.0</v>
      </c>
      <c r="J63" s="102">
        <f t="shared" ref="J63:J71" si="4">H63-I63</f>
        <v>-3</v>
      </c>
      <c r="K63" s="103">
        <f t="shared" ref="K63:K71" si="5">I63/F63*100</f>
        <v>24.1662639</v>
      </c>
      <c r="L63" s="54"/>
      <c r="M63" s="132" t="str">
        <f>"тотал"&amp;" "&amp;B62</f>
        <v>тотал АВГУСТ</v>
      </c>
      <c r="N63" s="75"/>
      <c r="O63" s="76"/>
    </row>
    <row r="64">
      <c r="A64" s="54"/>
      <c r="B64" s="98">
        <v>45508.0</v>
      </c>
      <c r="C64" s="99"/>
      <c r="D64" s="99"/>
      <c r="E64" s="104">
        <v>110258.0</v>
      </c>
      <c r="F64" s="99">
        <f t="shared" ref="F64:F71" si="6">E64-E63</f>
        <v>2436</v>
      </c>
      <c r="G64" s="100">
        <v>1148.0</v>
      </c>
      <c r="H64" s="101">
        <v>556.0</v>
      </c>
      <c r="I64" s="101">
        <v>560.0</v>
      </c>
      <c r="J64" s="102">
        <f t="shared" si="4"/>
        <v>-4</v>
      </c>
      <c r="K64" s="103">
        <f t="shared" si="5"/>
        <v>22.98850575</v>
      </c>
      <c r="L64" s="54"/>
      <c r="M64" s="84" t="s">
        <v>70</v>
      </c>
      <c r="N64" s="84" t="s">
        <v>71</v>
      </c>
      <c r="O64" s="84" t="s">
        <v>27</v>
      </c>
    </row>
    <row r="65">
      <c r="A65" s="54"/>
      <c r="B65" s="98">
        <v>45511.0</v>
      </c>
      <c r="C65" s="99"/>
      <c r="D65" s="99"/>
      <c r="E65" s="131">
        <v>112104.0</v>
      </c>
      <c r="F65" s="99">
        <f t="shared" si="6"/>
        <v>1846</v>
      </c>
      <c r="G65" s="100">
        <v>1155.0</v>
      </c>
      <c r="H65" s="101">
        <v>418.0</v>
      </c>
      <c r="I65" s="101">
        <v>425.0</v>
      </c>
      <c r="J65" s="102">
        <f t="shared" si="4"/>
        <v>-7</v>
      </c>
      <c r="K65" s="103">
        <f t="shared" si="5"/>
        <v>23.0227519</v>
      </c>
      <c r="L65" s="54"/>
      <c r="M65" s="84">
        <f>SUM(F63:F71)</f>
        <v>21423</v>
      </c>
      <c r="N65" s="84">
        <f>SUM(I63:I71)</f>
        <v>5154.81</v>
      </c>
      <c r="O65" s="85">
        <f>N65/M65*100</f>
        <v>24.06203613</v>
      </c>
    </row>
    <row r="66">
      <c r="A66" s="54"/>
      <c r="B66" s="98">
        <v>45514.0</v>
      </c>
      <c r="C66" s="99"/>
      <c r="D66" s="99"/>
      <c r="E66" s="100">
        <v>114531.0</v>
      </c>
      <c r="F66" s="99">
        <f t="shared" si="6"/>
        <v>2427</v>
      </c>
      <c r="G66" s="100">
        <v>1177.0</v>
      </c>
      <c r="H66" s="101">
        <v>632.0</v>
      </c>
      <c r="I66" s="101">
        <v>624.34</v>
      </c>
      <c r="J66" s="102">
        <f t="shared" si="4"/>
        <v>7.66</v>
      </c>
      <c r="K66" s="103">
        <f t="shared" si="5"/>
        <v>25.72476308</v>
      </c>
      <c r="L66" s="54"/>
      <c r="M66" s="54"/>
      <c r="N66" s="54"/>
    </row>
    <row r="67">
      <c r="A67" s="54"/>
      <c r="B67" s="98">
        <v>45517.0</v>
      </c>
      <c r="C67" s="99"/>
      <c r="D67" s="99"/>
      <c r="E67" s="131">
        <v>116727.0</v>
      </c>
      <c r="F67" s="99">
        <f t="shared" si="6"/>
        <v>2196</v>
      </c>
      <c r="G67" s="100">
        <v>1145.0</v>
      </c>
      <c r="H67" s="101">
        <v>512.0</v>
      </c>
      <c r="I67" s="101">
        <v>517.01</v>
      </c>
      <c r="J67" s="102">
        <f t="shared" si="4"/>
        <v>-5.01</v>
      </c>
      <c r="K67" s="103">
        <f t="shared" si="5"/>
        <v>23.54326047</v>
      </c>
      <c r="L67" s="54"/>
      <c r="M67" s="54"/>
      <c r="N67" s="54"/>
    </row>
    <row r="68">
      <c r="A68" s="54"/>
      <c r="B68" s="98">
        <v>45520.0</v>
      </c>
      <c r="C68" s="99"/>
      <c r="D68" s="99"/>
      <c r="E68" s="100">
        <v>119280.0</v>
      </c>
      <c r="F68" s="99">
        <f t="shared" si="6"/>
        <v>2553</v>
      </c>
      <c r="G68" s="100">
        <v>1176.0</v>
      </c>
      <c r="H68" s="101">
        <v>678.0</v>
      </c>
      <c r="I68" s="101">
        <v>673.02</v>
      </c>
      <c r="J68" s="102">
        <f t="shared" si="4"/>
        <v>4.98</v>
      </c>
      <c r="K68" s="103">
        <f t="shared" si="5"/>
        <v>26.36192714</v>
      </c>
      <c r="L68" s="54"/>
      <c r="M68" s="54"/>
      <c r="N68" s="54"/>
    </row>
    <row r="69">
      <c r="A69" s="54"/>
      <c r="B69" s="98">
        <v>45523.0</v>
      </c>
      <c r="C69" s="99"/>
      <c r="D69" s="99"/>
      <c r="E69" s="131">
        <v>122066.0</v>
      </c>
      <c r="F69" s="99">
        <f t="shared" si="6"/>
        <v>2786</v>
      </c>
      <c r="G69" s="100">
        <v>1150.0</v>
      </c>
      <c r="H69" s="101">
        <v>691.0</v>
      </c>
      <c r="I69" s="101">
        <v>680.0</v>
      </c>
      <c r="J69" s="102">
        <f t="shared" si="4"/>
        <v>11</v>
      </c>
      <c r="K69" s="103">
        <f t="shared" si="5"/>
        <v>24.40775305</v>
      </c>
      <c r="L69" s="54"/>
      <c r="M69" s="54"/>
      <c r="N69" s="54"/>
    </row>
    <row r="70">
      <c r="A70" s="54"/>
      <c r="B70" s="98">
        <v>45527.0</v>
      </c>
      <c r="C70" s="99"/>
      <c r="D70" s="99"/>
      <c r="E70" s="100">
        <v>124038.0</v>
      </c>
      <c r="F70" s="99">
        <f t="shared" si="6"/>
        <v>1972</v>
      </c>
      <c r="G70" s="100">
        <v>1145.0</v>
      </c>
      <c r="H70" s="101">
        <v>492.0</v>
      </c>
      <c r="I70" s="101">
        <v>495.41</v>
      </c>
      <c r="J70" s="102">
        <f t="shared" si="4"/>
        <v>-3.41</v>
      </c>
      <c r="K70" s="103">
        <f t="shared" si="5"/>
        <v>25.12221095</v>
      </c>
      <c r="L70" s="54"/>
      <c r="M70" s="54"/>
      <c r="N70" s="54"/>
    </row>
    <row r="71">
      <c r="A71" s="54"/>
      <c r="B71" s="98">
        <v>45534.0</v>
      </c>
      <c r="C71" s="99"/>
      <c r="D71" s="99"/>
      <c r="E71" s="100">
        <v>127176.0</v>
      </c>
      <c r="F71" s="99">
        <f t="shared" si="6"/>
        <v>3138</v>
      </c>
      <c r="G71" s="100">
        <v>918.0</v>
      </c>
      <c r="H71" s="101">
        <v>690.0</v>
      </c>
      <c r="I71" s="101">
        <v>680.03</v>
      </c>
      <c r="J71" s="102">
        <f t="shared" si="4"/>
        <v>9.97</v>
      </c>
      <c r="K71" s="103">
        <f t="shared" si="5"/>
        <v>21.67080943</v>
      </c>
      <c r="L71" s="54"/>
      <c r="M71" s="54"/>
      <c r="N71" s="54"/>
    </row>
    <row r="72">
      <c r="A72" s="66"/>
      <c r="B72" s="67" t="s">
        <v>104</v>
      </c>
      <c r="J72" s="66"/>
      <c r="K72" s="66"/>
      <c r="L72" s="66"/>
      <c r="M72" s="66"/>
      <c r="N72" s="66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>
      <c r="A73" s="54"/>
      <c r="B73" s="98">
        <v>45538.0</v>
      </c>
      <c r="C73" s="99"/>
      <c r="D73" s="99"/>
      <c r="E73" s="104">
        <v>128884.0</v>
      </c>
      <c r="F73" s="99">
        <f>E73-E71</f>
        <v>1708</v>
      </c>
      <c r="G73" s="100">
        <v>955.0</v>
      </c>
      <c r="H73" s="101">
        <v>485.0</v>
      </c>
      <c r="I73" s="101">
        <v>478.88</v>
      </c>
      <c r="J73" s="102">
        <f t="shared" ref="J73:J81" si="7">H73-I73</f>
        <v>6.12</v>
      </c>
      <c r="K73" s="103">
        <f t="shared" ref="K73:K81" si="8">I73/F73*100</f>
        <v>28.03747073</v>
      </c>
      <c r="L73" s="54"/>
      <c r="M73" s="205" t="str">
        <f>"тотал"&amp;" "&amp;B72&amp;" "&amp;RIGHT(YEAR(B73),2)</f>
        <v>тотал СЕНТЯБРЬ 24</v>
      </c>
      <c r="N73" s="75"/>
      <c r="O73" s="75"/>
      <c r="P73" s="75"/>
      <c r="Q73" s="76"/>
    </row>
    <row r="74">
      <c r="A74" s="54"/>
      <c r="B74" s="98">
        <v>45540.0</v>
      </c>
      <c r="C74" s="99"/>
      <c r="D74" s="99"/>
      <c r="E74" s="100">
        <v>131014.0</v>
      </c>
      <c r="F74" s="99">
        <f t="shared" ref="F74:F81" si="9">E74-E73</f>
        <v>2130</v>
      </c>
      <c r="G74" s="100">
        <v>1117.0</v>
      </c>
      <c r="H74" s="101">
        <v>704.0</v>
      </c>
      <c r="I74" s="101">
        <v>700.04</v>
      </c>
      <c r="J74" s="102">
        <f t="shared" si="7"/>
        <v>3.96</v>
      </c>
      <c r="K74" s="103">
        <f t="shared" si="8"/>
        <v>32.8657277</v>
      </c>
      <c r="L74" s="54"/>
      <c r="M74" s="84" t="s">
        <v>70</v>
      </c>
      <c r="N74" s="84" t="s">
        <v>71</v>
      </c>
      <c r="O74" s="84" t="s">
        <v>27</v>
      </c>
      <c r="P74" s="83" t="s">
        <v>28</v>
      </c>
      <c r="Q74" s="321" t="s">
        <v>78</v>
      </c>
    </row>
    <row r="75">
      <c r="A75" s="54"/>
      <c r="B75" s="98">
        <v>45544.0</v>
      </c>
      <c r="C75" s="99"/>
      <c r="D75" s="99"/>
      <c r="E75" s="131">
        <v>134069.0</v>
      </c>
      <c r="F75" s="99">
        <f t="shared" si="9"/>
        <v>3055</v>
      </c>
      <c r="G75" s="100">
        <v>1029.0</v>
      </c>
      <c r="H75" s="101">
        <v>698.0</v>
      </c>
      <c r="I75" s="101">
        <v>690.15</v>
      </c>
      <c r="J75" s="102">
        <f t="shared" si="7"/>
        <v>7.85</v>
      </c>
      <c r="K75" s="103">
        <f t="shared" si="8"/>
        <v>22.5908347</v>
      </c>
      <c r="L75" s="54"/>
      <c r="M75" s="84">
        <f>SUM(F73:F81)</f>
        <v>19245</v>
      </c>
      <c r="N75" s="84">
        <f>SUM(I73:I81)</f>
        <v>5114.07</v>
      </c>
      <c r="O75" s="85">
        <f>N75/M75*100</f>
        <v>26.57349961</v>
      </c>
      <c r="P75" s="84">
        <f>(M75/100)*(O75-Q75)</f>
        <v>-82.08</v>
      </c>
      <c r="Q75" s="464">
        <v>27.0</v>
      </c>
    </row>
    <row r="76">
      <c r="A76" s="54"/>
      <c r="B76" s="98">
        <v>45547.0</v>
      </c>
      <c r="C76" s="99"/>
      <c r="D76" s="99"/>
      <c r="E76" s="100">
        <v>136823.0</v>
      </c>
      <c r="F76" s="99">
        <f t="shared" si="9"/>
        <v>2754</v>
      </c>
      <c r="G76" s="100">
        <v>1192.0</v>
      </c>
      <c r="H76" s="101">
        <v>883.0</v>
      </c>
      <c r="I76" s="101">
        <v>865.64</v>
      </c>
      <c r="J76" s="102">
        <f t="shared" si="7"/>
        <v>17.36</v>
      </c>
      <c r="K76" s="103">
        <f t="shared" si="8"/>
        <v>31.43209877</v>
      </c>
      <c r="L76" s="54"/>
      <c r="M76" s="54"/>
      <c r="N76" s="54"/>
    </row>
    <row r="77">
      <c r="A77" s="54"/>
      <c r="B77" s="98">
        <v>45552.0</v>
      </c>
      <c r="C77" s="99"/>
      <c r="D77" s="99"/>
      <c r="E77" s="100">
        <v>139409.0</v>
      </c>
      <c r="F77" s="99">
        <f t="shared" si="9"/>
        <v>2586</v>
      </c>
      <c r="G77" s="100">
        <v>1173.0</v>
      </c>
      <c r="H77" s="101">
        <v>609.0</v>
      </c>
      <c r="I77" s="101">
        <v>609.03</v>
      </c>
      <c r="J77" s="102">
        <f t="shared" si="7"/>
        <v>-0.03</v>
      </c>
      <c r="K77" s="103">
        <f t="shared" si="8"/>
        <v>23.55104408</v>
      </c>
      <c r="L77" s="54"/>
      <c r="M77" s="54"/>
      <c r="N77" s="54"/>
    </row>
    <row r="78">
      <c r="A78" s="54"/>
      <c r="B78" s="98">
        <v>45554.0</v>
      </c>
      <c r="C78" s="99"/>
      <c r="D78" s="99"/>
      <c r="E78" s="131">
        <v>140886.0</v>
      </c>
      <c r="F78" s="99">
        <f t="shared" si="9"/>
        <v>1477</v>
      </c>
      <c r="G78" s="100">
        <v>1177.0</v>
      </c>
      <c r="H78" s="101">
        <v>362.0</v>
      </c>
      <c r="I78" s="101">
        <v>367.27</v>
      </c>
      <c r="J78" s="102">
        <f t="shared" si="7"/>
        <v>-5.27</v>
      </c>
      <c r="K78" s="103">
        <f t="shared" si="8"/>
        <v>24.86594448</v>
      </c>
      <c r="L78" s="54"/>
      <c r="M78" s="54"/>
      <c r="N78" s="54"/>
    </row>
    <row r="79">
      <c r="A79" s="54"/>
      <c r="B79" s="98">
        <v>45556.0</v>
      </c>
      <c r="C79" s="99"/>
      <c r="D79" s="99"/>
      <c r="E79" s="100">
        <v>142638.0</v>
      </c>
      <c r="F79" s="99">
        <f t="shared" si="9"/>
        <v>1752</v>
      </c>
      <c r="G79" s="100">
        <v>1197.0</v>
      </c>
      <c r="H79" s="101">
        <v>469.0</v>
      </c>
      <c r="I79" s="101">
        <v>471.26</v>
      </c>
      <c r="J79" s="102">
        <f t="shared" si="7"/>
        <v>-2.26</v>
      </c>
      <c r="K79" s="103">
        <f t="shared" si="8"/>
        <v>26.89840183</v>
      </c>
      <c r="L79" s="54"/>
      <c r="M79" s="54"/>
      <c r="N79" s="54"/>
    </row>
    <row r="80">
      <c r="A80" s="54"/>
      <c r="B80" s="98">
        <v>45559.0</v>
      </c>
      <c r="C80" s="99"/>
      <c r="D80" s="99"/>
      <c r="E80" s="100">
        <v>144977.0</v>
      </c>
      <c r="F80" s="99">
        <f t="shared" si="9"/>
        <v>2339</v>
      </c>
      <c r="G80" s="100">
        <v>1189.0</v>
      </c>
      <c r="H80" s="101">
        <v>566.0</v>
      </c>
      <c r="I80" s="101">
        <v>565.92</v>
      </c>
      <c r="J80" s="102">
        <f t="shared" si="7"/>
        <v>0.08</v>
      </c>
      <c r="K80" s="103">
        <f t="shared" si="8"/>
        <v>24.19495511</v>
      </c>
      <c r="L80" s="54"/>
      <c r="M80" s="54"/>
      <c r="N80" s="54"/>
    </row>
    <row r="81">
      <c r="A81" s="54"/>
      <c r="B81" s="98">
        <v>45561.0</v>
      </c>
      <c r="C81" s="99"/>
      <c r="D81" s="99"/>
      <c r="E81" s="100">
        <v>146421.0</v>
      </c>
      <c r="F81" s="99">
        <f t="shared" si="9"/>
        <v>1444</v>
      </c>
      <c r="G81" s="100">
        <v>1185.0</v>
      </c>
      <c r="H81" s="101">
        <v>363.0</v>
      </c>
      <c r="I81" s="101">
        <v>365.88</v>
      </c>
      <c r="J81" s="102">
        <f t="shared" si="7"/>
        <v>-2.88</v>
      </c>
      <c r="K81" s="103">
        <f t="shared" si="8"/>
        <v>25.33795014</v>
      </c>
      <c r="L81" s="54"/>
      <c r="M81" s="54"/>
      <c r="N81" s="54"/>
    </row>
    <row r="82">
      <c r="A82" s="66"/>
      <c r="B82" s="67" t="s">
        <v>96</v>
      </c>
      <c r="J82" s="66"/>
      <c r="K82" s="66"/>
      <c r="L82" s="66"/>
      <c r="M82" s="66"/>
      <c r="N82" s="66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>
      <c r="A83" s="54"/>
      <c r="B83" s="110">
        <v>45566.0</v>
      </c>
      <c r="C83" s="99"/>
      <c r="D83" s="99"/>
      <c r="E83" s="100">
        <v>148094.0</v>
      </c>
      <c r="F83" s="99">
        <f>E83-E81</f>
        <v>1673</v>
      </c>
      <c r="G83" s="100">
        <v>1177.0</v>
      </c>
      <c r="H83" s="101">
        <v>406.0</v>
      </c>
      <c r="I83" s="101">
        <v>411.16</v>
      </c>
      <c r="J83" s="102">
        <f t="shared" ref="J83:J92" si="10">H83-I83</f>
        <v>-5.16</v>
      </c>
      <c r="K83" s="103">
        <f t="shared" ref="K83:K92" si="11">I83/F83*100</f>
        <v>24.5762104</v>
      </c>
      <c r="L83" s="54"/>
      <c r="M83" s="205" t="str">
        <f>"тотал"&amp;" "&amp;B82&amp;" "&amp;RIGHT(YEAR(B83),2)</f>
        <v>тотал ОКТЯБРЬ 24</v>
      </c>
      <c r="N83" s="75"/>
      <c r="O83" s="75"/>
      <c r="P83" s="75"/>
      <c r="Q83" s="76"/>
    </row>
    <row r="84">
      <c r="A84" s="54"/>
      <c r="B84" s="110">
        <v>45569.0</v>
      </c>
      <c r="C84" s="99"/>
      <c r="D84" s="99"/>
      <c r="E84" s="100">
        <v>150428.0</v>
      </c>
      <c r="F84" s="99">
        <f t="shared" ref="F84:F92" si="12">E84-E83</f>
        <v>2334</v>
      </c>
      <c r="G84" s="100">
        <v>1175.0</v>
      </c>
      <c r="H84" s="101">
        <v>583.0</v>
      </c>
      <c r="I84" s="101">
        <v>587.06</v>
      </c>
      <c r="J84" s="102">
        <f t="shared" si="10"/>
        <v>-4.06</v>
      </c>
      <c r="K84" s="103">
        <f t="shared" si="11"/>
        <v>25.15252785</v>
      </c>
      <c r="L84" s="54"/>
      <c r="M84" s="84" t="s">
        <v>70</v>
      </c>
      <c r="N84" s="84" t="s">
        <v>71</v>
      </c>
      <c r="O84" s="84" t="s">
        <v>27</v>
      </c>
      <c r="P84" s="83" t="s">
        <v>28</v>
      </c>
      <c r="Q84" s="321" t="s">
        <v>78</v>
      </c>
    </row>
    <row r="85">
      <c r="A85" s="54"/>
      <c r="B85" s="110">
        <v>45572.0</v>
      </c>
      <c r="C85" s="99"/>
      <c r="D85" s="99"/>
      <c r="E85" s="100">
        <v>151971.0</v>
      </c>
      <c r="F85" s="99">
        <f t="shared" si="12"/>
        <v>1543</v>
      </c>
      <c r="G85" s="100">
        <v>1208.0</v>
      </c>
      <c r="H85" s="101">
        <v>412.0</v>
      </c>
      <c r="I85" s="101">
        <v>414.67</v>
      </c>
      <c r="J85" s="102">
        <f t="shared" si="10"/>
        <v>-2.67</v>
      </c>
      <c r="K85" s="103">
        <f t="shared" si="11"/>
        <v>26.8742709</v>
      </c>
      <c r="L85" s="54"/>
      <c r="M85" s="84">
        <f>SUM(F83:F92)</f>
        <v>21949</v>
      </c>
      <c r="N85" s="84">
        <f>SUM(I83:I92)</f>
        <v>5608.18</v>
      </c>
      <c r="O85" s="85">
        <f>N85/M85*100</f>
        <v>25.55095904</v>
      </c>
      <c r="P85" s="84">
        <f>(M85/100)*(O85-Q85)</f>
        <v>-318.05</v>
      </c>
      <c r="Q85" s="464">
        <v>27.0</v>
      </c>
    </row>
    <row r="86">
      <c r="A86" s="54"/>
      <c r="B86" s="110">
        <v>45577.0</v>
      </c>
      <c r="C86" s="99"/>
      <c r="D86" s="99"/>
      <c r="E86" s="100">
        <v>155486.0</v>
      </c>
      <c r="F86" s="99">
        <f t="shared" si="12"/>
        <v>3515</v>
      </c>
      <c r="G86" s="100">
        <v>811.0</v>
      </c>
      <c r="H86" s="101">
        <v>514.0</v>
      </c>
      <c r="I86" s="101">
        <v>500.0</v>
      </c>
      <c r="J86" s="102">
        <f t="shared" si="10"/>
        <v>14</v>
      </c>
      <c r="K86" s="103">
        <f t="shared" si="11"/>
        <v>14.22475107</v>
      </c>
      <c r="L86" s="54"/>
      <c r="M86" s="54"/>
      <c r="N86" s="54"/>
    </row>
    <row r="87">
      <c r="A87" s="54"/>
      <c r="B87" s="110">
        <v>45579.0</v>
      </c>
      <c r="C87" s="99"/>
      <c r="D87" s="99"/>
      <c r="E87" s="100">
        <v>157082.0</v>
      </c>
      <c r="F87" s="99">
        <f t="shared" si="12"/>
        <v>1596</v>
      </c>
      <c r="G87" s="100">
        <v>892.0</v>
      </c>
      <c r="H87" s="101">
        <v>509.0</v>
      </c>
      <c r="I87" s="101">
        <v>500.0</v>
      </c>
      <c r="J87" s="102">
        <f t="shared" si="10"/>
        <v>9</v>
      </c>
      <c r="K87" s="103">
        <f t="shared" si="11"/>
        <v>31.3283208</v>
      </c>
      <c r="L87" s="54"/>
      <c r="M87" s="54"/>
      <c r="N87" s="54"/>
    </row>
    <row r="88">
      <c r="A88" s="54"/>
      <c r="B88" s="110">
        <v>45580.0</v>
      </c>
      <c r="C88" s="99"/>
      <c r="D88" s="99"/>
      <c r="E88" s="100">
        <v>158188.0</v>
      </c>
      <c r="F88" s="99">
        <f t="shared" si="12"/>
        <v>1106</v>
      </c>
      <c r="G88" s="100">
        <v>1013.0</v>
      </c>
      <c r="H88" s="101">
        <v>395.0</v>
      </c>
      <c r="I88" s="101">
        <v>395.13</v>
      </c>
      <c r="J88" s="102">
        <f t="shared" si="10"/>
        <v>-0.13</v>
      </c>
      <c r="K88" s="103">
        <f t="shared" si="11"/>
        <v>35.72603978</v>
      </c>
      <c r="L88" s="54"/>
      <c r="M88" s="54"/>
      <c r="N88" s="54"/>
    </row>
    <row r="89">
      <c r="A89" s="54"/>
      <c r="B89" s="110">
        <v>45586.0</v>
      </c>
      <c r="C89" s="99"/>
      <c r="D89" s="99"/>
      <c r="E89" s="100">
        <v>160425.0</v>
      </c>
      <c r="F89" s="99">
        <f t="shared" si="12"/>
        <v>2237</v>
      </c>
      <c r="G89" s="100">
        <v>1207.0</v>
      </c>
      <c r="H89" s="101">
        <v>789.0</v>
      </c>
      <c r="I89" s="101">
        <v>780.01</v>
      </c>
      <c r="J89" s="102">
        <f t="shared" si="10"/>
        <v>8.99</v>
      </c>
      <c r="K89" s="103">
        <f t="shared" si="11"/>
        <v>34.86857398</v>
      </c>
      <c r="L89" s="54"/>
      <c r="M89" s="54"/>
      <c r="N89" s="54"/>
    </row>
    <row r="90">
      <c r="A90" s="54"/>
      <c r="B90" s="110">
        <v>45589.0</v>
      </c>
      <c r="C90" s="99"/>
      <c r="D90" s="99"/>
      <c r="E90" s="100">
        <v>163140.0</v>
      </c>
      <c r="F90" s="99">
        <f t="shared" si="12"/>
        <v>2715</v>
      </c>
      <c r="G90" s="100">
        <v>758.0</v>
      </c>
      <c r="H90" s="101">
        <v>693.0</v>
      </c>
      <c r="I90" s="101">
        <v>680.26</v>
      </c>
      <c r="J90" s="102">
        <f t="shared" si="10"/>
        <v>12.74</v>
      </c>
      <c r="K90" s="103">
        <f t="shared" si="11"/>
        <v>25.05561694</v>
      </c>
      <c r="L90" s="54"/>
      <c r="M90" s="54"/>
      <c r="N90" s="54"/>
    </row>
    <row r="91">
      <c r="A91" s="54"/>
      <c r="B91" s="110">
        <v>45592.0</v>
      </c>
      <c r="C91" s="99"/>
      <c r="D91" s="99"/>
      <c r="E91" s="100">
        <v>165897.0</v>
      </c>
      <c r="F91" s="99">
        <f t="shared" si="12"/>
        <v>2757</v>
      </c>
      <c r="G91" s="100">
        <v>1200.0</v>
      </c>
      <c r="H91" s="101">
        <v>759.0</v>
      </c>
      <c r="I91" s="101">
        <v>754.45</v>
      </c>
      <c r="J91" s="102">
        <f t="shared" si="10"/>
        <v>4.55</v>
      </c>
      <c r="K91" s="103">
        <f t="shared" si="11"/>
        <v>27.36488937</v>
      </c>
      <c r="L91" s="54"/>
      <c r="M91" s="54"/>
      <c r="N91" s="54"/>
    </row>
    <row r="92">
      <c r="A92" s="54"/>
      <c r="B92" s="110">
        <v>45595.0</v>
      </c>
      <c r="C92" s="99"/>
      <c r="D92" s="99"/>
      <c r="E92" s="100">
        <v>168370.0</v>
      </c>
      <c r="F92" s="99">
        <f t="shared" si="12"/>
        <v>2473</v>
      </c>
      <c r="G92" s="100">
        <v>1152.0</v>
      </c>
      <c r="H92" s="101">
        <v>590.0</v>
      </c>
      <c r="I92" s="101">
        <v>585.44</v>
      </c>
      <c r="J92" s="102">
        <f t="shared" si="10"/>
        <v>4.56</v>
      </c>
      <c r="K92" s="103">
        <f t="shared" si="11"/>
        <v>23.67327133</v>
      </c>
      <c r="L92" s="54"/>
      <c r="M92" s="54"/>
      <c r="N92" s="54"/>
    </row>
    <row r="93">
      <c r="A93" s="68"/>
      <c r="B93" s="203" t="str">
        <f>IF(L93=4,"АПРЕЛЬ",IF(L93=5,"МАЙ",IF(L93=1,"ЯНВАРЬ",IF(L93=2,"ФЕВРАЛЬ",IF(L93=3,"МАРТ",IF(L93=6,"ИЮНЬ",IF(L93=7,"ИЮЛЬ",IF(L93=8,"АВГУСТ",IF(L93=9,"СЕНТЯБРЬ",IF(L93=10,"ОКТЯБРЬ",IF(L93=11,"НОЯБРЬ",IF(L93=12,"ДЕКАБРЬ"))))))))))))</f>
        <v>НОЯБРЬ</v>
      </c>
      <c r="J93" s="88"/>
      <c r="K93" s="204"/>
      <c r="L93" s="91">
        <f>MONTH(B94)</f>
        <v>11</v>
      </c>
      <c r="M93" s="66"/>
      <c r="N93" s="66"/>
      <c r="O93" s="66"/>
      <c r="P93" s="66"/>
      <c r="Q93" s="66"/>
    </row>
    <row r="94">
      <c r="A94" s="54"/>
      <c r="B94" s="110">
        <v>45597.0</v>
      </c>
      <c r="C94" s="99"/>
      <c r="D94" s="99"/>
      <c r="E94" s="100">
        <v>169532.0</v>
      </c>
      <c r="F94" s="99">
        <f>E94-E92</f>
        <v>1162</v>
      </c>
      <c r="G94" s="100">
        <v>1200.0</v>
      </c>
      <c r="H94" s="101">
        <v>368.0</v>
      </c>
      <c r="I94" s="101">
        <v>371.62</v>
      </c>
      <c r="J94" s="102">
        <f t="shared" ref="J94:J96" si="13">H94-I94</f>
        <v>-3.62</v>
      </c>
      <c r="K94" s="103">
        <f t="shared" ref="K94:K96" si="14">I94/F94*100</f>
        <v>31.98106713</v>
      </c>
      <c r="L94" s="54"/>
      <c r="M94" s="205" t="str">
        <f>"тотал"&amp;" "&amp;B93&amp;" "&amp;RIGHT(YEAR(B94),2)</f>
        <v>тотал НОЯБРЬ 24</v>
      </c>
      <c r="N94" s="75"/>
      <c r="O94" s="75"/>
      <c r="P94" s="75"/>
      <c r="Q94" s="76"/>
    </row>
    <row r="95">
      <c r="A95" s="54"/>
      <c r="B95" s="110">
        <v>45601.0</v>
      </c>
      <c r="C95" s="99"/>
      <c r="D95" s="99"/>
      <c r="E95" s="100">
        <v>172045.0</v>
      </c>
      <c r="F95" s="99">
        <f t="shared" ref="F95:F96" si="15">E95-E94</f>
        <v>2513</v>
      </c>
      <c r="G95" s="100">
        <v>1024.0</v>
      </c>
      <c r="H95" s="101">
        <v>504.0</v>
      </c>
      <c r="I95" s="101">
        <v>500.0</v>
      </c>
      <c r="J95" s="102">
        <f t="shared" si="13"/>
        <v>4</v>
      </c>
      <c r="K95" s="103">
        <f t="shared" si="14"/>
        <v>19.896538</v>
      </c>
      <c r="L95" s="54"/>
      <c r="M95" s="84" t="s">
        <v>70</v>
      </c>
      <c r="N95" s="84" t="s">
        <v>71</v>
      </c>
      <c r="O95" s="84" t="s">
        <v>27</v>
      </c>
      <c r="P95" s="83" t="s">
        <v>28</v>
      </c>
      <c r="Q95" s="321" t="s">
        <v>78</v>
      </c>
    </row>
    <row r="96">
      <c r="A96" s="54"/>
      <c r="B96" s="110">
        <v>45603.0</v>
      </c>
      <c r="C96" s="99"/>
      <c r="D96" s="99"/>
      <c r="E96" s="100">
        <v>173799.0</v>
      </c>
      <c r="F96" s="99">
        <f t="shared" si="15"/>
        <v>1754</v>
      </c>
      <c r="G96" s="100">
        <v>1146.0</v>
      </c>
      <c r="H96" s="101">
        <v>608.0</v>
      </c>
      <c r="I96" s="101">
        <v>600.0</v>
      </c>
      <c r="J96" s="102">
        <f t="shared" si="13"/>
        <v>8</v>
      </c>
      <c r="K96" s="103">
        <f t="shared" si="14"/>
        <v>34.20752566</v>
      </c>
      <c r="L96" s="54"/>
      <c r="M96" s="84">
        <f>SUM(F94:F96)</f>
        <v>5429</v>
      </c>
      <c r="N96" s="84">
        <f>SUM(I94:I96)</f>
        <v>1471.62</v>
      </c>
      <c r="O96" s="85">
        <f>N96/M96*100</f>
        <v>27.10664948</v>
      </c>
      <c r="P96" s="84">
        <f>(M96/100)*(O96-Q96)</f>
        <v>5.79</v>
      </c>
      <c r="Q96" s="464">
        <v>27.0</v>
      </c>
    </row>
    <row r="97">
      <c r="A97" s="68"/>
      <c r="B97" s="203" t="str">
        <f>IF(L97=4,"АПРЕЛЬ",IF(L97=5,"МАЙ",IF(L97=1,"ЯНВАРЬ",IF(L97=2,"ФЕВРАЛЬ",IF(L97=3,"МАРТ",IF(L97=6,"ИЮНЬ",IF(L97=7,"ИЮЛЬ",IF(L97=8,"АВГУСТ",IF(L97=9,"СЕНТЯБРЬ",IF(L97=10,"ОКТЯБРЬ",IF(L97=11,"НОЯБРЬ",IF(L97=12,"ДЕКАБРЬ"))))))))))))</f>
        <v>ИЮЛЬ</v>
      </c>
      <c r="J97" s="88"/>
      <c r="K97" s="204"/>
      <c r="L97" s="91">
        <f>MONTH(B98)</f>
        <v>7</v>
      </c>
      <c r="M97" s="66"/>
      <c r="N97" s="66"/>
      <c r="O97" s="66"/>
      <c r="P97" s="66"/>
      <c r="Q97" s="66"/>
    </row>
    <row r="98">
      <c r="A98" s="54"/>
      <c r="B98" s="110">
        <v>45861.0</v>
      </c>
      <c r="C98" s="100" t="s">
        <v>127</v>
      </c>
      <c r="D98" s="100" t="s">
        <v>275</v>
      </c>
      <c r="E98" s="100">
        <v>176220.0</v>
      </c>
      <c r="F98" s="99">
        <f>E98-E96</f>
        <v>2421</v>
      </c>
      <c r="G98" s="99"/>
      <c r="H98" s="102"/>
      <c r="I98" s="102">
        <f>284.18--515.82</f>
        <v>800</v>
      </c>
      <c r="J98" s="102"/>
      <c r="K98" s="103">
        <f t="shared" ref="K98:K101" si="16">I98/F98*100</f>
        <v>33.04419661</v>
      </c>
      <c r="L98" s="54"/>
      <c r="M98" s="205" t="str">
        <f>"тотал"&amp;" "&amp;B97&amp;" "&amp;RIGHT(YEAR(B98),2)</f>
        <v>тотал ИЮЛЬ 25</v>
      </c>
      <c r="N98" s="75"/>
      <c r="O98" s="75"/>
      <c r="P98" s="75"/>
      <c r="Q98" s="76"/>
    </row>
    <row r="99">
      <c r="A99" s="54"/>
      <c r="B99" s="110">
        <v>45863.0</v>
      </c>
      <c r="C99" s="100" t="s">
        <v>127</v>
      </c>
      <c r="D99" s="100" t="s">
        <v>275</v>
      </c>
      <c r="E99" s="100">
        <v>178112.0</v>
      </c>
      <c r="F99" s="99">
        <f t="shared" ref="F99:F101" si="17">E99-E98</f>
        <v>1892</v>
      </c>
      <c r="G99" s="99"/>
      <c r="H99" s="102"/>
      <c r="I99" s="101">
        <v>535.92</v>
      </c>
      <c r="J99" s="102"/>
      <c r="K99" s="103">
        <f t="shared" si="16"/>
        <v>28.3255814</v>
      </c>
      <c r="L99" s="54"/>
      <c r="M99" s="84" t="s">
        <v>70</v>
      </c>
      <c r="N99" s="84" t="s">
        <v>71</v>
      </c>
      <c r="O99" s="84" t="s">
        <v>27</v>
      </c>
      <c r="P99" s="83" t="s">
        <v>28</v>
      </c>
      <c r="Q99" s="321" t="s">
        <v>78</v>
      </c>
    </row>
    <row r="100">
      <c r="A100" s="54"/>
      <c r="B100" s="110">
        <v>45866.0</v>
      </c>
      <c r="C100" s="100" t="s">
        <v>127</v>
      </c>
      <c r="D100" s="100" t="s">
        <v>275</v>
      </c>
      <c r="E100" s="100">
        <v>180049.0</v>
      </c>
      <c r="F100" s="99">
        <f t="shared" si="17"/>
        <v>1937</v>
      </c>
      <c r="G100" s="99"/>
      <c r="H100" s="102"/>
      <c r="I100" s="101">
        <v>472.36</v>
      </c>
      <c r="J100" s="102"/>
      <c r="K100" s="103">
        <f t="shared" si="16"/>
        <v>24.38616417</v>
      </c>
      <c r="L100" s="54"/>
      <c r="M100" s="84">
        <f>SUM(F98:F101)</f>
        <v>7988</v>
      </c>
      <c r="N100" s="84">
        <f>SUM(I98:I101)</f>
        <v>2220.16</v>
      </c>
      <c r="O100" s="85">
        <f>N100/M100*100</f>
        <v>27.79369054</v>
      </c>
      <c r="P100" s="84">
        <f>(M100/100)*(O100-Q100)</f>
        <v>63.4</v>
      </c>
      <c r="Q100" s="464">
        <v>27.0</v>
      </c>
    </row>
    <row r="101">
      <c r="A101" s="54"/>
      <c r="B101" s="110">
        <v>45868.0</v>
      </c>
      <c r="C101" s="100" t="s">
        <v>127</v>
      </c>
      <c r="D101" s="100" t="s">
        <v>275</v>
      </c>
      <c r="E101" s="100">
        <v>181787.0</v>
      </c>
      <c r="F101" s="99">
        <f t="shared" si="17"/>
        <v>1738</v>
      </c>
      <c r="G101" s="99"/>
      <c r="H101" s="102"/>
      <c r="I101" s="101">
        <v>411.88</v>
      </c>
      <c r="J101" s="102"/>
      <c r="K101" s="103">
        <f t="shared" si="16"/>
        <v>23.69850403</v>
      </c>
      <c r="L101" s="54"/>
      <c r="M101" s="54"/>
      <c r="N101" s="54"/>
    </row>
    <row r="102">
      <c r="A102" s="68"/>
      <c r="B102" s="203" t="str">
        <f>IF(L102=4,"АПРЕЛЬ",IF(L102=5,"МАЙ",IF(L102=1,"ЯНВАРЬ",IF(L102=2,"ФЕВРАЛЬ",IF(L102=3,"МАРТ",IF(L102=6,"ИЮНЬ",IF(L102=7,"ИЮЛЬ",IF(L102=8,"АВГУСТ",IF(L102=9,"СЕНТЯБРЬ",IF(L102=10,"ОКТЯБРЬ",IF(L102=11,"НОЯБРЬ",IF(L102=12,"ДЕКАБРЬ"))))))))))))</f>
        <v>АВГУСТ</v>
      </c>
      <c r="J102" s="88"/>
      <c r="K102" s="204"/>
      <c r="L102" s="91">
        <f>MONTH(B103)</f>
        <v>8</v>
      </c>
      <c r="M102" s="66"/>
      <c r="N102" s="66"/>
      <c r="O102" s="66"/>
      <c r="P102" s="66"/>
      <c r="Q102" s="66"/>
    </row>
    <row r="103">
      <c r="A103" s="54"/>
      <c r="B103" s="110">
        <v>45870.0</v>
      </c>
      <c r="C103" s="100" t="s">
        <v>127</v>
      </c>
      <c r="D103" s="100" t="s">
        <v>275</v>
      </c>
      <c r="E103" s="100">
        <v>183517.0</v>
      </c>
      <c r="F103" s="99">
        <f>E103-E101</f>
        <v>1730</v>
      </c>
      <c r="G103" s="99"/>
      <c r="H103" s="102"/>
      <c r="I103" s="101">
        <v>422.34</v>
      </c>
      <c r="J103" s="102"/>
      <c r="K103" s="103">
        <f t="shared" ref="K103:K112" si="18">I103/F103*100</f>
        <v>24.41271676</v>
      </c>
      <c r="L103" s="54"/>
      <c r="M103" s="205" t="str">
        <f>"тотал"&amp;" "&amp;B102&amp;" "&amp;RIGHT(YEAR(B103),2)</f>
        <v>тотал АВГУСТ 25</v>
      </c>
      <c r="N103" s="75"/>
      <c r="O103" s="75"/>
      <c r="P103" s="75"/>
      <c r="Q103" s="76"/>
    </row>
    <row r="104">
      <c r="A104" s="54"/>
      <c r="B104" s="110">
        <v>45880.0</v>
      </c>
      <c r="C104" s="100" t="s">
        <v>127</v>
      </c>
      <c r="D104" s="100" t="s">
        <v>275</v>
      </c>
      <c r="E104" s="100">
        <v>185480.0</v>
      </c>
      <c r="F104" s="99">
        <f t="shared" ref="F104:F112" si="19">E104-E103</f>
        <v>1963</v>
      </c>
      <c r="G104" s="100">
        <v>1221.0</v>
      </c>
      <c r="H104" s="211">
        <v>479.0</v>
      </c>
      <c r="I104" s="101">
        <v>487.69</v>
      </c>
      <c r="J104" s="102">
        <f t="shared" ref="J104:J112" si="20">H104-I104</f>
        <v>-8.69</v>
      </c>
      <c r="K104" s="103">
        <f t="shared" si="18"/>
        <v>24.84411615</v>
      </c>
      <c r="L104" s="54"/>
      <c r="M104" s="84" t="s">
        <v>70</v>
      </c>
      <c r="N104" s="84" t="s">
        <v>71</v>
      </c>
      <c r="O104" s="84" t="s">
        <v>27</v>
      </c>
      <c r="P104" s="83" t="s">
        <v>28</v>
      </c>
      <c r="Q104" s="321" t="s">
        <v>78</v>
      </c>
    </row>
    <row r="105">
      <c r="A105" s="54"/>
      <c r="B105" s="110">
        <v>45882.0</v>
      </c>
      <c r="C105" s="100" t="s">
        <v>127</v>
      </c>
      <c r="D105" s="100" t="s">
        <v>275</v>
      </c>
      <c r="E105" s="100">
        <v>187219.0</v>
      </c>
      <c r="F105" s="99">
        <f t="shared" si="19"/>
        <v>1739</v>
      </c>
      <c r="G105" s="100">
        <v>1220.0</v>
      </c>
      <c r="H105" s="211">
        <v>408.0</v>
      </c>
      <c r="I105" s="101">
        <v>413.5</v>
      </c>
      <c r="J105" s="102">
        <f t="shared" si="20"/>
        <v>-5.5</v>
      </c>
      <c r="K105" s="103">
        <f t="shared" si="18"/>
        <v>23.77803335</v>
      </c>
      <c r="L105" s="54"/>
      <c r="M105" s="84">
        <f>SUM(F103:F112)</f>
        <v>18038</v>
      </c>
      <c r="N105" s="84">
        <f>SUM(I103:I112)</f>
        <v>4492.63</v>
      </c>
      <c r="O105" s="85">
        <f>N105/M105*100</f>
        <v>24.90647522</v>
      </c>
      <c r="P105" s="84">
        <f>(M105/100)*(O105-Q105)</f>
        <v>-377.63</v>
      </c>
      <c r="Q105" s="464">
        <v>27.0</v>
      </c>
    </row>
    <row r="106">
      <c r="A106" s="54"/>
      <c r="B106" s="110">
        <v>45884.0</v>
      </c>
      <c r="C106" s="100" t="s">
        <v>127</v>
      </c>
      <c r="D106" s="100" t="s">
        <v>275</v>
      </c>
      <c r="E106" s="100">
        <v>188951.0</v>
      </c>
      <c r="F106" s="99">
        <f t="shared" si="19"/>
        <v>1732</v>
      </c>
      <c r="G106" s="100">
        <v>1220.0</v>
      </c>
      <c r="H106" s="211">
        <v>421.0</v>
      </c>
      <c r="I106" s="101">
        <v>428.46</v>
      </c>
      <c r="J106" s="102">
        <f t="shared" si="20"/>
        <v>-7.46</v>
      </c>
      <c r="K106" s="103">
        <f t="shared" si="18"/>
        <v>24.73787529</v>
      </c>
      <c r="L106" s="54"/>
      <c r="M106" s="54"/>
      <c r="N106" s="54"/>
    </row>
    <row r="107">
      <c r="A107" s="54"/>
      <c r="B107" s="110">
        <v>45888.0</v>
      </c>
      <c r="C107" s="100" t="s">
        <v>127</v>
      </c>
      <c r="D107" s="100" t="s">
        <v>275</v>
      </c>
      <c r="E107" s="100">
        <v>191060.0</v>
      </c>
      <c r="F107" s="99">
        <f t="shared" si="19"/>
        <v>2109</v>
      </c>
      <c r="G107" s="100">
        <v>1221.0</v>
      </c>
      <c r="H107" s="211">
        <v>504.0</v>
      </c>
      <c r="I107" s="101">
        <f>600-96.48</f>
        <v>503.52</v>
      </c>
      <c r="J107" s="102">
        <f t="shared" si="20"/>
        <v>0.48</v>
      </c>
      <c r="K107" s="103">
        <f t="shared" si="18"/>
        <v>23.87482219</v>
      </c>
      <c r="L107" s="54"/>
      <c r="M107" s="54"/>
      <c r="N107" s="54"/>
    </row>
    <row r="108">
      <c r="A108" s="54"/>
      <c r="B108" s="110">
        <v>45889.0</v>
      </c>
      <c r="C108" s="100" t="s">
        <v>127</v>
      </c>
      <c r="D108" s="100" t="s">
        <v>275</v>
      </c>
      <c r="E108" s="100">
        <v>192649.0</v>
      </c>
      <c r="F108" s="99">
        <f t="shared" si="19"/>
        <v>1589</v>
      </c>
      <c r="G108" s="100">
        <v>1221.0</v>
      </c>
      <c r="H108" s="101">
        <v>401.0</v>
      </c>
      <c r="I108" s="101">
        <v>409.06</v>
      </c>
      <c r="J108" s="102">
        <f t="shared" si="20"/>
        <v>-8.06</v>
      </c>
      <c r="K108" s="103">
        <f t="shared" si="18"/>
        <v>25.74323474</v>
      </c>
      <c r="L108" s="54"/>
      <c r="M108" s="54"/>
      <c r="N108" s="54"/>
    </row>
    <row r="109">
      <c r="A109" s="54"/>
      <c r="B109" s="110">
        <v>45891.0</v>
      </c>
      <c r="C109" s="100" t="s">
        <v>127</v>
      </c>
      <c r="D109" s="100" t="s">
        <v>275</v>
      </c>
      <c r="E109" s="100">
        <v>194381.0</v>
      </c>
      <c r="F109" s="99">
        <f t="shared" si="19"/>
        <v>1732</v>
      </c>
      <c r="G109" s="100">
        <v>1221.0</v>
      </c>
      <c r="H109" s="101">
        <v>432.0</v>
      </c>
      <c r="I109" s="101">
        <v>439.21</v>
      </c>
      <c r="J109" s="102">
        <f t="shared" si="20"/>
        <v>-7.21</v>
      </c>
      <c r="K109" s="103">
        <f t="shared" si="18"/>
        <v>25.35854503</v>
      </c>
      <c r="L109" s="54"/>
      <c r="M109" s="54"/>
      <c r="N109" s="54"/>
    </row>
    <row r="110">
      <c r="A110" s="54"/>
      <c r="B110" s="110">
        <v>45894.0</v>
      </c>
      <c r="C110" s="100" t="s">
        <v>127</v>
      </c>
      <c r="D110" s="100" t="s">
        <v>275</v>
      </c>
      <c r="E110" s="100">
        <v>196355.0</v>
      </c>
      <c r="F110" s="99">
        <f t="shared" si="19"/>
        <v>1974</v>
      </c>
      <c r="G110" s="100">
        <v>1221.0</v>
      </c>
      <c r="H110" s="101">
        <v>505.0</v>
      </c>
      <c r="I110" s="101">
        <v>511.53</v>
      </c>
      <c r="J110" s="102">
        <f t="shared" si="20"/>
        <v>-6.53</v>
      </c>
      <c r="K110" s="103">
        <f t="shared" si="18"/>
        <v>25.91337386</v>
      </c>
      <c r="L110" s="54"/>
      <c r="M110" s="54"/>
      <c r="N110" s="54"/>
    </row>
    <row r="111">
      <c r="A111" s="54"/>
      <c r="B111" s="110">
        <v>45896.0</v>
      </c>
      <c r="C111" s="100" t="s">
        <v>127</v>
      </c>
      <c r="D111" s="100" t="s">
        <v>275</v>
      </c>
      <c r="E111" s="100">
        <v>198091.0</v>
      </c>
      <c r="F111" s="99">
        <f t="shared" si="19"/>
        <v>1736</v>
      </c>
      <c r="G111" s="100">
        <v>1222.0</v>
      </c>
      <c r="H111" s="101">
        <v>427.0</v>
      </c>
      <c r="I111" s="101">
        <v>431.08</v>
      </c>
      <c r="J111" s="102">
        <f t="shared" si="20"/>
        <v>-4.08</v>
      </c>
      <c r="K111" s="103">
        <f t="shared" si="18"/>
        <v>24.83179724</v>
      </c>
      <c r="L111" s="54"/>
      <c r="M111" s="54"/>
      <c r="N111" s="54"/>
    </row>
    <row r="112">
      <c r="A112" s="54"/>
      <c r="B112" s="110">
        <v>45898.0</v>
      </c>
      <c r="C112" s="100" t="s">
        <v>127</v>
      </c>
      <c r="D112" s="100" t="s">
        <v>275</v>
      </c>
      <c r="E112" s="100">
        <v>199825.0</v>
      </c>
      <c r="F112" s="99">
        <f t="shared" si="19"/>
        <v>1734</v>
      </c>
      <c r="G112" s="100">
        <v>1221.0</v>
      </c>
      <c r="H112" s="101">
        <v>439.0</v>
      </c>
      <c r="I112" s="101">
        <v>446.24</v>
      </c>
      <c r="J112" s="102">
        <f t="shared" si="20"/>
        <v>-7.24</v>
      </c>
      <c r="K112" s="103">
        <f t="shared" si="18"/>
        <v>25.73471742</v>
      </c>
      <c r="L112" s="54"/>
      <c r="M112" s="54"/>
      <c r="N112" s="54"/>
    </row>
    <row r="113">
      <c r="A113" s="68"/>
      <c r="B113" s="203" t="str">
        <f>IF(L113=4,"АПРЕЛЬ",IF(L113=5,"МАЙ",IF(L113=1,"ЯНВАРЬ",IF(L113=2,"ФЕВРАЛЬ",IF(L113=3,"МАРТ",IF(L113=6,"ИЮНЬ",IF(L113=7,"ИЮЛЬ",IF(L113=8,"АВГУСТ",IF(L113=9,"СЕНТЯБРЬ",IF(L113=10,"ОКТЯБРЬ",IF(L113=11,"НОЯБРЬ",IF(L113=12,"ДЕКАБРЬ"))))))))))))</f>
        <v>СЕНТЯБРЬ</v>
      </c>
      <c r="J113" s="88"/>
      <c r="K113" s="204"/>
      <c r="L113" s="91">
        <f>MONTH(B114)</f>
        <v>9</v>
      </c>
      <c r="M113" s="66"/>
      <c r="N113" s="66"/>
      <c r="O113" s="66"/>
      <c r="P113" s="66"/>
      <c r="Q113" s="66"/>
    </row>
    <row r="114">
      <c r="A114" s="54"/>
      <c r="B114" s="110">
        <v>45901.0</v>
      </c>
      <c r="C114" s="100" t="s">
        <v>127</v>
      </c>
      <c r="D114" s="100" t="s">
        <v>275</v>
      </c>
      <c r="E114" s="100">
        <v>201794.0</v>
      </c>
      <c r="F114" s="99">
        <f>E114-E112</f>
        <v>1969</v>
      </c>
      <c r="G114" s="100">
        <v>1220.0</v>
      </c>
      <c r="H114" s="101">
        <v>491.0</v>
      </c>
      <c r="I114" s="101">
        <v>497.46</v>
      </c>
      <c r="J114" s="102">
        <f t="shared" ref="J114:J123" si="21">H114-I114</f>
        <v>-6.46</v>
      </c>
      <c r="K114" s="103">
        <f t="shared" ref="K114:K123" si="22">I114/F114*100</f>
        <v>25.26460132</v>
      </c>
      <c r="L114" s="54"/>
      <c r="M114" s="205" t="str">
        <f>"тотал"&amp;" "&amp;B113&amp;" "&amp;RIGHT(YEAR(B114),2)</f>
        <v>тотал СЕНТЯБРЬ 25</v>
      </c>
      <c r="N114" s="75"/>
      <c r="O114" s="75"/>
      <c r="P114" s="75"/>
      <c r="Q114" s="76"/>
    </row>
    <row r="115">
      <c r="A115" s="54"/>
      <c r="B115" s="110">
        <v>45903.0</v>
      </c>
      <c r="C115" s="100" t="s">
        <v>127</v>
      </c>
      <c r="D115" s="100" t="s">
        <v>275</v>
      </c>
      <c r="E115" s="100">
        <v>203541.0</v>
      </c>
      <c r="F115" s="99">
        <f t="shared" ref="F115:F123" si="23">E115-E114</f>
        <v>1747</v>
      </c>
      <c r="G115" s="100">
        <v>1222.0</v>
      </c>
      <c r="H115" s="101">
        <v>444.0</v>
      </c>
      <c r="I115" s="101">
        <v>452.05</v>
      </c>
      <c r="J115" s="102">
        <f t="shared" si="21"/>
        <v>-8.05</v>
      </c>
      <c r="K115" s="103">
        <f t="shared" si="22"/>
        <v>25.87578706</v>
      </c>
      <c r="L115" s="54"/>
      <c r="M115" s="84" t="s">
        <v>70</v>
      </c>
      <c r="N115" s="84" t="s">
        <v>71</v>
      </c>
      <c r="O115" s="84" t="s">
        <v>27</v>
      </c>
      <c r="P115" s="83" t="s">
        <v>28</v>
      </c>
      <c r="Q115" s="321" t="s">
        <v>78</v>
      </c>
    </row>
    <row r="116">
      <c r="A116" s="54"/>
      <c r="B116" s="110">
        <v>45905.0</v>
      </c>
      <c r="C116" s="100" t="s">
        <v>127</v>
      </c>
      <c r="D116" s="100" t="s">
        <v>275</v>
      </c>
      <c r="E116" s="100">
        <v>205281.0</v>
      </c>
      <c r="F116" s="99">
        <f t="shared" si="23"/>
        <v>1740</v>
      </c>
      <c r="G116" s="100">
        <v>1221.0</v>
      </c>
      <c r="H116" s="101">
        <v>433.0</v>
      </c>
      <c r="I116" s="101">
        <v>440.44</v>
      </c>
      <c r="J116" s="102">
        <f t="shared" si="21"/>
        <v>-7.44</v>
      </c>
      <c r="K116" s="103">
        <f t="shared" si="22"/>
        <v>25.31264368</v>
      </c>
      <c r="L116" s="54"/>
      <c r="M116" s="84">
        <f>SUM(F114:F123)</f>
        <v>18524</v>
      </c>
      <c r="N116" s="84">
        <f>SUM(I114:I123)</f>
        <v>4724</v>
      </c>
      <c r="O116" s="85">
        <f>N116/M116*100</f>
        <v>25.50205139</v>
      </c>
      <c r="P116" s="84">
        <f>(M116/100)*(O116-Q116)</f>
        <v>-277.48</v>
      </c>
      <c r="Q116" s="464">
        <v>27.0</v>
      </c>
    </row>
    <row r="117">
      <c r="A117" s="54"/>
      <c r="B117" s="110">
        <v>45908.0</v>
      </c>
      <c r="C117" s="100" t="s">
        <v>127</v>
      </c>
      <c r="D117" s="100" t="s">
        <v>275</v>
      </c>
      <c r="E117" s="100">
        <v>207238.0</v>
      </c>
      <c r="F117" s="99">
        <f t="shared" si="23"/>
        <v>1957</v>
      </c>
      <c r="G117" s="100">
        <v>1218.0</v>
      </c>
      <c r="H117" s="101">
        <v>487.0</v>
      </c>
      <c r="I117" s="101">
        <v>493.64</v>
      </c>
      <c r="J117" s="102">
        <f t="shared" si="21"/>
        <v>-6.64</v>
      </c>
      <c r="K117" s="103">
        <f t="shared" si="22"/>
        <v>25.22432294</v>
      </c>
      <c r="L117" s="54"/>
      <c r="M117" s="54"/>
      <c r="N117" s="54"/>
    </row>
    <row r="118">
      <c r="A118" s="54"/>
      <c r="B118" s="110">
        <v>45910.0</v>
      </c>
      <c r="C118" s="100" t="s">
        <v>127</v>
      </c>
      <c r="D118" s="100" t="s">
        <v>275</v>
      </c>
      <c r="E118" s="100">
        <v>208984.0</v>
      </c>
      <c r="F118" s="99">
        <f t="shared" si="23"/>
        <v>1746</v>
      </c>
      <c r="G118" s="100">
        <v>1178.0</v>
      </c>
      <c r="H118" s="101">
        <v>411.0</v>
      </c>
      <c r="I118" s="101">
        <v>449.03</v>
      </c>
      <c r="J118" s="102">
        <f t="shared" si="21"/>
        <v>-38.03</v>
      </c>
      <c r="K118" s="103">
        <f t="shared" si="22"/>
        <v>25.71764032</v>
      </c>
      <c r="L118" s="54"/>
      <c r="M118" s="54"/>
      <c r="N118" s="54"/>
    </row>
    <row r="119">
      <c r="A119" s="54"/>
      <c r="B119" s="110">
        <v>45917.0</v>
      </c>
      <c r="C119" s="100" t="s">
        <v>127</v>
      </c>
      <c r="D119" s="100" t="s">
        <v>275</v>
      </c>
      <c r="E119" s="100">
        <v>211174.0</v>
      </c>
      <c r="F119" s="99">
        <f t="shared" si="23"/>
        <v>2190</v>
      </c>
      <c r="G119" s="100">
        <v>1222.0</v>
      </c>
      <c r="H119" s="101">
        <v>532.0</v>
      </c>
      <c r="I119" s="101">
        <v>541.52</v>
      </c>
      <c r="J119" s="102">
        <f t="shared" si="21"/>
        <v>-9.52</v>
      </c>
      <c r="K119" s="103">
        <f t="shared" si="22"/>
        <v>24.72694064</v>
      </c>
      <c r="L119" s="54"/>
      <c r="M119" s="54"/>
      <c r="N119" s="54"/>
    </row>
    <row r="120">
      <c r="A120" s="54"/>
      <c r="B120" s="110">
        <v>45919.0</v>
      </c>
      <c r="C120" s="100" t="s">
        <v>127</v>
      </c>
      <c r="D120" s="100" t="s">
        <v>275</v>
      </c>
      <c r="E120" s="100">
        <v>212912.0</v>
      </c>
      <c r="F120" s="99">
        <f t="shared" si="23"/>
        <v>1738</v>
      </c>
      <c r="G120" s="100">
        <v>1220.0</v>
      </c>
      <c r="H120" s="101">
        <v>446.0</v>
      </c>
      <c r="I120" s="101">
        <v>454.03</v>
      </c>
      <c r="J120" s="102">
        <f t="shared" si="21"/>
        <v>-8.03</v>
      </c>
      <c r="K120" s="103">
        <f t="shared" si="22"/>
        <v>26.12370541</v>
      </c>
      <c r="L120" s="54"/>
      <c r="M120" s="54"/>
      <c r="N120" s="54"/>
    </row>
    <row r="121">
      <c r="A121" s="54"/>
      <c r="B121" s="110">
        <v>45922.0</v>
      </c>
      <c r="C121" s="100" t="s">
        <v>127</v>
      </c>
      <c r="D121" s="100" t="s">
        <v>275</v>
      </c>
      <c r="E121" s="100">
        <v>214864.0</v>
      </c>
      <c r="F121" s="99">
        <f t="shared" si="23"/>
        <v>1952</v>
      </c>
      <c r="G121" s="100">
        <v>1220.0</v>
      </c>
      <c r="H121" s="101">
        <v>499.0</v>
      </c>
      <c r="I121" s="101">
        <v>505.15</v>
      </c>
      <c r="J121" s="102">
        <f t="shared" si="21"/>
        <v>-6.15</v>
      </c>
      <c r="K121" s="103">
        <f t="shared" si="22"/>
        <v>25.87858607</v>
      </c>
      <c r="L121" s="54"/>
      <c r="M121" s="54"/>
      <c r="N121" s="54"/>
    </row>
    <row r="122">
      <c r="A122" s="54"/>
      <c r="B122" s="110">
        <v>45924.0</v>
      </c>
      <c r="C122" s="100" t="s">
        <v>127</v>
      </c>
      <c r="D122" s="100" t="s">
        <v>275</v>
      </c>
      <c r="E122" s="100">
        <v>216611.0</v>
      </c>
      <c r="F122" s="99">
        <f t="shared" si="23"/>
        <v>1747</v>
      </c>
      <c r="G122" s="100">
        <v>1223.0</v>
      </c>
      <c r="H122" s="101">
        <v>424.0</v>
      </c>
      <c r="I122" s="101">
        <v>432.05</v>
      </c>
      <c r="J122" s="102">
        <f t="shared" si="21"/>
        <v>-8.05</v>
      </c>
      <c r="K122" s="103">
        <f t="shared" si="22"/>
        <v>24.73096737</v>
      </c>
      <c r="L122" s="54"/>
      <c r="M122" s="54"/>
      <c r="N122" s="54"/>
    </row>
    <row r="123">
      <c r="A123" s="54"/>
      <c r="B123" s="110">
        <v>45926.0</v>
      </c>
      <c r="C123" s="100" t="s">
        <v>127</v>
      </c>
      <c r="D123" s="100" t="s">
        <v>275</v>
      </c>
      <c r="E123" s="100">
        <v>218349.0</v>
      </c>
      <c r="F123" s="99">
        <f t="shared" si="23"/>
        <v>1738</v>
      </c>
      <c r="G123" s="100">
        <v>1222.0</v>
      </c>
      <c r="H123" s="101">
        <v>445.0</v>
      </c>
      <c r="I123" s="101">
        <v>458.63</v>
      </c>
      <c r="J123" s="102">
        <f t="shared" si="21"/>
        <v>-13.63</v>
      </c>
      <c r="K123" s="103">
        <f t="shared" si="22"/>
        <v>26.38837745</v>
      </c>
      <c r="L123" s="54"/>
      <c r="M123" s="54"/>
      <c r="N123" s="54"/>
    </row>
    <row r="124">
      <c r="A124" s="68"/>
      <c r="B124" s="203" t="str">
        <f>IF(L124=4,"АПРЕЛЬ",IF(L124=5,"МАЙ",IF(L124=1,"ЯНВАРЬ",IF(L124=2,"ФЕВРАЛЬ",IF(L124=3,"МАРТ",IF(L124=6,"ИЮНЬ",IF(L124=7,"ИЮЛЬ",IF(L124=8,"АВГУСТ",IF(L124=9,"СЕНТЯБРЬ",IF(L124=10,"ОКТЯБРЬ",IF(L124=11,"НОЯБРЬ",IF(L124=12,"ДЕКАБРЬ"))))))))))))</f>
        <v>ОКТЯБРЬ</v>
      </c>
      <c r="J124" s="88"/>
      <c r="K124" s="204"/>
      <c r="L124" s="91">
        <f>MONTH(B125)</f>
        <v>10</v>
      </c>
      <c r="M124" s="66"/>
      <c r="N124" s="66"/>
      <c r="O124" s="66"/>
      <c r="P124" s="66"/>
      <c r="Q124" s="66"/>
    </row>
    <row r="125">
      <c r="A125" s="54"/>
      <c r="B125" s="110">
        <v>45936.0</v>
      </c>
      <c r="C125" s="100" t="s">
        <v>127</v>
      </c>
      <c r="D125" s="100" t="s">
        <v>275</v>
      </c>
      <c r="E125" s="100">
        <v>220297.0</v>
      </c>
      <c r="F125" s="99">
        <f>E125-E123</f>
        <v>1948</v>
      </c>
      <c r="G125" s="100">
        <v>1221.0</v>
      </c>
      <c r="H125" s="101">
        <v>495.0</v>
      </c>
      <c r="I125" s="101">
        <v>501.75</v>
      </c>
      <c r="J125" s="102">
        <f t="shared" ref="J125:J127" si="24">H125-I125</f>
        <v>-6.75</v>
      </c>
      <c r="K125" s="103">
        <f t="shared" ref="K125:K127" si="25">I125/F125*100</f>
        <v>25.75718686</v>
      </c>
      <c r="L125" s="54"/>
      <c r="M125" s="205" t="str">
        <f>"тотал"&amp;" "&amp;B124&amp;" "&amp;RIGHT(YEAR(B125),2)</f>
        <v>тотал ОКТЯБРЬ 25</v>
      </c>
      <c r="N125" s="75"/>
      <c r="O125" s="75"/>
      <c r="P125" s="75"/>
      <c r="Q125" s="76"/>
    </row>
    <row r="126">
      <c r="A126" s="54"/>
      <c r="B126" s="110">
        <v>45938.0</v>
      </c>
      <c r="C126" s="100" t="s">
        <v>127</v>
      </c>
      <c r="D126" s="100" t="s">
        <v>275</v>
      </c>
      <c r="E126" s="100">
        <v>222034.0</v>
      </c>
      <c r="F126" s="99">
        <f t="shared" ref="F126:F127" si="26">E126-E125</f>
        <v>1737</v>
      </c>
      <c r="G126" s="100">
        <v>1221.0</v>
      </c>
      <c r="H126" s="101">
        <v>462.0</v>
      </c>
      <c r="I126" s="101">
        <v>471.5</v>
      </c>
      <c r="J126" s="102">
        <f t="shared" si="24"/>
        <v>-9.5</v>
      </c>
      <c r="K126" s="103">
        <f t="shared" si="25"/>
        <v>27.14450201</v>
      </c>
      <c r="L126" s="54"/>
      <c r="M126" s="84" t="s">
        <v>70</v>
      </c>
      <c r="N126" s="84" t="s">
        <v>71</v>
      </c>
      <c r="O126" s="84" t="s">
        <v>27</v>
      </c>
      <c r="P126" s="83" t="s">
        <v>28</v>
      </c>
      <c r="Q126" s="321" t="s">
        <v>78</v>
      </c>
    </row>
    <row r="127">
      <c r="A127" s="54"/>
      <c r="B127" s="110">
        <v>45941.0</v>
      </c>
      <c r="C127" s="100" t="s">
        <v>127</v>
      </c>
      <c r="D127" s="100" t="s">
        <v>275</v>
      </c>
      <c r="E127" s="100">
        <v>224056.0</v>
      </c>
      <c r="F127" s="99">
        <f t="shared" si="26"/>
        <v>2022</v>
      </c>
      <c r="G127" s="100">
        <v>1182.0</v>
      </c>
      <c r="H127" s="101">
        <v>490.0</v>
      </c>
      <c r="I127" s="101">
        <v>500.0</v>
      </c>
      <c r="J127" s="102">
        <f t="shared" si="24"/>
        <v>-10</v>
      </c>
      <c r="K127" s="103">
        <f t="shared" si="25"/>
        <v>24.72799209</v>
      </c>
      <c r="L127" s="54"/>
      <c r="M127" s="84">
        <f>SUM(F125:F134)</f>
        <v>5707</v>
      </c>
      <c r="N127" s="84">
        <f>SUM(I125:I134)</f>
        <v>1473.25</v>
      </c>
      <c r="O127" s="85">
        <f>N127/M127*100</f>
        <v>25.81478886</v>
      </c>
      <c r="P127" s="84">
        <f>(M127/100)*(O127-Q127)</f>
        <v>-67.64</v>
      </c>
      <c r="Q127" s="464">
        <v>27.0</v>
      </c>
    </row>
    <row r="128">
      <c r="A128" s="54"/>
      <c r="B128" s="99"/>
      <c r="C128" s="99"/>
      <c r="D128" s="99"/>
      <c r="E128" s="99"/>
      <c r="F128" s="99"/>
      <c r="G128" s="99"/>
      <c r="H128" s="102"/>
      <c r="I128" s="102"/>
      <c r="J128" s="102"/>
      <c r="K128" s="102"/>
      <c r="L128" s="54"/>
      <c r="M128" s="54"/>
      <c r="N128" s="54"/>
    </row>
    <row r="129">
      <c r="A129" s="54"/>
      <c r="B129" s="99"/>
      <c r="C129" s="99"/>
      <c r="D129" s="99"/>
      <c r="E129" s="99"/>
      <c r="F129" s="99"/>
      <c r="G129" s="99"/>
      <c r="H129" s="102"/>
      <c r="I129" s="102"/>
      <c r="J129" s="102"/>
      <c r="K129" s="102"/>
      <c r="L129" s="54"/>
      <c r="M129" s="54"/>
      <c r="N129" s="54"/>
    </row>
    <row r="130">
      <c r="A130" s="54"/>
      <c r="B130" s="99"/>
      <c r="C130" s="99"/>
      <c r="D130" s="99"/>
      <c r="E130" s="99"/>
      <c r="F130" s="99"/>
      <c r="G130" s="99"/>
      <c r="H130" s="102"/>
      <c r="I130" s="102"/>
      <c r="J130" s="102"/>
      <c r="K130" s="102"/>
      <c r="L130" s="54"/>
      <c r="M130" s="54"/>
      <c r="N130" s="54"/>
    </row>
    <row r="131">
      <c r="A131" s="54"/>
      <c r="B131" s="99"/>
      <c r="C131" s="99"/>
      <c r="D131" s="99"/>
      <c r="E131" s="99"/>
      <c r="F131" s="99"/>
      <c r="G131" s="99"/>
      <c r="H131" s="102"/>
      <c r="I131" s="102"/>
      <c r="J131" s="102"/>
      <c r="K131" s="102"/>
      <c r="L131" s="54"/>
      <c r="M131" s="54"/>
      <c r="N131" s="54"/>
    </row>
    <row r="132">
      <c r="A132" s="54"/>
      <c r="B132" s="99"/>
      <c r="C132" s="99"/>
      <c r="D132" s="99"/>
      <c r="E132" s="99"/>
      <c r="F132" s="99"/>
      <c r="G132" s="99"/>
      <c r="H132" s="102"/>
      <c r="I132" s="102"/>
      <c r="J132" s="102"/>
      <c r="K132" s="102"/>
      <c r="L132" s="54"/>
      <c r="M132" s="54"/>
      <c r="N132" s="54"/>
    </row>
    <row r="133">
      <c r="A133" s="54"/>
      <c r="B133" s="99"/>
      <c r="C133" s="99"/>
      <c r="D133" s="99"/>
      <c r="E133" s="99"/>
      <c r="F133" s="99"/>
      <c r="G133" s="99"/>
      <c r="H133" s="102"/>
      <c r="I133" s="102"/>
      <c r="J133" s="102"/>
      <c r="K133" s="102"/>
      <c r="L133" s="54"/>
      <c r="M133" s="54"/>
      <c r="N133" s="54"/>
    </row>
    <row r="134">
      <c r="A134" s="54"/>
      <c r="B134" s="99"/>
      <c r="C134" s="99"/>
      <c r="D134" s="99"/>
      <c r="E134" s="99"/>
      <c r="F134" s="99"/>
      <c r="G134" s="99"/>
      <c r="H134" s="102"/>
      <c r="I134" s="102"/>
      <c r="J134" s="102"/>
      <c r="K134" s="102"/>
      <c r="L134" s="54"/>
      <c r="M134" s="54"/>
      <c r="N134" s="54"/>
    </row>
    <row r="135">
      <c r="A135" s="54"/>
      <c r="B135" s="99"/>
      <c r="C135" s="99"/>
      <c r="D135" s="99"/>
      <c r="E135" s="99"/>
      <c r="F135" s="99"/>
      <c r="G135" s="99"/>
      <c r="H135" s="102"/>
      <c r="I135" s="102"/>
      <c r="J135" s="102"/>
      <c r="K135" s="102"/>
      <c r="L135" s="54"/>
      <c r="M135" s="54"/>
      <c r="N135" s="54"/>
    </row>
    <row r="136">
      <c r="A136" s="54"/>
      <c r="B136" s="99"/>
      <c r="C136" s="99"/>
      <c r="D136" s="99"/>
      <c r="E136" s="99"/>
      <c r="F136" s="99"/>
      <c r="G136" s="99"/>
      <c r="H136" s="102"/>
      <c r="I136" s="102"/>
      <c r="J136" s="102"/>
      <c r="K136" s="102"/>
      <c r="L136" s="54"/>
      <c r="M136" s="54"/>
      <c r="N136" s="54"/>
    </row>
    <row r="137">
      <c r="A137" s="54"/>
      <c r="B137" s="99"/>
      <c r="C137" s="99"/>
      <c r="D137" s="99"/>
      <c r="E137" s="99"/>
      <c r="F137" s="99"/>
      <c r="G137" s="99"/>
      <c r="H137" s="102"/>
      <c r="I137" s="102"/>
      <c r="J137" s="102"/>
      <c r="K137" s="102"/>
      <c r="L137" s="54"/>
      <c r="M137" s="54"/>
      <c r="N137" s="54"/>
    </row>
    <row r="138">
      <c r="A138" s="54"/>
      <c r="B138" s="99"/>
      <c r="C138" s="99"/>
      <c r="D138" s="99"/>
      <c r="E138" s="99"/>
      <c r="F138" s="99"/>
      <c r="G138" s="99"/>
      <c r="H138" s="102"/>
      <c r="I138" s="102"/>
      <c r="J138" s="102"/>
      <c r="K138" s="102"/>
      <c r="L138" s="54"/>
      <c r="M138" s="54"/>
      <c r="N138" s="54"/>
    </row>
    <row r="139">
      <c r="A139" s="54"/>
      <c r="B139" s="99"/>
      <c r="C139" s="99"/>
      <c r="D139" s="99"/>
      <c r="E139" s="99"/>
      <c r="F139" s="99"/>
      <c r="G139" s="99"/>
      <c r="H139" s="102"/>
      <c r="I139" s="102"/>
      <c r="J139" s="102"/>
      <c r="K139" s="102"/>
      <c r="L139" s="54"/>
      <c r="M139" s="54"/>
      <c r="N139" s="54"/>
    </row>
    <row r="140">
      <c r="A140" s="54"/>
      <c r="B140" s="99"/>
      <c r="C140" s="99"/>
      <c r="D140" s="99"/>
      <c r="E140" s="99"/>
      <c r="F140" s="99"/>
      <c r="G140" s="99"/>
      <c r="H140" s="102"/>
      <c r="I140" s="102"/>
      <c r="J140" s="102"/>
      <c r="K140" s="102"/>
      <c r="L140" s="54"/>
      <c r="M140" s="54"/>
      <c r="N140" s="54"/>
    </row>
    <row r="141">
      <c r="A141" s="54"/>
      <c r="B141" s="99"/>
      <c r="C141" s="99"/>
      <c r="D141" s="99"/>
      <c r="E141" s="99"/>
      <c r="F141" s="99"/>
      <c r="G141" s="99"/>
      <c r="H141" s="102"/>
      <c r="I141" s="102"/>
      <c r="J141" s="102"/>
      <c r="K141" s="102"/>
      <c r="L141" s="54"/>
      <c r="M141" s="54"/>
      <c r="N141" s="54"/>
    </row>
    <row r="142">
      <c r="A142" s="54"/>
      <c r="B142" s="99"/>
      <c r="C142" s="99"/>
      <c r="D142" s="99"/>
      <c r="E142" s="99"/>
      <c r="F142" s="99"/>
      <c r="G142" s="99"/>
      <c r="H142" s="102"/>
      <c r="I142" s="102"/>
      <c r="J142" s="102"/>
      <c r="K142" s="102"/>
      <c r="L142" s="54"/>
      <c r="M142" s="54"/>
      <c r="N142" s="54"/>
    </row>
    <row r="143">
      <c r="A143" s="54"/>
      <c r="B143" s="99"/>
      <c r="C143" s="99"/>
      <c r="D143" s="99"/>
      <c r="E143" s="99"/>
      <c r="F143" s="99"/>
      <c r="G143" s="99"/>
      <c r="H143" s="102"/>
      <c r="I143" s="102"/>
      <c r="J143" s="102"/>
      <c r="K143" s="102"/>
      <c r="L143" s="54"/>
      <c r="M143" s="54"/>
      <c r="N143" s="54"/>
    </row>
    <row r="144">
      <c r="A144" s="54"/>
      <c r="B144" s="99"/>
      <c r="C144" s="99"/>
      <c r="D144" s="99"/>
      <c r="E144" s="99"/>
      <c r="F144" s="99"/>
      <c r="G144" s="99"/>
      <c r="H144" s="102"/>
      <c r="I144" s="102"/>
      <c r="J144" s="102"/>
      <c r="K144" s="102"/>
      <c r="L144" s="54"/>
      <c r="M144" s="54"/>
      <c r="N144" s="54"/>
    </row>
    <row r="145">
      <c r="A145" s="54"/>
      <c r="B145" s="99"/>
      <c r="C145" s="99"/>
      <c r="D145" s="99"/>
      <c r="E145" s="99"/>
      <c r="F145" s="99"/>
      <c r="G145" s="99"/>
      <c r="H145" s="102"/>
      <c r="I145" s="102"/>
      <c r="J145" s="102"/>
      <c r="K145" s="102"/>
      <c r="L145" s="54"/>
      <c r="M145" s="54"/>
      <c r="N145" s="54"/>
    </row>
    <row r="146">
      <c r="A146" s="54"/>
      <c r="B146" s="99"/>
      <c r="C146" s="99"/>
      <c r="D146" s="99"/>
      <c r="E146" s="99"/>
      <c r="F146" s="99"/>
      <c r="G146" s="99"/>
      <c r="H146" s="102"/>
      <c r="I146" s="102"/>
      <c r="J146" s="102"/>
      <c r="K146" s="102"/>
      <c r="L146" s="54"/>
      <c r="M146" s="54"/>
      <c r="N146" s="54"/>
    </row>
    <row r="147">
      <c r="A147" s="54"/>
      <c r="B147" s="99"/>
      <c r="C147" s="99"/>
      <c r="D147" s="99"/>
      <c r="E147" s="99"/>
      <c r="F147" s="99"/>
      <c r="G147" s="99"/>
      <c r="H147" s="102"/>
      <c r="I147" s="102"/>
      <c r="J147" s="102"/>
      <c r="K147" s="102"/>
      <c r="L147" s="54"/>
      <c r="M147" s="54"/>
      <c r="N147" s="54"/>
    </row>
    <row r="148">
      <c r="A148" s="54"/>
      <c r="B148" s="99"/>
      <c r="C148" s="99"/>
      <c r="D148" s="99"/>
      <c r="E148" s="99"/>
      <c r="F148" s="99"/>
      <c r="G148" s="99"/>
      <c r="H148" s="102"/>
      <c r="I148" s="102"/>
      <c r="J148" s="102"/>
      <c r="K148" s="102"/>
      <c r="L148" s="54"/>
      <c r="M148" s="54"/>
      <c r="N148" s="54"/>
    </row>
    <row r="149">
      <c r="A149" s="54"/>
      <c r="B149" s="99"/>
      <c r="C149" s="99"/>
      <c r="D149" s="99"/>
      <c r="E149" s="99"/>
      <c r="F149" s="99"/>
      <c r="G149" s="99"/>
      <c r="H149" s="102"/>
      <c r="I149" s="102"/>
      <c r="J149" s="102"/>
      <c r="K149" s="102"/>
      <c r="L149" s="54"/>
      <c r="M149" s="54"/>
      <c r="N149" s="54"/>
    </row>
    <row r="150">
      <c r="A150" s="54"/>
      <c r="B150" s="99"/>
      <c r="C150" s="99"/>
      <c r="D150" s="99"/>
      <c r="E150" s="99"/>
      <c r="F150" s="99"/>
      <c r="G150" s="99"/>
      <c r="H150" s="102"/>
      <c r="I150" s="102"/>
      <c r="J150" s="102"/>
      <c r="K150" s="102"/>
      <c r="L150" s="54"/>
      <c r="M150" s="54"/>
      <c r="N150" s="54"/>
    </row>
    <row r="151">
      <c r="A151" s="54"/>
      <c r="B151" s="99"/>
      <c r="C151" s="99"/>
      <c r="D151" s="99"/>
      <c r="E151" s="99"/>
      <c r="F151" s="99"/>
      <c r="G151" s="99"/>
      <c r="H151" s="102"/>
      <c r="I151" s="102"/>
      <c r="J151" s="102"/>
      <c r="K151" s="102"/>
      <c r="L151" s="54"/>
      <c r="M151" s="54"/>
      <c r="N151" s="54"/>
    </row>
    <row r="152">
      <c r="A152" s="54"/>
      <c r="B152" s="99"/>
      <c r="C152" s="99"/>
      <c r="D152" s="99"/>
      <c r="E152" s="99"/>
      <c r="F152" s="99"/>
      <c r="G152" s="99"/>
      <c r="H152" s="102"/>
      <c r="I152" s="102"/>
      <c r="J152" s="102"/>
      <c r="K152" s="102"/>
      <c r="L152" s="54"/>
      <c r="M152" s="54"/>
      <c r="N152" s="54"/>
    </row>
    <row r="153">
      <c r="A153" s="54"/>
      <c r="B153" s="99"/>
      <c r="C153" s="99"/>
      <c r="D153" s="99"/>
      <c r="E153" s="99"/>
      <c r="F153" s="99"/>
      <c r="G153" s="99"/>
      <c r="H153" s="102"/>
      <c r="I153" s="102"/>
      <c r="J153" s="102"/>
      <c r="K153" s="102"/>
      <c r="L153" s="54"/>
      <c r="M153" s="54"/>
      <c r="N153" s="54"/>
    </row>
    <row r="154">
      <c r="A154" s="54"/>
      <c r="B154" s="99"/>
      <c r="C154" s="99"/>
      <c r="D154" s="99"/>
      <c r="E154" s="99"/>
      <c r="F154" s="99"/>
      <c r="G154" s="99"/>
      <c r="H154" s="102"/>
      <c r="I154" s="102"/>
      <c r="J154" s="102"/>
      <c r="K154" s="102"/>
      <c r="L154" s="54"/>
      <c r="M154" s="54"/>
      <c r="N154" s="54"/>
    </row>
    <row r="155">
      <c r="A155" s="54"/>
      <c r="B155" s="99"/>
      <c r="C155" s="99"/>
      <c r="D155" s="99"/>
      <c r="E155" s="99"/>
      <c r="F155" s="99"/>
      <c r="G155" s="99"/>
      <c r="H155" s="102"/>
      <c r="I155" s="102"/>
      <c r="J155" s="102"/>
      <c r="K155" s="102"/>
      <c r="L155" s="54"/>
      <c r="M155" s="54"/>
      <c r="N155" s="54"/>
    </row>
    <row r="156">
      <c r="A156" s="54"/>
      <c r="B156" s="99"/>
      <c r="C156" s="99"/>
      <c r="D156" s="99"/>
      <c r="E156" s="99"/>
      <c r="F156" s="99"/>
      <c r="G156" s="99"/>
      <c r="H156" s="102"/>
      <c r="I156" s="102"/>
      <c r="J156" s="102"/>
      <c r="K156" s="102"/>
      <c r="L156" s="54"/>
      <c r="M156" s="54"/>
      <c r="N156" s="54"/>
    </row>
    <row r="157">
      <c r="A157" s="54"/>
      <c r="B157" s="99"/>
      <c r="C157" s="99"/>
      <c r="D157" s="99"/>
      <c r="E157" s="99"/>
      <c r="F157" s="99"/>
      <c r="G157" s="99"/>
      <c r="H157" s="102"/>
      <c r="I157" s="102"/>
      <c r="J157" s="102"/>
      <c r="K157" s="102"/>
      <c r="L157" s="54"/>
      <c r="M157" s="54"/>
      <c r="N157" s="54"/>
    </row>
    <row r="158">
      <c r="A158" s="54"/>
      <c r="B158" s="99"/>
      <c r="C158" s="99"/>
      <c r="D158" s="99"/>
      <c r="E158" s="99"/>
      <c r="F158" s="99"/>
      <c r="G158" s="99"/>
      <c r="H158" s="102"/>
      <c r="I158" s="102"/>
      <c r="J158" s="102"/>
      <c r="K158" s="102"/>
      <c r="L158" s="54"/>
      <c r="M158" s="54"/>
      <c r="N158" s="54"/>
    </row>
    <row r="159">
      <c r="A159" s="54"/>
      <c r="B159" s="99"/>
      <c r="C159" s="99"/>
      <c r="D159" s="99"/>
      <c r="E159" s="99"/>
      <c r="F159" s="99"/>
      <c r="G159" s="99"/>
      <c r="H159" s="102"/>
      <c r="I159" s="102"/>
      <c r="J159" s="102"/>
      <c r="K159" s="102"/>
      <c r="L159" s="54"/>
      <c r="M159" s="54"/>
      <c r="N159" s="54"/>
    </row>
    <row r="160">
      <c r="A160" s="54"/>
      <c r="B160" s="99"/>
      <c r="C160" s="99"/>
      <c r="D160" s="99"/>
      <c r="E160" s="99"/>
      <c r="F160" s="99"/>
      <c r="G160" s="99"/>
      <c r="H160" s="102"/>
      <c r="I160" s="102"/>
      <c r="J160" s="102"/>
      <c r="K160" s="102"/>
      <c r="L160" s="54"/>
      <c r="M160" s="54"/>
      <c r="N160" s="54"/>
    </row>
    <row r="161">
      <c r="A161" s="54"/>
      <c r="B161" s="99"/>
      <c r="C161" s="99"/>
      <c r="D161" s="99"/>
      <c r="E161" s="99"/>
      <c r="F161" s="99"/>
      <c r="G161" s="99"/>
      <c r="H161" s="102"/>
      <c r="I161" s="102"/>
      <c r="J161" s="102"/>
      <c r="K161" s="102"/>
      <c r="L161" s="54"/>
      <c r="M161" s="54"/>
      <c r="N161" s="54"/>
    </row>
    <row r="162">
      <c r="A162" s="54"/>
      <c r="B162" s="99"/>
      <c r="C162" s="99"/>
      <c r="D162" s="99"/>
      <c r="E162" s="99"/>
      <c r="F162" s="99"/>
      <c r="G162" s="99"/>
      <c r="H162" s="102"/>
      <c r="I162" s="102"/>
      <c r="J162" s="102"/>
      <c r="K162" s="102"/>
      <c r="L162" s="54"/>
      <c r="M162" s="54"/>
      <c r="N162" s="54"/>
    </row>
    <row r="163">
      <c r="A163" s="54"/>
      <c r="B163" s="99"/>
      <c r="C163" s="99"/>
      <c r="D163" s="99"/>
      <c r="E163" s="99"/>
      <c r="F163" s="99"/>
      <c r="G163" s="99"/>
      <c r="H163" s="102"/>
      <c r="I163" s="102"/>
      <c r="J163" s="102"/>
      <c r="K163" s="102"/>
      <c r="L163" s="54"/>
      <c r="M163" s="54"/>
      <c r="N163" s="54"/>
    </row>
    <row r="164">
      <c r="A164" s="54"/>
      <c r="B164" s="99"/>
      <c r="C164" s="99"/>
      <c r="D164" s="99"/>
      <c r="E164" s="99"/>
      <c r="F164" s="99"/>
      <c r="G164" s="99"/>
      <c r="H164" s="102"/>
      <c r="I164" s="102"/>
      <c r="J164" s="102"/>
      <c r="K164" s="102"/>
      <c r="L164" s="54"/>
      <c r="M164" s="54"/>
      <c r="N164" s="54"/>
    </row>
    <row r="165">
      <c r="A165" s="54"/>
      <c r="B165" s="99"/>
      <c r="C165" s="99"/>
      <c r="D165" s="99"/>
      <c r="E165" s="99"/>
      <c r="F165" s="99"/>
      <c r="G165" s="99"/>
      <c r="H165" s="102"/>
      <c r="I165" s="102"/>
      <c r="J165" s="102"/>
      <c r="K165" s="102"/>
      <c r="L165" s="54"/>
      <c r="M165" s="54"/>
      <c r="N165" s="54"/>
    </row>
    <row r="166">
      <c r="A166" s="54"/>
      <c r="B166" s="99"/>
      <c r="C166" s="99"/>
      <c r="D166" s="99"/>
      <c r="E166" s="99"/>
      <c r="F166" s="99"/>
      <c r="G166" s="99"/>
      <c r="H166" s="102"/>
      <c r="I166" s="102"/>
      <c r="J166" s="102"/>
      <c r="K166" s="102"/>
      <c r="L166" s="54"/>
      <c r="M166" s="54"/>
      <c r="N166" s="54"/>
    </row>
    <row r="167">
      <c r="A167" s="54"/>
      <c r="B167" s="99"/>
      <c r="C167" s="99"/>
      <c r="D167" s="99"/>
      <c r="E167" s="99"/>
      <c r="F167" s="99"/>
      <c r="G167" s="99"/>
      <c r="H167" s="102"/>
      <c r="I167" s="102"/>
      <c r="J167" s="102"/>
      <c r="K167" s="102"/>
      <c r="L167" s="54"/>
      <c r="M167" s="54"/>
      <c r="N167" s="54"/>
    </row>
    <row r="168">
      <c r="A168" s="54"/>
      <c r="B168" s="99"/>
      <c r="C168" s="99"/>
      <c r="D168" s="99"/>
      <c r="E168" s="99"/>
      <c r="F168" s="99"/>
      <c r="G168" s="99"/>
      <c r="H168" s="102"/>
      <c r="I168" s="102"/>
      <c r="J168" s="102"/>
      <c r="K168" s="102"/>
      <c r="L168" s="54"/>
      <c r="M168" s="54"/>
      <c r="N168" s="54"/>
    </row>
    <row r="169">
      <c r="A169" s="54"/>
      <c r="B169" s="99"/>
      <c r="C169" s="99"/>
      <c r="D169" s="99"/>
      <c r="E169" s="99"/>
      <c r="F169" s="99"/>
      <c r="G169" s="99"/>
      <c r="H169" s="102"/>
      <c r="I169" s="102"/>
      <c r="J169" s="102"/>
      <c r="K169" s="102"/>
      <c r="L169" s="54"/>
      <c r="M169" s="54"/>
      <c r="N169" s="54"/>
    </row>
    <row r="170">
      <c r="A170" s="54"/>
      <c r="B170" s="99"/>
      <c r="C170" s="99"/>
      <c r="D170" s="99"/>
      <c r="E170" s="99"/>
      <c r="F170" s="99"/>
      <c r="G170" s="99"/>
      <c r="H170" s="102"/>
      <c r="I170" s="102"/>
      <c r="J170" s="102"/>
      <c r="K170" s="102"/>
      <c r="L170" s="54"/>
      <c r="M170" s="54"/>
      <c r="N170" s="54"/>
    </row>
    <row r="171">
      <c r="A171" s="54"/>
      <c r="B171" s="99"/>
      <c r="C171" s="99"/>
      <c r="D171" s="99"/>
      <c r="E171" s="99"/>
      <c r="F171" s="99"/>
      <c r="G171" s="99"/>
      <c r="H171" s="102"/>
      <c r="I171" s="102"/>
      <c r="J171" s="102"/>
      <c r="K171" s="102"/>
      <c r="L171" s="54"/>
      <c r="M171" s="54"/>
      <c r="N171" s="54"/>
    </row>
    <row r="172">
      <c r="A172" s="54"/>
      <c r="B172" s="99"/>
      <c r="C172" s="99"/>
      <c r="D172" s="99"/>
      <c r="E172" s="99"/>
      <c r="F172" s="99"/>
      <c r="G172" s="99"/>
      <c r="H172" s="102"/>
      <c r="I172" s="102"/>
      <c r="J172" s="102"/>
      <c r="K172" s="102"/>
      <c r="L172" s="54"/>
      <c r="M172" s="54"/>
      <c r="N172" s="54"/>
    </row>
    <row r="173">
      <c r="A173" s="54"/>
      <c r="B173" s="99"/>
      <c r="C173" s="99"/>
      <c r="D173" s="99"/>
      <c r="E173" s="99"/>
      <c r="F173" s="99"/>
      <c r="G173" s="99"/>
      <c r="H173" s="102"/>
      <c r="I173" s="102"/>
      <c r="J173" s="102"/>
      <c r="K173" s="102"/>
      <c r="L173" s="54"/>
      <c r="M173" s="54"/>
      <c r="N173" s="54"/>
    </row>
    <row r="174">
      <c r="A174" s="54"/>
      <c r="B174" s="99"/>
      <c r="C174" s="99"/>
      <c r="D174" s="99"/>
      <c r="E174" s="99"/>
      <c r="F174" s="99"/>
      <c r="G174" s="99"/>
      <c r="H174" s="102"/>
      <c r="I174" s="102"/>
      <c r="J174" s="102"/>
      <c r="K174" s="102"/>
      <c r="L174" s="54"/>
      <c r="M174" s="54"/>
      <c r="N174" s="54"/>
    </row>
    <row r="175">
      <c r="A175" s="54"/>
      <c r="B175" s="99"/>
      <c r="C175" s="99"/>
      <c r="D175" s="99"/>
      <c r="E175" s="99"/>
      <c r="F175" s="99"/>
      <c r="G175" s="99"/>
      <c r="H175" s="102"/>
      <c r="I175" s="102"/>
      <c r="J175" s="102"/>
      <c r="K175" s="102"/>
      <c r="L175" s="54"/>
      <c r="M175" s="54"/>
      <c r="N175" s="54"/>
    </row>
    <row r="176">
      <c r="A176" s="54"/>
      <c r="B176" s="99"/>
      <c r="C176" s="99"/>
      <c r="D176" s="99"/>
      <c r="E176" s="99"/>
      <c r="F176" s="99"/>
      <c r="G176" s="99"/>
      <c r="H176" s="102"/>
      <c r="I176" s="102"/>
      <c r="J176" s="102"/>
      <c r="K176" s="102"/>
      <c r="L176" s="54"/>
      <c r="M176" s="54"/>
      <c r="N176" s="54"/>
    </row>
    <row r="177">
      <c r="A177" s="54"/>
      <c r="B177" s="99"/>
      <c r="C177" s="99"/>
      <c r="D177" s="99"/>
      <c r="E177" s="99"/>
      <c r="F177" s="99"/>
      <c r="G177" s="99"/>
      <c r="H177" s="102"/>
      <c r="I177" s="102"/>
      <c r="J177" s="102"/>
      <c r="K177" s="102"/>
      <c r="L177" s="54"/>
      <c r="M177" s="54"/>
      <c r="N177" s="54"/>
    </row>
    <row r="178">
      <c r="A178" s="54"/>
      <c r="B178" s="99"/>
      <c r="C178" s="99"/>
      <c r="D178" s="99"/>
      <c r="E178" s="99"/>
      <c r="F178" s="99"/>
      <c r="G178" s="99"/>
      <c r="H178" s="102"/>
      <c r="I178" s="102"/>
      <c r="J178" s="102"/>
      <c r="K178" s="102"/>
      <c r="L178" s="54"/>
      <c r="M178" s="54"/>
      <c r="N178" s="54"/>
    </row>
    <row r="179">
      <c r="A179" s="54"/>
      <c r="B179" s="99"/>
      <c r="C179" s="99"/>
      <c r="D179" s="99"/>
      <c r="E179" s="99"/>
      <c r="F179" s="99"/>
      <c r="G179" s="99"/>
      <c r="H179" s="102"/>
      <c r="I179" s="102"/>
      <c r="J179" s="102"/>
      <c r="K179" s="102"/>
      <c r="L179" s="54"/>
      <c r="M179" s="54"/>
      <c r="N179" s="54"/>
    </row>
    <row r="180">
      <c r="A180" s="54"/>
      <c r="B180" s="99"/>
      <c r="C180" s="99"/>
      <c r="D180" s="99"/>
      <c r="E180" s="99"/>
      <c r="F180" s="99"/>
      <c r="G180" s="99"/>
      <c r="H180" s="102"/>
      <c r="I180" s="102"/>
      <c r="J180" s="102"/>
      <c r="K180" s="102"/>
      <c r="L180" s="54"/>
      <c r="M180" s="54"/>
      <c r="N180" s="54"/>
    </row>
    <row r="181">
      <c r="A181" s="54"/>
      <c r="B181" s="99"/>
      <c r="C181" s="99"/>
      <c r="D181" s="99"/>
      <c r="E181" s="99"/>
      <c r="F181" s="99"/>
      <c r="G181" s="99"/>
      <c r="H181" s="102"/>
      <c r="I181" s="102"/>
      <c r="J181" s="102"/>
      <c r="K181" s="102"/>
      <c r="L181" s="54"/>
      <c r="M181" s="54"/>
      <c r="N181" s="54"/>
    </row>
    <row r="182">
      <c r="A182" s="54"/>
      <c r="B182" s="99"/>
      <c r="C182" s="99"/>
      <c r="D182" s="99"/>
      <c r="E182" s="99"/>
      <c r="F182" s="99"/>
      <c r="G182" s="99"/>
      <c r="H182" s="102"/>
      <c r="I182" s="102"/>
      <c r="J182" s="102"/>
      <c r="K182" s="102"/>
      <c r="L182" s="54"/>
      <c r="M182" s="54"/>
      <c r="N182" s="54"/>
    </row>
    <row r="183">
      <c r="A183" s="54"/>
      <c r="B183" s="99"/>
      <c r="C183" s="99"/>
      <c r="D183" s="99"/>
      <c r="E183" s="99"/>
      <c r="F183" s="99"/>
      <c r="G183" s="99"/>
      <c r="H183" s="102"/>
      <c r="I183" s="102"/>
      <c r="J183" s="102"/>
      <c r="K183" s="102"/>
      <c r="L183" s="54"/>
      <c r="M183" s="54"/>
      <c r="N183" s="54"/>
    </row>
    <row r="184">
      <c r="A184" s="54"/>
      <c r="B184" s="99"/>
      <c r="C184" s="99"/>
      <c r="D184" s="99"/>
      <c r="E184" s="99"/>
      <c r="F184" s="99"/>
      <c r="G184" s="99"/>
      <c r="H184" s="102"/>
      <c r="I184" s="102"/>
      <c r="J184" s="102"/>
      <c r="K184" s="102"/>
      <c r="L184" s="54"/>
      <c r="M184" s="54"/>
      <c r="N184" s="54"/>
    </row>
    <row r="185">
      <c r="A185" s="54"/>
      <c r="B185" s="99"/>
      <c r="C185" s="99"/>
      <c r="D185" s="99"/>
      <c r="E185" s="99"/>
      <c r="F185" s="99"/>
      <c r="G185" s="99"/>
      <c r="H185" s="102"/>
      <c r="I185" s="102"/>
      <c r="J185" s="102"/>
      <c r="K185" s="102"/>
      <c r="L185" s="54"/>
      <c r="M185" s="54"/>
      <c r="N185" s="54"/>
    </row>
    <row r="186">
      <c r="A186" s="54"/>
      <c r="B186" s="99"/>
      <c r="C186" s="99"/>
      <c r="D186" s="99"/>
      <c r="E186" s="99"/>
      <c r="F186" s="99"/>
      <c r="G186" s="99"/>
      <c r="H186" s="102"/>
      <c r="I186" s="102"/>
      <c r="J186" s="102"/>
      <c r="K186" s="102"/>
      <c r="L186" s="54"/>
      <c r="M186" s="54"/>
      <c r="N186" s="54"/>
    </row>
    <row r="187">
      <c r="A187" s="54"/>
      <c r="B187" s="99"/>
      <c r="C187" s="99"/>
      <c r="D187" s="99"/>
      <c r="E187" s="99"/>
      <c r="F187" s="99"/>
      <c r="G187" s="99"/>
      <c r="H187" s="102"/>
      <c r="I187" s="102"/>
      <c r="J187" s="102"/>
      <c r="K187" s="102"/>
      <c r="L187" s="54"/>
      <c r="M187" s="54"/>
      <c r="N187" s="54"/>
    </row>
    <row r="188">
      <c r="A188" s="54"/>
      <c r="B188" s="99"/>
      <c r="C188" s="99"/>
      <c r="D188" s="99"/>
      <c r="E188" s="99"/>
      <c r="F188" s="99"/>
      <c r="G188" s="99"/>
      <c r="H188" s="102"/>
      <c r="I188" s="102"/>
      <c r="J188" s="102"/>
      <c r="K188" s="102"/>
      <c r="L188" s="54"/>
      <c r="M188" s="54"/>
      <c r="N188" s="54"/>
    </row>
    <row r="189">
      <c r="A189" s="54"/>
      <c r="B189" s="99"/>
      <c r="C189" s="99"/>
      <c r="D189" s="99"/>
      <c r="E189" s="99"/>
      <c r="F189" s="99"/>
      <c r="G189" s="99"/>
      <c r="H189" s="102"/>
      <c r="I189" s="102"/>
      <c r="J189" s="102"/>
      <c r="K189" s="102"/>
      <c r="L189" s="54"/>
      <c r="M189" s="54"/>
      <c r="N189" s="54"/>
    </row>
    <row r="190">
      <c r="A190" s="54"/>
      <c r="B190" s="99"/>
      <c r="C190" s="99"/>
      <c r="D190" s="99"/>
      <c r="E190" s="99"/>
      <c r="F190" s="99"/>
      <c r="G190" s="99"/>
      <c r="H190" s="102"/>
      <c r="I190" s="102"/>
      <c r="J190" s="102"/>
      <c r="K190" s="102"/>
      <c r="L190" s="54"/>
      <c r="M190" s="54"/>
      <c r="N190" s="54"/>
    </row>
    <row r="191">
      <c r="A191" s="54"/>
      <c r="B191" s="99"/>
      <c r="C191" s="99"/>
      <c r="D191" s="99"/>
      <c r="E191" s="99"/>
      <c r="F191" s="99"/>
      <c r="G191" s="99"/>
      <c r="H191" s="102"/>
      <c r="I191" s="102"/>
      <c r="J191" s="102"/>
      <c r="K191" s="102"/>
      <c r="L191" s="54"/>
      <c r="M191" s="54"/>
      <c r="N191" s="54"/>
    </row>
    <row r="192">
      <c r="A192" s="54"/>
      <c r="B192" s="99"/>
      <c r="C192" s="99"/>
      <c r="D192" s="99"/>
      <c r="E192" s="99"/>
      <c r="F192" s="99"/>
      <c r="G192" s="99"/>
      <c r="H192" s="102"/>
      <c r="I192" s="102"/>
      <c r="J192" s="102"/>
      <c r="K192" s="102"/>
      <c r="L192" s="54"/>
      <c r="M192" s="54"/>
      <c r="N192" s="54"/>
    </row>
    <row r="193">
      <c r="A193" s="54"/>
      <c r="B193" s="99"/>
      <c r="C193" s="99"/>
      <c r="D193" s="99"/>
      <c r="E193" s="99"/>
      <c r="F193" s="99"/>
      <c r="G193" s="99"/>
      <c r="H193" s="102"/>
      <c r="I193" s="102"/>
      <c r="J193" s="102"/>
      <c r="K193" s="102"/>
      <c r="L193" s="54"/>
      <c r="M193" s="54"/>
      <c r="N193" s="54"/>
    </row>
    <row r="194">
      <c r="A194" s="54"/>
      <c r="B194" s="99"/>
      <c r="C194" s="99"/>
      <c r="D194" s="99"/>
      <c r="E194" s="99"/>
      <c r="F194" s="99"/>
      <c r="G194" s="99"/>
      <c r="H194" s="102"/>
      <c r="I194" s="102"/>
      <c r="J194" s="102"/>
      <c r="K194" s="102"/>
      <c r="L194" s="54"/>
      <c r="M194" s="54"/>
      <c r="N194" s="54"/>
    </row>
    <row r="195">
      <c r="A195" s="54"/>
      <c r="B195" s="99"/>
      <c r="C195" s="99"/>
      <c r="D195" s="99"/>
      <c r="E195" s="99"/>
      <c r="F195" s="99"/>
      <c r="G195" s="99"/>
      <c r="H195" s="102"/>
      <c r="I195" s="102"/>
      <c r="J195" s="102"/>
      <c r="K195" s="102"/>
      <c r="L195" s="54"/>
      <c r="M195" s="54"/>
      <c r="N195" s="54"/>
    </row>
    <row r="196">
      <c r="A196" s="54"/>
      <c r="B196" s="99"/>
      <c r="C196" s="99"/>
      <c r="D196" s="99"/>
      <c r="E196" s="99"/>
      <c r="F196" s="99"/>
      <c r="G196" s="99"/>
      <c r="H196" s="102"/>
      <c r="I196" s="102"/>
      <c r="J196" s="102"/>
      <c r="K196" s="102"/>
      <c r="L196" s="54"/>
      <c r="M196" s="54"/>
      <c r="N196" s="54"/>
    </row>
    <row r="197">
      <c r="A197" s="54"/>
      <c r="B197" s="99"/>
      <c r="C197" s="99"/>
      <c r="D197" s="99"/>
      <c r="E197" s="99"/>
      <c r="F197" s="99"/>
      <c r="G197" s="99"/>
      <c r="H197" s="102"/>
      <c r="I197" s="102"/>
      <c r="J197" s="102"/>
      <c r="K197" s="102"/>
      <c r="L197" s="54"/>
      <c r="M197" s="54"/>
      <c r="N197" s="54"/>
    </row>
    <row r="198">
      <c r="A198" s="54"/>
      <c r="B198" s="99"/>
      <c r="C198" s="99"/>
      <c r="D198" s="99"/>
      <c r="E198" s="99"/>
      <c r="F198" s="99"/>
      <c r="G198" s="99"/>
      <c r="H198" s="102"/>
      <c r="I198" s="102"/>
      <c r="J198" s="102"/>
      <c r="K198" s="102"/>
      <c r="L198" s="54"/>
      <c r="M198" s="54"/>
      <c r="N198" s="54"/>
    </row>
    <row r="199">
      <c r="A199" s="54"/>
      <c r="B199" s="99"/>
      <c r="C199" s="99"/>
      <c r="D199" s="99"/>
      <c r="E199" s="99"/>
      <c r="F199" s="99"/>
      <c r="G199" s="99"/>
      <c r="H199" s="102"/>
      <c r="I199" s="102"/>
      <c r="J199" s="102"/>
      <c r="K199" s="102"/>
      <c r="L199" s="54"/>
      <c r="M199" s="54"/>
      <c r="N199" s="54"/>
    </row>
    <row r="200">
      <c r="A200" s="54"/>
      <c r="B200" s="99"/>
      <c r="C200" s="99"/>
      <c r="D200" s="99"/>
      <c r="E200" s="99"/>
      <c r="F200" s="99"/>
      <c r="G200" s="99"/>
      <c r="H200" s="102"/>
      <c r="I200" s="102"/>
      <c r="J200" s="102"/>
      <c r="K200" s="102"/>
      <c r="L200" s="54"/>
      <c r="M200" s="54"/>
      <c r="N200" s="54"/>
    </row>
    <row r="201">
      <c r="A201" s="54"/>
      <c r="B201" s="99"/>
      <c r="C201" s="99"/>
      <c r="D201" s="99"/>
      <c r="E201" s="99"/>
      <c r="F201" s="99"/>
      <c r="G201" s="99"/>
      <c r="H201" s="102"/>
      <c r="I201" s="102"/>
      <c r="J201" s="102"/>
      <c r="K201" s="102"/>
      <c r="L201" s="54"/>
      <c r="M201" s="54"/>
      <c r="N201" s="54"/>
    </row>
    <row r="202">
      <c r="A202" s="54"/>
      <c r="B202" s="99"/>
      <c r="C202" s="99"/>
      <c r="D202" s="99"/>
      <c r="E202" s="99"/>
      <c r="F202" s="99"/>
      <c r="G202" s="99"/>
      <c r="H202" s="102"/>
      <c r="I202" s="102"/>
      <c r="J202" s="102"/>
      <c r="K202" s="102"/>
      <c r="L202" s="54"/>
      <c r="M202" s="54"/>
      <c r="N202" s="54"/>
    </row>
    <row r="203">
      <c r="A203" s="54"/>
      <c r="B203" s="99"/>
      <c r="C203" s="99"/>
      <c r="D203" s="99"/>
      <c r="E203" s="99"/>
      <c r="F203" s="99"/>
      <c r="G203" s="99"/>
      <c r="H203" s="102"/>
      <c r="I203" s="102"/>
      <c r="J203" s="102"/>
      <c r="K203" s="102"/>
      <c r="L203" s="54"/>
      <c r="M203" s="54"/>
      <c r="N203" s="54"/>
    </row>
    <row r="204">
      <c r="A204" s="54"/>
      <c r="B204" s="99"/>
      <c r="C204" s="99"/>
      <c r="D204" s="99"/>
      <c r="E204" s="99"/>
      <c r="F204" s="99"/>
      <c r="G204" s="99"/>
      <c r="H204" s="102"/>
      <c r="I204" s="102"/>
      <c r="J204" s="102"/>
      <c r="K204" s="102"/>
      <c r="L204" s="54"/>
      <c r="M204" s="54"/>
      <c r="N204" s="54"/>
    </row>
    <row r="205">
      <c r="A205" s="54"/>
      <c r="B205" s="99"/>
      <c r="C205" s="99"/>
      <c r="D205" s="99"/>
      <c r="E205" s="99"/>
      <c r="F205" s="99"/>
      <c r="G205" s="99"/>
      <c r="H205" s="102"/>
      <c r="I205" s="102"/>
      <c r="J205" s="102"/>
      <c r="K205" s="102"/>
      <c r="L205" s="54"/>
      <c r="M205" s="54"/>
      <c r="N205" s="54"/>
    </row>
    <row r="206">
      <c r="A206" s="54"/>
      <c r="B206" s="99"/>
      <c r="C206" s="99"/>
      <c r="D206" s="99"/>
      <c r="E206" s="99"/>
      <c r="F206" s="99"/>
      <c r="G206" s="99"/>
      <c r="H206" s="102"/>
      <c r="I206" s="102"/>
      <c r="J206" s="102"/>
      <c r="K206" s="102"/>
      <c r="L206" s="54"/>
      <c r="M206" s="54"/>
      <c r="N206" s="54"/>
    </row>
    <row r="207">
      <c r="A207" s="54"/>
      <c r="B207" s="99"/>
      <c r="C207" s="99"/>
      <c r="D207" s="99"/>
      <c r="E207" s="99"/>
      <c r="F207" s="99"/>
      <c r="G207" s="99"/>
      <c r="H207" s="102"/>
      <c r="I207" s="102"/>
      <c r="J207" s="102"/>
      <c r="K207" s="102"/>
      <c r="L207" s="54"/>
      <c r="M207" s="54"/>
      <c r="N207" s="54"/>
    </row>
    <row r="208">
      <c r="A208" s="54"/>
      <c r="B208" s="99"/>
      <c r="C208" s="99"/>
      <c r="D208" s="99"/>
      <c r="E208" s="99"/>
      <c r="F208" s="99"/>
      <c r="G208" s="99"/>
      <c r="H208" s="102"/>
      <c r="I208" s="102"/>
      <c r="J208" s="102"/>
      <c r="K208" s="102"/>
      <c r="L208" s="54"/>
      <c r="M208" s="54"/>
      <c r="N208" s="54"/>
    </row>
    <row r="209">
      <c r="A209" s="54"/>
      <c r="B209" s="99"/>
      <c r="C209" s="99"/>
      <c r="D209" s="99"/>
      <c r="E209" s="99"/>
      <c r="F209" s="99"/>
      <c r="G209" s="99"/>
      <c r="H209" s="102"/>
      <c r="I209" s="102"/>
      <c r="J209" s="102"/>
      <c r="K209" s="102"/>
      <c r="L209" s="54"/>
      <c r="M209" s="54"/>
      <c r="N209" s="54"/>
    </row>
    <row r="210">
      <c r="A210" s="54"/>
      <c r="B210" s="99"/>
      <c r="C210" s="99"/>
      <c r="D210" s="99"/>
      <c r="E210" s="99"/>
      <c r="F210" s="99"/>
      <c r="G210" s="99"/>
      <c r="H210" s="102"/>
      <c r="I210" s="102"/>
      <c r="J210" s="102"/>
      <c r="K210" s="102"/>
      <c r="L210" s="54"/>
      <c r="M210" s="54"/>
      <c r="N210" s="54"/>
    </row>
    <row r="211">
      <c r="A211" s="54"/>
      <c r="B211" s="99"/>
      <c r="C211" s="99"/>
      <c r="D211" s="99"/>
      <c r="E211" s="99"/>
      <c r="F211" s="99"/>
      <c r="G211" s="99"/>
      <c r="H211" s="102"/>
      <c r="I211" s="102"/>
      <c r="J211" s="102"/>
      <c r="K211" s="102"/>
      <c r="L211" s="54"/>
      <c r="M211" s="54"/>
      <c r="N211" s="54"/>
    </row>
    <row r="212">
      <c r="A212" s="54"/>
      <c r="B212" s="99"/>
      <c r="C212" s="99"/>
      <c r="D212" s="99"/>
      <c r="E212" s="99"/>
      <c r="F212" s="99"/>
      <c r="G212" s="99"/>
      <c r="H212" s="102"/>
      <c r="I212" s="102"/>
      <c r="J212" s="102"/>
      <c r="K212" s="102"/>
      <c r="L212" s="54"/>
      <c r="M212" s="54"/>
      <c r="N212" s="54"/>
    </row>
    <row r="213">
      <c r="A213" s="54"/>
      <c r="B213" s="99"/>
      <c r="C213" s="99"/>
      <c r="D213" s="99"/>
      <c r="E213" s="99"/>
      <c r="F213" s="99"/>
      <c r="G213" s="99"/>
      <c r="H213" s="102"/>
      <c r="I213" s="102"/>
      <c r="J213" s="102"/>
      <c r="K213" s="102"/>
      <c r="L213" s="54"/>
      <c r="M213" s="54"/>
      <c r="N213" s="54"/>
    </row>
    <row r="214">
      <c r="A214" s="54"/>
      <c r="B214" s="99"/>
      <c r="C214" s="99"/>
      <c r="D214" s="99"/>
      <c r="E214" s="99"/>
      <c r="F214" s="99"/>
      <c r="G214" s="99"/>
      <c r="H214" s="102"/>
      <c r="I214" s="102"/>
      <c r="J214" s="102"/>
      <c r="K214" s="102"/>
      <c r="L214" s="54"/>
      <c r="M214" s="54"/>
      <c r="N214" s="54"/>
    </row>
    <row r="215">
      <c r="A215" s="54"/>
      <c r="B215" s="99"/>
      <c r="C215" s="99"/>
      <c r="D215" s="99"/>
      <c r="E215" s="99"/>
      <c r="F215" s="99"/>
      <c r="G215" s="99"/>
      <c r="H215" s="102"/>
      <c r="I215" s="102"/>
      <c r="J215" s="102"/>
      <c r="K215" s="102"/>
      <c r="L215" s="54"/>
      <c r="M215" s="54"/>
      <c r="N215" s="54"/>
    </row>
    <row r="216">
      <c r="A216" s="54"/>
      <c r="B216" s="99"/>
      <c r="C216" s="99"/>
      <c r="D216" s="99"/>
      <c r="E216" s="99"/>
      <c r="F216" s="99"/>
      <c r="G216" s="99"/>
      <c r="H216" s="102"/>
      <c r="I216" s="102"/>
      <c r="J216" s="102"/>
      <c r="K216" s="102"/>
      <c r="L216" s="54"/>
      <c r="M216" s="54"/>
      <c r="N216" s="54"/>
    </row>
    <row r="217">
      <c r="A217" s="54"/>
      <c r="B217" s="99"/>
      <c r="C217" s="99"/>
      <c r="D217" s="99"/>
      <c r="E217" s="99"/>
      <c r="F217" s="99"/>
      <c r="G217" s="99"/>
      <c r="H217" s="102"/>
      <c r="I217" s="102"/>
      <c r="J217" s="102"/>
      <c r="K217" s="102"/>
      <c r="L217" s="54"/>
      <c r="M217" s="54"/>
      <c r="N217" s="54"/>
    </row>
    <row r="218">
      <c r="A218" s="54"/>
      <c r="B218" s="99"/>
      <c r="C218" s="99"/>
      <c r="D218" s="99"/>
      <c r="E218" s="99"/>
      <c r="F218" s="99"/>
      <c r="G218" s="99"/>
      <c r="H218" s="102"/>
      <c r="I218" s="102"/>
      <c r="J218" s="102"/>
      <c r="K218" s="102"/>
      <c r="L218" s="54"/>
      <c r="M218" s="54"/>
      <c r="N218" s="54"/>
    </row>
    <row r="219">
      <c r="A219" s="54"/>
      <c r="B219" s="99"/>
      <c r="C219" s="99"/>
      <c r="D219" s="99"/>
      <c r="E219" s="99"/>
      <c r="F219" s="99"/>
      <c r="G219" s="99"/>
      <c r="H219" s="102"/>
      <c r="I219" s="102"/>
      <c r="J219" s="102"/>
      <c r="K219" s="102"/>
      <c r="L219" s="54"/>
      <c r="M219" s="54"/>
      <c r="N219" s="54"/>
    </row>
    <row r="220">
      <c r="A220" s="54"/>
      <c r="B220" s="99"/>
      <c r="C220" s="99"/>
      <c r="D220" s="99"/>
      <c r="E220" s="99"/>
      <c r="F220" s="99"/>
      <c r="G220" s="99"/>
      <c r="H220" s="102"/>
      <c r="I220" s="102"/>
      <c r="J220" s="102"/>
      <c r="K220" s="102"/>
      <c r="L220" s="54"/>
      <c r="M220" s="54"/>
      <c r="N220" s="54"/>
    </row>
    <row r="221">
      <c r="A221" s="54"/>
      <c r="B221" s="99"/>
      <c r="C221" s="99"/>
      <c r="D221" s="99"/>
      <c r="E221" s="99"/>
      <c r="F221" s="99"/>
      <c r="G221" s="99"/>
      <c r="H221" s="102"/>
      <c r="I221" s="102"/>
      <c r="J221" s="102"/>
      <c r="K221" s="102"/>
      <c r="L221" s="54"/>
      <c r="M221" s="54"/>
      <c r="N221" s="54"/>
    </row>
    <row r="222">
      <c r="A222" s="54"/>
      <c r="B222" s="99"/>
      <c r="C222" s="99"/>
      <c r="D222" s="99"/>
      <c r="E222" s="99"/>
      <c r="F222" s="99"/>
      <c r="G222" s="99"/>
      <c r="H222" s="102"/>
      <c r="I222" s="102"/>
      <c r="J222" s="102"/>
      <c r="K222" s="102"/>
      <c r="L222" s="54"/>
      <c r="M222" s="54"/>
      <c r="N222" s="54"/>
    </row>
    <row r="223">
      <c r="A223" s="54"/>
      <c r="B223" s="99"/>
      <c r="C223" s="99"/>
      <c r="D223" s="99"/>
      <c r="E223" s="99"/>
      <c r="F223" s="99"/>
      <c r="G223" s="99"/>
      <c r="H223" s="102"/>
      <c r="I223" s="102"/>
      <c r="J223" s="102"/>
      <c r="K223" s="102"/>
      <c r="L223" s="54"/>
      <c r="M223" s="54"/>
      <c r="N223" s="54"/>
    </row>
    <row r="224">
      <c r="A224" s="54"/>
      <c r="B224" s="99"/>
      <c r="C224" s="99"/>
      <c r="D224" s="99"/>
      <c r="E224" s="99"/>
      <c r="F224" s="99"/>
      <c r="G224" s="99"/>
      <c r="H224" s="102"/>
      <c r="I224" s="102"/>
      <c r="J224" s="102"/>
      <c r="K224" s="102"/>
      <c r="L224" s="54"/>
      <c r="M224" s="54"/>
      <c r="N224" s="54"/>
    </row>
    <row r="225">
      <c r="A225" s="54"/>
      <c r="B225" s="99"/>
      <c r="C225" s="99"/>
      <c r="D225" s="99"/>
      <c r="E225" s="99"/>
      <c r="F225" s="99"/>
      <c r="G225" s="99"/>
      <c r="H225" s="102"/>
      <c r="I225" s="102"/>
      <c r="J225" s="102"/>
      <c r="K225" s="102"/>
      <c r="L225" s="54"/>
      <c r="M225" s="54"/>
      <c r="N225" s="54"/>
    </row>
    <row r="226">
      <c r="A226" s="54"/>
      <c r="B226" s="99"/>
      <c r="C226" s="99"/>
      <c r="D226" s="99"/>
      <c r="E226" s="99"/>
      <c r="F226" s="99"/>
      <c r="G226" s="99"/>
      <c r="H226" s="102"/>
      <c r="I226" s="102"/>
      <c r="J226" s="102"/>
      <c r="K226" s="102"/>
      <c r="L226" s="54"/>
      <c r="M226" s="54"/>
      <c r="N226" s="54"/>
    </row>
    <row r="227">
      <c r="A227" s="54"/>
      <c r="B227" s="99"/>
      <c r="C227" s="99"/>
      <c r="D227" s="99"/>
      <c r="E227" s="99"/>
      <c r="F227" s="99"/>
      <c r="G227" s="99"/>
      <c r="H227" s="102"/>
      <c r="I227" s="102"/>
      <c r="J227" s="102"/>
      <c r="K227" s="102"/>
      <c r="L227" s="54"/>
      <c r="M227" s="54"/>
      <c r="N227" s="54"/>
    </row>
    <row r="228">
      <c r="A228" s="54"/>
      <c r="B228" s="99"/>
      <c r="C228" s="99"/>
      <c r="D228" s="99"/>
      <c r="E228" s="99"/>
      <c r="F228" s="99"/>
      <c r="G228" s="99"/>
      <c r="H228" s="102"/>
      <c r="I228" s="102"/>
      <c r="J228" s="102"/>
      <c r="K228" s="102"/>
      <c r="L228" s="54"/>
      <c r="M228" s="54"/>
      <c r="N228" s="54"/>
    </row>
    <row r="229">
      <c r="A229" s="54"/>
      <c r="B229" s="99"/>
      <c r="C229" s="99"/>
      <c r="D229" s="99"/>
      <c r="E229" s="99"/>
      <c r="F229" s="99"/>
      <c r="G229" s="99"/>
      <c r="H229" s="102"/>
      <c r="I229" s="102"/>
      <c r="J229" s="102"/>
      <c r="K229" s="102"/>
      <c r="L229" s="54"/>
      <c r="M229" s="54"/>
      <c r="N229" s="54"/>
    </row>
    <row r="230">
      <c r="A230" s="54"/>
      <c r="B230" s="99"/>
      <c r="C230" s="99"/>
      <c r="D230" s="99"/>
      <c r="E230" s="99"/>
      <c r="F230" s="99"/>
      <c r="G230" s="99"/>
      <c r="H230" s="102"/>
      <c r="I230" s="102"/>
      <c r="J230" s="102"/>
      <c r="K230" s="102"/>
      <c r="L230" s="54"/>
      <c r="M230" s="54"/>
      <c r="N230" s="54"/>
    </row>
    <row r="231">
      <c r="A231" s="54"/>
      <c r="B231" s="99"/>
      <c r="C231" s="99"/>
      <c r="D231" s="99"/>
      <c r="E231" s="99"/>
      <c r="F231" s="99"/>
      <c r="G231" s="99"/>
      <c r="H231" s="102"/>
      <c r="I231" s="102"/>
      <c r="J231" s="102"/>
      <c r="K231" s="102"/>
      <c r="L231" s="54"/>
      <c r="M231" s="54"/>
      <c r="N231" s="54"/>
    </row>
    <row r="232">
      <c r="A232" s="54"/>
      <c r="B232" s="99"/>
      <c r="C232" s="99"/>
      <c r="D232" s="99"/>
      <c r="E232" s="99"/>
      <c r="F232" s="99"/>
      <c r="G232" s="99"/>
      <c r="H232" s="102"/>
      <c r="I232" s="102"/>
      <c r="J232" s="102"/>
      <c r="K232" s="102"/>
      <c r="L232" s="54"/>
      <c r="M232" s="54"/>
      <c r="N232" s="54"/>
    </row>
    <row r="233">
      <c r="A233" s="54"/>
      <c r="B233" s="99"/>
      <c r="C233" s="99"/>
      <c r="D233" s="99"/>
      <c r="E233" s="99"/>
      <c r="F233" s="99"/>
      <c r="G233" s="99"/>
      <c r="H233" s="102"/>
      <c r="I233" s="102"/>
      <c r="J233" s="102"/>
      <c r="K233" s="102"/>
      <c r="L233" s="54"/>
      <c r="M233" s="54"/>
      <c r="N233" s="54"/>
    </row>
    <row r="234">
      <c r="A234" s="54"/>
      <c r="B234" s="99"/>
      <c r="C234" s="99"/>
      <c r="D234" s="99"/>
      <c r="E234" s="99"/>
      <c r="F234" s="99"/>
      <c r="G234" s="99"/>
      <c r="H234" s="102"/>
      <c r="I234" s="102"/>
      <c r="J234" s="102"/>
      <c r="K234" s="102"/>
      <c r="L234" s="54"/>
      <c r="M234" s="54"/>
      <c r="N234" s="54"/>
    </row>
    <row r="235">
      <c r="A235" s="54"/>
      <c r="B235" s="99"/>
      <c r="C235" s="99"/>
      <c r="D235" s="99"/>
      <c r="E235" s="99"/>
      <c r="F235" s="99"/>
      <c r="G235" s="99"/>
      <c r="H235" s="102"/>
      <c r="I235" s="102"/>
      <c r="J235" s="102"/>
      <c r="K235" s="102"/>
      <c r="L235" s="54"/>
      <c r="M235" s="54"/>
      <c r="N235" s="54"/>
    </row>
    <row r="236">
      <c r="A236" s="54"/>
      <c r="B236" s="99"/>
      <c r="C236" s="99"/>
      <c r="D236" s="99"/>
      <c r="E236" s="99"/>
      <c r="F236" s="99"/>
      <c r="G236" s="99"/>
      <c r="H236" s="102"/>
      <c r="I236" s="102"/>
      <c r="J236" s="102"/>
      <c r="K236" s="102"/>
      <c r="L236" s="54"/>
      <c r="M236" s="54"/>
      <c r="N236" s="54"/>
    </row>
    <row r="237">
      <c r="A237" s="54"/>
      <c r="B237" s="99"/>
      <c r="C237" s="99"/>
      <c r="D237" s="99"/>
      <c r="E237" s="99"/>
      <c r="F237" s="99"/>
      <c r="G237" s="99"/>
      <c r="H237" s="102"/>
      <c r="I237" s="102"/>
      <c r="J237" s="102"/>
      <c r="K237" s="102"/>
      <c r="L237" s="54"/>
      <c r="M237" s="54"/>
      <c r="N237" s="54"/>
    </row>
    <row r="238">
      <c r="A238" s="54"/>
      <c r="B238" s="99"/>
      <c r="C238" s="99"/>
      <c r="D238" s="99"/>
      <c r="E238" s="99"/>
      <c r="F238" s="99"/>
      <c r="G238" s="99"/>
      <c r="H238" s="102"/>
      <c r="I238" s="102"/>
      <c r="J238" s="102"/>
      <c r="K238" s="102"/>
      <c r="L238" s="54"/>
      <c r="M238" s="54"/>
      <c r="N238" s="54"/>
    </row>
    <row r="239">
      <c r="A239" s="54"/>
      <c r="B239" s="99"/>
      <c r="C239" s="99"/>
      <c r="D239" s="99"/>
      <c r="E239" s="99"/>
      <c r="F239" s="99"/>
      <c r="G239" s="99"/>
      <c r="H239" s="102"/>
      <c r="I239" s="102"/>
      <c r="J239" s="102"/>
      <c r="K239" s="102"/>
      <c r="L239" s="54"/>
      <c r="M239" s="54"/>
      <c r="N239" s="54"/>
    </row>
    <row r="240">
      <c r="A240" s="54"/>
      <c r="B240" s="99"/>
      <c r="C240" s="99"/>
      <c r="D240" s="99"/>
      <c r="E240" s="99"/>
      <c r="F240" s="99"/>
      <c r="G240" s="99"/>
      <c r="H240" s="102"/>
      <c r="I240" s="102"/>
      <c r="J240" s="102"/>
      <c r="K240" s="102"/>
      <c r="L240" s="54"/>
      <c r="M240" s="54"/>
      <c r="N240" s="54"/>
    </row>
    <row r="241">
      <c r="A241" s="54"/>
      <c r="B241" s="99"/>
      <c r="C241" s="99"/>
      <c r="D241" s="99"/>
      <c r="E241" s="99"/>
      <c r="F241" s="99"/>
      <c r="G241" s="99"/>
      <c r="H241" s="102"/>
      <c r="I241" s="102"/>
      <c r="J241" s="102"/>
      <c r="K241" s="102"/>
      <c r="L241" s="54"/>
      <c r="M241" s="54"/>
      <c r="N241" s="54"/>
    </row>
    <row r="242">
      <c r="A242" s="54"/>
      <c r="B242" s="99"/>
      <c r="C242" s="99"/>
      <c r="D242" s="99"/>
      <c r="E242" s="99"/>
      <c r="F242" s="99"/>
      <c r="G242" s="99"/>
      <c r="H242" s="102"/>
      <c r="I242" s="102"/>
      <c r="J242" s="102"/>
      <c r="K242" s="102"/>
      <c r="L242" s="54"/>
      <c r="M242" s="54"/>
      <c r="N242" s="54"/>
    </row>
    <row r="243">
      <c r="A243" s="54"/>
      <c r="B243" s="99"/>
      <c r="C243" s="99"/>
      <c r="D243" s="99"/>
      <c r="E243" s="99"/>
      <c r="F243" s="99"/>
      <c r="G243" s="99"/>
      <c r="H243" s="102"/>
      <c r="I243" s="102"/>
      <c r="J243" s="102"/>
      <c r="K243" s="102"/>
      <c r="L243" s="54"/>
      <c r="M243" s="54"/>
      <c r="N243" s="54"/>
    </row>
    <row r="244">
      <c r="A244" s="54"/>
      <c r="B244" s="99"/>
      <c r="C244" s="99"/>
      <c r="D244" s="99"/>
      <c r="E244" s="99"/>
      <c r="F244" s="99"/>
      <c r="G244" s="99"/>
      <c r="H244" s="102"/>
      <c r="I244" s="102"/>
      <c r="J244" s="102"/>
      <c r="K244" s="102"/>
      <c r="L244" s="54"/>
      <c r="M244" s="54"/>
      <c r="N244" s="54"/>
    </row>
    <row r="245">
      <c r="A245" s="54"/>
      <c r="B245" s="99"/>
      <c r="C245" s="99"/>
      <c r="D245" s="99"/>
      <c r="E245" s="99"/>
      <c r="F245" s="99"/>
      <c r="G245" s="99"/>
      <c r="H245" s="102"/>
      <c r="I245" s="102"/>
      <c r="J245" s="102"/>
      <c r="K245" s="102"/>
      <c r="L245" s="54"/>
      <c r="M245" s="54"/>
      <c r="N245" s="54"/>
    </row>
    <row r="246">
      <c r="A246" s="54"/>
      <c r="B246" s="99"/>
      <c r="C246" s="99"/>
      <c r="D246" s="99"/>
      <c r="E246" s="99"/>
      <c r="F246" s="99"/>
      <c r="G246" s="99"/>
      <c r="H246" s="102"/>
      <c r="I246" s="102"/>
      <c r="J246" s="102"/>
      <c r="K246" s="102"/>
      <c r="L246" s="54"/>
      <c r="M246" s="54"/>
      <c r="N246" s="54"/>
    </row>
    <row r="247">
      <c r="A247" s="54"/>
      <c r="B247" s="99"/>
      <c r="C247" s="99"/>
      <c r="D247" s="99"/>
      <c r="E247" s="99"/>
      <c r="F247" s="99"/>
      <c r="G247" s="99"/>
      <c r="H247" s="102"/>
      <c r="I247" s="102"/>
      <c r="J247" s="102"/>
      <c r="K247" s="102"/>
      <c r="L247" s="54"/>
      <c r="M247" s="54"/>
      <c r="N247" s="54"/>
    </row>
    <row r="248">
      <c r="A248" s="54"/>
      <c r="B248" s="99"/>
      <c r="C248" s="99"/>
      <c r="D248" s="99"/>
      <c r="E248" s="99"/>
      <c r="F248" s="99"/>
      <c r="G248" s="99"/>
      <c r="H248" s="102"/>
      <c r="I248" s="102"/>
      <c r="J248" s="102"/>
      <c r="K248" s="102"/>
      <c r="L248" s="54"/>
      <c r="M248" s="54"/>
      <c r="N248" s="54"/>
    </row>
    <row r="249">
      <c r="A249" s="54"/>
      <c r="B249" s="99"/>
      <c r="C249" s="99"/>
      <c r="D249" s="99"/>
      <c r="E249" s="99"/>
      <c r="F249" s="99"/>
      <c r="G249" s="99"/>
      <c r="H249" s="102"/>
      <c r="I249" s="102"/>
      <c r="J249" s="102"/>
      <c r="K249" s="102"/>
      <c r="L249" s="54"/>
      <c r="M249" s="54"/>
      <c r="N249" s="54"/>
    </row>
    <row r="250">
      <c r="A250" s="54"/>
      <c r="B250" s="99"/>
      <c r="C250" s="99"/>
      <c r="D250" s="99"/>
      <c r="E250" s="99"/>
      <c r="F250" s="99"/>
      <c r="G250" s="99"/>
      <c r="H250" s="102"/>
      <c r="I250" s="102"/>
      <c r="J250" s="102"/>
      <c r="K250" s="102"/>
      <c r="L250" s="54"/>
      <c r="M250" s="54"/>
      <c r="N250" s="54"/>
    </row>
    <row r="251">
      <c r="A251" s="54"/>
      <c r="B251" s="99"/>
      <c r="C251" s="99"/>
      <c r="D251" s="99"/>
      <c r="E251" s="99"/>
      <c r="F251" s="99"/>
      <c r="G251" s="99"/>
      <c r="H251" s="102"/>
      <c r="I251" s="102"/>
      <c r="J251" s="102"/>
      <c r="K251" s="102"/>
      <c r="L251" s="54"/>
      <c r="M251" s="54"/>
      <c r="N251" s="54"/>
    </row>
    <row r="252">
      <c r="A252" s="54"/>
      <c r="B252" s="99"/>
      <c r="C252" s="99"/>
      <c r="D252" s="99"/>
      <c r="E252" s="99"/>
      <c r="F252" s="99"/>
      <c r="G252" s="99"/>
      <c r="H252" s="102"/>
      <c r="I252" s="102"/>
      <c r="J252" s="102"/>
      <c r="K252" s="102"/>
      <c r="L252" s="54"/>
      <c r="M252" s="54"/>
      <c r="N252" s="54"/>
    </row>
    <row r="253">
      <c r="A253" s="54"/>
      <c r="B253" s="99"/>
      <c r="C253" s="99"/>
      <c r="D253" s="99"/>
      <c r="E253" s="99"/>
      <c r="F253" s="99"/>
      <c r="G253" s="99"/>
      <c r="H253" s="102"/>
      <c r="I253" s="102"/>
      <c r="J253" s="102"/>
      <c r="K253" s="102"/>
      <c r="L253" s="54"/>
      <c r="M253" s="54"/>
      <c r="N253" s="54"/>
    </row>
    <row r="254">
      <c r="A254" s="54"/>
      <c r="B254" s="99"/>
      <c r="C254" s="99"/>
      <c r="D254" s="99"/>
      <c r="E254" s="99"/>
      <c r="F254" s="99"/>
      <c r="G254" s="99"/>
      <c r="H254" s="102"/>
      <c r="I254" s="102"/>
      <c r="J254" s="102"/>
      <c r="K254" s="102"/>
      <c r="L254" s="54"/>
      <c r="M254" s="54"/>
      <c r="N254" s="54"/>
    </row>
    <row r="255">
      <c r="A255" s="54"/>
      <c r="B255" s="99"/>
      <c r="C255" s="99"/>
      <c r="D255" s="99"/>
      <c r="E255" s="99"/>
      <c r="F255" s="99"/>
      <c r="G255" s="99"/>
      <c r="H255" s="102"/>
      <c r="I255" s="102"/>
      <c r="J255" s="102"/>
      <c r="K255" s="102"/>
      <c r="L255" s="54"/>
      <c r="M255" s="54"/>
      <c r="N255" s="54"/>
    </row>
    <row r="256">
      <c r="A256" s="54"/>
      <c r="B256" s="99"/>
      <c r="C256" s="99"/>
      <c r="D256" s="99"/>
      <c r="E256" s="99"/>
      <c r="F256" s="99"/>
      <c r="G256" s="99"/>
      <c r="H256" s="102"/>
      <c r="I256" s="102"/>
      <c r="J256" s="102"/>
      <c r="K256" s="102"/>
      <c r="L256" s="54"/>
      <c r="M256" s="54"/>
      <c r="N256" s="54"/>
    </row>
    <row r="257">
      <c r="A257" s="54"/>
      <c r="B257" s="99"/>
      <c r="C257" s="99"/>
      <c r="D257" s="99"/>
      <c r="E257" s="99"/>
      <c r="F257" s="99"/>
      <c r="G257" s="99"/>
      <c r="H257" s="102"/>
      <c r="I257" s="102"/>
      <c r="J257" s="102"/>
      <c r="K257" s="102"/>
      <c r="L257" s="54"/>
      <c r="M257" s="54"/>
      <c r="N257" s="54"/>
    </row>
    <row r="258">
      <c r="A258" s="54"/>
      <c r="B258" s="99"/>
      <c r="C258" s="99"/>
      <c r="D258" s="99"/>
      <c r="E258" s="99"/>
      <c r="F258" s="99"/>
      <c r="G258" s="99"/>
      <c r="H258" s="102"/>
      <c r="I258" s="102"/>
      <c r="J258" s="102"/>
      <c r="K258" s="102"/>
      <c r="L258" s="54"/>
      <c r="M258" s="54"/>
      <c r="N258" s="54"/>
    </row>
    <row r="259">
      <c r="A259" s="54"/>
      <c r="B259" s="99"/>
      <c r="C259" s="99"/>
      <c r="D259" s="99"/>
      <c r="E259" s="99"/>
      <c r="F259" s="99"/>
      <c r="G259" s="99"/>
      <c r="H259" s="102"/>
      <c r="I259" s="102"/>
      <c r="J259" s="102"/>
      <c r="K259" s="102"/>
      <c r="L259" s="54"/>
      <c r="M259" s="54"/>
      <c r="N259" s="54"/>
    </row>
    <row r="260">
      <c r="A260" s="54"/>
      <c r="B260" s="99"/>
      <c r="C260" s="99"/>
      <c r="D260" s="99"/>
      <c r="E260" s="99"/>
      <c r="F260" s="99"/>
      <c r="G260" s="99"/>
      <c r="H260" s="102"/>
      <c r="I260" s="102"/>
      <c r="J260" s="102"/>
      <c r="K260" s="102"/>
      <c r="L260" s="54"/>
      <c r="M260" s="54"/>
      <c r="N260" s="54"/>
    </row>
    <row r="261">
      <c r="A261" s="54"/>
      <c r="B261" s="99"/>
      <c r="C261" s="99"/>
      <c r="D261" s="99"/>
      <c r="E261" s="99"/>
      <c r="F261" s="99"/>
      <c r="G261" s="99"/>
      <c r="H261" s="102"/>
      <c r="I261" s="102"/>
      <c r="J261" s="102"/>
      <c r="K261" s="102"/>
      <c r="L261" s="54"/>
      <c r="M261" s="54"/>
      <c r="N261" s="54"/>
    </row>
    <row r="262">
      <c r="A262" s="54"/>
      <c r="B262" s="99"/>
      <c r="C262" s="99"/>
      <c r="D262" s="99"/>
      <c r="E262" s="99"/>
      <c r="F262" s="99"/>
      <c r="G262" s="99"/>
      <c r="H262" s="102"/>
      <c r="I262" s="102"/>
      <c r="J262" s="102"/>
      <c r="K262" s="102"/>
      <c r="L262" s="54"/>
      <c r="M262" s="54"/>
      <c r="N262" s="54"/>
    </row>
    <row r="263">
      <c r="A263" s="54"/>
      <c r="B263" s="99"/>
      <c r="C263" s="99"/>
      <c r="D263" s="99"/>
      <c r="E263" s="99"/>
      <c r="F263" s="99"/>
      <c r="G263" s="99"/>
      <c r="H263" s="102"/>
      <c r="I263" s="102"/>
      <c r="J263" s="102"/>
      <c r="K263" s="102"/>
      <c r="L263" s="54"/>
      <c r="M263" s="54"/>
      <c r="N263" s="54"/>
    </row>
    <row r="264">
      <c r="A264" s="54"/>
      <c r="B264" s="99"/>
      <c r="C264" s="99"/>
      <c r="D264" s="99"/>
      <c r="E264" s="99"/>
      <c r="F264" s="99"/>
      <c r="G264" s="99"/>
      <c r="H264" s="102"/>
      <c r="I264" s="102"/>
      <c r="J264" s="102"/>
      <c r="K264" s="102"/>
      <c r="L264" s="54"/>
      <c r="M264" s="54"/>
      <c r="N264" s="54"/>
    </row>
    <row r="265">
      <c r="A265" s="54"/>
      <c r="B265" s="99"/>
      <c r="C265" s="99"/>
      <c r="D265" s="99"/>
      <c r="E265" s="99"/>
      <c r="F265" s="99"/>
      <c r="G265" s="99"/>
      <c r="H265" s="102"/>
      <c r="I265" s="102"/>
      <c r="J265" s="102"/>
      <c r="K265" s="102"/>
      <c r="L265" s="54"/>
      <c r="M265" s="54"/>
      <c r="N265" s="54"/>
    </row>
    <row r="266">
      <c r="A266" s="54"/>
      <c r="B266" s="99"/>
      <c r="C266" s="99"/>
      <c r="D266" s="99"/>
      <c r="E266" s="99"/>
      <c r="F266" s="99"/>
      <c r="G266" s="99"/>
      <c r="H266" s="102"/>
      <c r="I266" s="102"/>
      <c r="J266" s="102"/>
      <c r="K266" s="102"/>
      <c r="L266" s="54"/>
      <c r="M266" s="54"/>
      <c r="N266" s="54"/>
    </row>
    <row r="267">
      <c r="A267" s="54"/>
      <c r="B267" s="99"/>
      <c r="C267" s="99"/>
      <c r="D267" s="99"/>
      <c r="E267" s="99"/>
      <c r="F267" s="99"/>
      <c r="G267" s="99"/>
      <c r="H267" s="102"/>
      <c r="I267" s="102"/>
      <c r="J267" s="102"/>
      <c r="K267" s="102"/>
      <c r="L267" s="54"/>
      <c r="M267" s="54"/>
      <c r="N267" s="54"/>
    </row>
    <row r="268">
      <c r="A268" s="54"/>
      <c r="B268" s="99"/>
      <c r="C268" s="99"/>
      <c r="D268" s="99"/>
      <c r="E268" s="99"/>
      <c r="F268" s="99"/>
      <c r="G268" s="99"/>
      <c r="H268" s="102"/>
      <c r="I268" s="102"/>
      <c r="J268" s="102"/>
      <c r="K268" s="102"/>
      <c r="L268" s="54"/>
      <c r="M268" s="54"/>
      <c r="N268" s="54"/>
    </row>
    <row r="269">
      <c r="A269" s="54"/>
      <c r="B269" s="99"/>
      <c r="C269" s="99"/>
      <c r="D269" s="99"/>
      <c r="E269" s="99"/>
      <c r="F269" s="99"/>
      <c r="G269" s="99"/>
      <c r="H269" s="102"/>
      <c r="I269" s="102"/>
      <c r="J269" s="102"/>
      <c r="K269" s="102"/>
      <c r="L269" s="54"/>
      <c r="M269" s="54"/>
      <c r="N269" s="54"/>
    </row>
    <row r="270">
      <c r="A270" s="54"/>
      <c r="B270" s="99"/>
      <c r="C270" s="99"/>
      <c r="D270" s="99"/>
      <c r="E270" s="99"/>
      <c r="F270" s="99"/>
      <c r="G270" s="99"/>
      <c r="H270" s="102"/>
      <c r="I270" s="102"/>
      <c r="J270" s="102"/>
      <c r="K270" s="102"/>
      <c r="L270" s="54"/>
      <c r="M270" s="54"/>
      <c r="N270" s="54"/>
    </row>
    <row r="271">
      <c r="A271" s="54"/>
      <c r="B271" s="99"/>
      <c r="C271" s="99"/>
      <c r="D271" s="99"/>
      <c r="E271" s="99"/>
      <c r="F271" s="99"/>
      <c r="G271" s="99"/>
      <c r="H271" s="102"/>
      <c r="I271" s="102"/>
      <c r="J271" s="102"/>
      <c r="K271" s="102"/>
      <c r="L271" s="54"/>
      <c r="M271" s="54"/>
      <c r="N271" s="54"/>
    </row>
    <row r="272">
      <c r="A272" s="54"/>
      <c r="B272" s="99"/>
      <c r="C272" s="99"/>
      <c r="D272" s="99"/>
      <c r="E272" s="99"/>
      <c r="F272" s="99"/>
      <c r="G272" s="99"/>
      <c r="H272" s="102"/>
      <c r="I272" s="102"/>
      <c r="J272" s="102"/>
      <c r="K272" s="102"/>
      <c r="L272" s="54"/>
      <c r="M272" s="54"/>
      <c r="N272" s="54"/>
    </row>
    <row r="273">
      <c r="A273" s="54"/>
      <c r="B273" s="99"/>
      <c r="C273" s="99"/>
      <c r="D273" s="99"/>
      <c r="E273" s="99"/>
      <c r="F273" s="99"/>
      <c r="G273" s="99"/>
      <c r="H273" s="102"/>
      <c r="I273" s="102"/>
      <c r="J273" s="102"/>
      <c r="K273" s="102"/>
      <c r="L273" s="54"/>
      <c r="M273" s="54"/>
      <c r="N273" s="54"/>
    </row>
    <row r="274">
      <c r="A274" s="54"/>
      <c r="B274" s="99"/>
      <c r="C274" s="99"/>
      <c r="D274" s="99"/>
      <c r="E274" s="99"/>
      <c r="F274" s="99"/>
      <c r="G274" s="99"/>
      <c r="H274" s="102"/>
      <c r="I274" s="102"/>
      <c r="J274" s="102"/>
      <c r="K274" s="102"/>
      <c r="L274" s="54"/>
      <c r="M274" s="54"/>
      <c r="N274" s="54"/>
    </row>
    <row r="275">
      <c r="A275" s="54"/>
      <c r="B275" s="99"/>
      <c r="C275" s="99"/>
      <c r="D275" s="99"/>
      <c r="E275" s="99"/>
      <c r="F275" s="99"/>
      <c r="G275" s="99"/>
      <c r="H275" s="102"/>
      <c r="I275" s="102"/>
      <c r="J275" s="102"/>
      <c r="K275" s="102"/>
      <c r="L275" s="54"/>
      <c r="M275" s="54"/>
      <c r="N275" s="54"/>
    </row>
    <row r="276">
      <c r="A276" s="54"/>
      <c r="B276" s="99"/>
      <c r="C276" s="99"/>
      <c r="D276" s="99"/>
      <c r="E276" s="99"/>
      <c r="F276" s="99"/>
      <c r="G276" s="99"/>
      <c r="H276" s="102"/>
      <c r="I276" s="102"/>
      <c r="J276" s="102"/>
      <c r="K276" s="102"/>
      <c r="L276" s="54"/>
      <c r="M276" s="54"/>
      <c r="N276" s="54"/>
    </row>
    <row r="277">
      <c r="A277" s="54"/>
      <c r="B277" s="99"/>
      <c r="C277" s="99"/>
      <c r="D277" s="99"/>
      <c r="E277" s="99"/>
      <c r="F277" s="99"/>
      <c r="G277" s="99"/>
      <c r="H277" s="102"/>
      <c r="I277" s="102"/>
      <c r="J277" s="102"/>
      <c r="K277" s="102"/>
      <c r="L277" s="54"/>
      <c r="M277" s="54"/>
      <c r="N277" s="54"/>
    </row>
    <row r="278">
      <c r="A278" s="54"/>
      <c r="B278" s="99"/>
      <c r="C278" s="99"/>
      <c r="D278" s="99"/>
      <c r="E278" s="99"/>
      <c r="F278" s="99"/>
      <c r="G278" s="99"/>
      <c r="H278" s="102"/>
      <c r="I278" s="102"/>
      <c r="J278" s="102"/>
      <c r="K278" s="102"/>
      <c r="L278" s="54"/>
      <c r="M278" s="54"/>
      <c r="N278" s="54"/>
    </row>
    <row r="279">
      <c r="A279" s="54"/>
      <c r="B279" s="99"/>
      <c r="C279" s="99"/>
      <c r="D279" s="99"/>
      <c r="E279" s="99"/>
      <c r="F279" s="99"/>
      <c r="G279" s="99"/>
      <c r="H279" s="102"/>
      <c r="I279" s="102"/>
      <c r="J279" s="102"/>
      <c r="K279" s="102"/>
      <c r="L279" s="54"/>
      <c r="M279" s="54"/>
      <c r="N279" s="54"/>
    </row>
    <row r="280">
      <c r="A280" s="54"/>
      <c r="B280" s="99"/>
      <c r="C280" s="99"/>
      <c r="D280" s="99"/>
      <c r="E280" s="99"/>
      <c r="F280" s="99"/>
      <c r="G280" s="99"/>
      <c r="H280" s="102"/>
      <c r="I280" s="102"/>
      <c r="J280" s="102"/>
      <c r="K280" s="102"/>
      <c r="L280" s="54"/>
      <c r="M280" s="54"/>
      <c r="N280" s="54"/>
    </row>
    <row r="281">
      <c r="A281" s="54"/>
      <c r="B281" s="99"/>
      <c r="C281" s="99"/>
      <c r="D281" s="99"/>
      <c r="E281" s="99"/>
      <c r="F281" s="99"/>
      <c r="G281" s="99"/>
      <c r="H281" s="102"/>
      <c r="I281" s="102"/>
      <c r="J281" s="102"/>
      <c r="K281" s="102"/>
      <c r="L281" s="54"/>
      <c r="M281" s="54"/>
      <c r="N281" s="54"/>
    </row>
    <row r="282">
      <c r="A282" s="54"/>
      <c r="B282" s="99"/>
      <c r="C282" s="99"/>
      <c r="D282" s="99"/>
      <c r="E282" s="99"/>
      <c r="F282" s="99"/>
      <c r="G282" s="99"/>
      <c r="H282" s="102"/>
      <c r="I282" s="102"/>
      <c r="J282" s="102"/>
      <c r="K282" s="102"/>
      <c r="L282" s="54"/>
      <c r="M282" s="54"/>
      <c r="N282" s="54"/>
    </row>
    <row r="283">
      <c r="A283" s="54"/>
      <c r="B283" s="99"/>
      <c r="C283" s="99"/>
      <c r="D283" s="99"/>
      <c r="E283" s="99"/>
      <c r="F283" s="99"/>
      <c r="G283" s="99"/>
      <c r="H283" s="102"/>
      <c r="I283" s="102"/>
      <c r="J283" s="102"/>
      <c r="K283" s="102"/>
      <c r="L283" s="54"/>
      <c r="M283" s="54"/>
      <c r="N283" s="54"/>
    </row>
    <row r="284">
      <c r="A284" s="54"/>
      <c r="B284" s="99"/>
      <c r="C284" s="99"/>
      <c r="D284" s="99"/>
      <c r="E284" s="99"/>
      <c r="F284" s="99"/>
      <c r="G284" s="99"/>
      <c r="H284" s="102"/>
      <c r="I284" s="102"/>
      <c r="J284" s="102"/>
      <c r="K284" s="102"/>
      <c r="L284" s="54"/>
      <c r="M284" s="54"/>
      <c r="N284" s="54"/>
    </row>
    <row r="285">
      <c r="A285" s="54"/>
      <c r="B285" s="99"/>
      <c r="C285" s="99"/>
      <c r="D285" s="99"/>
      <c r="E285" s="99"/>
      <c r="F285" s="99"/>
      <c r="G285" s="99"/>
      <c r="H285" s="102"/>
      <c r="I285" s="102"/>
      <c r="J285" s="102"/>
      <c r="K285" s="102"/>
      <c r="L285" s="54"/>
      <c r="M285" s="54"/>
      <c r="N285" s="54"/>
    </row>
    <row r="286">
      <c r="A286" s="54"/>
      <c r="B286" s="99"/>
      <c r="C286" s="99"/>
      <c r="D286" s="99"/>
      <c r="E286" s="99"/>
      <c r="F286" s="99"/>
      <c r="G286" s="99"/>
      <c r="H286" s="102"/>
      <c r="I286" s="102"/>
      <c r="J286" s="102"/>
      <c r="K286" s="102"/>
      <c r="L286" s="54"/>
      <c r="M286" s="54"/>
      <c r="N286" s="54"/>
    </row>
    <row r="287">
      <c r="A287" s="54"/>
      <c r="B287" s="99"/>
      <c r="C287" s="99"/>
      <c r="D287" s="99"/>
      <c r="E287" s="99"/>
      <c r="F287" s="99"/>
      <c r="G287" s="99"/>
      <c r="H287" s="102"/>
      <c r="I287" s="102"/>
      <c r="J287" s="102"/>
      <c r="K287" s="102"/>
      <c r="L287" s="54"/>
      <c r="M287" s="54"/>
      <c r="N287" s="54"/>
    </row>
    <row r="288">
      <c r="A288" s="54"/>
      <c r="B288" s="99"/>
      <c r="C288" s="99"/>
      <c r="D288" s="99"/>
      <c r="E288" s="99"/>
      <c r="F288" s="99"/>
      <c r="G288" s="99"/>
      <c r="H288" s="102"/>
      <c r="I288" s="102"/>
      <c r="J288" s="102"/>
      <c r="K288" s="102"/>
      <c r="L288" s="54"/>
      <c r="M288" s="54"/>
      <c r="N288" s="54"/>
    </row>
    <row r="289">
      <c r="A289" s="54"/>
      <c r="B289" s="99"/>
      <c r="C289" s="99"/>
      <c r="D289" s="99"/>
      <c r="E289" s="99"/>
      <c r="F289" s="99"/>
      <c r="G289" s="99"/>
      <c r="H289" s="102"/>
      <c r="I289" s="102"/>
      <c r="J289" s="102"/>
      <c r="K289" s="102"/>
      <c r="L289" s="54"/>
      <c r="M289" s="54"/>
      <c r="N289" s="54"/>
    </row>
    <row r="290">
      <c r="A290" s="54"/>
      <c r="B290" s="99"/>
      <c r="C290" s="99"/>
      <c r="D290" s="99"/>
      <c r="E290" s="99"/>
      <c r="F290" s="99"/>
      <c r="G290" s="99"/>
      <c r="H290" s="102"/>
      <c r="I290" s="102"/>
      <c r="J290" s="102"/>
      <c r="K290" s="102"/>
      <c r="L290" s="54"/>
      <c r="M290" s="54"/>
      <c r="N290" s="54"/>
    </row>
    <row r="291">
      <c r="A291" s="54"/>
      <c r="B291" s="99"/>
      <c r="C291" s="99"/>
      <c r="D291" s="99"/>
      <c r="E291" s="99"/>
      <c r="F291" s="99"/>
      <c r="G291" s="99"/>
      <c r="H291" s="102"/>
      <c r="I291" s="102"/>
      <c r="J291" s="102"/>
      <c r="K291" s="102"/>
      <c r="L291" s="54"/>
      <c r="M291" s="54"/>
      <c r="N291" s="54"/>
    </row>
    <row r="292">
      <c r="A292" s="54"/>
      <c r="B292" s="99"/>
      <c r="C292" s="99"/>
      <c r="D292" s="99"/>
      <c r="E292" s="99"/>
      <c r="F292" s="99"/>
      <c r="G292" s="99"/>
      <c r="H292" s="102"/>
      <c r="I292" s="102"/>
      <c r="J292" s="102"/>
      <c r="K292" s="102"/>
      <c r="L292" s="54"/>
      <c r="M292" s="54"/>
      <c r="N292" s="54"/>
    </row>
    <row r="293">
      <c r="A293" s="54"/>
      <c r="B293" s="99"/>
      <c r="C293" s="99"/>
      <c r="D293" s="99"/>
      <c r="E293" s="99"/>
      <c r="F293" s="99"/>
      <c r="G293" s="99"/>
      <c r="H293" s="102"/>
      <c r="I293" s="102"/>
      <c r="J293" s="102"/>
      <c r="K293" s="102"/>
      <c r="L293" s="54"/>
      <c r="M293" s="54"/>
      <c r="N293" s="54"/>
    </row>
    <row r="294">
      <c r="A294" s="54"/>
      <c r="B294" s="99"/>
      <c r="C294" s="99"/>
      <c r="D294" s="99"/>
      <c r="E294" s="99"/>
      <c r="F294" s="99"/>
      <c r="G294" s="99"/>
      <c r="H294" s="102"/>
      <c r="I294" s="102"/>
      <c r="J294" s="102"/>
      <c r="K294" s="102"/>
      <c r="L294" s="54"/>
      <c r="M294" s="54"/>
      <c r="N294" s="54"/>
    </row>
    <row r="295">
      <c r="A295" s="54"/>
      <c r="B295" s="99"/>
      <c r="C295" s="99"/>
      <c r="D295" s="99"/>
      <c r="E295" s="99"/>
      <c r="F295" s="99"/>
      <c r="G295" s="99"/>
      <c r="H295" s="102"/>
      <c r="I295" s="102"/>
      <c r="J295" s="102"/>
      <c r="K295" s="102"/>
      <c r="L295" s="54"/>
      <c r="M295" s="54"/>
      <c r="N295" s="54"/>
    </row>
    <row r="296">
      <c r="A296" s="54"/>
      <c r="B296" s="99"/>
      <c r="C296" s="99"/>
      <c r="D296" s="99"/>
      <c r="E296" s="99"/>
      <c r="F296" s="99"/>
      <c r="G296" s="99"/>
      <c r="H296" s="102"/>
      <c r="I296" s="102"/>
      <c r="J296" s="102"/>
      <c r="K296" s="102"/>
      <c r="L296" s="54"/>
      <c r="M296" s="54"/>
      <c r="N296" s="54"/>
    </row>
    <row r="297">
      <c r="A297" s="54"/>
      <c r="B297" s="99"/>
      <c r="C297" s="99"/>
      <c r="D297" s="99"/>
      <c r="E297" s="99"/>
      <c r="F297" s="99"/>
      <c r="G297" s="99"/>
      <c r="H297" s="102"/>
      <c r="I297" s="102"/>
      <c r="J297" s="102"/>
      <c r="K297" s="102"/>
      <c r="L297" s="54"/>
      <c r="M297" s="54"/>
      <c r="N297" s="54"/>
    </row>
    <row r="298">
      <c r="A298" s="54"/>
      <c r="B298" s="99"/>
      <c r="C298" s="99"/>
      <c r="D298" s="99"/>
      <c r="E298" s="99"/>
      <c r="F298" s="99"/>
      <c r="G298" s="99"/>
      <c r="H298" s="102"/>
      <c r="I298" s="102"/>
      <c r="J298" s="102"/>
      <c r="K298" s="102"/>
      <c r="L298" s="54"/>
      <c r="M298" s="54"/>
      <c r="N298" s="54"/>
    </row>
    <row r="299">
      <c r="A299" s="54"/>
      <c r="B299" s="99"/>
      <c r="C299" s="99"/>
      <c r="D299" s="99"/>
      <c r="E299" s="99"/>
      <c r="F299" s="99"/>
      <c r="G299" s="99"/>
      <c r="H299" s="102"/>
      <c r="I299" s="102"/>
      <c r="J299" s="102"/>
      <c r="K299" s="102"/>
      <c r="L299" s="54"/>
      <c r="M299" s="54"/>
      <c r="N299" s="54"/>
    </row>
    <row r="300">
      <c r="A300" s="54"/>
      <c r="B300" s="99"/>
      <c r="C300" s="99"/>
      <c r="D300" s="99"/>
      <c r="E300" s="99"/>
      <c r="F300" s="99"/>
      <c r="G300" s="99"/>
      <c r="H300" s="102"/>
      <c r="I300" s="102"/>
      <c r="J300" s="102"/>
      <c r="K300" s="102"/>
      <c r="L300" s="54"/>
      <c r="M300" s="54"/>
      <c r="N300" s="54"/>
    </row>
    <row r="301">
      <c r="A301" s="54"/>
      <c r="B301" s="99"/>
      <c r="C301" s="99"/>
      <c r="D301" s="99"/>
      <c r="E301" s="99"/>
      <c r="F301" s="99"/>
      <c r="G301" s="99"/>
      <c r="H301" s="102"/>
      <c r="I301" s="102"/>
      <c r="J301" s="102"/>
      <c r="K301" s="102"/>
      <c r="L301" s="54"/>
      <c r="M301" s="54"/>
      <c r="N301" s="54"/>
    </row>
    <row r="302">
      <c r="A302" s="54"/>
      <c r="B302" s="99"/>
      <c r="C302" s="99"/>
      <c r="D302" s="99"/>
      <c r="E302" s="99"/>
      <c r="F302" s="99"/>
      <c r="G302" s="99"/>
      <c r="H302" s="102"/>
      <c r="I302" s="102"/>
      <c r="J302" s="102"/>
      <c r="K302" s="102"/>
      <c r="L302" s="54"/>
      <c r="M302" s="54"/>
      <c r="N302" s="54"/>
    </row>
    <row r="303">
      <c r="A303" s="54"/>
      <c r="B303" s="99"/>
      <c r="C303" s="99"/>
      <c r="D303" s="99"/>
      <c r="E303" s="99"/>
      <c r="F303" s="99"/>
      <c r="G303" s="99"/>
      <c r="H303" s="102"/>
      <c r="I303" s="102"/>
      <c r="J303" s="102"/>
      <c r="K303" s="102"/>
      <c r="L303" s="54"/>
      <c r="M303" s="54"/>
      <c r="N303" s="54"/>
    </row>
    <row r="304">
      <c r="A304" s="54"/>
      <c r="B304" s="99"/>
      <c r="C304" s="99"/>
      <c r="D304" s="99"/>
      <c r="E304" s="99"/>
      <c r="F304" s="99"/>
      <c r="G304" s="99"/>
      <c r="H304" s="102"/>
      <c r="I304" s="102"/>
      <c r="J304" s="102"/>
      <c r="K304" s="102"/>
      <c r="L304" s="54"/>
      <c r="M304" s="54"/>
      <c r="N304" s="54"/>
    </row>
    <row r="305">
      <c r="A305" s="54"/>
      <c r="B305" s="99"/>
      <c r="C305" s="99"/>
      <c r="D305" s="99"/>
      <c r="E305" s="99"/>
      <c r="F305" s="99"/>
      <c r="G305" s="99"/>
      <c r="H305" s="102"/>
      <c r="I305" s="102"/>
      <c r="J305" s="102"/>
      <c r="K305" s="102"/>
      <c r="L305" s="54"/>
      <c r="M305" s="54"/>
      <c r="N305" s="54"/>
    </row>
    <row r="306">
      <c r="A306" s="54"/>
      <c r="B306" s="99"/>
      <c r="C306" s="99"/>
      <c r="D306" s="99"/>
      <c r="E306" s="99"/>
      <c r="F306" s="99"/>
      <c r="G306" s="99"/>
      <c r="H306" s="102"/>
      <c r="I306" s="102"/>
      <c r="J306" s="102"/>
      <c r="K306" s="102"/>
      <c r="L306" s="54"/>
      <c r="M306" s="54"/>
      <c r="N306" s="54"/>
    </row>
    <row r="307">
      <c r="A307" s="54"/>
      <c r="B307" s="99"/>
      <c r="C307" s="99"/>
      <c r="D307" s="99"/>
      <c r="E307" s="99"/>
      <c r="F307" s="99"/>
      <c r="G307" s="99"/>
      <c r="H307" s="102"/>
      <c r="I307" s="102"/>
      <c r="J307" s="102"/>
      <c r="K307" s="102"/>
      <c r="L307" s="54"/>
      <c r="M307" s="54"/>
      <c r="N307" s="54"/>
    </row>
    <row r="308">
      <c r="A308" s="54"/>
      <c r="B308" s="99"/>
      <c r="C308" s="99"/>
      <c r="D308" s="99"/>
      <c r="E308" s="99"/>
      <c r="F308" s="99"/>
      <c r="G308" s="99"/>
      <c r="H308" s="102"/>
      <c r="I308" s="102"/>
      <c r="J308" s="102"/>
      <c r="K308" s="102"/>
      <c r="L308" s="54"/>
      <c r="M308" s="54"/>
      <c r="N308" s="54"/>
    </row>
    <row r="309">
      <c r="A309" s="54"/>
      <c r="B309" s="99"/>
      <c r="C309" s="99"/>
      <c r="D309" s="99"/>
      <c r="E309" s="99"/>
      <c r="F309" s="99"/>
      <c r="G309" s="99"/>
      <c r="H309" s="102"/>
      <c r="I309" s="102"/>
      <c r="J309" s="102"/>
      <c r="K309" s="102"/>
      <c r="L309" s="54"/>
      <c r="M309" s="54"/>
      <c r="N309" s="54"/>
    </row>
    <row r="310">
      <c r="A310" s="54"/>
      <c r="B310" s="99"/>
      <c r="C310" s="99"/>
      <c r="D310" s="99"/>
      <c r="E310" s="99"/>
      <c r="F310" s="99"/>
      <c r="G310" s="99"/>
      <c r="H310" s="102"/>
      <c r="I310" s="102"/>
      <c r="J310" s="102"/>
      <c r="K310" s="102"/>
      <c r="L310" s="54"/>
      <c r="M310" s="54"/>
      <c r="N310" s="54"/>
    </row>
    <row r="311">
      <c r="A311" s="54"/>
      <c r="B311" s="99"/>
      <c r="C311" s="99"/>
      <c r="D311" s="99"/>
      <c r="E311" s="99"/>
      <c r="F311" s="99"/>
      <c r="G311" s="99"/>
      <c r="H311" s="102"/>
      <c r="I311" s="102"/>
      <c r="J311" s="102"/>
      <c r="K311" s="102"/>
      <c r="L311" s="54"/>
      <c r="M311" s="54"/>
      <c r="N311" s="54"/>
    </row>
    <row r="312">
      <c r="A312" s="54"/>
      <c r="B312" s="99"/>
      <c r="C312" s="99"/>
      <c r="D312" s="99"/>
      <c r="E312" s="99"/>
      <c r="F312" s="99"/>
      <c r="G312" s="99"/>
      <c r="H312" s="102"/>
      <c r="I312" s="102"/>
      <c r="J312" s="102"/>
      <c r="K312" s="102"/>
      <c r="L312" s="54"/>
      <c r="M312" s="54"/>
      <c r="N312" s="54"/>
    </row>
    <row r="313">
      <c r="A313" s="54"/>
      <c r="B313" s="99"/>
      <c r="C313" s="99"/>
      <c r="D313" s="99"/>
      <c r="E313" s="99"/>
      <c r="F313" s="99"/>
      <c r="G313" s="99"/>
      <c r="H313" s="102"/>
      <c r="I313" s="102"/>
      <c r="J313" s="102"/>
      <c r="K313" s="102"/>
      <c r="L313" s="54"/>
      <c r="M313" s="54"/>
      <c r="N313" s="54"/>
    </row>
    <row r="314">
      <c r="A314" s="54"/>
      <c r="B314" s="99"/>
      <c r="C314" s="99"/>
      <c r="D314" s="99"/>
      <c r="E314" s="99"/>
      <c r="F314" s="99"/>
      <c r="G314" s="99"/>
      <c r="H314" s="102"/>
      <c r="I314" s="102"/>
      <c r="J314" s="102"/>
      <c r="K314" s="102"/>
      <c r="L314" s="54"/>
      <c r="M314" s="54"/>
      <c r="N314" s="54"/>
    </row>
    <row r="315">
      <c r="A315" s="54"/>
      <c r="B315" s="99"/>
      <c r="C315" s="99"/>
      <c r="D315" s="99"/>
      <c r="E315" s="99"/>
      <c r="F315" s="99"/>
      <c r="G315" s="99"/>
      <c r="H315" s="102"/>
      <c r="I315" s="102"/>
      <c r="J315" s="102"/>
      <c r="K315" s="102"/>
      <c r="L315" s="54"/>
      <c r="M315" s="54"/>
      <c r="N315" s="54"/>
    </row>
    <row r="316">
      <c r="A316" s="54"/>
      <c r="B316" s="99"/>
      <c r="C316" s="99"/>
      <c r="D316" s="99"/>
      <c r="E316" s="99"/>
      <c r="F316" s="99"/>
      <c r="G316" s="99"/>
      <c r="H316" s="102"/>
      <c r="I316" s="102"/>
      <c r="J316" s="102"/>
      <c r="K316" s="102"/>
      <c r="L316" s="54"/>
      <c r="M316" s="54"/>
      <c r="N316" s="54"/>
    </row>
    <row r="317">
      <c r="A317" s="54"/>
      <c r="B317" s="99"/>
      <c r="C317" s="99"/>
      <c r="D317" s="99"/>
      <c r="E317" s="99"/>
      <c r="F317" s="99"/>
      <c r="G317" s="99"/>
      <c r="H317" s="102"/>
      <c r="I317" s="102"/>
      <c r="J317" s="102"/>
      <c r="K317" s="102"/>
      <c r="L317" s="54"/>
      <c r="M317" s="54"/>
      <c r="N317" s="54"/>
    </row>
    <row r="318">
      <c r="A318" s="54"/>
      <c r="B318" s="99"/>
      <c r="C318" s="99"/>
      <c r="D318" s="99"/>
      <c r="E318" s="99"/>
      <c r="F318" s="99"/>
      <c r="G318" s="99"/>
      <c r="H318" s="102"/>
      <c r="I318" s="102"/>
      <c r="J318" s="102"/>
      <c r="K318" s="102"/>
      <c r="L318" s="54"/>
      <c r="M318" s="54"/>
      <c r="N318" s="54"/>
    </row>
    <row r="319">
      <c r="A319" s="54"/>
      <c r="B319" s="99"/>
      <c r="C319" s="99"/>
      <c r="D319" s="99"/>
      <c r="E319" s="99"/>
      <c r="F319" s="99"/>
      <c r="G319" s="99"/>
      <c r="H319" s="102"/>
      <c r="I319" s="102"/>
      <c r="J319" s="102"/>
      <c r="K319" s="102"/>
      <c r="L319" s="54"/>
      <c r="M319" s="54"/>
      <c r="N319" s="54"/>
    </row>
    <row r="320">
      <c r="A320" s="54"/>
      <c r="B320" s="99"/>
      <c r="C320" s="99"/>
      <c r="D320" s="99"/>
      <c r="E320" s="99"/>
      <c r="F320" s="99"/>
      <c r="G320" s="99"/>
      <c r="H320" s="102"/>
      <c r="I320" s="102"/>
      <c r="J320" s="102"/>
      <c r="K320" s="102"/>
      <c r="L320" s="54"/>
      <c r="M320" s="54"/>
      <c r="N320" s="54"/>
    </row>
    <row r="321">
      <c r="A321" s="54"/>
      <c r="B321" s="99"/>
      <c r="C321" s="99"/>
      <c r="D321" s="99"/>
      <c r="E321" s="99"/>
      <c r="F321" s="99"/>
      <c r="G321" s="99"/>
      <c r="H321" s="102"/>
      <c r="I321" s="102"/>
      <c r="J321" s="102"/>
      <c r="K321" s="102"/>
      <c r="L321" s="54"/>
      <c r="M321" s="54"/>
      <c r="N321" s="54"/>
    </row>
    <row r="322">
      <c r="A322" s="54"/>
      <c r="B322" s="99"/>
      <c r="C322" s="99"/>
      <c r="D322" s="99"/>
      <c r="E322" s="99"/>
      <c r="F322" s="99"/>
      <c r="G322" s="99"/>
      <c r="H322" s="102"/>
      <c r="I322" s="102"/>
      <c r="J322" s="102"/>
      <c r="K322" s="102"/>
      <c r="L322" s="54"/>
      <c r="M322" s="54"/>
      <c r="N322" s="54"/>
    </row>
    <row r="323">
      <c r="A323" s="54"/>
      <c r="B323" s="99"/>
      <c r="C323" s="99"/>
      <c r="D323" s="99"/>
      <c r="E323" s="99"/>
      <c r="F323" s="99"/>
      <c r="G323" s="99"/>
      <c r="H323" s="102"/>
      <c r="I323" s="102"/>
      <c r="J323" s="102"/>
      <c r="K323" s="102"/>
      <c r="L323" s="54"/>
      <c r="M323" s="54"/>
      <c r="N323" s="54"/>
    </row>
    <row r="324">
      <c r="A324" s="54"/>
      <c r="B324" s="99"/>
      <c r="C324" s="99"/>
      <c r="D324" s="99"/>
      <c r="E324" s="99"/>
      <c r="F324" s="99"/>
      <c r="G324" s="99"/>
      <c r="H324" s="102"/>
      <c r="I324" s="102"/>
      <c r="J324" s="102"/>
      <c r="K324" s="102"/>
      <c r="L324" s="54"/>
      <c r="M324" s="54"/>
      <c r="N324" s="54"/>
    </row>
    <row r="325">
      <c r="A325" s="54"/>
      <c r="B325" s="99"/>
      <c r="C325" s="99"/>
      <c r="D325" s="99"/>
      <c r="E325" s="99"/>
      <c r="F325" s="99"/>
      <c r="G325" s="99"/>
      <c r="H325" s="102"/>
      <c r="I325" s="102"/>
      <c r="J325" s="102"/>
      <c r="K325" s="102"/>
      <c r="L325" s="54"/>
      <c r="M325" s="54"/>
      <c r="N325" s="54"/>
    </row>
    <row r="326">
      <c r="A326" s="54"/>
      <c r="B326" s="99"/>
      <c r="C326" s="99"/>
      <c r="D326" s="99"/>
      <c r="E326" s="99"/>
      <c r="F326" s="99"/>
      <c r="G326" s="99"/>
      <c r="H326" s="102"/>
      <c r="I326" s="102"/>
      <c r="J326" s="102"/>
      <c r="K326" s="102"/>
      <c r="L326" s="54"/>
      <c r="M326" s="54"/>
      <c r="N326" s="54"/>
    </row>
    <row r="327">
      <c r="A327" s="54"/>
      <c r="B327" s="99"/>
      <c r="C327" s="99"/>
      <c r="D327" s="99"/>
      <c r="E327" s="99"/>
      <c r="F327" s="99"/>
      <c r="G327" s="99"/>
      <c r="H327" s="102"/>
      <c r="I327" s="102"/>
      <c r="J327" s="102"/>
      <c r="K327" s="102"/>
      <c r="L327" s="54"/>
      <c r="M327" s="54"/>
      <c r="N327" s="54"/>
    </row>
    <row r="328">
      <c r="A328" s="54"/>
      <c r="B328" s="99"/>
      <c r="C328" s="99"/>
      <c r="D328" s="99"/>
      <c r="E328" s="99"/>
      <c r="F328" s="99"/>
      <c r="G328" s="99"/>
      <c r="H328" s="102"/>
      <c r="I328" s="102"/>
      <c r="J328" s="102"/>
      <c r="K328" s="102"/>
      <c r="L328" s="54"/>
      <c r="M328" s="54"/>
      <c r="N328" s="54"/>
    </row>
    <row r="329">
      <c r="A329" s="54"/>
      <c r="B329" s="99"/>
      <c r="C329" s="99"/>
      <c r="D329" s="99"/>
      <c r="E329" s="99"/>
      <c r="F329" s="99"/>
      <c r="G329" s="99"/>
      <c r="H329" s="102"/>
      <c r="I329" s="102"/>
      <c r="J329" s="102"/>
      <c r="K329" s="102"/>
      <c r="L329" s="54"/>
      <c r="M329" s="54"/>
      <c r="N329" s="54"/>
    </row>
    <row r="330">
      <c r="A330" s="54"/>
      <c r="B330" s="99"/>
      <c r="C330" s="99"/>
      <c r="D330" s="99"/>
      <c r="E330" s="99"/>
      <c r="F330" s="99"/>
      <c r="G330" s="99"/>
      <c r="H330" s="102"/>
      <c r="I330" s="102"/>
      <c r="J330" s="102"/>
      <c r="K330" s="102"/>
      <c r="L330" s="54"/>
      <c r="M330" s="54"/>
      <c r="N330" s="54"/>
    </row>
    <row r="331">
      <c r="A331" s="54"/>
      <c r="B331" s="99"/>
      <c r="C331" s="99"/>
      <c r="D331" s="99"/>
      <c r="E331" s="99"/>
      <c r="F331" s="99"/>
      <c r="G331" s="99"/>
      <c r="H331" s="102"/>
      <c r="I331" s="102"/>
      <c r="J331" s="102"/>
      <c r="K331" s="102"/>
      <c r="L331" s="54"/>
      <c r="M331" s="54"/>
      <c r="N331" s="54"/>
    </row>
    <row r="332">
      <c r="A332" s="54"/>
      <c r="B332" s="99"/>
      <c r="C332" s="99"/>
      <c r="D332" s="99"/>
      <c r="E332" s="99"/>
      <c r="F332" s="99"/>
      <c r="G332" s="99"/>
      <c r="H332" s="102"/>
      <c r="I332" s="102"/>
      <c r="J332" s="102"/>
      <c r="K332" s="102"/>
      <c r="L332" s="54"/>
      <c r="M332" s="54"/>
      <c r="N332" s="54"/>
    </row>
    <row r="333">
      <c r="A333" s="54"/>
      <c r="B333" s="99"/>
      <c r="C333" s="99"/>
      <c r="D333" s="99"/>
      <c r="E333" s="99"/>
      <c r="F333" s="99"/>
      <c r="G333" s="99"/>
      <c r="H333" s="102"/>
      <c r="I333" s="102"/>
      <c r="J333" s="102"/>
      <c r="K333" s="102"/>
      <c r="L333" s="54"/>
      <c r="M333" s="54"/>
      <c r="N333" s="54"/>
    </row>
    <row r="334">
      <c r="A334" s="54"/>
      <c r="B334" s="99"/>
      <c r="C334" s="99"/>
      <c r="D334" s="99"/>
      <c r="E334" s="99"/>
      <c r="F334" s="99"/>
      <c r="G334" s="99"/>
      <c r="H334" s="102"/>
      <c r="I334" s="102"/>
      <c r="J334" s="102"/>
      <c r="K334" s="102"/>
      <c r="L334" s="54"/>
      <c r="M334" s="54"/>
      <c r="N334" s="54"/>
    </row>
    <row r="335">
      <c r="A335" s="54"/>
      <c r="B335" s="99"/>
      <c r="C335" s="99"/>
      <c r="D335" s="99"/>
      <c r="E335" s="99"/>
      <c r="F335" s="99"/>
      <c r="G335" s="99"/>
      <c r="H335" s="102"/>
      <c r="I335" s="102"/>
      <c r="J335" s="102"/>
      <c r="K335" s="102"/>
      <c r="L335" s="54"/>
      <c r="M335" s="54"/>
      <c r="N335" s="54"/>
    </row>
    <row r="336">
      <c r="A336" s="54"/>
      <c r="B336" s="99"/>
      <c r="C336" s="99"/>
      <c r="D336" s="99"/>
      <c r="E336" s="99"/>
      <c r="F336" s="99"/>
      <c r="G336" s="99"/>
      <c r="H336" s="102"/>
      <c r="I336" s="102"/>
      <c r="J336" s="102"/>
      <c r="K336" s="102"/>
      <c r="L336" s="54"/>
      <c r="M336" s="54"/>
      <c r="N336" s="54"/>
    </row>
    <row r="337">
      <c r="A337" s="54"/>
      <c r="B337" s="99"/>
      <c r="C337" s="99"/>
      <c r="D337" s="99"/>
      <c r="E337" s="99"/>
      <c r="F337" s="99"/>
      <c r="G337" s="99"/>
      <c r="H337" s="102"/>
      <c r="I337" s="102"/>
      <c r="J337" s="102"/>
      <c r="K337" s="102"/>
      <c r="L337" s="54"/>
      <c r="M337" s="54"/>
      <c r="N337" s="54"/>
    </row>
    <row r="338">
      <c r="A338" s="54"/>
      <c r="B338" s="99"/>
      <c r="C338" s="99"/>
      <c r="D338" s="99"/>
      <c r="E338" s="99"/>
      <c r="F338" s="99"/>
      <c r="G338" s="99"/>
      <c r="H338" s="102"/>
      <c r="I338" s="102"/>
      <c r="J338" s="102"/>
      <c r="K338" s="102"/>
      <c r="L338" s="54"/>
      <c r="M338" s="54"/>
      <c r="N338" s="54"/>
    </row>
    <row r="339">
      <c r="A339" s="54"/>
      <c r="B339" s="99"/>
      <c r="C339" s="99"/>
      <c r="D339" s="99"/>
      <c r="E339" s="99"/>
      <c r="F339" s="99"/>
      <c r="G339" s="99"/>
      <c r="H339" s="102"/>
      <c r="I339" s="102"/>
      <c r="J339" s="102"/>
      <c r="K339" s="102"/>
      <c r="L339" s="54"/>
      <c r="M339" s="54"/>
      <c r="N339" s="54"/>
    </row>
    <row r="340">
      <c r="A340" s="54"/>
      <c r="B340" s="99"/>
      <c r="C340" s="99"/>
      <c r="D340" s="99"/>
      <c r="E340" s="99"/>
      <c r="F340" s="99"/>
      <c r="G340" s="99"/>
      <c r="H340" s="102"/>
      <c r="I340" s="102"/>
      <c r="J340" s="102"/>
      <c r="K340" s="102"/>
      <c r="L340" s="54"/>
      <c r="M340" s="54"/>
      <c r="N340" s="54"/>
    </row>
    <row r="341">
      <c r="A341" s="54"/>
      <c r="B341" s="99"/>
      <c r="C341" s="99"/>
      <c r="D341" s="99"/>
      <c r="E341" s="99"/>
      <c r="F341" s="99"/>
      <c r="G341" s="99"/>
      <c r="H341" s="102"/>
      <c r="I341" s="102"/>
      <c r="J341" s="102"/>
      <c r="K341" s="102"/>
      <c r="L341" s="54"/>
      <c r="M341" s="54"/>
      <c r="N341" s="54"/>
    </row>
    <row r="342">
      <c r="A342" s="54"/>
      <c r="B342" s="99"/>
      <c r="C342" s="99"/>
      <c r="D342" s="99"/>
      <c r="E342" s="99"/>
      <c r="F342" s="99"/>
      <c r="G342" s="99"/>
      <c r="H342" s="102"/>
      <c r="I342" s="102"/>
      <c r="J342" s="102"/>
      <c r="K342" s="102"/>
      <c r="L342" s="54"/>
      <c r="M342" s="54"/>
      <c r="N342" s="54"/>
    </row>
    <row r="343">
      <c r="A343" s="54"/>
      <c r="B343" s="99"/>
      <c r="C343" s="99"/>
      <c r="D343" s="99"/>
      <c r="E343" s="99"/>
      <c r="F343" s="99"/>
      <c r="G343" s="99"/>
      <c r="H343" s="102"/>
      <c r="I343" s="102"/>
      <c r="J343" s="102"/>
      <c r="K343" s="102"/>
      <c r="L343" s="54"/>
      <c r="M343" s="54"/>
      <c r="N343" s="54"/>
    </row>
    <row r="344">
      <c r="A344" s="54"/>
      <c r="B344" s="99"/>
      <c r="C344" s="99"/>
      <c r="D344" s="99"/>
      <c r="E344" s="99"/>
      <c r="F344" s="99"/>
      <c r="G344" s="99"/>
      <c r="H344" s="102"/>
      <c r="I344" s="102"/>
      <c r="J344" s="102"/>
      <c r="K344" s="102"/>
      <c r="L344" s="54"/>
      <c r="M344" s="54"/>
      <c r="N344" s="54"/>
    </row>
    <row r="345">
      <c r="A345" s="54"/>
      <c r="B345" s="99"/>
      <c r="C345" s="99"/>
      <c r="D345" s="99"/>
      <c r="E345" s="99"/>
      <c r="F345" s="99"/>
      <c r="G345" s="99"/>
      <c r="H345" s="102"/>
      <c r="I345" s="102"/>
      <c r="J345" s="102"/>
      <c r="K345" s="102"/>
      <c r="L345" s="54"/>
      <c r="M345" s="54"/>
      <c r="N345" s="54"/>
    </row>
    <row r="346">
      <c r="A346" s="54"/>
      <c r="B346" s="99"/>
      <c r="C346" s="99"/>
      <c r="D346" s="99"/>
      <c r="E346" s="99"/>
      <c r="F346" s="99"/>
      <c r="G346" s="99"/>
      <c r="H346" s="102"/>
      <c r="I346" s="102"/>
      <c r="J346" s="102"/>
      <c r="K346" s="102"/>
      <c r="L346" s="54"/>
      <c r="M346" s="54"/>
      <c r="N346" s="54"/>
    </row>
    <row r="347">
      <c r="A347" s="54"/>
      <c r="B347" s="99"/>
      <c r="C347" s="99"/>
      <c r="D347" s="99"/>
      <c r="E347" s="99"/>
      <c r="F347" s="99"/>
      <c r="G347" s="99"/>
      <c r="H347" s="102"/>
      <c r="I347" s="102"/>
      <c r="J347" s="102"/>
      <c r="K347" s="102"/>
      <c r="L347" s="54"/>
      <c r="M347" s="54"/>
      <c r="N347" s="54"/>
    </row>
    <row r="348">
      <c r="A348" s="54"/>
      <c r="B348" s="99"/>
      <c r="C348" s="99"/>
      <c r="D348" s="99"/>
      <c r="E348" s="99"/>
      <c r="F348" s="99"/>
      <c r="G348" s="99"/>
      <c r="H348" s="102"/>
      <c r="I348" s="102"/>
      <c r="J348" s="102"/>
      <c r="K348" s="102"/>
      <c r="L348" s="54"/>
      <c r="M348" s="54"/>
      <c r="N348" s="54"/>
    </row>
    <row r="349">
      <c r="A349" s="54"/>
      <c r="B349" s="99"/>
      <c r="C349" s="99"/>
      <c r="D349" s="99"/>
      <c r="E349" s="99"/>
      <c r="F349" s="99"/>
      <c r="G349" s="99"/>
      <c r="H349" s="102"/>
      <c r="I349" s="102"/>
      <c r="J349" s="102"/>
      <c r="K349" s="102"/>
      <c r="L349" s="54"/>
      <c r="M349" s="54"/>
      <c r="N349" s="54"/>
    </row>
    <row r="350">
      <c r="A350" s="54"/>
      <c r="B350" s="99"/>
      <c r="C350" s="99"/>
      <c r="D350" s="99"/>
      <c r="E350" s="99"/>
      <c r="F350" s="99"/>
      <c r="G350" s="99"/>
      <c r="H350" s="102"/>
      <c r="I350" s="102"/>
      <c r="J350" s="102"/>
      <c r="K350" s="102"/>
      <c r="L350" s="54"/>
      <c r="M350" s="54"/>
      <c r="N350" s="54"/>
    </row>
    <row r="351">
      <c r="A351" s="54"/>
      <c r="B351" s="99"/>
      <c r="C351" s="99"/>
      <c r="D351" s="99"/>
      <c r="E351" s="99"/>
      <c r="F351" s="99"/>
      <c r="G351" s="99"/>
      <c r="H351" s="102"/>
      <c r="I351" s="102"/>
      <c r="J351" s="102"/>
      <c r="K351" s="102"/>
      <c r="L351" s="54"/>
      <c r="M351" s="54"/>
      <c r="N351" s="54"/>
    </row>
    <row r="352">
      <c r="A352" s="54"/>
      <c r="B352" s="99"/>
      <c r="C352" s="99"/>
      <c r="D352" s="99"/>
      <c r="E352" s="99"/>
      <c r="F352" s="99"/>
      <c r="G352" s="99"/>
      <c r="H352" s="102"/>
      <c r="I352" s="102"/>
      <c r="J352" s="102"/>
      <c r="K352" s="102"/>
      <c r="L352" s="54"/>
      <c r="M352" s="54"/>
      <c r="N352" s="54"/>
    </row>
    <row r="353">
      <c r="A353" s="54"/>
      <c r="B353" s="99"/>
      <c r="C353" s="99"/>
      <c r="D353" s="99"/>
      <c r="E353" s="99"/>
      <c r="F353" s="99"/>
      <c r="G353" s="99"/>
      <c r="H353" s="102"/>
      <c r="I353" s="102"/>
      <c r="J353" s="102"/>
      <c r="K353" s="102"/>
      <c r="L353" s="54"/>
      <c r="M353" s="54"/>
      <c r="N353" s="54"/>
    </row>
    <row r="354">
      <c r="A354" s="54"/>
      <c r="B354" s="99"/>
      <c r="C354" s="99"/>
      <c r="D354" s="99"/>
      <c r="E354" s="99"/>
      <c r="F354" s="99"/>
      <c r="G354" s="99"/>
      <c r="H354" s="102"/>
      <c r="I354" s="102"/>
      <c r="J354" s="102"/>
      <c r="K354" s="102"/>
      <c r="L354" s="54"/>
      <c r="M354" s="54"/>
      <c r="N354" s="54"/>
    </row>
    <row r="355">
      <c r="A355" s="54"/>
      <c r="B355" s="99"/>
      <c r="C355" s="99"/>
      <c r="D355" s="99"/>
      <c r="E355" s="99"/>
      <c r="F355" s="99"/>
      <c r="G355" s="99"/>
      <c r="H355" s="102"/>
      <c r="I355" s="102"/>
      <c r="J355" s="102"/>
      <c r="K355" s="102"/>
      <c r="L355" s="54"/>
      <c r="M355" s="54"/>
      <c r="N355" s="54"/>
    </row>
    <row r="356">
      <c r="A356" s="54"/>
      <c r="B356" s="99"/>
      <c r="C356" s="99"/>
      <c r="D356" s="99"/>
      <c r="E356" s="99"/>
      <c r="F356" s="99"/>
      <c r="G356" s="99"/>
      <c r="H356" s="102"/>
      <c r="I356" s="102"/>
      <c r="J356" s="102"/>
      <c r="K356" s="102"/>
      <c r="L356" s="54"/>
      <c r="M356" s="54"/>
      <c r="N356" s="54"/>
    </row>
    <row r="357">
      <c r="A357" s="54"/>
      <c r="B357" s="99"/>
      <c r="C357" s="99"/>
      <c r="D357" s="99"/>
      <c r="E357" s="99"/>
      <c r="F357" s="99"/>
      <c r="G357" s="99"/>
      <c r="H357" s="102"/>
      <c r="I357" s="102"/>
      <c r="J357" s="102"/>
      <c r="K357" s="102"/>
      <c r="L357" s="54"/>
      <c r="M357" s="54"/>
      <c r="N357" s="54"/>
    </row>
    <row r="358">
      <c r="A358" s="54"/>
      <c r="B358" s="99"/>
      <c r="C358" s="99"/>
      <c r="D358" s="99"/>
      <c r="E358" s="99"/>
      <c r="F358" s="99"/>
      <c r="G358" s="99"/>
      <c r="H358" s="102"/>
      <c r="I358" s="102"/>
      <c r="J358" s="102"/>
      <c r="K358" s="102"/>
      <c r="L358" s="54"/>
      <c r="M358" s="54"/>
      <c r="N358" s="54"/>
    </row>
    <row r="359">
      <c r="A359" s="54"/>
      <c r="B359" s="99"/>
      <c r="C359" s="99"/>
      <c r="D359" s="99"/>
      <c r="E359" s="99"/>
      <c r="F359" s="99"/>
      <c r="G359" s="99"/>
      <c r="H359" s="102"/>
      <c r="I359" s="102"/>
      <c r="J359" s="102"/>
      <c r="K359" s="102"/>
      <c r="L359" s="54"/>
      <c r="M359" s="54"/>
      <c r="N359" s="54"/>
    </row>
    <row r="360">
      <c r="A360" s="54"/>
      <c r="B360" s="99"/>
      <c r="C360" s="99"/>
      <c r="D360" s="99"/>
      <c r="E360" s="99"/>
      <c r="F360" s="99"/>
      <c r="G360" s="99"/>
      <c r="H360" s="102"/>
      <c r="I360" s="102"/>
      <c r="J360" s="102"/>
      <c r="K360" s="102"/>
      <c r="L360" s="54"/>
      <c r="M360" s="54"/>
      <c r="N360" s="54"/>
    </row>
    <row r="361">
      <c r="A361" s="54"/>
      <c r="B361" s="99"/>
      <c r="C361" s="99"/>
      <c r="D361" s="99"/>
      <c r="E361" s="99"/>
      <c r="F361" s="99"/>
      <c r="G361" s="99"/>
      <c r="H361" s="102"/>
      <c r="I361" s="102"/>
      <c r="J361" s="102"/>
      <c r="K361" s="102"/>
      <c r="L361" s="54"/>
      <c r="M361" s="54"/>
      <c r="N361" s="54"/>
    </row>
    <row r="362">
      <c r="A362" s="54"/>
      <c r="B362" s="99"/>
      <c r="C362" s="99"/>
      <c r="D362" s="99"/>
      <c r="E362" s="99"/>
      <c r="F362" s="99"/>
      <c r="G362" s="99"/>
      <c r="H362" s="102"/>
      <c r="I362" s="102"/>
      <c r="J362" s="102"/>
      <c r="K362" s="102"/>
      <c r="L362" s="54"/>
      <c r="M362" s="54"/>
      <c r="N362" s="54"/>
    </row>
    <row r="363">
      <c r="A363" s="54"/>
      <c r="B363" s="99"/>
      <c r="C363" s="99"/>
      <c r="D363" s="99"/>
      <c r="E363" s="99"/>
      <c r="F363" s="99"/>
      <c r="G363" s="99"/>
      <c r="H363" s="102"/>
      <c r="I363" s="102"/>
      <c r="J363" s="102"/>
      <c r="K363" s="102"/>
      <c r="L363" s="54"/>
      <c r="M363" s="54"/>
      <c r="N363" s="54"/>
    </row>
    <row r="364">
      <c r="A364" s="54"/>
      <c r="B364" s="99"/>
      <c r="C364" s="99"/>
      <c r="D364" s="99"/>
      <c r="E364" s="99"/>
      <c r="F364" s="99"/>
      <c r="G364" s="99"/>
      <c r="H364" s="102"/>
      <c r="I364" s="102"/>
      <c r="J364" s="102"/>
      <c r="K364" s="102"/>
      <c r="L364" s="54"/>
      <c r="M364" s="54"/>
      <c r="N364" s="54"/>
    </row>
    <row r="365">
      <c r="A365" s="54"/>
      <c r="B365" s="99"/>
      <c r="C365" s="99"/>
      <c r="D365" s="99"/>
      <c r="E365" s="99"/>
      <c r="F365" s="99"/>
      <c r="G365" s="99"/>
      <c r="H365" s="102"/>
      <c r="I365" s="102"/>
      <c r="J365" s="102"/>
      <c r="K365" s="102"/>
      <c r="L365" s="54"/>
      <c r="M365" s="54"/>
      <c r="N365" s="54"/>
    </row>
    <row r="366">
      <c r="A366" s="54"/>
      <c r="B366" s="99"/>
      <c r="C366" s="99"/>
      <c r="D366" s="99"/>
      <c r="E366" s="99"/>
      <c r="F366" s="99"/>
      <c r="G366" s="99"/>
      <c r="H366" s="102"/>
      <c r="I366" s="102"/>
      <c r="J366" s="102"/>
      <c r="K366" s="102"/>
      <c r="L366" s="54"/>
      <c r="M366" s="54"/>
      <c r="N366" s="54"/>
    </row>
    <row r="367">
      <c r="A367" s="54"/>
      <c r="B367" s="99"/>
      <c r="C367" s="99"/>
      <c r="D367" s="99"/>
      <c r="E367" s="99"/>
      <c r="F367" s="99"/>
      <c r="G367" s="99"/>
      <c r="H367" s="102"/>
      <c r="I367" s="102"/>
      <c r="J367" s="102"/>
      <c r="K367" s="102"/>
      <c r="L367" s="54"/>
      <c r="M367" s="54"/>
      <c r="N367" s="54"/>
    </row>
    <row r="368">
      <c r="A368" s="54"/>
      <c r="B368" s="99"/>
      <c r="C368" s="99"/>
      <c r="D368" s="99"/>
      <c r="E368" s="99"/>
      <c r="F368" s="99"/>
      <c r="G368" s="99"/>
      <c r="H368" s="102"/>
      <c r="I368" s="102"/>
      <c r="J368" s="102"/>
      <c r="K368" s="102"/>
      <c r="L368" s="54"/>
      <c r="M368" s="54"/>
      <c r="N368" s="54"/>
    </row>
    <row r="369">
      <c r="A369" s="54"/>
      <c r="B369" s="99"/>
      <c r="C369" s="99"/>
      <c r="D369" s="99"/>
      <c r="E369" s="99"/>
      <c r="F369" s="99"/>
      <c r="G369" s="99"/>
      <c r="H369" s="102"/>
      <c r="I369" s="102"/>
      <c r="J369" s="102"/>
      <c r="K369" s="102"/>
      <c r="L369" s="54"/>
      <c r="M369" s="54"/>
      <c r="N369" s="54"/>
    </row>
    <row r="370">
      <c r="A370" s="54"/>
      <c r="B370" s="99"/>
      <c r="C370" s="99"/>
      <c r="D370" s="99"/>
      <c r="E370" s="99"/>
      <c r="F370" s="99"/>
      <c r="G370" s="99"/>
      <c r="H370" s="102"/>
      <c r="I370" s="102"/>
      <c r="J370" s="102"/>
      <c r="K370" s="102"/>
      <c r="L370" s="54"/>
      <c r="M370" s="54"/>
      <c r="N370" s="54"/>
    </row>
    <row r="371">
      <c r="A371" s="54"/>
      <c r="B371" s="99"/>
      <c r="C371" s="99"/>
      <c r="D371" s="99"/>
      <c r="E371" s="99"/>
      <c r="F371" s="99"/>
      <c r="G371" s="99"/>
      <c r="H371" s="102"/>
      <c r="I371" s="102"/>
      <c r="J371" s="102"/>
      <c r="K371" s="102"/>
      <c r="L371" s="54"/>
      <c r="M371" s="54"/>
      <c r="N371" s="54"/>
    </row>
    <row r="372">
      <c r="A372" s="54"/>
      <c r="B372" s="99"/>
      <c r="C372" s="99"/>
      <c r="D372" s="99"/>
      <c r="E372" s="99"/>
      <c r="F372" s="99"/>
      <c r="G372" s="99"/>
      <c r="H372" s="102"/>
      <c r="I372" s="102"/>
      <c r="J372" s="102"/>
      <c r="K372" s="102"/>
      <c r="L372" s="54"/>
      <c r="M372" s="54"/>
      <c r="N372" s="54"/>
    </row>
    <row r="373">
      <c r="A373" s="54"/>
      <c r="B373" s="99"/>
      <c r="C373" s="99"/>
      <c r="D373" s="99"/>
      <c r="E373" s="99"/>
      <c r="F373" s="99"/>
      <c r="G373" s="99"/>
      <c r="H373" s="102"/>
      <c r="I373" s="102"/>
      <c r="J373" s="102"/>
      <c r="K373" s="102"/>
      <c r="L373" s="54"/>
      <c r="M373" s="54"/>
      <c r="N373" s="54"/>
    </row>
    <row r="374">
      <c r="A374" s="54"/>
      <c r="B374" s="99"/>
      <c r="C374" s="99"/>
      <c r="D374" s="99"/>
      <c r="E374" s="99"/>
      <c r="F374" s="99"/>
      <c r="G374" s="99"/>
      <c r="H374" s="102"/>
      <c r="I374" s="102"/>
      <c r="J374" s="102"/>
      <c r="K374" s="102"/>
      <c r="L374" s="54"/>
      <c r="M374" s="54"/>
      <c r="N374" s="54"/>
    </row>
    <row r="375">
      <c r="A375" s="54"/>
      <c r="B375" s="99"/>
      <c r="C375" s="99"/>
      <c r="D375" s="99"/>
      <c r="E375" s="99"/>
      <c r="F375" s="99"/>
      <c r="G375" s="99"/>
      <c r="H375" s="102"/>
      <c r="I375" s="102"/>
      <c r="J375" s="102"/>
      <c r="K375" s="102"/>
      <c r="L375" s="54"/>
      <c r="M375" s="54"/>
      <c r="N375" s="54"/>
    </row>
    <row r="376">
      <c r="A376" s="54"/>
      <c r="B376" s="99"/>
      <c r="C376" s="99"/>
      <c r="D376" s="99"/>
      <c r="E376" s="99"/>
      <c r="F376" s="99"/>
      <c r="G376" s="99"/>
      <c r="H376" s="102"/>
      <c r="I376" s="102"/>
      <c r="J376" s="102"/>
      <c r="K376" s="102"/>
      <c r="L376" s="54"/>
      <c r="M376" s="54"/>
      <c r="N376" s="54"/>
    </row>
    <row r="377">
      <c r="A377" s="54"/>
      <c r="B377" s="99"/>
      <c r="C377" s="99"/>
      <c r="D377" s="99"/>
      <c r="E377" s="99"/>
      <c r="F377" s="99"/>
      <c r="G377" s="99"/>
      <c r="H377" s="102"/>
      <c r="I377" s="102"/>
      <c r="J377" s="102"/>
      <c r="K377" s="102"/>
      <c r="L377" s="54"/>
      <c r="M377" s="54"/>
      <c r="N377" s="54"/>
    </row>
    <row r="378">
      <c r="A378" s="54"/>
      <c r="B378" s="99"/>
      <c r="C378" s="99"/>
      <c r="D378" s="99"/>
      <c r="E378" s="99"/>
      <c r="F378" s="99"/>
      <c r="G378" s="99"/>
      <c r="H378" s="102"/>
      <c r="I378" s="102"/>
      <c r="J378" s="102"/>
      <c r="K378" s="102"/>
      <c r="L378" s="54"/>
      <c r="M378" s="54"/>
      <c r="N378" s="54"/>
    </row>
    <row r="379">
      <c r="A379" s="54"/>
      <c r="B379" s="99"/>
      <c r="C379" s="99"/>
      <c r="D379" s="99"/>
      <c r="E379" s="99"/>
      <c r="F379" s="99"/>
      <c r="G379" s="99"/>
      <c r="H379" s="102"/>
      <c r="I379" s="102"/>
      <c r="J379" s="102"/>
      <c r="K379" s="102"/>
      <c r="L379" s="54"/>
      <c r="M379" s="54"/>
      <c r="N379" s="54"/>
    </row>
    <row r="380">
      <c r="A380" s="54"/>
      <c r="B380" s="99"/>
      <c r="C380" s="99"/>
      <c r="D380" s="99"/>
      <c r="E380" s="99"/>
      <c r="F380" s="99"/>
      <c r="G380" s="99"/>
      <c r="H380" s="102"/>
      <c r="I380" s="102"/>
      <c r="J380" s="102"/>
      <c r="K380" s="102"/>
      <c r="L380" s="54"/>
      <c r="M380" s="54"/>
      <c r="N380" s="54"/>
    </row>
    <row r="381">
      <c r="A381" s="54"/>
      <c r="B381" s="99"/>
      <c r="C381" s="99"/>
      <c r="D381" s="99"/>
      <c r="E381" s="99"/>
      <c r="F381" s="99"/>
      <c r="G381" s="99"/>
      <c r="H381" s="102"/>
      <c r="I381" s="102"/>
      <c r="J381" s="102"/>
      <c r="K381" s="102"/>
      <c r="L381" s="54"/>
      <c r="M381" s="54"/>
      <c r="N381" s="54"/>
    </row>
    <row r="382">
      <c r="A382" s="54"/>
      <c r="B382" s="99"/>
      <c r="C382" s="99"/>
      <c r="D382" s="99"/>
      <c r="E382" s="99"/>
      <c r="F382" s="99"/>
      <c r="G382" s="99"/>
      <c r="H382" s="102"/>
      <c r="I382" s="102"/>
      <c r="J382" s="102"/>
      <c r="K382" s="102"/>
      <c r="L382" s="54"/>
      <c r="M382" s="54"/>
      <c r="N382" s="54"/>
    </row>
    <row r="383">
      <c r="A383" s="54"/>
      <c r="B383" s="99"/>
      <c r="C383" s="99"/>
      <c r="D383" s="99"/>
      <c r="E383" s="99"/>
      <c r="F383" s="99"/>
      <c r="G383" s="99"/>
      <c r="H383" s="102"/>
      <c r="I383" s="102"/>
      <c r="J383" s="102"/>
      <c r="K383" s="102"/>
      <c r="L383" s="54"/>
      <c r="M383" s="54"/>
      <c r="N383" s="54"/>
    </row>
    <row r="384">
      <c r="A384" s="54"/>
      <c r="B384" s="99"/>
      <c r="C384" s="99"/>
      <c r="D384" s="99"/>
      <c r="E384" s="99"/>
      <c r="F384" s="99"/>
      <c r="G384" s="99"/>
      <c r="H384" s="102"/>
      <c r="I384" s="102"/>
      <c r="J384" s="102"/>
      <c r="K384" s="102"/>
      <c r="L384" s="54"/>
      <c r="M384" s="54"/>
      <c r="N384" s="54"/>
    </row>
    <row r="385">
      <c r="A385" s="54"/>
      <c r="B385" s="99"/>
      <c r="C385" s="99"/>
      <c r="D385" s="99"/>
      <c r="E385" s="99"/>
      <c r="F385" s="99"/>
      <c r="G385" s="99"/>
      <c r="H385" s="102"/>
      <c r="I385" s="102"/>
      <c r="J385" s="102"/>
      <c r="K385" s="102"/>
      <c r="L385" s="54"/>
      <c r="M385" s="54"/>
      <c r="N385" s="54"/>
    </row>
    <row r="386">
      <c r="A386" s="54"/>
      <c r="B386" s="99"/>
      <c r="C386" s="99"/>
      <c r="D386" s="99"/>
      <c r="E386" s="99"/>
      <c r="F386" s="99"/>
      <c r="G386" s="99"/>
      <c r="H386" s="102"/>
      <c r="I386" s="102"/>
      <c r="J386" s="102"/>
      <c r="K386" s="102"/>
      <c r="L386" s="54"/>
      <c r="M386" s="54"/>
      <c r="N386" s="54"/>
    </row>
    <row r="387">
      <c r="A387" s="54"/>
      <c r="B387" s="99"/>
      <c r="C387" s="99"/>
      <c r="D387" s="99"/>
      <c r="E387" s="99"/>
      <c r="F387" s="99"/>
      <c r="G387" s="99"/>
      <c r="H387" s="102"/>
      <c r="I387" s="102"/>
      <c r="J387" s="102"/>
      <c r="K387" s="102"/>
      <c r="L387" s="54"/>
      <c r="M387" s="54"/>
      <c r="N387" s="54"/>
    </row>
    <row r="388">
      <c r="A388" s="54"/>
      <c r="B388" s="99"/>
      <c r="C388" s="99"/>
      <c r="D388" s="99"/>
      <c r="E388" s="99"/>
      <c r="F388" s="99"/>
      <c r="G388" s="99"/>
      <c r="H388" s="102"/>
      <c r="I388" s="102"/>
      <c r="J388" s="102"/>
      <c r="K388" s="102"/>
      <c r="L388" s="54"/>
      <c r="M388" s="54"/>
      <c r="N388" s="54"/>
    </row>
    <row r="389">
      <c r="A389" s="54"/>
      <c r="B389" s="99"/>
      <c r="C389" s="99"/>
      <c r="D389" s="99"/>
      <c r="E389" s="99"/>
      <c r="F389" s="99"/>
      <c r="G389" s="99"/>
      <c r="H389" s="102"/>
      <c r="I389" s="102"/>
      <c r="J389" s="102"/>
      <c r="K389" s="102"/>
      <c r="L389" s="54"/>
      <c r="M389" s="54"/>
      <c r="N389" s="54"/>
    </row>
    <row r="390">
      <c r="A390" s="54"/>
      <c r="B390" s="99"/>
      <c r="C390" s="99"/>
      <c r="D390" s="99"/>
      <c r="E390" s="99"/>
      <c r="F390" s="99"/>
      <c r="G390" s="99"/>
      <c r="H390" s="102"/>
      <c r="I390" s="102"/>
      <c r="J390" s="102"/>
      <c r="K390" s="102"/>
      <c r="L390" s="54"/>
      <c r="M390" s="54"/>
      <c r="N390" s="54"/>
    </row>
    <row r="391">
      <c r="A391" s="54"/>
      <c r="B391" s="99"/>
      <c r="C391" s="99"/>
      <c r="D391" s="99"/>
      <c r="E391" s="99"/>
      <c r="F391" s="99"/>
      <c r="G391" s="99"/>
      <c r="H391" s="102"/>
      <c r="I391" s="102"/>
      <c r="J391" s="102"/>
      <c r="K391" s="102"/>
      <c r="L391" s="54"/>
      <c r="M391" s="54"/>
      <c r="N391" s="54"/>
    </row>
    <row r="392">
      <c r="A392" s="54"/>
      <c r="B392" s="99"/>
      <c r="C392" s="99"/>
      <c r="D392" s="99"/>
      <c r="E392" s="99"/>
      <c r="F392" s="99"/>
      <c r="G392" s="99"/>
      <c r="H392" s="102"/>
      <c r="I392" s="102"/>
      <c r="J392" s="102"/>
      <c r="K392" s="102"/>
      <c r="L392" s="54"/>
      <c r="M392" s="54"/>
      <c r="N392" s="54"/>
    </row>
    <row r="393">
      <c r="A393" s="54"/>
      <c r="B393" s="99"/>
      <c r="C393" s="99"/>
      <c r="D393" s="99"/>
      <c r="E393" s="99"/>
      <c r="F393" s="99"/>
      <c r="G393" s="99"/>
      <c r="H393" s="102"/>
      <c r="I393" s="102"/>
      <c r="J393" s="102"/>
      <c r="K393" s="102"/>
      <c r="L393" s="54"/>
      <c r="M393" s="54"/>
      <c r="N393" s="54"/>
    </row>
    <row r="394">
      <c r="A394" s="54"/>
      <c r="B394" s="99"/>
      <c r="C394" s="99"/>
      <c r="D394" s="99"/>
      <c r="E394" s="99"/>
      <c r="F394" s="99"/>
      <c r="G394" s="99"/>
      <c r="H394" s="102"/>
      <c r="I394" s="102"/>
      <c r="J394" s="102"/>
      <c r="K394" s="102"/>
      <c r="L394" s="54"/>
      <c r="M394" s="54"/>
      <c r="N394" s="54"/>
    </row>
    <row r="395">
      <c r="A395" s="54"/>
      <c r="B395" s="99"/>
      <c r="C395" s="99"/>
      <c r="D395" s="99"/>
      <c r="E395" s="99"/>
      <c r="F395" s="99"/>
      <c r="G395" s="99"/>
      <c r="H395" s="102"/>
      <c r="I395" s="102"/>
      <c r="J395" s="102"/>
      <c r="K395" s="102"/>
      <c r="L395" s="54"/>
      <c r="M395" s="54"/>
      <c r="N395" s="54"/>
    </row>
    <row r="396">
      <c r="A396" s="54"/>
      <c r="B396" s="99"/>
      <c r="C396" s="99"/>
      <c r="D396" s="99"/>
      <c r="E396" s="99"/>
      <c r="F396" s="99"/>
      <c r="G396" s="99"/>
      <c r="H396" s="102"/>
      <c r="I396" s="102"/>
      <c r="J396" s="102"/>
      <c r="K396" s="102"/>
      <c r="L396" s="54"/>
      <c r="M396" s="54"/>
      <c r="N396" s="54"/>
    </row>
    <row r="397">
      <c r="A397" s="54"/>
      <c r="B397" s="99"/>
      <c r="C397" s="99"/>
      <c r="D397" s="99"/>
      <c r="E397" s="99"/>
      <c r="F397" s="99"/>
      <c r="G397" s="99"/>
      <c r="H397" s="102"/>
      <c r="I397" s="102"/>
      <c r="J397" s="102"/>
      <c r="K397" s="102"/>
      <c r="L397" s="54"/>
      <c r="M397" s="54"/>
      <c r="N397" s="54"/>
    </row>
    <row r="398">
      <c r="A398" s="54"/>
      <c r="B398" s="99"/>
      <c r="C398" s="99"/>
      <c r="D398" s="99"/>
      <c r="E398" s="99"/>
      <c r="F398" s="99"/>
      <c r="G398" s="99"/>
      <c r="H398" s="102"/>
      <c r="I398" s="102"/>
      <c r="J398" s="102"/>
      <c r="K398" s="102"/>
      <c r="L398" s="54"/>
      <c r="M398" s="54"/>
      <c r="N398" s="54"/>
    </row>
    <row r="399">
      <c r="A399" s="54"/>
      <c r="B399" s="99"/>
      <c r="C399" s="99"/>
      <c r="D399" s="99"/>
      <c r="E399" s="99"/>
      <c r="F399" s="99"/>
      <c r="G399" s="99"/>
      <c r="H399" s="102"/>
      <c r="I399" s="102"/>
      <c r="J399" s="102"/>
      <c r="K399" s="102"/>
      <c r="L399" s="54"/>
      <c r="M399" s="54"/>
      <c r="N399" s="54"/>
    </row>
    <row r="400">
      <c r="A400" s="54"/>
      <c r="B400" s="99"/>
      <c r="C400" s="99"/>
      <c r="D400" s="99"/>
      <c r="E400" s="99"/>
      <c r="F400" s="99"/>
      <c r="G400" s="99"/>
      <c r="H400" s="102"/>
      <c r="I400" s="102"/>
      <c r="J400" s="102"/>
      <c r="K400" s="102"/>
      <c r="L400" s="54"/>
      <c r="M400" s="54"/>
      <c r="N400" s="54"/>
    </row>
    <row r="401">
      <c r="A401" s="54"/>
      <c r="B401" s="99"/>
      <c r="C401" s="99"/>
      <c r="D401" s="99"/>
      <c r="E401" s="99"/>
      <c r="F401" s="99"/>
      <c r="G401" s="99"/>
      <c r="H401" s="102"/>
      <c r="I401" s="102"/>
      <c r="J401" s="102"/>
      <c r="K401" s="102"/>
      <c r="L401" s="54"/>
      <c r="M401" s="54"/>
      <c r="N401" s="54"/>
    </row>
    <row r="402">
      <c r="A402" s="54"/>
      <c r="B402" s="99"/>
      <c r="C402" s="99"/>
      <c r="D402" s="99"/>
      <c r="E402" s="99"/>
      <c r="F402" s="99"/>
      <c r="G402" s="99"/>
      <c r="H402" s="102"/>
      <c r="I402" s="102"/>
      <c r="J402" s="102"/>
      <c r="K402" s="102"/>
      <c r="L402" s="54"/>
      <c r="M402" s="54"/>
      <c r="N402" s="54"/>
    </row>
    <row r="403">
      <c r="A403" s="54"/>
      <c r="B403" s="99"/>
      <c r="C403" s="99"/>
      <c r="D403" s="99"/>
      <c r="E403" s="99"/>
      <c r="F403" s="99"/>
      <c r="G403" s="99"/>
      <c r="H403" s="102"/>
      <c r="I403" s="102"/>
      <c r="J403" s="102"/>
      <c r="K403" s="102"/>
      <c r="L403" s="54"/>
      <c r="M403" s="54"/>
      <c r="N403" s="54"/>
    </row>
    <row r="404">
      <c r="A404" s="54"/>
      <c r="B404" s="99"/>
      <c r="C404" s="99"/>
      <c r="D404" s="99"/>
      <c r="E404" s="99"/>
      <c r="F404" s="99"/>
      <c r="G404" s="99"/>
      <c r="H404" s="102"/>
      <c r="I404" s="102"/>
      <c r="J404" s="102"/>
      <c r="K404" s="102"/>
      <c r="L404" s="54"/>
      <c r="M404" s="54"/>
      <c r="N404" s="54"/>
    </row>
    <row r="405">
      <c r="A405" s="54"/>
      <c r="B405" s="99"/>
      <c r="C405" s="99"/>
      <c r="D405" s="99"/>
      <c r="E405" s="99"/>
      <c r="F405" s="99"/>
      <c r="G405" s="99"/>
      <c r="H405" s="102"/>
      <c r="I405" s="102"/>
      <c r="J405" s="102"/>
      <c r="K405" s="102"/>
      <c r="L405" s="54"/>
      <c r="M405" s="54"/>
      <c r="N405" s="54"/>
    </row>
    <row r="406">
      <c r="A406" s="54"/>
      <c r="B406" s="99"/>
      <c r="C406" s="99"/>
      <c r="D406" s="99"/>
      <c r="E406" s="99"/>
      <c r="F406" s="99"/>
      <c r="G406" s="99"/>
      <c r="H406" s="102"/>
      <c r="I406" s="102"/>
      <c r="J406" s="102"/>
      <c r="K406" s="102"/>
      <c r="L406" s="54"/>
      <c r="M406" s="54"/>
      <c r="N406" s="54"/>
    </row>
    <row r="407">
      <c r="A407" s="54"/>
      <c r="B407" s="99"/>
      <c r="C407" s="99"/>
      <c r="D407" s="99"/>
      <c r="E407" s="99"/>
      <c r="F407" s="99"/>
      <c r="G407" s="99"/>
      <c r="H407" s="102"/>
      <c r="I407" s="102"/>
      <c r="J407" s="102"/>
      <c r="K407" s="102"/>
      <c r="L407" s="54"/>
      <c r="M407" s="54"/>
      <c r="N407" s="54"/>
    </row>
    <row r="408">
      <c r="A408" s="54"/>
      <c r="B408" s="99"/>
      <c r="C408" s="99"/>
      <c r="D408" s="99"/>
      <c r="E408" s="99"/>
      <c r="F408" s="99"/>
      <c r="G408" s="99"/>
      <c r="H408" s="102"/>
      <c r="I408" s="102"/>
      <c r="J408" s="102"/>
      <c r="K408" s="102"/>
      <c r="L408" s="54"/>
      <c r="M408" s="54"/>
      <c r="N408" s="54"/>
    </row>
    <row r="409">
      <c r="A409" s="54"/>
      <c r="B409" s="99"/>
      <c r="C409" s="99"/>
      <c r="D409" s="99"/>
      <c r="E409" s="99"/>
      <c r="F409" s="99"/>
      <c r="G409" s="99"/>
      <c r="H409" s="102"/>
      <c r="I409" s="102"/>
      <c r="J409" s="102"/>
      <c r="K409" s="102"/>
      <c r="L409" s="54"/>
      <c r="M409" s="54"/>
      <c r="N409" s="54"/>
    </row>
    <row r="410">
      <c r="A410" s="54"/>
      <c r="B410" s="99"/>
      <c r="C410" s="99"/>
      <c r="D410" s="99"/>
      <c r="E410" s="99"/>
      <c r="F410" s="99"/>
      <c r="G410" s="99"/>
      <c r="H410" s="102"/>
      <c r="I410" s="102"/>
      <c r="J410" s="102"/>
      <c r="K410" s="102"/>
      <c r="L410" s="54"/>
      <c r="M410" s="54"/>
      <c r="N410" s="54"/>
    </row>
    <row r="411">
      <c r="A411" s="54"/>
      <c r="B411" s="99"/>
      <c r="C411" s="99"/>
      <c r="D411" s="99"/>
      <c r="E411" s="99"/>
      <c r="F411" s="99"/>
      <c r="G411" s="99"/>
      <c r="H411" s="102"/>
      <c r="I411" s="102"/>
      <c r="J411" s="102"/>
      <c r="K411" s="102"/>
      <c r="L411" s="54"/>
      <c r="M411" s="54"/>
      <c r="N411" s="54"/>
    </row>
    <row r="412">
      <c r="A412" s="54"/>
      <c r="B412" s="99"/>
      <c r="C412" s="99"/>
      <c r="D412" s="99"/>
      <c r="E412" s="99"/>
      <c r="F412" s="99"/>
      <c r="G412" s="99"/>
      <c r="H412" s="102"/>
      <c r="I412" s="102"/>
      <c r="J412" s="102"/>
      <c r="K412" s="102"/>
      <c r="L412" s="54"/>
      <c r="M412" s="54"/>
      <c r="N412" s="54"/>
    </row>
    <row r="413">
      <c r="A413" s="54"/>
      <c r="B413" s="99"/>
      <c r="C413" s="99"/>
      <c r="D413" s="99"/>
      <c r="E413" s="99"/>
      <c r="F413" s="99"/>
      <c r="G413" s="99"/>
      <c r="H413" s="102"/>
      <c r="I413" s="102"/>
      <c r="J413" s="102"/>
      <c r="K413" s="102"/>
      <c r="L413" s="54"/>
      <c r="M413" s="54"/>
      <c r="N413" s="54"/>
    </row>
    <row r="414">
      <c r="A414" s="54"/>
      <c r="B414" s="99"/>
      <c r="C414" s="99"/>
      <c r="D414" s="99"/>
      <c r="E414" s="99"/>
      <c r="F414" s="99"/>
      <c r="G414" s="99"/>
      <c r="H414" s="102"/>
      <c r="I414" s="102"/>
      <c r="J414" s="102"/>
      <c r="K414" s="102"/>
      <c r="L414" s="54"/>
      <c r="M414" s="54"/>
      <c r="N414" s="54"/>
    </row>
    <row r="415">
      <c r="A415" s="54"/>
      <c r="B415" s="99"/>
      <c r="C415" s="99"/>
      <c r="D415" s="99"/>
      <c r="E415" s="99"/>
      <c r="F415" s="99"/>
      <c r="G415" s="99"/>
      <c r="H415" s="102"/>
      <c r="I415" s="102"/>
      <c r="J415" s="102"/>
      <c r="K415" s="102"/>
      <c r="L415" s="54"/>
      <c r="M415" s="54"/>
      <c r="N415" s="54"/>
    </row>
    <row r="416">
      <c r="A416" s="54"/>
      <c r="B416" s="99"/>
      <c r="C416" s="99"/>
      <c r="D416" s="99"/>
      <c r="E416" s="99"/>
      <c r="F416" s="99"/>
      <c r="G416" s="99"/>
      <c r="H416" s="102"/>
      <c r="I416" s="102"/>
      <c r="J416" s="102"/>
      <c r="K416" s="102"/>
      <c r="L416" s="54"/>
      <c r="M416" s="54"/>
      <c r="N416" s="54"/>
    </row>
    <row r="417">
      <c r="A417" s="54"/>
      <c r="B417" s="99"/>
      <c r="C417" s="99"/>
      <c r="D417" s="99"/>
      <c r="E417" s="99"/>
      <c r="F417" s="99"/>
      <c r="G417" s="99"/>
      <c r="H417" s="102"/>
      <c r="I417" s="102"/>
      <c r="J417" s="102"/>
      <c r="K417" s="102"/>
      <c r="L417" s="54"/>
      <c r="M417" s="54"/>
      <c r="N417" s="54"/>
    </row>
    <row r="418">
      <c r="A418" s="54"/>
      <c r="B418" s="99"/>
      <c r="C418" s="99"/>
      <c r="D418" s="99"/>
      <c r="E418" s="99"/>
      <c r="F418" s="99"/>
      <c r="G418" s="99"/>
      <c r="H418" s="102"/>
      <c r="I418" s="102"/>
      <c r="J418" s="102"/>
      <c r="K418" s="102"/>
      <c r="L418" s="54"/>
      <c r="M418" s="54"/>
      <c r="N418" s="54"/>
    </row>
    <row r="419">
      <c r="A419" s="54"/>
      <c r="B419" s="99"/>
      <c r="C419" s="99"/>
      <c r="D419" s="99"/>
      <c r="E419" s="99"/>
      <c r="F419" s="99"/>
      <c r="G419" s="99"/>
      <c r="H419" s="102"/>
      <c r="I419" s="102"/>
      <c r="J419" s="102"/>
      <c r="K419" s="102"/>
      <c r="L419" s="54"/>
      <c r="M419" s="54"/>
      <c r="N419" s="54"/>
    </row>
    <row r="420">
      <c r="A420" s="54"/>
      <c r="B420" s="99"/>
      <c r="C420" s="99"/>
      <c r="D420" s="99"/>
      <c r="E420" s="99"/>
      <c r="F420" s="99"/>
      <c r="G420" s="99"/>
      <c r="H420" s="102"/>
      <c r="I420" s="102"/>
      <c r="J420" s="102"/>
      <c r="K420" s="102"/>
      <c r="L420" s="54"/>
      <c r="M420" s="54"/>
      <c r="N420" s="54"/>
    </row>
    <row r="421">
      <c r="A421" s="54"/>
      <c r="B421" s="99"/>
      <c r="C421" s="99"/>
      <c r="D421" s="99"/>
      <c r="E421" s="99"/>
      <c r="F421" s="99"/>
      <c r="G421" s="99"/>
      <c r="H421" s="102"/>
      <c r="I421" s="102"/>
      <c r="J421" s="102"/>
      <c r="K421" s="102"/>
      <c r="L421" s="54"/>
      <c r="M421" s="54"/>
      <c r="N421" s="54"/>
    </row>
    <row r="422">
      <c r="A422" s="54"/>
      <c r="B422" s="99"/>
      <c r="C422" s="99"/>
      <c r="D422" s="99"/>
      <c r="E422" s="99"/>
      <c r="F422" s="99"/>
      <c r="G422" s="99"/>
      <c r="H422" s="102"/>
      <c r="I422" s="102"/>
      <c r="J422" s="102"/>
      <c r="K422" s="102"/>
      <c r="L422" s="54"/>
      <c r="M422" s="54"/>
      <c r="N422" s="54"/>
    </row>
    <row r="423">
      <c r="A423" s="54"/>
      <c r="B423" s="99"/>
      <c r="C423" s="99"/>
      <c r="D423" s="99"/>
      <c r="E423" s="99"/>
      <c r="F423" s="99"/>
      <c r="G423" s="99"/>
      <c r="H423" s="102"/>
      <c r="I423" s="102"/>
      <c r="J423" s="102"/>
      <c r="K423" s="102"/>
      <c r="L423" s="54"/>
      <c r="M423" s="54"/>
      <c r="N423" s="54"/>
    </row>
    <row r="424">
      <c r="A424" s="54"/>
      <c r="B424" s="99"/>
      <c r="C424" s="99"/>
      <c r="D424" s="99"/>
      <c r="E424" s="99"/>
      <c r="F424" s="99"/>
      <c r="G424" s="99"/>
      <c r="H424" s="102"/>
      <c r="I424" s="102"/>
      <c r="J424" s="102"/>
      <c r="K424" s="102"/>
      <c r="L424" s="54"/>
      <c r="M424" s="54"/>
      <c r="N424" s="54"/>
    </row>
    <row r="425">
      <c r="A425" s="54"/>
      <c r="B425" s="99"/>
      <c r="C425" s="99"/>
      <c r="D425" s="99"/>
      <c r="E425" s="99"/>
      <c r="F425" s="99"/>
      <c r="G425" s="99"/>
      <c r="H425" s="102"/>
      <c r="I425" s="102"/>
      <c r="J425" s="102"/>
      <c r="K425" s="102"/>
      <c r="L425" s="54"/>
      <c r="M425" s="54"/>
      <c r="N425" s="54"/>
    </row>
    <row r="426">
      <c r="A426" s="54"/>
      <c r="B426" s="99"/>
      <c r="C426" s="99"/>
      <c r="D426" s="99"/>
      <c r="E426" s="99"/>
      <c r="F426" s="99"/>
      <c r="G426" s="99"/>
      <c r="H426" s="102"/>
      <c r="I426" s="102"/>
      <c r="J426" s="102"/>
      <c r="K426" s="102"/>
      <c r="L426" s="54"/>
      <c r="M426" s="54"/>
      <c r="N426" s="54"/>
    </row>
    <row r="427">
      <c r="A427" s="54"/>
      <c r="B427" s="99"/>
      <c r="C427" s="99"/>
      <c r="D427" s="99"/>
      <c r="E427" s="99"/>
      <c r="F427" s="99"/>
      <c r="G427" s="99"/>
      <c r="H427" s="102"/>
      <c r="I427" s="102"/>
      <c r="J427" s="102"/>
      <c r="K427" s="102"/>
      <c r="L427" s="54"/>
      <c r="M427" s="54"/>
      <c r="N427" s="54"/>
    </row>
    <row r="428">
      <c r="A428" s="54"/>
      <c r="B428" s="99"/>
      <c r="C428" s="99"/>
      <c r="D428" s="99"/>
      <c r="E428" s="99"/>
      <c r="F428" s="99"/>
      <c r="G428" s="99"/>
      <c r="H428" s="102"/>
      <c r="I428" s="102"/>
      <c r="J428" s="102"/>
      <c r="K428" s="102"/>
      <c r="L428" s="54"/>
      <c r="M428" s="54"/>
      <c r="N428" s="54"/>
    </row>
    <row r="429">
      <c r="A429" s="54"/>
      <c r="B429" s="99"/>
      <c r="C429" s="99"/>
      <c r="D429" s="99"/>
      <c r="E429" s="99"/>
      <c r="F429" s="99"/>
      <c r="G429" s="99"/>
      <c r="H429" s="102"/>
      <c r="I429" s="102"/>
      <c r="J429" s="102"/>
      <c r="K429" s="102"/>
      <c r="L429" s="54"/>
      <c r="M429" s="54"/>
      <c r="N429" s="54"/>
    </row>
    <row r="430">
      <c r="A430" s="54"/>
      <c r="B430" s="99"/>
      <c r="C430" s="99"/>
      <c r="D430" s="99"/>
      <c r="E430" s="99"/>
      <c r="F430" s="99"/>
      <c r="G430" s="99"/>
      <c r="H430" s="102"/>
      <c r="I430" s="102"/>
      <c r="J430" s="102"/>
      <c r="K430" s="102"/>
      <c r="L430" s="54"/>
      <c r="M430" s="54"/>
      <c r="N430" s="54"/>
    </row>
    <row r="431">
      <c r="A431" s="54"/>
      <c r="B431" s="99"/>
      <c r="C431" s="99"/>
      <c r="D431" s="99"/>
      <c r="E431" s="99"/>
      <c r="F431" s="99"/>
      <c r="G431" s="99"/>
      <c r="H431" s="102"/>
      <c r="I431" s="102"/>
      <c r="J431" s="102"/>
      <c r="K431" s="102"/>
      <c r="L431" s="54"/>
      <c r="M431" s="54"/>
      <c r="N431" s="54"/>
    </row>
    <row r="432">
      <c r="A432" s="54"/>
      <c r="B432" s="99"/>
      <c r="C432" s="99"/>
      <c r="D432" s="99"/>
      <c r="E432" s="99"/>
      <c r="F432" s="99"/>
      <c r="G432" s="99"/>
      <c r="H432" s="102"/>
      <c r="I432" s="102"/>
      <c r="J432" s="102"/>
      <c r="K432" s="102"/>
      <c r="L432" s="54"/>
      <c r="M432" s="54"/>
      <c r="N432" s="54"/>
    </row>
    <row r="433">
      <c r="A433" s="54"/>
      <c r="B433" s="99"/>
      <c r="C433" s="99"/>
      <c r="D433" s="99"/>
      <c r="E433" s="99"/>
      <c r="F433" s="99"/>
      <c r="G433" s="99"/>
      <c r="H433" s="102"/>
      <c r="I433" s="102"/>
      <c r="J433" s="102"/>
      <c r="K433" s="102"/>
      <c r="L433" s="54"/>
      <c r="M433" s="54"/>
      <c r="N433" s="54"/>
    </row>
    <row r="434">
      <c r="A434" s="54"/>
      <c r="B434" s="99"/>
      <c r="C434" s="99"/>
      <c r="D434" s="99"/>
      <c r="E434" s="99"/>
      <c r="F434" s="99"/>
      <c r="G434" s="99"/>
      <c r="H434" s="102"/>
      <c r="I434" s="102"/>
      <c r="J434" s="102"/>
      <c r="K434" s="102"/>
      <c r="L434" s="54"/>
      <c r="M434" s="54"/>
      <c r="N434" s="54"/>
    </row>
    <row r="435">
      <c r="A435" s="54"/>
      <c r="B435" s="99"/>
      <c r="C435" s="99"/>
      <c r="D435" s="99"/>
      <c r="E435" s="99"/>
      <c r="F435" s="99"/>
      <c r="G435" s="99"/>
      <c r="H435" s="102"/>
      <c r="I435" s="102"/>
      <c r="J435" s="102"/>
      <c r="K435" s="102"/>
      <c r="L435" s="54"/>
      <c r="M435" s="54"/>
      <c r="N435" s="54"/>
    </row>
    <row r="436">
      <c r="A436" s="54"/>
      <c r="B436" s="99"/>
      <c r="C436" s="99"/>
      <c r="D436" s="99"/>
      <c r="E436" s="99"/>
      <c r="F436" s="99"/>
      <c r="G436" s="99"/>
      <c r="H436" s="102"/>
      <c r="I436" s="102"/>
      <c r="J436" s="102"/>
      <c r="K436" s="102"/>
      <c r="L436" s="54"/>
      <c r="M436" s="54"/>
      <c r="N436" s="54"/>
    </row>
    <row r="437">
      <c r="A437" s="54"/>
      <c r="B437" s="99"/>
      <c r="C437" s="99"/>
      <c r="D437" s="99"/>
      <c r="E437" s="99"/>
      <c r="F437" s="99"/>
      <c r="G437" s="99"/>
      <c r="H437" s="102"/>
      <c r="I437" s="102"/>
      <c r="J437" s="102"/>
      <c r="K437" s="102"/>
      <c r="L437" s="54"/>
      <c r="M437" s="54"/>
      <c r="N437" s="54"/>
    </row>
    <row r="438">
      <c r="A438" s="54"/>
      <c r="B438" s="99"/>
      <c r="C438" s="99"/>
      <c r="D438" s="99"/>
      <c r="E438" s="99"/>
      <c r="F438" s="99"/>
      <c r="G438" s="99"/>
      <c r="H438" s="102"/>
      <c r="I438" s="102"/>
      <c r="J438" s="102"/>
      <c r="K438" s="102"/>
      <c r="L438" s="54"/>
      <c r="M438" s="54"/>
      <c r="N438" s="54"/>
    </row>
    <row r="439">
      <c r="A439" s="54"/>
      <c r="B439" s="99"/>
      <c r="C439" s="99"/>
      <c r="D439" s="99"/>
      <c r="E439" s="99"/>
      <c r="F439" s="99"/>
      <c r="G439" s="99"/>
      <c r="H439" s="102"/>
      <c r="I439" s="102"/>
      <c r="J439" s="102"/>
      <c r="K439" s="102"/>
      <c r="L439" s="54"/>
      <c r="M439" s="54"/>
      <c r="N439" s="54"/>
    </row>
    <row r="440">
      <c r="A440" s="54"/>
      <c r="B440" s="99"/>
      <c r="C440" s="99"/>
      <c r="D440" s="99"/>
      <c r="E440" s="99"/>
      <c r="F440" s="99"/>
      <c r="G440" s="99"/>
      <c r="H440" s="102"/>
      <c r="I440" s="102"/>
      <c r="J440" s="102"/>
      <c r="K440" s="102"/>
      <c r="L440" s="54"/>
      <c r="M440" s="54"/>
      <c r="N440" s="54"/>
    </row>
    <row r="441">
      <c r="A441" s="54"/>
      <c r="B441" s="99"/>
      <c r="C441" s="99"/>
      <c r="D441" s="99"/>
      <c r="E441" s="99"/>
      <c r="F441" s="99"/>
      <c r="G441" s="99"/>
      <c r="H441" s="102"/>
      <c r="I441" s="102"/>
      <c r="J441" s="102"/>
      <c r="K441" s="102"/>
      <c r="L441" s="54"/>
      <c r="M441" s="54"/>
      <c r="N441" s="54"/>
    </row>
    <row r="442">
      <c r="A442" s="54"/>
      <c r="B442" s="99"/>
      <c r="C442" s="99"/>
      <c r="D442" s="99"/>
      <c r="E442" s="99"/>
      <c r="F442" s="99"/>
      <c r="G442" s="99"/>
      <c r="H442" s="102"/>
      <c r="I442" s="102"/>
      <c r="J442" s="102"/>
      <c r="K442" s="102"/>
      <c r="L442" s="54"/>
      <c r="M442" s="54"/>
      <c r="N442" s="54"/>
    </row>
    <row r="443">
      <c r="A443" s="54"/>
      <c r="B443" s="99"/>
      <c r="C443" s="99"/>
      <c r="D443" s="99"/>
      <c r="E443" s="99"/>
      <c r="F443" s="99"/>
      <c r="G443" s="99"/>
      <c r="H443" s="102"/>
      <c r="I443" s="102"/>
      <c r="J443" s="102"/>
      <c r="K443" s="102"/>
      <c r="L443" s="54"/>
      <c r="M443" s="54"/>
      <c r="N443" s="54"/>
    </row>
    <row r="444">
      <c r="A444" s="54"/>
      <c r="B444" s="99"/>
      <c r="C444" s="99"/>
      <c r="D444" s="99"/>
      <c r="E444" s="99"/>
      <c r="F444" s="99"/>
      <c r="G444" s="99"/>
      <c r="H444" s="102"/>
      <c r="I444" s="102"/>
      <c r="J444" s="102"/>
      <c r="K444" s="102"/>
      <c r="L444" s="54"/>
      <c r="M444" s="54"/>
      <c r="N444" s="54"/>
    </row>
    <row r="445">
      <c r="A445" s="54"/>
      <c r="B445" s="99"/>
      <c r="C445" s="99"/>
      <c r="D445" s="99"/>
      <c r="E445" s="99"/>
      <c r="F445" s="99"/>
      <c r="G445" s="99"/>
      <c r="H445" s="102"/>
      <c r="I445" s="102"/>
      <c r="J445" s="102"/>
      <c r="K445" s="102"/>
      <c r="L445" s="54"/>
      <c r="M445" s="54"/>
      <c r="N445" s="54"/>
    </row>
    <row r="446">
      <c r="A446" s="54"/>
      <c r="B446" s="99"/>
      <c r="C446" s="99"/>
      <c r="D446" s="99"/>
      <c r="E446" s="99"/>
      <c r="F446" s="99"/>
      <c r="G446" s="99"/>
      <c r="H446" s="102"/>
      <c r="I446" s="102"/>
      <c r="J446" s="102"/>
      <c r="K446" s="102"/>
      <c r="L446" s="54"/>
      <c r="M446" s="54"/>
      <c r="N446" s="54"/>
    </row>
    <row r="447">
      <c r="A447" s="54"/>
      <c r="B447" s="99"/>
      <c r="C447" s="99"/>
      <c r="D447" s="99"/>
      <c r="E447" s="99"/>
      <c r="F447" s="99"/>
      <c r="G447" s="99"/>
      <c r="H447" s="102"/>
      <c r="I447" s="102"/>
      <c r="J447" s="102"/>
      <c r="K447" s="102"/>
      <c r="L447" s="54"/>
      <c r="M447" s="54"/>
      <c r="N447" s="54"/>
    </row>
    <row r="448">
      <c r="A448" s="54"/>
      <c r="B448" s="99"/>
      <c r="C448" s="99"/>
      <c r="D448" s="99"/>
      <c r="E448" s="99"/>
      <c r="F448" s="99"/>
      <c r="G448" s="99"/>
      <c r="H448" s="102"/>
      <c r="I448" s="102"/>
      <c r="J448" s="102"/>
      <c r="K448" s="102"/>
      <c r="L448" s="54"/>
      <c r="M448" s="54"/>
      <c r="N448" s="54"/>
    </row>
    <row r="449">
      <c r="A449" s="54"/>
      <c r="B449" s="99"/>
      <c r="C449" s="99"/>
      <c r="D449" s="99"/>
      <c r="E449" s="99"/>
      <c r="F449" s="99"/>
      <c r="G449" s="99"/>
      <c r="H449" s="102"/>
      <c r="I449" s="102"/>
      <c r="J449" s="102"/>
      <c r="K449" s="102"/>
      <c r="L449" s="54"/>
      <c r="M449" s="54"/>
      <c r="N449" s="54"/>
    </row>
    <row r="450">
      <c r="A450" s="54"/>
      <c r="B450" s="99"/>
      <c r="C450" s="99"/>
      <c r="D450" s="99"/>
      <c r="E450" s="99"/>
      <c r="F450" s="99"/>
      <c r="G450" s="99"/>
      <c r="H450" s="102"/>
      <c r="I450" s="102"/>
      <c r="J450" s="102"/>
      <c r="K450" s="102"/>
      <c r="L450" s="54"/>
      <c r="M450" s="54"/>
      <c r="N450" s="54"/>
    </row>
    <row r="451">
      <c r="A451" s="54"/>
      <c r="B451" s="99"/>
      <c r="C451" s="99"/>
      <c r="D451" s="99"/>
      <c r="E451" s="99"/>
      <c r="F451" s="99"/>
      <c r="G451" s="99"/>
      <c r="H451" s="102"/>
      <c r="I451" s="102"/>
      <c r="J451" s="102"/>
      <c r="K451" s="102"/>
      <c r="L451" s="54"/>
      <c r="M451" s="54"/>
      <c r="N451" s="54"/>
    </row>
    <row r="452">
      <c r="A452" s="54"/>
      <c r="B452" s="99"/>
      <c r="C452" s="99"/>
      <c r="D452" s="99"/>
      <c r="E452" s="99"/>
      <c r="F452" s="99"/>
      <c r="G452" s="99"/>
      <c r="H452" s="102"/>
      <c r="I452" s="102"/>
      <c r="J452" s="102"/>
      <c r="K452" s="102"/>
      <c r="L452" s="54"/>
      <c r="M452" s="54"/>
      <c r="N452" s="54"/>
    </row>
    <row r="453">
      <c r="A453" s="54"/>
      <c r="B453" s="99"/>
      <c r="C453" s="99"/>
      <c r="D453" s="99"/>
      <c r="E453" s="99"/>
      <c r="F453" s="99"/>
      <c r="G453" s="99"/>
      <c r="H453" s="102"/>
      <c r="I453" s="102"/>
      <c r="J453" s="102"/>
      <c r="K453" s="102"/>
      <c r="L453" s="54"/>
      <c r="M453" s="54"/>
      <c r="N453" s="54"/>
    </row>
    <row r="454">
      <c r="A454" s="54"/>
      <c r="B454" s="99"/>
      <c r="C454" s="99"/>
      <c r="D454" s="99"/>
      <c r="E454" s="99"/>
      <c r="F454" s="99"/>
      <c r="G454" s="99"/>
      <c r="H454" s="102"/>
      <c r="I454" s="102"/>
      <c r="J454" s="102"/>
      <c r="K454" s="102"/>
      <c r="L454" s="54"/>
      <c r="M454" s="54"/>
      <c r="N454" s="54"/>
    </row>
    <row r="455">
      <c r="A455" s="54"/>
      <c r="B455" s="99"/>
      <c r="C455" s="99"/>
      <c r="D455" s="99"/>
      <c r="E455" s="99"/>
      <c r="F455" s="99"/>
      <c r="G455" s="99"/>
      <c r="H455" s="102"/>
      <c r="I455" s="102"/>
      <c r="J455" s="102"/>
      <c r="K455" s="102"/>
      <c r="L455" s="54"/>
      <c r="M455" s="54"/>
      <c r="N455" s="54"/>
    </row>
    <row r="456">
      <c r="A456" s="54"/>
      <c r="B456" s="99"/>
      <c r="C456" s="99"/>
      <c r="D456" s="99"/>
      <c r="E456" s="99"/>
      <c r="F456" s="99"/>
      <c r="G456" s="99"/>
      <c r="H456" s="102"/>
      <c r="I456" s="102"/>
      <c r="J456" s="102"/>
      <c r="K456" s="102"/>
      <c r="L456" s="54"/>
      <c r="M456" s="54"/>
      <c r="N456" s="54"/>
    </row>
    <row r="457">
      <c r="A457" s="54"/>
      <c r="B457" s="99"/>
      <c r="C457" s="99"/>
      <c r="D457" s="99"/>
      <c r="E457" s="99"/>
      <c r="F457" s="99"/>
      <c r="G457" s="99"/>
      <c r="H457" s="102"/>
      <c r="I457" s="102"/>
      <c r="J457" s="102"/>
      <c r="K457" s="102"/>
      <c r="L457" s="54"/>
      <c r="M457" s="54"/>
      <c r="N457" s="54"/>
    </row>
    <row r="458">
      <c r="A458" s="54"/>
      <c r="B458" s="99"/>
      <c r="C458" s="99"/>
      <c r="D458" s="99"/>
      <c r="E458" s="99"/>
      <c r="F458" s="99"/>
      <c r="G458" s="99"/>
      <c r="H458" s="102"/>
      <c r="I458" s="102"/>
      <c r="J458" s="102"/>
      <c r="K458" s="102"/>
      <c r="L458" s="54"/>
      <c r="M458" s="54"/>
      <c r="N458" s="54"/>
    </row>
    <row r="459">
      <c r="A459" s="54"/>
      <c r="B459" s="99"/>
      <c r="C459" s="99"/>
      <c r="D459" s="99"/>
      <c r="E459" s="99"/>
      <c r="F459" s="99"/>
      <c r="G459" s="99"/>
      <c r="H459" s="102"/>
      <c r="I459" s="102"/>
      <c r="J459" s="102"/>
      <c r="K459" s="102"/>
      <c r="L459" s="54"/>
      <c r="M459" s="54"/>
      <c r="N459" s="54"/>
    </row>
    <row r="460">
      <c r="A460" s="54"/>
      <c r="B460" s="99"/>
      <c r="C460" s="99"/>
      <c r="D460" s="99"/>
      <c r="E460" s="99"/>
      <c r="F460" s="99"/>
      <c r="G460" s="99"/>
      <c r="H460" s="102"/>
      <c r="I460" s="102"/>
      <c r="J460" s="102"/>
      <c r="K460" s="102"/>
      <c r="L460" s="54"/>
      <c r="M460" s="54"/>
      <c r="N460" s="54"/>
    </row>
    <row r="461">
      <c r="A461" s="54"/>
      <c r="B461" s="99"/>
      <c r="C461" s="99"/>
      <c r="D461" s="99"/>
      <c r="E461" s="99"/>
      <c r="F461" s="99"/>
      <c r="G461" s="99"/>
      <c r="H461" s="102"/>
      <c r="I461" s="102"/>
      <c r="J461" s="102"/>
      <c r="K461" s="102"/>
      <c r="L461" s="54"/>
      <c r="M461" s="54"/>
      <c r="N461" s="54"/>
    </row>
    <row r="462">
      <c r="A462" s="54"/>
      <c r="B462" s="99"/>
      <c r="C462" s="99"/>
      <c r="D462" s="99"/>
      <c r="E462" s="99"/>
      <c r="F462" s="99"/>
      <c r="G462" s="99"/>
      <c r="H462" s="102"/>
      <c r="I462" s="102"/>
      <c r="J462" s="102"/>
      <c r="K462" s="102"/>
      <c r="L462" s="54"/>
      <c r="M462" s="54"/>
      <c r="N462" s="54"/>
    </row>
    <row r="463">
      <c r="A463" s="54"/>
      <c r="B463" s="99"/>
      <c r="C463" s="99"/>
      <c r="D463" s="99"/>
      <c r="E463" s="99"/>
      <c r="F463" s="99"/>
      <c r="G463" s="99"/>
      <c r="H463" s="102"/>
      <c r="I463" s="102"/>
      <c r="J463" s="102"/>
      <c r="K463" s="102"/>
      <c r="L463" s="54"/>
      <c r="M463" s="54"/>
      <c r="N463" s="54"/>
    </row>
    <row r="464">
      <c r="A464" s="54"/>
      <c r="B464" s="99"/>
      <c r="C464" s="99"/>
      <c r="D464" s="99"/>
      <c r="E464" s="99"/>
      <c r="F464" s="99"/>
      <c r="G464" s="99"/>
      <c r="H464" s="102"/>
      <c r="I464" s="102"/>
      <c r="J464" s="102"/>
      <c r="K464" s="102"/>
      <c r="L464" s="54"/>
      <c r="M464" s="54"/>
      <c r="N464" s="54"/>
    </row>
    <row r="465">
      <c r="A465" s="54"/>
      <c r="B465" s="99"/>
      <c r="C465" s="99"/>
      <c r="D465" s="99"/>
      <c r="E465" s="99"/>
      <c r="F465" s="99"/>
      <c r="G465" s="99"/>
      <c r="H465" s="102"/>
      <c r="I465" s="102"/>
      <c r="J465" s="102"/>
      <c r="K465" s="102"/>
      <c r="L465" s="54"/>
      <c r="M465" s="54"/>
      <c r="N465" s="54"/>
    </row>
    <row r="466">
      <c r="A466" s="54"/>
      <c r="B466" s="99"/>
      <c r="C466" s="99"/>
      <c r="D466" s="99"/>
      <c r="E466" s="99"/>
      <c r="F466" s="99"/>
      <c r="G466" s="99"/>
      <c r="H466" s="102"/>
      <c r="I466" s="102"/>
      <c r="J466" s="102"/>
      <c r="K466" s="102"/>
      <c r="L466" s="54"/>
      <c r="M466" s="54"/>
      <c r="N466" s="54"/>
    </row>
    <row r="467">
      <c r="A467" s="54"/>
      <c r="B467" s="99"/>
      <c r="C467" s="99"/>
      <c r="D467" s="99"/>
      <c r="E467" s="99"/>
      <c r="F467" s="99"/>
      <c r="G467" s="99"/>
      <c r="H467" s="102"/>
      <c r="I467" s="102"/>
      <c r="J467" s="102"/>
      <c r="K467" s="102"/>
      <c r="L467" s="54"/>
      <c r="M467" s="54"/>
      <c r="N467" s="54"/>
    </row>
    <row r="468">
      <c r="A468" s="54"/>
      <c r="B468" s="99"/>
      <c r="C468" s="99"/>
      <c r="D468" s="99"/>
      <c r="E468" s="99"/>
      <c r="F468" s="99"/>
      <c r="G468" s="99"/>
      <c r="H468" s="102"/>
      <c r="I468" s="102"/>
      <c r="J468" s="102"/>
      <c r="K468" s="102"/>
      <c r="L468" s="54"/>
      <c r="M468" s="54"/>
      <c r="N468" s="54"/>
    </row>
    <row r="469">
      <c r="A469" s="54"/>
      <c r="B469" s="99"/>
      <c r="C469" s="99"/>
      <c r="D469" s="99"/>
      <c r="E469" s="99"/>
      <c r="F469" s="99"/>
      <c r="G469" s="99"/>
      <c r="H469" s="102"/>
      <c r="I469" s="102"/>
      <c r="J469" s="102"/>
      <c r="K469" s="102"/>
      <c r="L469" s="54"/>
      <c r="M469" s="54"/>
      <c r="N469" s="54"/>
    </row>
    <row r="470">
      <c r="A470" s="54"/>
      <c r="B470" s="99"/>
      <c r="C470" s="99"/>
      <c r="D470" s="99"/>
      <c r="E470" s="99"/>
      <c r="F470" s="99"/>
      <c r="G470" s="99"/>
      <c r="H470" s="102"/>
      <c r="I470" s="102"/>
      <c r="J470" s="102"/>
      <c r="K470" s="102"/>
      <c r="L470" s="54"/>
      <c r="M470" s="54"/>
      <c r="N470" s="54"/>
    </row>
    <row r="471">
      <c r="A471" s="54"/>
      <c r="B471" s="99"/>
      <c r="C471" s="99"/>
      <c r="D471" s="99"/>
      <c r="E471" s="99"/>
      <c r="F471" s="99"/>
      <c r="G471" s="99"/>
      <c r="H471" s="102"/>
      <c r="I471" s="102"/>
      <c r="J471" s="102"/>
      <c r="K471" s="102"/>
      <c r="L471" s="54"/>
      <c r="M471" s="54"/>
      <c r="N471" s="54"/>
    </row>
    <row r="472">
      <c r="A472" s="54"/>
      <c r="B472" s="99"/>
      <c r="C472" s="99"/>
      <c r="D472" s="99"/>
      <c r="E472" s="99"/>
      <c r="F472" s="99"/>
      <c r="G472" s="99"/>
      <c r="H472" s="102"/>
      <c r="I472" s="102"/>
      <c r="J472" s="102"/>
      <c r="K472" s="102"/>
      <c r="L472" s="54"/>
      <c r="M472" s="54"/>
      <c r="N472" s="54"/>
    </row>
    <row r="473">
      <c r="A473" s="54"/>
      <c r="B473" s="99"/>
      <c r="C473" s="99"/>
      <c r="D473" s="99"/>
      <c r="E473" s="99"/>
      <c r="F473" s="99"/>
      <c r="G473" s="99"/>
      <c r="H473" s="102"/>
      <c r="I473" s="102"/>
      <c r="J473" s="102"/>
      <c r="K473" s="102"/>
      <c r="L473" s="54"/>
      <c r="M473" s="54"/>
      <c r="N473" s="54"/>
    </row>
    <row r="474">
      <c r="A474" s="54"/>
      <c r="B474" s="99"/>
      <c r="C474" s="99"/>
      <c r="D474" s="99"/>
      <c r="E474" s="99"/>
      <c r="F474" s="99"/>
      <c r="G474" s="99"/>
      <c r="H474" s="102"/>
      <c r="I474" s="102"/>
      <c r="J474" s="102"/>
      <c r="K474" s="102"/>
      <c r="L474" s="54"/>
      <c r="M474" s="54"/>
      <c r="N474" s="54"/>
    </row>
    <row r="475">
      <c r="A475" s="54"/>
      <c r="B475" s="99"/>
      <c r="C475" s="99"/>
      <c r="D475" s="99"/>
      <c r="E475" s="99"/>
      <c r="F475" s="99"/>
      <c r="G475" s="99"/>
      <c r="H475" s="102"/>
      <c r="I475" s="102"/>
      <c r="J475" s="102"/>
      <c r="K475" s="102"/>
      <c r="L475" s="54"/>
      <c r="M475" s="54"/>
      <c r="N475" s="54"/>
    </row>
    <row r="476">
      <c r="A476" s="54"/>
      <c r="B476" s="99"/>
      <c r="C476" s="99"/>
      <c r="D476" s="99"/>
      <c r="E476" s="99"/>
      <c r="F476" s="99"/>
      <c r="G476" s="99"/>
      <c r="H476" s="102"/>
      <c r="I476" s="102"/>
      <c r="J476" s="102"/>
      <c r="K476" s="102"/>
      <c r="L476" s="54"/>
      <c r="M476" s="54"/>
      <c r="N476" s="54"/>
    </row>
    <row r="477">
      <c r="A477" s="54"/>
      <c r="B477" s="99"/>
      <c r="C477" s="99"/>
      <c r="D477" s="99"/>
      <c r="E477" s="99"/>
      <c r="F477" s="99"/>
      <c r="G477" s="99"/>
      <c r="H477" s="102"/>
      <c r="I477" s="102"/>
      <c r="J477" s="102"/>
      <c r="K477" s="102"/>
      <c r="L477" s="54"/>
      <c r="M477" s="54"/>
      <c r="N477" s="54"/>
    </row>
    <row r="478">
      <c r="A478" s="54"/>
      <c r="B478" s="99"/>
      <c r="C478" s="99"/>
      <c r="D478" s="99"/>
      <c r="E478" s="99"/>
      <c r="F478" s="99"/>
      <c r="G478" s="99"/>
      <c r="H478" s="102"/>
      <c r="I478" s="102"/>
      <c r="J478" s="102"/>
      <c r="K478" s="102"/>
      <c r="L478" s="54"/>
      <c r="M478" s="54"/>
      <c r="N478" s="54"/>
    </row>
    <row r="479">
      <c r="A479" s="54"/>
      <c r="B479" s="99"/>
      <c r="C479" s="99"/>
      <c r="D479" s="99"/>
      <c r="E479" s="99"/>
      <c r="F479" s="99"/>
      <c r="G479" s="99"/>
      <c r="H479" s="102"/>
      <c r="I479" s="102"/>
      <c r="J479" s="102"/>
      <c r="K479" s="102"/>
      <c r="L479" s="54"/>
      <c r="M479" s="54"/>
      <c r="N479" s="54"/>
    </row>
    <row r="480">
      <c r="A480" s="54"/>
      <c r="B480" s="99"/>
      <c r="C480" s="99"/>
      <c r="D480" s="99"/>
      <c r="E480" s="99"/>
      <c r="F480" s="99"/>
      <c r="G480" s="99"/>
      <c r="H480" s="102"/>
      <c r="I480" s="102"/>
      <c r="J480" s="102"/>
      <c r="K480" s="102"/>
      <c r="L480" s="54"/>
      <c r="M480" s="54"/>
      <c r="N480" s="54"/>
    </row>
    <row r="481">
      <c r="A481" s="54"/>
      <c r="B481" s="99"/>
      <c r="C481" s="99"/>
      <c r="D481" s="99"/>
      <c r="E481" s="99"/>
      <c r="F481" s="99"/>
      <c r="G481" s="99"/>
      <c r="H481" s="102"/>
      <c r="I481" s="102"/>
      <c r="J481" s="102"/>
      <c r="K481" s="102"/>
      <c r="L481" s="54"/>
      <c r="M481" s="54"/>
      <c r="N481" s="54"/>
    </row>
    <row r="482">
      <c r="A482" s="54"/>
      <c r="B482" s="99"/>
      <c r="C482" s="99"/>
      <c r="D482" s="99"/>
      <c r="E482" s="99"/>
      <c r="F482" s="99"/>
      <c r="G482" s="99"/>
      <c r="H482" s="102"/>
      <c r="I482" s="102"/>
      <c r="J482" s="102"/>
      <c r="K482" s="102"/>
      <c r="L482" s="54"/>
      <c r="M482" s="54"/>
      <c r="N482" s="54"/>
    </row>
    <row r="483">
      <c r="A483" s="54"/>
      <c r="B483" s="99"/>
      <c r="C483" s="99"/>
      <c r="D483" s="99"/>
      <c r="E483" s="99"/>
      <c r="F483" s="99"/>
      <c r="G483" s="99"/>
      <c r="H483" s="102"/>
      <c r="I483" s="102"/>
      <c r="J483" s="102"/>
      <c r="K483" s="102"/>
      <c r="L483" s="54"/>
      <c r="M483" s="54"/>
      <c r="N483" s="54"/>
    </row>
    <row r="484">
      <c r="A484" s="54"/>
      <c r="B484" s="99"/>
      <c r="C484" s="99"/>
      <c r="D484" s="99"/>
      <c r="E484" s="99"/>
      <c r="F484" s="99"/>
      <c r="G484" s="99"/>
      <c r="H484" s="102"/>
      <c r="I484" s="102"/>
      <c r="J484" s="102"/>
      <c r="K484" s="102"/>
      <c r="L484" s="54"/>
      <c r="M484" s="54"/>
      <c r="N484" s="54"/>
    </row>
    <row r="485">
      <c r="A485" s="54"/>
      <c r="B485" s="99"/>
      <c r="C485" s="99"/>
      <c r="D485" s="99"/>
      <c r="E485" s="99"/>
      <c r="F485" s="99"/>
      <c r="G485" s="99"/>
      <c r="H485" s="102"/>
      <c r="I485" s="102"/>
      <c r="J485" s="102"/>
      <c r="K485" s="102"/>
      <c r="L485" s="54"/>
      <c r="M485" s="54"/>
      <c r="N485" s="54"/>
    </row>
    <row r="486">
      <c r="A486" s="54"/>
      <c r="B486" s="99"/>
      <c r="C486" s="99"/>
      <c r="D486" s="99"/>
      <c r="E486" s="99"/>
      <c r="F486" s="99"/>
      <c r="G486" s="99"/>
      <c r="H486" s="102"/>
      <c r="I486" s="102"/>
      <c r="J486" s="102"/>
      <c r="K486" s="102"/>
      <c r="L486" s="54"/>
      <c r="M486" s="54"/>
      <c r="N486" s="54"/>
    </row>
    <row r="487">
      <c r="A487" s="54"/>
      <c r="B487" s="99"/>
      <c r="C487" s="99"/>
      <c r="D487" s="99"/>
      <c r="E487" s="99"/>
      <c r="F487" s="99"/>
      <c r="G487" s="99"/>
      <c r="H487" s="102"/>
      <c r="I487" s="102"/>
      <c r="J487" s="102"/>
      <c r="K487" s="102"/>
      <c r="L487" s="54"/>
      <c r="M487" s="54"/>
      <c r="N487" s="54"/>
    </row>
    <row r="488">
      <c r="A488" s="54"/>
      <c r="B488" s="99"/>
      <c r="C488" s="99"/>
      <c r="D488" s="99"/>
      <c r="E488" s="99"/>
      <c r="F488" s="99"/>
      <c r="G488" s="99"/>
      <c r="H488" s="102"/>
      <c r="I488" s="102"/>
      <c r="J488" s="102"/>
      <c r="K488" s="102"/>
      <c r="L488" s="54"/>
      <c r="M488" s="54"/>
      <c r="N488" s="54"/>
    </row>
    <row r="489">
      <c r="A489" s="54"/>
      <c r="B489" s="99"/>
      <c r="C489" s="99"/>
      <c r="D489" s="99"/>
      <c r="E489" s="99"/>
      <c r="F489" s="99"/>
      <c r="G489" s="99"/>
      <c r="H489" s="102"/>
      <c r="I489" s="102"/>
      <c r="J489" s="102"/>
      <c r="K489" s="102"/>
      <c r="L489" s="54"/>
      <c r="M489" s="54"/>
      <c r="N489" s="54"/>
    </row>
    <row r="490">
      <c r="A490" s="54"/>
      <c r="B490" s="99"/>
      <c r="C490" s="99"/>
      <c r="D490" s="99"/>
      <c r="E490" s="99"/>
      <c r="F490" s="99"/>
      <c r="G490" s="99"/>
      <c r="H490" s="102"/>
      <c r="I490" s="102"/>
      <c r="J490" s="102"/>
      <c r="K490" s="102"/>
      <c r="L490" s="54"/>
      <c r="M490" s="54"/>
      <c r="N490" s="54"/>
    </row>
    <row r="491">
      <c r="A491" s="54"/>
      <c r="B491" s="99"/>
      <c r="C491" s="99"/>
      <c r="D491" s="99"/>
      <c r="E491" s="99"/>
      <c r="F491" s="99"/>
      <c r="G491" s="99"/>
      <c r="H491" s="102"/>
      <c r="I491" s="102"/>
      <c r="J491" s="102"/>
      <c r="K491" s="102"/>
      <c r="L491" s="54"/>
      <c r="M491" s="54"/>
      <c r="N491" s="54"/>
    </row>
    <row r="492">
      <c r="A492" s="54"/>
      <c r="B492" s="99"/>
      <c r="C492" s="99"/>
      <c r="D492" s="99"/>
      <c r="E492" s="99"/>
      <c r="F492" s="99"/>
      <c r="G492" s="99"/>
      <c r="H492" s="102"/>
      <c r="I492" s="102"/>
      <c r="J492" s="102"/>
      <c r="K492" s="102"/>
      <c r="L492" s="54"/>
      <c r="M492" s="54"/>
      <c r="N492" s="54"/>
    </row>
    <row r="493">
      <c r="A493" s="54"/>
      <c r="B493" s="99"/>
      <c r="C493" s="99"/>
      <c r="D493" s="99"/>
      <c r="E493" s="99"/>
      <c r="F493" s="99"/>
      <c r="G493" s="99"/>
      <c r="H493" s="102"/>
      <c r="I493" s="102"/>
      <c r="J493" s="102"/>
      <c r="K493" s="102"/>
      <c r="L493" s="54"/>
      <c r="M493" s="54"/>
      <c r="N493" s="54"/>
    </row>
    <row r="494">
      <c r="A494" s="54"/>
      <c r="B494" s="99"/>
      <c r="C494" s="99"/>
      <c r="D494" s="99"/>
      <c r="E494" s="99"/>
      <c r="F494" s="99"/>
      <c r="G494" s="99"/>
      <c r="H494" s="102"/>
      <c r="I494" s="102"/>
      <c r="J494" s="102"/>
      <c r="K494" s="102"/>
      <c r="L494" s="54"/>
      <c r="M494" s="54"/>
      <c r="N494" s="54"/>
    </row>
    <row r="495">
      <c r="A495" s="54"/>
      <c r="B495" s="99"/>
      <c r="C495" s="99"/>
      <c r="D495" s="99"/>
      <c r="E495" s="99"/>
      <c r="F495" s="99"/>
      <c r="G495" s="99"/>
      <c r="H495" s="102"/>
      <c r="I495" s="102"/>
      <c r="J495" s="102"/>
      <c r="K495" s="102"/>
      <c r="L495" s="54"/>
      <c r="M495" s="54"/>
      <c r="N495" s="54"/>
    </row>
    <row r="496">
      <c r="A496" s="54"/>
      <c r="B496" s="99"/>
      <c r="C496" s="99"/>
      <c r="D496" s="99"/>
      <c r="E496" s="99"/>
      <c r="F496" s="99"/>
      <c r="G496" s="99"/>
      <c r="H496" s="102"/>
      <c r="I496" s="102"/>
      <c r="J496" s="102"/>
      <c r="K496" s="102"/>
      <c r="L496" s="54"/>
      <c r="M496" s="54"/>
      <c r="N496" s="54"/>
    </row>
    <row r="497">
      <c r="A497" s="54"/>
      <c r="B497" s="99"/>
      <c r="C497" s="99"/>
      <c r="D497" s="99"/>
      <c r="E497" s="99"/>
      <c r="F497" s="99"/>
      <c r="G497" s="99"/>
      <c r="H497" s="102"/>
      <c r="I497" s="102"/>
      <c r="J497" s="102"/>
      <c r="K497" s="102"/>
      <c r="L497" s="54"/>
      <c r="M497" s="54"/>
      <c r="N497" s="54"/>
    </row>
    <row r="498">
      <c r="A498" s="54"/>
      <c r="B498" s="99"/>
      <c r="C498" s="99"/>
      <c r="D498" s="99"/>
      <c r="E498" s="99"/>
      <c r="F498" s="99"/>
      <c r="G498" s="99"/>
      <c r="H498" s="102"/>
      <c r="I498" s="102"/>
      <c r="J498" s="102"/>
      <c r="K498" s="102"/>
      <c r="L498" s="54"/>
      <c r="M498" s="54"/>
      <c r="N498" s="54"/>
    </row>
    <row r="499">
      <c r="A499" s="54"/>
      <c r="B499" s="99"/>
      <c r="C499" s="99"/>
      <c r="D499" s="99"/>
      <c r="E499" s="99"/>
      <c r="F499" s="99"/>
      <c r="G499" s="99"/>
      <c r="H499" s="102"/>
      <c r="I499" s="102"/>
      <c r="J499" s="102"/>
      <c r="K499" s="102"/>
      <c r="L499" s="54"/>
      <c r="M499" s="54"/>
      <c r="N499" s="54"/>
    </row>
    <row r="500">
      <c r="A500" s="54"/>
      <c r="B500" s="99"/>
      <c r="C500" s="99"/>
      <c r="D500" s="99"/>
      <c r="E500" s="99"/>
      <c r="F500" s="99"/>
      <c r="G500" s="99"/>
      <c r="H500" s="102"/>
      <c r="I500" s="102"/>
      <c r="J500" s="102"/>
      <c r="K500" s="102"/>
      <c r="L500" s="54"/>
      <c r="M500" s="54"/>
      <c r="N500" s="54"/>
    </row>
    <row r="501">
      <c r="A501" s="54"/>
      <c r="B501" s="99"/>
      <c r="C501" s="99"/>
      <c r="D501" s="99"/>
      <c r="E501" s="99"/>
      <c r="F501" s="99"/>
      <c r="G501" s="99"/>
      <c r="H501" s="102"/>
      <c r="I501" s="102"/>
      <c r="J501" s="102"/>
      <c r="K501" s="102"/>
      <c r="L501" s="54"/>
      <c r="M501" s="54"/>
      <c r="N501" s="54"/>
    </row>
    <row r="502">
      <c r="A502" s="54"/>
      <c r="B502" s="99"/>
      <c r="C502" s="99"/>
      <c r="D502" s="99"/>
      <c r="E502" s="99"/>
      <c r="F502" s="99"/>
      <c r="G502" s="99"/>
      <c r="H502" s="102"/>
      <c r="I502" s="102"/>
      <c r="J502" s="102"/>
      <c r="K502" s="102"/>
      <c r="L502" s="54"/>
      <c r="M502" s="54"/>
      <c r="N502" s="54"/>
    </row>
    <row r="503">
      <c r="A503" s="54"/>
      <c r="B503" s="99"/>
      <c r="C503" s="99"/>
      <c r="D503" s="99"/>
      <c r="E503" s="99"/>
      <c r="F503" s="99"/>
      <c r="G503" s="99"/>
      <c r="H503" s="102"/>
      <c r="I503" s="102"/>
      <c r="J503" s="102"/>
      <c r="K503" s="102"/>
      <c r="L503" s="54"/>
      <c r="M503" s="54"/>
      <c r="N503" s="54"/>
    </row>
    <row r="504">
      <c r="A504" s="54"/>
      <c r="B504" s="99"/>
      <c r="C504" s="99"/>
      <c r="D504" s="99"/>
      <c r="E504" s="99"/>
      <c r="F504" s="99"/>
      <c r="G504" s="99"/>
      <c r="H504" s="102"/>
      <c r="I504" s="102"/>
      <c r="J504" s="102"/>
      <c r="K504" s="102"/>
      <c r="L504" s="54"/>
      <c r="M504" s="54"/>
      <c r="N504" s="54"/>
    </row>
    <row r="505">
      <c r="A505" s="54"/>
      <c r="B505" s="99"/>
      <c r="C505" s="99"/>
      <c r="D505" s="99"/>
      <c r="E505" s="99"/>
      <c r="F505" s="99"/>
      <c r="G505" s="99"/>
      <c r="H505" s="102"/>
      <c r="I505" s="102"/>
      <c r="J505" s="102"/>
      <c r="K505" s="102"/>
      <c r="L505" s="54"/>
      <c r="M505" s="54"/>
      <c r="N505" s="54"/>
    </row>
    <row r="506">
      <c r="A506" s="54"/>
      <c r="B506" s="99"/>
      <c r="C506" s="99"/>
      <c r="D506" s="99"/>
      <c r="E506" s="99"/>
      <c r="F506" s="99"/>
      <c r="G506" s="99"/>
      <c r="H506" s="102"/>
      <c r="I506" s="102"/>
      <c r="J506" s="102"/>
      <c r="K506" s="102"/>
      <c r="L506" s="54"/>
      <c r="M506" s="54"/>
      <c r="N506" s="54"/>
    </row>
    <row r="507">
      <c r="A507" s="54"/>
      <c r="B507" s="99"/>
      <c r="C507" s="99"/>
      <c r="D507" s="99"/>
      <c r="E507" s="99"/>
      <c r="F507" s="99"/>
      <c r="G507" s="99"/>
      <c r="H507" s="102"/>
      <c r="I507" s="102"/>
      <c r="J507" s="102"/>
      <c r="K507" s="102"/>
      <c r="L507" s="54"/>
      <c r="M507" s="54"/>
      <c r="N507" s="54"/>
    </row>
    <row r="508">
      <c r="A508" s="54"/>
      <c r="B508" s="99"/>
      <c r="C508" s="99"/>
      <c r="D508" s="99"/>
      <c r="E508" s="99"/>
      <c r="F508" s="99"/>
      <c r="G508" s="99"/>
      <c r="H508" s="102"/>
      <c r="I508" s="102"/>
      <c r="J508" s="102"/>
      <c r="K508" s="102"/>
      <c r="L508" s="54"/>
      <c r="M508" s="54"/>
      <c r="N508" s="54"/>
    </row>
    <row r="509">
      <c r="A509" s="54"/>
      <c r="B509" s="99"/>
      <c r="C509" s="99"/>
      <c r="D509" s="99"/>
      <c r="E509" s="99"/>
      <c r="F509" s="99"/>
      <c r="G509" s="99"/>
      <c r="H509" s="102"/>
      <c r="I509" s="102"/>
      <c r="J509" s="102"/>
      <c r="K509" s="102"/>
      <c r="L509" s="54"/>
      <c r="M509" s="54"/>
      <c r="N509" s="54"/>
    </row>
    <row r="510">
      <c r="A510" s="54"/>
      <c r="B510" s="99"/>
      <c r="C510" s="99"/>
      <c r="D510" s="99"/>
      <c r="E510" s="99"/>
      <c r="F510" s="99"/>
      <c r="G510" s="99"/>
      <c r="H510" s="102"/>
      <c r="I510" s="102"/>
      <c r="J510" s="102"/>
      <c r="K510" s="102"/>
      <c r="L510" s="54"/>
      <c r="M510" s="54"/>
      <c r="N510" s="54"/>
    </row>
    <row r="511">
      <c r="A511" s="54"/>
      <c r="B511" s="99"/>
      <c r="C511" s="99"/>
      <c r="D511" s="99"/>
      <c r="E511" s="99"/>
      <c r="F511" s="99"/>
      <c r="G511" s="99"/>
      <c r="H511" s="102"/>
      <c r="I511" s="102"/>
      <c r="J511" s="102"/>
      <c r="K511" s="102"/>
      <c r="L511" s="54"/>
      <c r="M511" s="54"/>
      <c r="N511" s="54"/>
    </row>
    <row r="512">
      <c r="A512" s="54"/>
      <c r="B512" s="99"/>
      <c r="C512" s="99"/>
      <c r="D512" s="99"/>
      <c r="E512" s="99"/>
      <c r="F512" s="99"/>
      <c r="G512" s="99"/>
      <c r="H512" s="102"/>
      <c r="I512" s="102"/>
      <c r="J512" s="102"/>
      <c r="K512" s="102"/>
      <c r="L512" s="54"/>
      <c r="M512" s="54"/>
      <c r="N512" s="54"/>
    </row>
    <row r="513">
      <c r="A513" s="54"/>
      <c r="B513" s="99"/>
      <c r="C513" s="99"/>
      <c r="D513" s="99"/>
      <c r="E513" s="99"/>
      <c r="F513" s="99"/>
      <c r="G513" s="99"/>
      <c r="H513" s="102"/>
      <c r="I513" s="102"/>
      <c r="J513" s="102"/>
      <c r="K513" s="102"/>
      <c r="L513" s="54"/>
      <c r="M513" s="54"/>
      <c r="N513" s="54"/>
    </row>
    <row r="514">
      <c r="A514" s="54"/>
      <c r="B514" s="99"/>
      <c r="C514" s="99"/>
      <c r="D514" s="99"/>
      <c r="E514" s="99"/>
      <c r="F514" s="99"/>
      <c r="G514" s="99"/>
      <c r="H514" s="102"/>
      <c r="I514" s="102"/>
      <c r="J514" s="102"/>
      <c r="K514" s="102"/>
      <c r="L514" s="54"/>
      <c r="M514" s="54"/>
      <c r="N514" s="54"/>
    </row>
    <row r="515">
      <c r="A515" s="54"/>
      <c r="B515" s="99"/>
      <c r="C515" s="99"/>
      <c r="D515" s="99"/>
      <c r="E515" s="99"/>
      <c r="F515" s="99"/>
      <c r="G515" s="99"/>
      <c r="H515" s="102"/>
      <c r="I515" s="102"/>
      <c r="J515" s="102"/>
      <c r="K515" s="102"/>
      <c r="L515" s="54"/>
      <c r="M515" s="54"/>
      <c r="N515" s="54"/>
    </row>
    <row r="516">
      <c r="A516" s="54"/>
      <c r="B516" s="99"/>
      <c r="C516" s="99"/>
      <c r="D516" s="99"/>
      <c r="E516" s="99"/>
      <c r="F516" s="99"/>
      <c r="G516" s="99"/>
      <c r="H516" s="102"/>
      <c r="I516" s="102"/>
      <c r="J516" s="102"/>
      <c r="K516" s="102"/>
      <c r="L516" s="54"/>
      <c r="M516" s="54"/>
      <c r="N516" s="54"/>
    </row>
    <row r="517">
      <c r="A517" s="54"/>
      <c r="B517" s="99"/>
      <c r="C517" s="99"/>
      <c r="D517" s="99"/>
      <c r="E517" s="99"/>
      <c r="F517" s="99"/>
      <c r="G517" s="99"/>
      <c r="H517" s="102"/>
      <c r="I517" s="102"/>
      <c r="J517" s="102"/>
      <c r="K517" s="102"/>
      <c r="L517" s="54"/>
      <c r="M517" s="54"/>
      <c r="N517" s="54"/>
    </row>
    <row r="518">
      <c r="A518" s="54"/>
      <c r="B518" s="99"/>
      <c r="C518" s="99"/>
      <c r="D518" s="99"/>
      <c r="E518" s="99"/>
      <c r="F518" s="99"/>
      <c r="G518" s="99"/>
      <c r="H518" s="102"/>
      <c r="I518" s="102"/>
      <c r="J518" s="102"/>
      <c r="K518" s="102"/>
      <c r="L518" s="54"/>
      <c r="M518" s="54"/>
      <c r="N518" s="54"/>
    </row>
    <row r="519">
      <c r="A519" s="54"/>
      <c r="B519" s="99"/>
      <c r="C519" s="99"/>
      <c r="D519" s="99"/>
      <c r="E519" s="99"/>
      <c r="F519" s="99"/>
      <c r="G519" s="99"/>
      <c r="H519" s="102"/>
      <c r="I519" s="102"/>
      <c r="J519" s="102"/>
      <c r="K519" s="102"/>
      <c r="L519" s="54"/>
      <c r="M519" s="54"/>
      <c r="N519" s="54"/>
    </row>
    <row r="520">
      <c r="A520" s="54"/>
      <c r="B520" s="99"/>
      <c r="C520" s="99"/>
      <c r="D520" s="99"/>
      <c r="E520" s="99"/>
      <c r="F520" s="99"/>
      <c r="G520" s="99"/>
      <c r="H520" s="102"/>
      <c r="I520" s="102"/>
      <c r="J520" s="102"/>
      <c r="K520" s="102"/>
      <c r="L520" s="54"/>
      <c r="M520" s="54"/>
      <c r="N520" s="54"/>
    </row>
    <row r="521">
      <c r="A521" s="54"/>
      <c r="B521" s="99"/>
      <c r="C521" s="99"/>
      <c r="D521" s="99"/>
      <c r="E521" s="99"/>
      <c r="F521" s="99"/>
      <c r="G521" s="99"/>
      <c r="H521" s="102"/>
      <c r="I521" s="102"/>
      <c r="J521" s="102"/>
      <c r="K521" s="102"/>
      <c r="L521" s="54"/>
      <c r="M521" s="54"/>
      <c r="N521" s="54"/>
    </row>
    <row r="522">
      <c r="A522" s="54"/>
      <c r="B522" s="99"/>
      <c r="C522" s="99"/>
      <c r="D522" s="99"/>
      <c r="E522" s="99"/>
      <c r="F522" s="99"/>
      <c r="G522" s="99"/>
      <c r="H522" s="102"/>
      <c r="I522" s="102"/>
      <c r="J522" s="102"/>
      <c r="K522" s="102"/>
      <c r="L522" s="54"/>
      <c r="M522" s="54"/>
      <c r="N522" s="54"/>
    </row>
    <row r="523">
      <c r="A523" s="54"/>
      <c r="B523" s="99"/>
      <c r="C523" s="99"/>
      <c r="D523" s="99"/>
      <c r="E523" s="99"/>
      <c r="F523" s="99"/>
      <c r="G523" s="99"/>
      <c r="H523" s="102"/>
      <c r="I523" s="102"/>
      <c r="J523" s="102"/>
      <c r="K523" s="102"/>
      <c r="L523" s="54"/>
      <c r="M523" s="54"/>
      <c r="N523" s="54"/>
    </row>
    <row r="524">
      <c r="A524" s="54"/>
      <c r="B524" s="99"/>
      <c r="C524" s="99"/>
      <c r="D524" s="99"/>
      <c r="E524" s="99"/>
      <c r="F524" s="99"/>
      <c r="G524" s="99"/>
      <c r="H524" s="102"/>
      <c r="I524" s="102"/>
      <c r="J524" s="102"/>
      <c r="K524" s="102"/>
      <c r="L524" s="54"/>
      <c r="M524" s="54"/>
      <c r="N524" s="54"/>
    </row>
    <row r="525">
      <c r="A525" s="54"/>
      <c r="B525" s="99"/>
      <c r="C525" s="99"/>
      <c r="D525" s="99"/>
      <c r="E525" s="99"/>
      <c r="F525" s="99"/>
      <c r="G525" s="99"/>
      <c r="H525" s="102"/>
      <c r="I525" s="102"/>
      <c r="J525" s="102"/>
      <c r="K525" s="102"/>
      <c r="L525" s="54"/>
      <c r="M525" s="54"/>
      <c r="N525" s="54"/>
    </row>
    <row r="526">
      <c r="A526" s="54"/>
      <c r="B526" s="99"/>
      <c r="C526" s="99"/>
      <c r="D526" s="99"/>
      <c r="E526" s="99"/>
      <c r="F526" s="99"/>
      <c r="G526" s="99"/>
      <c r="H526" s="102"/>
      <c r="I526" s="102"/>
      <c r="J526" s="102"/>
      <c r="K526" s="102"/>
      <c r="L526" s="54"/>
      <c r="M526" s="54"/>
      <c r="N526" s="54"/>
    </row>
    <row r="527">
      <c r="A527" s="54"/>
      <c r="B527" s="99"/>
      <c r="C527" s="99"/>
      <c r="D527" s="99"/>
      <c r="E527" s="99"/>
      <c r="F527" s="99"/>
      <c r="G527" s="99"/>
      <c r="H527" s="102"/>
      <c r="I527" s="102"/>
      <c r="J527" s="102"/>
      <c r="K527" s="102"/>
      <c r="L527" s="54"/>
      <c r="M527" s="54"/>
      <c r="N527" s="54"/>
    </row>
    <row r="528">
      <c r="A528" s="54"/>
      <c r="B528" s="99"/>
      <c r="C528" s="99"/>
      <c r="D528" s="99"/>
      <c r="E528" s="99"/>
      <c r="F528" s="99"/>
      <c r="G528" s="99"/>
      <c r="H528" s="102"/>
      <c r="I528" s="102"/>
      <c r="J528" s="102"/>
      <c r="K528" s="102"/>
      <c r="L528" s="54"/>
      <c r="M528" s="54"/>
      <c r="N528" s="54"/>
    </row>
    <row r="529">
      <c r="A529" s="54"/>
      <c r="B529" s="99"/>
      <c r="C529" s="99"/>
      <c r="D529" s="99"/>
      <c r="E529" s="99"/>
      <c r="F529" s="99"/>
      <c r="G529" s="99"/>
      <c r="H529" s="102"/>
      <c r="I529" s="102"/>
      <c r="J529" s="102"/>
      <c r="K529" s="102"/>
      <c r="L529" s="54"/>
      <c r="M529" s="54"/>
      <c r="N529" s="54"/>
    </row>
    <row r="530">
      <c r="A530" s="54"/>
      <c r="B530" s="99"/>
      <c r="C530" s="99"/>
      <c r="D530" s="99"/>
      <c r="E530" s="99"/>
      <c r="F530" s="99"/>
      <c r="G530" s="99"/>
      <c r="H530" s="102"/>
      <c r="I530" s="102"/>
      <c r="J530" s="102"/>
      <c r="K530" s="102"/>
      <c r="L530" s="54"/>
      <c r="M530" s="54"/>
      <c r="N530" s="54"/>
    </row>
    <row r="531">
      <c r="A531" s="54"/>
      <c r="B531" s="99"/>
      <c r="C531" s="99"/>
      <c r="D531" s="99"/>
      <c r="E531" s="99"/>
      <c r="F531" s="99"/>
      <c r="G531" s="99"/>
      <c r="H531" s="102"/>
      <c r="I531" s="102"/>
      <c r="J531" s="102"/>
      <c r="K531" s="102"/>
      <c r="L531" s="54"/>
      <c r="M531" s="54"/>
      <c r="N531" s="54"/>
    </row>
    <row r="532">
      <c r="A532" s="54"/>
      <c r="B532" s="99"/>
      <c r="C532" s="99"/>
      <c r="D532" s="99"/>
      <c r="E532" s="99"/>
      <c r="F532" s="99"/>
      <c r="G532" s="99"/>
      <c r="H532" s="102"/>
      <c r="I532" s="102"/>
      <c r="J532" s="102"/>
      <c r="K532" s="102"/>
      <c r="L532" s="54"/>
      <c r="M532" s="54"/>
      <c r="N532" s="54"/>
    </row>
    <row r="533">
      <c r="A533" s="54"/>
      <c r="B533" s="99"/>
      <c r="C533" s="99"/>
      <c r="D533" s="99"/>
      <c r="E533" s="99"/>
      <c r="F533" s="99"/>
      <c r="G533" s="99"/>
      <c r="H533" s="102"/>
      <c r="I533" s="102"/>
      <c r="J533" s="102"/>
      <c r="K533" s="102"/>
      <c r="L533" s="54"/>
      <c r="M533" s="54"/>
      <c r="N533" s="54"/>
    </row>
    <row r="534">
      <c r="A534" s="54"/>
      <c r="B534" s="99"/>
      <c r="C534" s="99"/>
      <c r="D534" s="99"/>
      <c r="E534" s="99"/>
      <c r="F534" s="99"/>
      <c r="G534" s="99"/>
      <c r="H534" s="102"/>
      <c r="I534" s="102"/>
      <c r="J534" s="102"/>
      <c r="K534" s="102"/>
      <c r="L534" s="54"/>
      <c r="M534" s="54"/>
      <c r="N534" s="54"/>
    </row>
    <row r="535">
      <c r="A535" s="54"/>
      <c r="B535" s="99"/>
      <c r="C535" s="99"/>
      <c r="D535" s="99"/>
      <c r="E535" s="99"/>
      <c r="F535" s="99"/>
      <c r="G535" s="99"/>
      <c r="H535" s="102"/>
      <c r="I535" s="102"/>
      <c r="J535" s="102"/>
      <c r="K535" s="102"/>
      <c r="L535" s="54"/>
      <c r="M535" s="54"/>
      <c r="N535" s="54"/>
    </row>
    <row r="536">
      <c r="A536" s="54"/>
      <c r="B536" s="99"/>
      <c r="C536" s="99"/>
      <c r="D536" s="99"/>
      <c r="E536" s="99"/>
      <c r="F536" s="99"/>
      <c r="G536" s="99"/>
      <c r="H536" s="102"/>
      <c r="I536" s="102"/>
      <c r="J536" s="102"/>
      <c r="K536" s="102"/>
      <c r="L536" s="54"/>
      <c r="M536" s="54"/>
      <c r="N536" s="54"/>
    </row>
    <row r="537">
      <c r="A537" s="54"/>
      <c r="B537" s="99"/>
      <c r="C537" s="99"/>
      <c r="D537" s="99"/>
      <c r="E537" s="99"/>
      <c r="F537" s="99"/>
      <c r="G537" s="99"/>
      <c r="H537" s="102"/>
      <c r="I537" s="102"/>
      <c r="J537" s="102"/>
      <c r="K537" s="102"/>
      <c r="L537" s="54"/>
      <c r="M537" s="54"/>
      <c r="N537" s="54"/>
    </row>
    <row r="538">
      <c r="A538" s="54"/>
      <c r="B538" s="99"/>
      <c r="C538" s="99"/>
      <c r="D538" s="99"/>
      <c r="E538" s="99"/>
      <c r="F538" s="99"/>
      <c r="G538" s="99"/>
      <c r="H538" s="102"/>
      <c r="I538" s="102"/>
      <c r="J538" s="102"/>
      <c r="K538" s="102"/>
      <c r="L538" s="54"/>
      <c r="M538" s="54"/>
      <c r="N538" s="54"/>
    </row>
    <row r="539">
      <c r="A539" s="54"/>
      <c r="B539" s="99"/>
      <c r="C539" s="99"/>
      <c r="D539" s="99"/>
      <c r="E539" s="99"/>
      <c r="F539" s="99"/>
      <c r="G539" s="99"/>
      <c r="H539" s="102"/>
      <c r="I539" s="102"/>
      <c r="J539" s="102"/>
      <c r="K539" s="102"/>
      <c r="L539" s="54"/>
      <c r="M539" s="54"/>
      <c r="N539" s="54"/>
    </row>
    <row r="540">
      <c r="A540" s="54"/>
      <c r="B540" s="99"/>
      <c r="C540" s="99"/>
      <c r="D540" s="99"/>
      <c r="E540" s="99"/>
      <c r="F540" s="99"/>
      <c r="G540" s="99"/>
      <c r="H540" s="102"/>
      <c r="I540" s="102"/>
      <c r="J540" s="102"/>
      <c r="K540" s="102"/>
      <c r="L540" s="54"/>
      <c r="M540" s="54"/>
      <c r="N540" s="54"/>
    </row>
    <row r="541">
      <c r="A541" s="54"/>
      <c r="B541" s="99"/>
      <c r="C541" s="99"/>
      <c r="D541" s="99"/>
      <c r="E541" s="99"/>
      <c r="F541" s="99"/>
      <c r="G541" s="99"/>
      <c r="H541" s="102"/>
      <c r="I541" s="102"/>
      <c r="J541" s="102"/>
      <c r="K541" s="102"/>
      <c r="L541" s="54"/>
      <c r="M541" s="54"/>
      <c r="N541" s="54"/>
    </row>
    <row r="542">
      <c r="A542" s="54"/>
      <c r="B542" s="99"/>
      <c r="C542" s="99"/>
      <c r="D542" s="99"/>
      <c r="E542" s="99"/>
      <c r="F542" s="99"/>
      <c r="G542" s="99"/>
      <c r="H542" s="102"/>
      <c r="I542" s="102"/>
      <c r="J542" s="102"/>
      <c r="K542" s="102"/>
      <c r="L542" s="54"/>
      <c r="M542" s="54"/>
      <c r="N542" s="54"/>
    </row>
    <row r="543">
      <c r="A543" s="54"/>
      <c r="B543" s="99"/>
      <c r="C543" s="99"/>
      <c r="D543" s="99"/>
      <c r="E543" s="99"/>
      <c r="F543" s="99"/>
      <c r="G543" s="99"/>
      <c r="H543" s="102"/>
      <c r="I543" s="102"/>
      <c r="J543" s="102"/>
      <c r="K543" s="102"/>
      <c r="L543" s="54"/>
      <c r="M543" s="54"/>
      <c r="N543" s="54"/>
    </row>
    <row r="544">
      <c r="A544" s="54"/>
      <c r="B544" s="99"/>
      <c r="C544" s="99"/>
      <c r="D544" s="99"/>
      <c r="E544" s="99"/>
      <c r="F544" s="99"/>
      <c r="G544" s="99"/>
      <c r="H544" s="102"/>
      <c r="I544" s="102"/>
      <c r="J544" s="102"/>
      <c r="K544" s="102"/>
      <c r="L544" s="54"/>
      <c r="M544" s="54"/>
      <c r="N544" s="54"/>
    </row>
    <row r="545">
      <c r="A545" s="54"/>
      <c r="B545" s="99"/>
      <c r="C545" s="99"/>
      <c r="D545" s="99"/>
      <c r="E545" s="99"/>
      <c r="F545" s="99"/>
      <c r="G545" s="99"/>
      <c r="H545" s="102"/>
      <c r="I545" s="102"/>
      <c r="J545" s="102"/>
      <c r="K545" s="102"/>
      <c r="L545" s="54"/>
      <c r="M545" s="54"/>
      <c r="N545" s="54"/>
    </row>
    <row r="546">
      <c r="A546" s="54"/>
      <c r="B546" s="99"/>
      <c r="C546" s="99"/>
      <c r="D546" s="99"/>
      <c r="E546" s="99"/>
      <c r="F546" s="99"/>
      <c r="G546" s="99"/>
      <c r="H546" s="102"/>
      <c r="I546" s="102"/>
      <c r="J546" s="102"/>
      <c r="K546" s="102"/>
      <c r="L546" s="54"/>
      <c r="M546" s="54"/>
      <c r="N546" s="54"/>
    </row>
    <row r="547">
      <c r="A547" s="54"/>
      <c r="B547" s="99"/>
      <c r="C547" s="99"/>
      <c r="D547" s="99"/>
      <c r="E547" s="99"/>
      <c r="F547" s="99"/>
      <c r="G547" s="99"/>
      <c r="H547" s="102"/>
      <c r="I547" s="102"/>
      <c r="J547" s="102"/>
      <c r="K547" s="102"/>
      <c r="L547" s="54"/>
      <c r="M547" s="54"/>
      <c r="N547" s="54"/>
    </row>
    <row r="548">
      <c r="A548" s="54"/>
      <c r="B548" s="99"/>
      <c r="C548" s="99"/>
      <c r="D548" s="99"/>
      <c r="E548" s="99"/>
      <c r="F548" s="99"/>
      <c r="G548" s="99"/>
      <c r="H548" s="102"/>
      <c r="I548" s="102"/>
      <c r="J548" s="102"/>
      <c r="K548" s="102"/>
      <c r="L548" s="54"/>
      <c r="M548" s="54"/>
      <c r="N548" s="54"/>
    </row>
    <row r="549">
      <c r="A549" s="54"/>
      <c r="B549" s="99"/>
      <c r="C549" s="99"/>
      <c r="D549" s="99"/>
      <c r="E549" s="99"/>
      <c r="F549" s="99"/>
      <c r="G549" s="99"/>
      <c r="H549" s="102"/>
      <c r="I549" s="102"/>
      <c r="J549" s="102"/>
      <c r="K549" s="102"/>
      <c r="L549" s="54"/>
      <c r="M549" s="54"/>
      <c r="N549" s="54"/>
    </row>
    <row r="550">
      <c r="A550" s="54"/>
      <c r="B550" s="99"/>
      <c r="C550" s="99"/>
      <c r="D550" s="99"/>
      <c r="E550" s="99"/>
      <c r="F550" s="99"/>
      <c r="G550" s="99"/>
      <c r="H550" s="102"/>
      <c r="I550" s="102"/>
      <c r="J550" s="102"/>
      <c r="K550" s="102"/>
      <c r="L550" s="54"/>
      <c r="M550" s="54"/>
      <c r="N550" s="54"/>
    </row>
    <row r="551">
      <c r="A551" s="54"/>
      <c r="B551" s="99"/>
      <c r="C551" s="99"/>
      <c r="D551" s="99"/>
      <c r="E551" s="99"/>
      <c r="F551" s="99"/>
      <c r="G551" s="99"/>
      <c r="H551" s="102"/>
      <c r="I551" s="102"/>
      <c r="J551" s="102"/>
      <c r="K551" s="102"/>
      <c r="L551" s="54"/>
      <c r="M551" s="54"/>
      <c r="N551" s="54"/>
    </row>
    <row r="552">
      <c r="A552" s="54"/>
      <c r="B552" s="99"/>
      <c r="C552" s="99"/>
      <c r="D552" s="99"/>
      <c r="E552" s="99"/>
      <c r="F552" s="99"/>
      <c r="G552" s="99"/>
      <c r="H552" s="102"/>
      <c r="I552" s="102"/>
      <c r="J552" s="102"/>
      <c r="K552" s="102"/>
      <c r="L552" s="54"/>
      <c r="M552" s="54"/>
      <c r="N552" s="54"/>
    </row>
    <row r="553">
      <c r="A553" s="54"/>
      <c r="B553" s="99"/>
      <c r="C553" s="99"/>
      <c r="D553" s="99"/>
      <c r="E553" s="99"/>
      <c r="F553" s="99"/>
      <c r="G553" s="99"/>
      <c r="H553" s="102"/>
      <c r="I553" s="102"/>
      <c r="J553" s="102"/>
      <c r="K553" s="102"/>
      <c r="L553" s="54"/>
      <c r="M553" s="54"/>
      <c r="N553" s="54"/>
    </row>
    <row r="554">
      <c r="A554" s="54"/>
      <c r="B554" s="99"/>
      <c r="C554" s="99"/>
      <c r="D554" s="99"/>
      <c r="E554" s="99"/>
      <c r="F554" s="99"/>
      <c r="G554" s="99"/>
      <c r="H554" s="102"/>
      <c r="I554" s="102"/>
      <c r="J554" s="102"/>
      <c r="K554" s="102"/>
      <c r="L554" s="54"/>
      <c r="M554" s="54"/>
      <c r="N554" s="54"/>
    </row>
    <row r="555">
      <c r="A555" s="54"/>
      <c r="B555" s="99"/>
      <c r="C555" s="99"/>
      <c r="D555" s="99"/>
      <c r="E555" s="99"/>
      <c r="F555" s="99"/>
      <c r="G555" s="99"/>
      <c r="H555" s="102"/>
      <c r="I555" s="102"/>
      <c r="J555" s="102"/>
      <c r="K555" s="102"/>
      <c r="L555" s="54"/>
      <c r="M555" s="54"/>
      <c r="N555" s="54"/>
    </row>
    <row r="556">
      <c r="A556" s="54"/>
      <c r="B556" s="99"/>
      <c r="C556" s="99"/>
      <c r="D556" s="99"/>
      <c r="E556" s="99"/>
      <c r="F556" s="99"/>
      <c r="G556" s="99"/>
      <c r="H556" s="102"/>
      <c r="I556" s="102"/>
      <c r="J556" s="102"/>
      <c r="K556" s="102"/>
      <c r="L556" s="54"/>
      <c r="M556" s="54"/>
      <c r="N556" s="54"/>
    </row>
    <row r="557">
      <c r="A557" s="54"/>
      <c r="B557" s="99"/>
      <c r="C557" s="99"/>
      <c r="D557" s="99"/>
      <c r="E557" s="99"/>
      <c r="F557" s="99"/>
      <c r="G557" s="99"/>
      <c r="H557" s="102"/>
      <c r="I557" s="102"/>
      <c r="J557" s="102"/>
      <c r="K557" s="102"/>
      <c r="L557" s="54"/>
      <c r="M557" s="54"/>
      <c r="N557" s="54"/>
    </row>
    <row r="558">
      <c r="A558" s="54"/>
      <c r="B558" s="99"/>
      <c r="C558" s="99"/>
      <c r="D558" s="99"/>
      <c r="E558" s="99"/>
      <c r="F558" s="99"/>
      <c r="G558" s="99"/>
      <c r="H558" s="102"/>
      <c r="I558" s="102"/>
      <c r="J558" s="102"/>
      <c r="K558" s="102"/>
      <c r="L558" s="54"/>
      <c r="M558" s="54"/>
      <c r="N558" s="54"/>
    </row>
    <row r="559">
      <c r="A559" s="54"/>
      <c r="B559" s="99"/>
      <c r="C559" s="99"/>
      <c r="D559" s="99"/>
      <c r="E559" s="99"/>
      <c r="F559" s="99"/>
      <c r="G559" s="99"/>
      <c r="H559" s="102"/>
      <c r="I559" s="102"/>
      <c r="J559" s="102"/>
      <c r="K559" s="102"/>
      <c r="L559" s="54"/>
      <c r="M559" s="54"/>
      <c r="N559" s="54"/>
    </row>
    <row r="560">
      <c r="A560" s="54"/>
      <c r="B560" s="99"/>
      <c r="C560" s="99"/>
      <c r="D560" s="99"/>
      <c r="E560" s="99"/>
      <c r="F560" s="99"/>
      <c r="G560" s="99"/>
      <c r="H560" s="102"/>
      <c r="I560" s="102"/>
      <c r="J560" s="102"/>
      <c r="K560" s="102"/>
      <c r="L560" s="54"/>
      <c r="M560" s="54"/>
      <c r="N560" s="54"/>
    </row>
    <row r="561">
      <c r="A561" s="54"/>
      <c r="B561" s="99"/>
      <c r="C561" s="99"/>
      <c r="D561" s="99"/>
      <c r="E561" s="99"/>
      <c r="F561" s="99"/>
      <c r="G561" s="99"/>
      <c r="H561" s="102"/>
      <c r="I561" s="102"/>
      <c r="J561" s="102"/>
      <c r="K561" s="102"/>
      <c r="L561" s="54"/>
      <c r="M561" s="54"/>
      <c r="N561" s="54"/>
    </row>
    <row r="562">
      <c r="A562" s="54"/>
      <c r="B562" s="99"/>
      <c r="C562" s="99"/>
      <c r="D562" s="99"/>
      <c r="E562" s="99"/>
      <c r="F562" s="99"/>
      <c r="G562" s="99"/>
      <c r="H562" s="102"/>
      <c r="I562" s="102"/>
      <c r="J562" s="102"/>
      <c r="K562" s="102"/>
      <c r="L562" s="54"/>
      <c r="M562" s="54"/>
      <c r="N562" s="54"/>
    </row>
    <row r="563">
      <c r="A563" s="54"/>
      <c r="B563" s="99"/>
      <c r="C563" s="99"/>
      <c r="D563" s="99"/>
      <c r="E563" s="99"/>
      <c r="F563" s="99"/>
      <c r="G563" s="99"/>
      <c r="H563" s="102"/>
      <c r="I563" s="102"/>
      <c r="J563" s="102"/>
      <c r="K563" s="102"/>
      <c r="L563" s="54"/>
      <c r="M563" s="54"/>
      <c r="N563" s="54"/>
    </row>
    <row r="564">
      <c r="A564" s="54"/>
      <c r="B564" s="99"/>
      <c r="C564" s="99"/>
      <c r="D564" s="99"/>
      <c r="E564" s="99"/>
      <c r="F564" s="99"/>
      <c r="G564" s="99"/>
      <c r="H564" s="102"/>
      <c r="I564" s="102"/>
      <c r="J564" s="102"/>
      <c r="K564" s="102"/>
      <c r="L564" s="54"/>
      <c r="M564" s="54"/>
      <c r="N564" s="54"/>
    </row>
    <row r="565">
      <c r="A565" s="54"/>
      <c r="B565" s="99"/>
      <c r="C565" s="99"/>
      <c r="D565" s="99"/>
      <c r="E565" s="99"/>
      <c r="F565" s="99"/>
      <c r="G565" s="99"/>
      <c r="H565" s="102"/>
      <c r="I565" s="102"/>
      <c r="J565" s="102"/>
      <c r="K565" s="102"/>
      <c r="L565" s="54"/>
      <c r="M565" s="54"/>
      <c r="N565" s="54"/>
    </row>
    <row r="566">
      <c r="A566" s="54"/>
      <c r="B566" s="99"/>
      <c r="C566" s="99"/>
      <c r="D566" s="99"/>
      <c r="E566" s="99"/>
      <c r="F566" s="99"/>
      <c r="G566" s="99"/>
      <c r="H566" s="102"/>
      <c r="I566" s="102"/>
      <c r="J566" s="102"/>
      <c r="K566" s="102"/>
      <c r="L566" s="54"/>
      <c r="M566" s="54"/>
      <c r="N566" s="54"/>
    </row>
    <row r="567">
      <c r="A567" s="54"/>
      <c r="B567" s="99"/>
      <c r="C567" s="99"/>
      <c r="D567" s="99"/>
      <c r="E567" s="99"/>
      <c r="F567" s="99"/>
      <c r="G567" s="99"/>
      <c r="H567" s="102"/>
      <c r="I567" s="102"/>
      <c r="J567" s="102"/>
      <c r="K567" s="102"/>
      <c r="L567" s="54"/>
      <c r="M567" s="54"/>
      <c r="N567" s="54"/>
    </row>
    <row r="568">
      <c r="A568" s="54"/>
      <c r="B568" s="99"/>
      <c r="C568" s="99"/>
      <c r="D568" s="99"/>
      <c r="E568" s="99"/>
      <c r="F568" s="99"/>
      <c r="G568" s="99"/>
      <c r="H568" s="102"/>
      <c r="I568" s="102"/>
      <c r="J568" s="102"/>
      <c r="K568" s="102"/>
      <c r="L568" s="54"/>
      <c r="M568" s="54"/>
      <c r="N568" s="54"/>
    </row>
    <row r="569">
      <c r="A569" s="54"/>
      <c r="B569" s="99"/>
      <c r="C569" s="99"/>
      <c r="D569" s="99"/>
      <c r="E569" s="99"/>
      <c r="F569" s="99"/>
      <c r="G569" s="99"/>
      <c r="H569" s="102"/>
      <c r="I569" s="102"/>
      <c r="J569" s="102"/>
      <c r="K569" s="102"/>
      <c r="L569" s="54"/>
      <c r="M569" s="54"/>
      <c r="N569" s="54"/>
    </row>
    <row r="570">
      <c r="A570" s="54"/>
      <c r="B570" s="99"/>
      <c r="C570" s="99"/>
      <c r="D570" s="99"/>
      <c r="E570" s="99"/>
      <c r="F570" s="99"/>
      <c r="G570" s="99"/>
      <c r="H570" s="102"/>
      <c r="I570" s="102"/>
      <c r="J570" s="102"/>
      <c r="K570" s="102"/>
      <c r="L570" s="54"/>
      <c r="M570" s="54"/>
      <c r="N570" s="54"/>
    </row>
    <row r="571">
      <c r="A571" s="54"/>
      <c r="B571" s="99"/>
      <c r="C571" s="99"/>
      <c r="D571" s="99"/>
      <c r="E571" s="99"/>
      <c r="F571" s="99"/>
      <c r="G571" s="99"/>
      <c r="H571" s="102"/>
      <c r="I571" s="102"/>
      <c r="J571" s="102"/>
      <c r="K571" s="102"/>
      <c r="L571" s="54"/>
      <c r="M571" s="54"/>
      <c r="N571" s="54"/>
    </row>
    <row r="572">
      <c r="A572" s="54"/>
      <c r="B572" s="99"/>
      <c r="C572" s="99"/>
      <c r="D572" s="99"/>
      <c r="E572" s="99"/>
      <c r="F572" s="99"/>
      <c r="G572" s="99"/>
      <c r="H572" s="102"/>
      <c r="I572" s="102"/>
      <c r="J572" s="102"/>
      <c r="K572" s="102"/>
      <c r="L572" s="54"/>
      <c r="M572" s="54"/>
      <c r="N572" s="54"/>
    </row>
    <row r="573">
      <c r="A573" s="54"/>
      <c r="B573" s="99"/>
      <c r="C573" s="99"/>
      <c r="D573" s="99"/>
      <c r="E573" s="99"/>
      <c r="F573" s="99"/>
      <c r="G573" s="99"/>
      <c r="H573" s="102"/>
      <c r="I573" s="102"/>
      <c r="J573" s="102"/>
      <c r="K573" s="102"/>
      <c r="L573" s="54"/>
      <c r="M573" s="54"/>
      <c r="N573" s="54"/>
    </row>
    <row r="574">
      <c r="A574" s="54"/>
      <c r="B574" s="99"/>
      <c r="C574" s="99"/>
      <c r="D574" s="99"/>
      <c r="E574" s="99"/>
      <c r="F574" s="99"/>
      <c r="G574" s="99"/>
      <c r="H574" s="102"/>
      <c r="I574" s="102"/>
      <c r="J574" s="102"/>
      <c r="K574" s="102"/>
      <c r="L574" s="54"/>
      <c r="M574" s="54"/>
      <c r="N574" s="54"/>
    </row>
    <row r="575">
      <c r="A575" s="54"/>
      <c r="B575" s="99"/>
      <c r="C575" s="99"/>
      <c r="D575" s="99"/>
      <c r="E575" s="99"/>
      <c r="F575" s="99"/>
      <c r="G575" s="99"/>
      <c r="H575" s="102"/>
      <c r="I575" s="102"/>
      <c r="J575" s="102"/>
      <c r="K575" s="102"/>
      <c r="L575" s="54"/>
      <c r="M575" s="54"/>
      <c r="N575" s="54"/>
    </row>
    <row r="576">
      <c r="A576" s="54"/>
      <c r="B576" s="99"/>
      <c r="C576" s="99"/>
      <c r="D576" s="99"/>
      <c r="E576" s="99"/>
      <c r="F576" s="99"/>
      <c r="G576" s="99"/>
      <c r="H576" s="102"/>
      <c r="I576" s="102"/>
      <c r="J576" s="102"/>
      <c r="K576" s="102"/>
      <c r="L576" s="54"/>
      <c r="M576" s="54"/>
      <c r="N576" s="54"/>
    </row>
    <row r="577">
      <c r="A577" s="54"/>
      <c r="B577" s="99"/>
      <c r="C577" s="99"/>
      <c r="D577" s="99"/>
      <c r="E577" s="99"/>
      <c r="F577" s="99"/>
      <c r="G577" s="99"/>
      <c r="H577" s="102"/>
      <c r="I577" s="102"/>
      <c r="J577" s="102"/>
      <c r="K577" s="102"/>
      <c r="L577" s="54"/>
      <c r="M577" s="54"/>
      <c r="N577" s="54"/>
    </row>
    <row r="578">
      <c r="A578" s="54"/>
      <c r="B578" s="99"/>
      <c r="C578" s="99"/>
      <c r="D578" s="99"/>
      <c r="E578" s="99"/>
      <c r="F578" s="99"/>
      <c r="G578" s="99"/>
      <c r="H578" s="102"/>
      <c r="I578" s="102"/>
      <c r="J578" s="102"/>
      <c r="K578" s="102"/>
      <c r="L578" s="54"/>
      <c r="M578" s="54"/>
      <c r="N578" s="54"/>
    </row>
    <row r="579">
      <c r="A579" s="54"/>
      <c r="B579" s="99"/>
      <c r="C579" s="99"/>
      <c r="D579" s="99"/>
      <c r="E579" s="99"/>
      <c r="F579" s="99"/>
      <c r="G579" s="99"/>
      <c r="H579" s="102"/>
      <c r="I579" s="102"/>
      <c r="J579" s="102"/>
      <c r="K579" s="102"/>
      <c r="L579" s="54"/>
      <c r="M579" s="54"/>
      <c r="N579" s="54"/>
    </row>
    <row r="580">
      <c r="A580" s="54"/>
      <c r="B580" s="99"/>
      <c r="C580" s="99"/>
      <c r="D580" s="99"/>
      <c r="E580" s="99"/>
      <c r="F580" s="99"/>
      <c r="G580" s="99"/>
      <c r="H580" s="102"/>
      <c r="I580" s="102"/>
      <c r="J580" s="102"/>
      <c r="K580" s="102"/>
      <c r="L580" s="54"/>
      <c r="M580" s="54"/>
      <c r="N580" s="54"/>
    </row>
    <row r="581">
      <c r="A581" s="54"/>
      <c r="B581" s="99"/>
      <c r="C581" s="99"/>
      <c r="D581" s="99"/>
      <c r="E581" s="99"/>
      <c r="F581" s="99"/>
      <c r="G581" s="99"/>
      <c r="H581" s="102"/>
      <c r="I581" s="102"/>
      <c r="J581" s="102"/>
      <c r="K581" s="102"/>
      <c r="L581" s="54"/>
      <c r="M581" s="54"/>
      <c r="N581" s="54"/>
    </row>
    <row r="582">
      <c r="A582" s="54"/>
      <c r="B582" s="99"/>
      <c r="C582" s="99"/>
      <c r="D582" s="99"/>
      <c r="E582" s="99"/>
      <c r="F582" s="99"/>
      <c r="G582" s="99"/>
      <c r="H582" s="102"/>
      <c r="I582" s="102"/>
      <c r="J582" s="102"/>
      <c r="K582" s="102"/>
      <c r="L582" s="54"/>
      <c r="M582" s="54"/>
      <c r="N582" s="54"/>
    </row>
    <row r="583">
      <c r="A583" s="54"/>
      <c r="B583" s="99"/>
      <c r="C583" s="99"/>
      <c r="D583" s="99"/>
      <c r="E583" s="99"/>
      <c r="F583" s="99"/>
      <c r="G583" s="99"/>
      <c r="H583" s="102"/>
      <c r="I583" s="102"/>
      <c r="J583" s="102"/>
      <c r="K583" s="102"/>
      <c r="L583" s="54"/>
      <c r="M583" s="54"/>
      <c r="N583" s="54"/>
    </row>
    <row r="584">
      <c r="A584" s="54"/>
      <c r="B584" s="99"/>
      <c r="C584" s="99"/>
      <c r="D584" s="99"/>
      <c r="E584" s="99"/>
      <c r="F584" s="99"/>
      <c r="G584" s="99"/>
      <c r="H584" s="102"/>
      <c r="I584" s="102"/>
      <c r="J584" s="102"/>
      <c r="K584" s="102"/>
      <c r="L584" s="54"/>
      <c r="M584" s="54"/>
      <c r="N584" s="54"/>
    </row>
    <row r="585">
      <c r="A585" s="54"/>
      <c r="B585" s="99"/>
      <c r="C585" s="99"/>
      <c r="D585" s="99"/>
      <c r="E585" s="99"/>
      <c r="F585" s="99"/>
      <c r="G585" s="99"/>
      <c r="H585" s="102"/>
      <c r="I585" s="102"/>
      <c r="J585" s="102"/>
      <c r="K585" s="102"/>
      <c r="L585" s="54"/>
      <c r="M585" s="54"/>
      <c r="N585" s="54"/>
    </row>
    <row r="586">
      <c r="A586" s="54"/>
      <c r="B586" s="99"/>
      <c r="C586" s="99"/>
      <c r="D586" s="99"/>
      <c r="E586" s="99"/>
      <c r="F586" s="99"/>
      <c r="G586" s="99"/>
      <c r="H586" s="102"/>
      <c r="I586" s="102"/>
      <c r="J586" s="102"/>
      <c r="K586" s="102"/>
      <c r="L586" s="54"/>
      <c r="M586" s="54"/>
      <c r="N586" s="54"/>
    </row>
    <row r="587">
      <c r="A587" s="54"/>
      <c r="B587" s="99"/>
      <c r="C587" s="99"/>
      <c r="D587" s="99"/>
      <c r="E587" s="99"/>
      <c r="F587" s="99"/>
      <c r="G587" s="99"/>
      <c r="H587" s="102"/>
      <c r="I587" s="102"/>
      <c r="J587" s="102"/>
      <c r="K587" s="102"/>
      <c r="L587" s="54"/>
      <c r="M587" s="54"/>
      <c r="N587" s="54"/>
    </row>
    <row r="588">
      <c r="A588" s="54"/>
      <c r="B588" s="99"/>
      <c r="C588" s="99"/>
      <c r="D588" s="99"/>
      <c r="E588" s="99"/>
      <c r="F588" s="99"/>
      <c r="G588" s="99"/>
      <c r="H588" s="102"/>
      <c r="I588" s="102"/>
      <c r="J588" s="102"/>
      <c r="K588" s="102"/>
      <c r="L588" s="54"/>
      <c r="M588" s="54"/>
      <c r="N588" s="54"/>
    </row>
    <row r="589">
      <c r="A589" s="54"/>
      <c r="B589" s="99"/>
      <c r="C589" s="99"/>
      <c r="D589" s="99"/>
      <c r="E589" s="99"/>
      <c r="F589" s="99"/>
      <c r="G589" s="99"/>
      <c r="H589" s="102"/>
      <c r="I589" s="102"/>
      <c r="J589" s="102"/>
      <c r="K589" s="102"/>
      <c r="L589" s="54"/>
      <c r="M589" s="54"/>
      <c r="N589" s="54"/>
    </row>
    <row r="590">
      <c r="A590" s="54"/>
      <c r="B590" s="99"/>
      <c r="C590" s="99"/>
      <c r="D590" s="99"/>
      <c r="E590" s="99"/>
      <c r="F590" s="99"/>
      <c r="G590" s="99"/>
      <c r="H590" s="102"/>
      <c r="I590" s="102"/>
      <c r="J590" s="102"/>
      <c r="K590" s="102"/>
      <c r="L590" s="54"/>
      <c r="M590" s="54"/>
      <c r="N590" s="54"/>
    </row>
    <row r="591">
      <c r="A591" s="54"/>
      <c r="B591" s="99"/>
      <c r="C591" s="99"/>
      <c r="D591" s="99"/>
      <c r="E591" s="99"/>
      <c r="F591" s="99"/>
      <c r="G591" s="99"/>
      <c r="H591" s="102"/>
      <c r="I591" s="102"/>
      <c r="J591" s="102"/>
      <c r="K591" s="102"/>
      <c r="L591" s="54"/>
      <c r="M591" s="54"/>
      <c r="N591" s="54"/>
    </row>
    <row r="592">
      <c r="A592" s="54"/>
      <c r="B592" s="99"/>
      <c r="C592" s="99"/>
      <c r="D592" s="99"/>
      <c r="E592" s="99"/>
      <c r="F592" s="99"/>
      <c r="G592" s="99"/>
      <c r="H592" s="102"/>
      <c r="I592" s="102"/>
      <c r="J592" s="102"/>
      <c r="K592" s="102"/>
      <c r="L592" s="54"/>
      <c r="M592" s="54"/>
      <c r="N592" s="54"/>
    </row>
    <row r="593">
      <c r="A593" s="54"/>
      <c r="B593" s="99"/>
      <c r="C593" s="99"/>
      <c r="D593" s="99"/>
      <c r="E593" s="99"/>
      <c r="F593" s="99"/>
      <c r="G593" s="99"/>
      <c r="H593" s="102"/>
      <c r="I593" s="102"/>
      <c r="J593" s="102"/>
      <c r="K593" s="102"/>
      <c r="L593" s="54"/>
      <c r="M593" s="54"/>
      <c r="N593" s="54"/>
    </row>
    <row r="594">
      <c r="A594" s="54"/>
      <c r="B594" s="99"/>
      <c r="C594" s="99"/>
      <c r="D594" s="99"/>
      <c r="E594" s="99"/>
      <c r="F594" s="99"/>
      <c r="G594" s="99"/>
      <c r="H594" s="102"/>
      <c r="I594" s="102"/>
      <c r="J594" s="102"/>
      <c r="K594" s="102"/>
      <c r="L594" s="54"/>
      <c r="M594" s="54"/>
      <c r="N594" s="54"/>
    </row>
    <row r="595">
      <c r="A595" s="54"/>
      <c r="B595" s="99"/>
      <c r="C595" s="99"/>
      <c r="D595" s="99"/>
      <c r="E595" s="99"/>
      <c r="F595" s="99"/>
      <c r="G595" s="99"/>
      <c r="H595" s="102"/>
      <c r="I595" s="102"/>
      <c r="J595" s="102"/>
      <c r="K595" s="102"/>
      <c r="L595" s="54"/>
      <c r="M595" s="54"/>
      <c r="N595" s="54"/>
    </row>
    <row r="596">
      <c r="A596" s="54"/>
      <c r="B596" s="99"/>
      <c r="C596" s="99"/>
      <c r="D596" s="99"/>
      <c r="E596" s="99"/>
      <c r="F596" s="99"/>
      <c r="G596" s="99"/>
      <c r="H596" s="102"/>
      <c r="I596" s="102"/>
      <c r="J596" s="102"/>
      <c r="K596" s="102"/>
      <c r="L596" s="54"/>
      <c r="M596" s="54"/>
      <c r="N596" s="54"/>
    </row>
    <row r="597">
      <c r="A597" s="54"/>
      <c r="B597" s="99"/>
      <c r="C597" s="99"/>
      <c r="D597" s="99"/>
      <c r="E597" s="99"/>
      <c r="F597" s="99"/>
      <c r="G597" s="99"/>
      <c r="H597" s="102"/>
      <c r="I597" s="102"/>
      <c r="J597" s="102"/>
      <c r="K597" s="102"/>
      <c r="L597" s="54"/>
      <c r="M597" s="54"/>
      <c r="N597" s="54"/>
    </row>
    <row r="598">
      <c r="A598" s="54"/>
      <c r="B598" s="99"/>
      <c r="C598" s="99"/>
      <c r="D598" s="99"/>
      <c r="E598" s="99"/>
      <c r="F598" s="99"/>
      <c r="G598" s="99"/>
      <c r="H598" s="102"/>
      <c r="I598" s="102"/>
      <c r="J598" s="102"/>
      <c r="K598" s="102"/>
      <c r="L598" s="54"/>
      <c r="M598" s="54"/>
      <c r="N598" s="54"/>
    </row>
    <row r="599">
      <c r="A599" s="54"/>
      <c r="B599" s="99"/>
      <c r="C599" s="99"/>
      <c r="D599" s="99"/>
      <c r="E599" s="99"/>
      <c r="F599" s="99"/>
      <c r="G599" s="99"/>
      <c r="H599" s="102"/>
      <c r="I599" s="102"/>
      <c r="J599" s="102"/>
      <c r="K599" s="102"/>
      <c r="L599" s="54"/>
      <c r="M599" s="54"/>
      <c r="N599" s="54"/>
    </row>
    <row r="600">
      <c r="A600" s="54"/>
      <c r="B600" s="99"/>
      <c r="C600" s="99"/>
      <c r="D600" s="99"/>
      <c r="E600" s="99"/>
      <c r="F600" s="99"/>
      <c r="G600" s="99"/>
      <c r="H600" s="102"/>
      <c r="I600" s="102"/>
      <c r="J600" s="102"/>
      <c r="K600" s="102"/>
      <c r="L600" s="54"/>
      <c r="M600" s="54"/>
      <c r="N600" s="54"/>
    </row>
    <row r="601">
      <c r="A601" s="54"/>
      <c r="B601" s="99"/>
      <c r="C601" s="99"/>
      <c r="D601" s="99"/>
      <c r="E601" s="99"/>
      <c r="F601" s="99"/>
      <c r="G601" s="99"/>
      <c r="H601" s="102"/>
      <c r="I601" s="102"/>
      <c r="J601" s="102"/>
      <c r="K601" s="102"/>
      <c r="L601" s="54"/>
      <c r="M601" s="54"/>
      <c r="N601" s="54"/>
    </row>
    <row r="602">
      <c r="A602" s="54"/>
      <c r="B602" s="99"/>
      <c r="C602" s="99"/>
      <c r="D602" s="99"/>
      <c r="E602" s="99"/>
      <c r="F602" s="99"/>
      <c r="G602" s="99"/>
      <c r="H602" s="102"/>
      <c r="I602" s="102"/>
      <c r="J602" s="102"/>
      <c r="K602" s="102"/>
      <c r="L602" s="54"/>
      <c r="M602" s="54"/>
      <c r="N602" s="54"/>
    </row>
    <row r="603">
      <c r="A603" s="54"/>
      <c r="B603" s="99"/>
      <c r="C603" s="99"/>
      <c r="D603" s="99"/>
      <c r="E603" s="99"/>
      <c r="F603" s="99"/>
      <c r="G603" s="99"/>
      <c r="H603" s="102"/>
      <c r="I603" s="102"/>
      <c r="J603" s="102"/>
      <c r="K603" s="102"/>
      <c r="L603" s="54"/>
      <c r="M603" s="54"/>
      <c r="N603" s="54"/>
    </row>
    <row r="604">
      <c r="A604" s="54"/>
      <c r="B604" s="99"/>
      <c r="C604" s="99"/>
      <c r="D604" s="99"/>
      <c r="E604" s="99"/>
      <c r="F604" s="99"/>
      <c r="G604" s="99"/>
      <c r="H604" s="102"/>
      <c r="I604" s="102"/>
      <c r="J604" s="102"/>
      <c r="K604" s="102"/>
      <c r="L604" s="54"/>
      <c r="M604" s="54"/>
      <c r="N604" s="54"/>
    </row>
    <row r="605">
      <c r="A605" s="54"/>
      <c r="B605" s="99"/>
      <c r="C605" s="99"/>
      <c r="D605" s="99"/>
      <c r="E605" s="99"/>
      <c r="F605" s="99"/>
      <c r="G605" s="99"/>
      <c r="H605" s="102"/>
      <c r="I605" s="102"/>
      <c r="J605" s="102"/>
      <c r="K605" s="102"/>
      <c r="L605" s="54"/>
      <c r="M605" s="54"/>
      <c r="N605" s="54"/>
    </row>
    <row r="606">
      <c r="A606" s="54"/>
      <c r="B606" s="99"/>
      <c r="C606" s="99"/>
      <c r="D606" s="99"/>
      <c r="E606" s="99"/>
      <c r="F606" s="99"/>
      <c r="G606" s="99"/>
      <c r="H606" s="102"/>
      <c r="I606" s="102"/>
      <c r="J606" s="102"/>
      <c r="K606" s="102"/>
      <c r="L606" s="54"/>
      <c r="M606" s="54"/>
      <c r="N606" s="54"/>
    </row>
    <row r="607">
      <c r="A607" s="54"/>
      <c r="B607" s="99"/>
      <c r="C607" s="99"/>
      <c r="D607" s="99"/>
      <c r="E607" s="99"/>
      <c r="F607" s="99"/>
      <c r="G607" s="99"/>
      <c r="H607" s="102"/>
      <c r="I607" s="102"/>
      <c r="J607" s="102"/>
      <c r="K607" s="102"/>
      <c r="L607" s="54"/>
      <c r="M607" s="54"/>
      <c r="N607" s="54"/>
    </row>
    <row r="608">
      <c r="A608" s="54"/>
      <c r="B608" s="99"/>
      <c r="C608" s="99"/>
      <c r="D608" s="99"/>
      <c r="E608" s="99"/>
      <c r="F608" s="99"/>
      <c r="G608" s="99"/>
      <c r="H608" s="102"/>
      <c r="I608" s="102"/>
      <c r="J608" s="102"/>
      <c r="K608" s="102"/>
      <c r="L608" s="54"/>
      <c r="M608" s="54"/>
      <c r="N608" s="54"/>
    </row>
    <row r="609">
      <c r="A609" s="54"/>
      <c r="B609" s="99"/>
      <c r="C609" s="99"/>
      <c r="D609" s="99"/>
      <c r="E609" s="99"/>
      <c r="F609" s="99"/>
      <c r="G609" s="99"/>
      <c r="H609" s="102"/>
      <c r="I609" s="102"/>
      <c r="J609" s="102"/>
      <c r="K609" s="102"/>
      <c r="L609" s="54"/>
      <c r="M609" s="54"/>
      <c r="N609" s="54"/>
    </row>
    <row r="610">
      <c r="A610" s="54"/>
      <c r="B610" s="99"/>
      <c r="C610" s="99"/>
      <c r="D610" s="99"/>
      <c r="E610" s="99"/>
      <c r="F610" s="99"/>
      <c r="G610" s="99"/>
      <c r="H610" s="102"/>
      <c r="I610" s="102"/>
      <c r="J610" s="102"/>
      <c r="K610" s="102"/>
      <c r="L610" s="54"/>
      <c r="M610" s="54"/>
      <c r="N610" s="54"/>
    </row>
    <row r="611">
      <c r="A611" s="54"/>
      <c r="B611" s="99"/>
      <c r="C611" s="99"/>
      <c r="D611" s="99"/>
      <c r="E611" s="99"/>
      <c r="F611" s="99"/>
      <c r="G611" s="99"/>
      <c r="H611" s="102"/>
      <c r="I611" s="102"/>
      <c r="J611" s="102"/>
      <c r="K611" s="102"/>
      <c r="L611" s="54"/>
      <c r="M611" s="54"/>
      <c r="N611" s="54"/>
    </row>
    <row r="612">
      <c r="A612" s="54"/>
      <c r="B612" s="99"/>
      <c r="C612" s="99"/>
      <c r="D612" s="99"/>
      <c r="E612" s="99"/>
      <c r="F612" s="99"/>
      <c r="G612" s="99"/>
      <c r="H612" s="102"/>
      <c r="I612" s="102"/>
      <c r="J612" s="102"/>
      <c r="K612" s="102"/>
      <c r="L612" s="54"/>
      <c r="M612" s="54"/>
      <c r="N612" s="54"/>
    </row>
    <row r="613">
      <c r="A613" s="54"/>
      <c r="B613" s="99"/>
      <c r="C613" s="99"/>
      <c r="D613" s="99"/>
      <c r="E613" s="99"/>
      <c r="F613" s="99"/>
      <c r="G613" s="99"/>
      <c r="H613" s="102"/>
      <c r="I613" s="102"/>
      <c r="J613" s="102"/>
      <c r="K613" s="102"/>
      <c r="L613" s="54"/>
      <c r="M613" s="54"/>
      <c r="N613" s="54"/>
    </row>
    <row r="614">
      <c r="A614" s="54"/>
      <c r="B614" s="99"/>
      <c r="C614" s="99"/>
      <c r="D614" s="99"/>
      <c r="E614" s="99"/>
      <c r="F614" s="99"/>
      <c r="G614" s="99"/>
      <c r="H614" s="102"/>
      <c r="I614" s="102"/>
      <c r="J614" s="102"/>
      <c r="K614" s="102"/>
      <c r="L614" s="54"/>
      <c r="M614" s="54"/>
      <c r="N614" s="54"/>
    </row>
    <row r="615">
      <c r="A615" s="54"/>
      <c r="B615" s="99"/>
      <c r="C615" s="99"/>
      <c r="D615" s="99"/>
      <c r="E615" s="99"/>
      <c r="F615" s="99"/>
      <c r="G615" s="99"/>
      <c r="H615" s="102"/>
      <c r="I615" s="102"/>
      <c r="J615" s="102"/>
      <c r="K615" s="102"/>
      <c r="L615" s="54"/>
      <c r="M615" s="54"/>
      <c r="N615" s="54"/>
    </row>
    <row r="616">
      <c r="A616" s="54"/>
      <c r="B616" s="99"/>
      <c r="C616" s="99"/>
      <c r="D616" s="99"/>
      <c r="E616" s="99"/>
      <c r="F616" s="99"/>
      <c r="G616" s="99"/>
      <c r="H616" s="102"/>
      <c r="I616" s="102"/>
      <c r="J616" s="102"/>
      <c r="K616" s="102"/>
      <c r="L616" s="54"/>
      <c r="M616" s="54"/>
      <c r="N616" s="54"/>
    </row>
    <row r="617">
      <c r="A617" s="54"/>
      <c r="B617" s="99"/>
      <c r="C617" s="99"/>
      <c r="D617" s="99"/>
      <c r="E617" s="99"/>
      <c r="F617" s="99"/>
      <c r="G617" s="99"/>
      <c r="H617" s="102"/>
      <c r="I617" s="102"/>
      <c r="J617" s="102"/>
      <c r="K617" s="102"/>
      <c r="L617" s="54"/>
      <c r="M617" s="54"/>
      <c r="N617" s="54"/>
    </row>
    <row r="618">
      <c r="A618" s="54"/>
      <c r="B618" s="99"/>
      <c r="C618" s="99"/>
      <c r="D618" s="99"/>
      <c r="E618" s="99"/>
      <c r="F618" s="99"/>
      <c r="G618" s="99"/>
      <c r="H618" s="102"/>
      <c r="I618" s="102"/>
      <c r="J618" s="102"/>
      <c r="K618" s="102"/>
      <c r="L618" s="54"/>
      <c r="M618" s="54"/>
      <c r="N618" s="54"/>
    </row>
    <row r="619">
      <c r="A619" s="54"/>
      <c r="B619" s="99"/>
      <c r="C619" s="99"/>
      <c r="D619" s="99"/>
      <c r="E619" s="99"/>
      <c r="F619" s="99"/>
      <c r="G619" s="99"/>
      <c r="H619" s="102"/>
      <c r="I619" s="102"/>
      <c r="J619" s="102"/>
      <c r="K619" s="102"/>
      <c r="L619" s="54"/>
      <c r="M619" s="54"/>
      <c r="N619" s="54"/>
    </row>
    <row r="620">
      <c r="A620" s="54"/>
      <c r="B620" s="99"/>
      <c r="C620" s="99"/>
      <c r="D620" s="99"/>
      <c r="E620" s="99"/>
      <c r="F620" s="99"/>
      <c r="G620" s="99"/>
      <c r="H620" s="102"/>
      <c r="I620" s="102"/>
      <c r="J620" s="102"/>
      <c r="K620" s="102"/>
      <c r="L620" s="54"/>
      <c r="M620" s="54"/>
      <c r="N620" s="54"/>
    </row>
    <row r="621">
      <c r="A621" s="54"/>
      <c r="B621" s="99"/>
      <c r="C621" s="99"/>
      <c r="D621" s="99"/>
      <c r="E621" s="99"/>
      <c r="F621" s="99"/>
      <c r="G621" s="99"/>
      <c r="H621" s="102"/>
      <c r="I621" s="102"/>
      <c r="J621" s="102"/>
      <c r="K621" s="102"/>
      <c r="L621" s="54"/>
      <c r="M621" s="54"/>
      <c r="N621" s="54"/>
    </row>
    <row r="622">
      <c r="A622" s="54"/>
      <c r="B622" s="99"/>
      <c r="C622" s="99"/>
      <c r="D622" s="99"/>
      <c r="E622" s="99"/>
      <c r="F622" s="99"/>
      <c r="G622" s="99"/>
      <c r="H622" s="102"/>
      <c r="I622" s="102"/>
      <c r="J622" s="102"/>
      <c r="K622" s="102"/>
      <c r="L622" s="54"/>
      <c r="M622" s="54"/>
      <c r="N622" s="54"/>
    </row>
    <row r="623">
      <c r="A623" s="54"/>
      <c r="B623" s="99"/>
      <c r="C623" s="99"/>
      <c r="D623" s="99"/>
      <c r="E623" s="99"/>
      <c r="F623" s="99"/>
      <c r="G623" s="99"/>
      <c r="H623" s="102"/>
      <c r="I623" s="102"/>
      <c r="J623" s="102"/>
      <c r="K623" s="102"/>
      <c r="L623" s="54"/>
      <c r="M623" s="54"/>
      <c r="N623" s="54"/>
    </row>
    <row r="624">
      <c r="A624" s="54"/>
      <c r="B624" s="99"/>
      <c r="C624" s="99"/>
      <c r="D624" s="99"/>
      <c r="E624" s="99"/>
      <c r="F624" s="99"/>
      <c r="G624" s="99"/>
      <c r="H624" s="102"/>
      <c r="I624" s="102"/>
      <c r="J624" s="102"/>
      <c r="K624" s="102"/>
      <c r="L624" s="54"/>
      <c r="M624" s="54"/>
      <c r="N624" s="54"/>
    </row>
    <row r="625">
      <c r="A625" s="54"/>
      <c r="B625" s="99"/>
      <c r="C625" s="99"/>
      <c r="D625" s="99"/>
      <c r="E625" s="99"/>
      <c r="F625" s="99"/>
      <c r="G625" s="99"/>
      <c r="H625" s="102"/>
      <c r="I625" s="102"/>
      <c r="J625" s="102"/>
      <c r="K625" s="102"/>
      <c r="L625" s="54"/>
      <c r="M625" s="54"/>
      <c r="N625" s="54"/>
    </row>
    <row r="626">
      <c r="A626" s="54"/>
      <c r="B626" s="99"/>
      <c r="C626" s="99"/>
      <c r="D626" s="99"/>
      <c r="E626" s="99"/>
      <c r="F626" s="99"/>
      <c r="G626" s="99"/>
      <c r="H626" s="102"/>
      <c r="I626" s="102"/>
      <c r="J626" s="102"/>
      <c r="K626" s="102"/>
      <c r="L626" s="54"/>
      <c r="M626" s="54"/>
      <c r="N626" s="54"/>
    </row>
    <row r="627">
      <c r="A627" s="54"/>
      <c r="B627" s="99"/>
      <c r="C627" s="99"/>
      <c r="D627" s="99"/>
      <c r="E627" s="99"/>
      <c r="F627" s="99"/>
      <c r="G627" s="99"/>
      <c r="H627" s="102"/>
      <c r="I627" s="102"/>
      <c r="J627" s="102"/>
      <c r="K627" s="102"/>
      <c r="L627" s="54"/>
      <c r="M627" s="54"/>
      <c r="N627" s="54"/>
    </row>
    <row r="628">
      <c r="A628" s="54"/>
      <c r="B628" s="99"/>
      <c r="C628" s="99"/>
      <c r="D628" s="99"/>
      <c r="E628" s="99"/>
      <c r="F628" s="99"/>
      <c r="G628" s="99"/>
      <c r="H628" s="102"/>
      <c r="I628" s="102"/>
      <c r="J628" s="102"/>
      <c r="K628" s="102"/>
      <c r="L628" s="54"/>
      <c r="M628" s="54"/>
      <c r="N628" s="54"/>
    </row>
    <row r="629">
      <c r="A629" s="54"/>
      <c r="B629" s="99"/>
      <c r="C629" s="99"/>
      <c r="D629" s="99"/>
      <c r="E629" s="99"/>
      <c r="F629" s="99"/>
      <c r="G629" s="99"/>
      <c r="H629" s="102"/>
      <c r="I629" s="102"/>
      <c r="J629" s="102"/>
      <c r="K629" s="102"/>
      <c r="L629" s="54"/>
      <c r="M629" s="54"/>
      <c r="N629" s="54"/>
    </row>
    <row r="630">
      <c r="A630" s="54"/>
      <c r="B630" s="99"/>
      <c r="C630" s="99"/>
      <c r="D630" s="99"/>
      <c r="E630" s="99"/>
      <c r="F630" s="99"/>
      <c r="G630" s="99"/>
      <c r="H630" s="102"/>
      <c r="I630" s="102"/>
      <c r="J630" s="102"/>
      <c r="K630" s="102"/>
      <c r="L630" s="54"/>
      <c r="M630" s="54"/>
      <c r="N630" s="54"/>
    </row>
    <row r="631">
      <c r="A631" s="54"/>
      <c r="B631" s="99"/>
      <c r="C631" s="99"/>
      <c r="D631" s="99"/>
      <c r="E631" s="99"/>
      <c r="F631" s="99"/>
      <c r="G631" s="99"/>
      <c r="H631" s="102"/>
      <c r="I631" s="102"/>
      <c r="J631" s="102"/>
      <c r="K631" s="102"/>
      <c r="L631" s="54"/>
      <c r="M631" s="54"/>
      <c r="N631" s="54"/>
    </row>
    <row r="632">
      <c r="A632" s="54"/>
      <c r="B632" s="99"/>
      <c r="C632" s="99"/>
      <c r="D632" s="99"/>
      <c r="E632" s="99"/>
      <c r="F632" s="99"/>
      <c r="G632" s="99"/>
      <c r="H632" s="102"/>
      <c r="I632" s="102"/>
      <c r="J632" s="102"/>
      <c r="K632" s="102"/>
      <c r="L632" s="54"/>
      <c r="M632" s="54"/>
      <c r="N632" s="54"/>
    </row>
    <row r="633">
      <c r="A633" s="54"/>
      <c r="B633" s="99"/>
      <c r="C633" s="99"/>
      <c r="D633" s="99"/>
      <c r="E633" s="99"/>
      <c r="F633" s="99"/>
      <c r="G633" s="99"/>
      <c r="H633" s="102"/>
      <c r="I633" s="102"/>
      <c r="J633" s="102"/>
      <c r="K633" s="102"/>
      <c r="L633" s="54"/>
      <c r="M633" s="54"/>
      <c r="N633" s="54"/>
    </row>
    <row r="634">
      <c r="A634" s="54"/>
      <c r="B634" s="99"/>
      <c r="C634" s="99"/>
      <c r="D634" s="99"/>
      <c r="E634" s="99"/>
      <c r="F634" s="99"/>
      <c r="G634" s="99"/>
      <c r="H634" s="102"/>
      <c r="I634" s="102"/>
      <c r="J634" s="102"/>
      <c r="K634" s="102"/>
      <c r="L634" s="54"/>
      <c r="M634" s="54"/>
      <c r="N634" s="54"/>
    </row>
    <row r="635">
      <c r="A635" s="54"/>
      <c r="B635" s="99"/>
      <c r="C635" s="99"/>
      <c r="D635" s="99"/>
      <c r="E635" s="99"/>
      <c r="F635" s="99"/>
      <c r="G635" s="99"/>
      <c r="H635" s="102"/>
      <c r="I635" s="102"/>
      <c r="J635" s="102"/>
      <c r="K635" s="102"/>
      <c r="L635" s="54"/>
      <c r="M635" s="54"/>
      <c r="N635" s="54"/>
    </row>
    <row r="636">
      <c r="A636" s="54"/>
      <c r="B636" s="99"/>
      <c r="C636" s="99"/>
      <c r="D636" s="99"/>
      <c r="E636" s="99"/>
      <c r="F636" s="99"/>
      <c r="G636" s="99"/>
      <c r="H636" s="102"/>
      <c r="I636" s="102"/>
      <c r="J636" s="102"/>
      <c r="K636" s="102"/>
      <c r="L636" s="54"/>
      <c r="M636" s="54"/>
      <c r="N636" s="54"/>
    </row>
    <row r="637">
      <c r="A637" s="54"/>
      <c r="B637" s="99"/>
      <c r="C637" s="99"/>
      <c r="D637" s="99"/>
      <c r="E637" s="99"/>
      <c r="F637" s="99"/>
      <c r="G637" s="99"/>
      <c r="H637" s="102"/>
      <c r="I637" s="102"/>
      <c r="J637" s="102"/>
      <c r="K637" s="102"/>
      <c r="L637" s="54"/>
      <c r="M637" s="54"/>
      <c r="N637" s="54"/>
    </row>
    <row r="638">
      <c r="A638" s="54"/>
      <c r="B638" s="99"/>
      <c r="C638" s="99"/>
      <c r="D638" s="99"/>
      <c r="E638" s="99"/>
      <c r="F638" s="99"/>
      <c r="G638" s="99"/>
      <c r="H638" s="102"/>
      <c r="I638" s="102"/>
      <c r="J638" s="102"/>
      <c r="K638" s="102"/>
      <c r="L638" s="54"/>
      <c r="M638" s="54"/>
      <c r="N638" s="54"/>
    </row>
    <row r="639">
      <c r="A639" s="54"/>
      <c r="B639" s="99"/>
      <c r="C639" s="99"/>
      <c r="D639" s="99"/>
      <c r="E639" s="99"/>
      <c r="F639" s="99"/>
      <c r="G639" s="99"/>
      <c r="H639" s="102"/>
      <c r="I639" s="102"/>
      <c r="J639" s="102"/>
      <c r="K639" s="102"/>
      <c r="L639" s="54"/>
      <c r="M639" s="54"/>
      <c r="N639" s="54"/>
    </row>
    <row r="640">
      <c r="A640" s="54"/>
      <c r="B640" s="99"/>
      <c r="C640" s="99"/>
      <c r="D640" s="99"/>
      <c r="E640" s="99"/>
      <c r="F640" s="99"/>
      <c r="G640" s="99"/>
      <c r="H640" s="102"/>
      <c r="I640" s="102"/>
      <c r="J640" s="102"/>
      <c r="K640" s="102"/>
      <c r="L640" s="54"/>
      <c r="M640" s="54"/>
      <c r="N640" s="54"/>
    </row>
    <row r="641">
      <c r="A641" s="54"/>
      <c r="B641" s="99"/>
      <c r="C641" s="99"/>
      <c r="D641" s="99"/>
      <c r="E641" s="99"/>
      <c r="F641" s="99"/>
      <c r="G641" s="99"/>
      <c r="H641" s="102"/>
      <c r="I641" s="102"/>
      <c r="J641" s="102"/>
      <c r="K641" s="102"/>
      <c r="L641" s="54"/>
      <c r="M641" s="54"/>
      <c r="N641" s="54"/>
    </row>
    <row r="642">
      <c r="A642" s="54"/>
      <c r="B642" s="99"/>
      <c r="C642" s="99"/>
      <c r="D642" s="99"/>
      <c r="E642" s="99"/>
      <c r="F642" s="99"/>
      <c r="G642" s="99"/>
      <c r="H642" s="102"/>
      <c r="I642" s="102"/>
      <c r="J642" s="102"/>
      <c r="K642" s="102"/>
      <c r="L642" s="54"/>
      <c r="M642" s="54"/>
      <c r="N642" s="54"/>
    </row>
    <row r="643">
      <c r="A643" s="54"/>
      <c r="B643" s="99"/>
      <c r="C643" s="99"/>
      <c r="D643" s="99"/>
      <c r="E643" s="99"/>
      <c r="F643" s="99"/>
      <c r="G643" s="99"/>
      <c r="H643" s="102"/>
      <c r="I643" s="102"/>
      <c r="J643" s="102"/>
      <c r="K643" s="102"/>
      <c r="L643" s="54"/>
      <c r="M643" s="54"/>
      <c r="N643" s="54"/>
    </row>
    <row r="644">
      <c r="A644" s="54"/>
      <c r="B644" s="99"/>
      <c r="C644" s="99"/>
      <c r="D644" s="99"/>
      <c r="E644" s="99"/>
      <c r="F644" s="99"/>
      <c r="G644" s="99"/>
      <c r="H644" s="102"/>
      <c r="I644" s="102"/>
      <c r="J644" s="102"/>
      <c r="K644" s="102"/>
      <c r="L644" s="54"/>
      <c r="M644" s="54"/>
      <c r="N644" s="54"/>
    </row>
    <row r="645">
      <c r="A645" s="54"/>
      <c r="B645" s="99"/>
      <c r="C645" s="99"/>
      <c r="D645" s="99"/>
      <c r="E645" s="99"/>
      <c r="F645" s="99"/>
      <c r="G645" s="99"/>
      <c r="H645" s="102"/>
      <c r="I645" s="102"/>
      <c r="J645" s="102"/>
      <c r="K645" s="102"/>
      <c r="L645" s="54"/>
      <c r="M645" s="54"/>
      <c r="N645" s="54"/>
    </row>
    <row r="646">
      <c r="A646" s="54"/>
      <c r="B646" s="99"/>
      <c r="C646" s="99"/>
      <c r="D646" s="99"/>
      <c r="E646" s="99"/>
      <c r="F646" s="99"/>
      <c r="G646" s="99"/>
      <c r="H646" s="102"/>
      <c r="I646" s="102"/>
      <c r="J646" s="102"/>
      <c r="K646" s="102"/>
      <c r="L646" s="54"/>
      <c r="M646" s="54"/>
      <c r="N646" s="54"/>
    </row>
    <row r="647">
      <c r="A647" s="54"/>
      <c r="B647" s="99"/>
      <c r="C647" s="99"/>
      <c r="D647" s="99"/>
      <c r="E647" s="99"/>
      <c r="F647" s="99"/>
      <c r="G647" s="99"/>
      <c r="H647" s="102"/>
      <c r="I647" s="102"/>
      <c r="J647" s="102"/>
      <c r="K647" s="102"/>
      <c r="L647" s="54"/>
      <c r="M647" s="54"/>
      <c r="N647" s="54"/>
    </row>
    <row r="648">
      <c r="A648" s="54"/>
      <c r="B648" s="99"/>
      <c r="C648" s="99"/>
      <c r="D648" s="99"/>
      <c r="E648" s="99"/>
      <c r="F648" s="99"/>
      <c r="G648" s="99"/>
      <c r="H648" s="102"/>
      <c r="I648" s="102"/>
      <c r="J648" s="102"/>
      <c r="K648" s="102"/>
      <c r="L648" s="54"/>
      <c r="M648" s="54"/>
      <c r="N648" s="54"/>
    </row>
    <row r="649">
      <c r="A649" s="54"/>
      <c r="B649" s="99"/>
      <c r="C649" s="99"/>
      <c r="D649" s="99"/>
      <c r="E649" s="99"/>
      <c r="F649" s="99"/>
      <c r="G649" s="99"/>
      <c r="H649" s="102"/>
      <c r="I649" s="102"/>
      <c r="J649" s="102"/>
      <c r="K649" s="102"/>
      <c r="L649" s="54"/>
      <c r="M649" s="54"/>
      <c r="N649" s="54"/>
    </row>
    <row r="650">
      <c r="A650" s="54"/>
      <c r="B650" s="99"/>
      <c r="C650" s="99"/>
      <c r="D650" s="99"/>
      <c r="E650" s="99"/>
      <c r="F650" s="99"/>
      <c r="G650" s="99"/>
      <c r="H650" s="102"/>
      <c r="I650" s="102"/>
      <c r="J650" s="102"/>
      <c r="K650" s="102"/>
      <c r="L650" s="54"/>
      <c r="M650" s="54"/>
      <c r="N650" s="54"/>
    </row>
    <row r="651">
      <c r="A651" s="54"/>
      <c r="B651" s="99"/>
      <c r="C651" s="99"/>
      <c r="D651" s="99"/>
      <c r="E651" s="99"/>
      <c r="F651" s="99"/>
      <c r="G651" s="99"/>
      <c r="H651" s="102"/>
      <c r="I651" s="102"/>
      <c r="J651" s="102"/>
      <c r="K651" s="102"/>
      <c r="L651" s="54"/>
      <c r="M651" s="54"/>
      <c r="N651" s="54"/>
    </row>
    <row r="652">
      <c r="A652" s="54"/>
      <c r="B652" s="99"/>
      <c r="C652" s="99"/>
      <c r="D652" s="99"/>
      <c r="E652" s="99"/>
      <c r="F652" s="99"/>
      <c r="G652" s="99"/>
      <c r="H652" s="102"/>
      <c r="I652" s="102"/>
      <c r="J652" s="102"/>
      <c r="K652" s="102"/>
      <c r="L652" s="54"/>
      <c r="M652" s="54"/>
      <c r="N652" s="54"/>
    </row>
    <row r="653">
      <c r="A653" s="54"/>
      <c r="B653" s="99"/>
      <c r="C653" s="99"/>
      <c r="D653" s="99"/>
      <c r="E653" s="99"/>
      <c r="F653" s="99"/>
      <c r="G653" s="99"/>
      <c r="H653" s="102"/>
      <c r="I653" s="102"/>
      <c r="J653" s="102"/>
      <c r="K653" s="102"/>
      <c r="L653" s="54"/>
      <c r="M653" s="54"/>
      <c r="N653" s="54"/>
    </row>
    <row r="654">
      <c r="A654" s="54"/>
      <c r="B654" s="99"/>
      <c r="C654" s="99"/>
      <c r="D654" s="99"/>
      <c r="E654" s="99"/>
      <c r="F654" s="99"/>
      <c r="G654" s="99"/>
      <c r="H654" s="102"/>
      <c r="I654" s="102"/>
      <c r="J654" s="102"/>
      <c r="K654" s="102"/>
      <c r="L654" s="54"/>
      <c r="M654" s="54"/>
      <c r="N654" s="54"/>
    </row>
    <row r="655">
      <c r="A655" s="54"/>
      <c r="B655" s="99"/>
      <c r="C655" s="99"/>
      <c r="D655" s="99"/>
      <c r="E655" s="99"/>
      <c r="F655" s="99"/>
      <c r="G655" s="99"/>
      <c r="H655" s="102"/>
      <c r="I655" s="102"/>
      <c r="J655" s="102"/>
      <c r="K655" s="102"/>
      <c r="L655" s="54"/>
      <c r="M655" s="54"/>
      <c r="N655" s="54"/>
    </row>
    <row r="656">
      <c r="A656" s="54"/>
      <c r="B656" s="99"/>
      <c r="C656" s="99"/>
      <c r="D656" s="99"/>
      <c r="E656" s="99"/>
      <c r="F656" s="99"/>
      <c r="G656" s="99"/>
      <c r="H656" s="102"/>
      <c r="I656" s="102"/>
      <c r="J656" s="102"/>
      <c r="K656" s="102"/>
      <c r="L656" s="54"/>
      <c r="M656" s="54"/>
      <c r="N656" s="54"/>
    </row>
    <row r="657">
      <c r="A657" s="54"/>
      <c r="B657" s="99"/>
      <c r="C657" s="99"/>
      <c r="D657" s="99"/>
      <c r="E657" s="99"/>
      <c r="F657" s="99"/>
      <c r="G657" s="99"/>
      <c r="H657" s="102"/>
      <c r="I657" s="102"/>
      <c r="J657" s="102"/>
      <c r="K657" s="102"/>
      <c r="L657" s="54"/>
      <c r="M657" s="54"/>
      <c r="N657" s="54"/>
    </row>
    <row r="658">
      <c r="A658" s="54"/>
      <c r="B658" s="99"/>
      <c r="C658" s="99"/>
      <c r="D658" s="99"/>
      <c r="E658" s="99"/>
      <c r="F658" s="99"/>
      <c r="G658" s="99"/>
      <c r="H658" s="102"/>
      <c r="I658" s="102"/>
      <c r="J658" s="102"/>
      <c r="K658" s="102"/>
      <c r="L658" s="54"/>
      <c r="M658" s="54"/>
      <c r="N658" s="54"/>
    </row>
    <row r="659">
      <c r="A659" s="54"/>
      <c r="B659" s="99"/>
      <c r="C659" s="99"/>
      <c r="D659" s="99"/>
      <c r="E659" s="99"/>
      <c r="F659" s="99"/>
      <c r="G659" s="99"/>
      <c r="H659" s="102"/>
      <c r="I659" s="102"/>
      <c r="J659" s="102"/>
      <c r="K659" s="102"/>
      <c r="L659" s="54"/>
      <c r="M659" s="54"/>
      <c r="N659" s="54"/>
    </row>
    <row r="660">
      <c r="A660" s="54"/>
      <c r="B660" s="99"/>
      <c r="C660" s="99"/>
      <c r="D660" s="99"/>
      <c r="E660" s="99"/>
      <c r="F660" s="99"/>
      <c r="G660" s="99"/>
      <c r="H660" s="102"/>
      <c r="I660" s="102"/>
      <c r="J660" s="102"/>
      <c r="K660" s="102"/>
      <c r="L660" s="54"/>
      <c r="M660" s="54"/>
      <c r="N660" s="54"/>
    </row>
    <row r="661">
      <c r="A661" s="54"/>
      <c r="B661" s="99"/>
      <c r="C661" s="99"/>
      <c r="D661" s="99"/>
      <c r="E661" s="99"/>
      <c r="F661" s="99"/>
      <c r="G661" s="99"/>
      <c r="H661" s="102"/>
      <c r="I661" s="102"/>
      <c r="J661" s="102"/>
      <c r="K661" s="102"/>
      <c r="L661" s="54"/>
      <c r="M661" s="54"/>
      <c r="N661" s="54"/>
    </row>
    <row r="662">
      <c r="A662" s="54"/>
      <c r="B662" s="99"/>
      <c r="C662" s="99"/>
      <c r="D662" s="99"/>
      <c r="E662" s="99"/>
      <c r="F662" s="99"/>
      <c r="G662" s="99"/>
      <c r="H662" s="102"/>
      <c r="I662" s="102"/>
      <c r="J662" s="102"/>
      <c r="K662" s="102"/>
      <c r="L662" s="54"/>
      <c r="M662" s="54"/>
      <c r="N662" s="54"/>
    </row>
    <row r="663">
      <c r="A663" s="54"/>
      <c r="B663" s="99"/>
      <c r="C663" s="99"/>
      <c r="D663" s="99"/>
      <c r="E663" s="99"/>
      <c r="F663" s="99"/>
      <c r="G663" s="99"/>
      <c r="H663" s="102"/>
      <c r="I663" s="102"/>
      <c r="J663" s="102"/>
      <c r="K663" s="102"/>
      <c r="L663" s="54"/>
      <c r="M663" s="54"/>
      <c r="N663" s="54"/>
    </row>
    <row r="664">
      <c r="A664" s="54"/>
      <c r="B664" s="99"/>
      <c r="C664" s="99"/>
      <c r="D664" s="99"/>
      <c r="E664" s="99"/>
      <c r="F664" s="99"/>
      <c r="G664" s="99"/>
      <c r="H664" s="102"/>
      <c r="I664" s="102"/>
      <c r="J664" s="102"/>
      <c r="K664" s="102"/>
      <c r="L664" s="54"/>
      <c r="M664" s="54"/>
      <c r="N664" s="54"/>
    </row>
    <row r="665">
      <c r="A665" s="54"/>
      <c r="B665" s="99"/>
      <c r="C665" s="99"/>
      <c r="D665" s="99"/>
      <c r="E665" s="99"/>
      <c r="F665" s="99"/>
      <c r="G665" s="99"/>
      <c r="H665" s="102"/>
      <c r="I665" s="102"/>
      <c r="J665" s="102"/>
      <c r="K665" s="102"/>
      <c r="L665" s="54"/>
      <c r="M665" s="54"/>
      <c r="N665" s="54"/>
    </row>
    <row r="666">
      <c r="A666" s="54"/>
      <c r="B666" s="99"/>
      <c r="C666" s="99"/>
      <c r="D666" s="99"/>
      <c r="E666" s="99"/>
      <c r="F666" s="99"/>
      <c r="G666" s="99"/>
      <c r="H666" s="102"/>
      <c r="I666" s="102"/>
      <c r="J666" s="102"/>
      <c r="K666" s="102"/>
      <c r="L666" s="54"/>
      <c r="M666" s="54"/>
      <c r="N666" s="54"/>
    </row>
    <row r="667">
      <c r="A667" s="54"/>
      <c r="B667" s="99"/>
      <c r="C667" s="99"/>
      <c r="D667" s="99"/>
      <c r="E667" s="99"/>
      <c r="F667" s="99"/>
      <c r="G667" s="99"/>
      <c r="H667" s="102"/>
      <c r="I667" s="102"/>
      <c r="J667" s="102"/>
      <c r="K667" s="102"/>
      <c r="L667" s="54"/>
      <c r="M667" s="54"/>
      <c r="N667" s="54"/>
    </row>
    <row r="668">
      <c r="A668" s="54"/>
      <c r="B668" s="99"/>
      <c r="C668" s="99"/>
      <c r="D668" s="99"/>
      <c r="E668" s="99"/>
      <c r="F668" s="99"/>
      <c r="G668" s="99"/>
      <c r="H668" s="102"/>
      <c r="I668" s="102"/>
      <c r="J668" s="102"/>
      <c r="K668" s="102"/>
      <c r="L668" s="54"/>
      <c r="M668" s="54"/>
      <c r="N668" s="54"/>
    </row>
    <row r="669">
      <c r="A669" s="54"/>
      <c r="B669" s="99"/>
      <c r="C669" s="99"/>
      <c r="D669" s="99"/>
      <c r="E669" s="99"/>
      <c r="F669" s="99"/>
      <c r="G669" s="99"/>
      <c r="H669" s="102"/>
      <c r="I669" s="102"/>
      <c r="J669" s="102"/>
      <c r="K669" s="102"/>
      <c r="L669" s="54"/>
      <c r="M669" s="54"/>
      <c r="N669" s="54"/>
    </row>
    <row r="670">
      <c r="A670" s="54"/>
      <c r="B670" s="99"/>
      <c r="C670" s="99"/>
      <c r="D670" s="99"/>
      <c r="E670" s="99"/>
      <c r="F670" s="99"/>
      <c r="G670" s="99"/>
      <c r="H670" s="102"/>
      <c r="I670" s="102"/>
      <c r="J670" s="102"/>
      <c r="K670" s="102"/>
      <c r="L670" s="54"/>
      <c r="M670" s="54"/>
      <c r="N670" s="54"/>
    </row>
    <row r="671">
      <c r="A671" s="54"/>
      <c r="B671" s="99"/>
      <c r="C671" s="99"/>
      <c r="D671" s="99"/>
      <c r="E671" s="99"/>
      <c r="F671" s="99"/>
      <c r="G671" s="99"/>
      <c r="H671" s="102"/>
      <c r="I671" s="102"/>
      <c r="J671" s="102"/>
      <c r="K671" s="102"/>
      <c r="L671" s="54"/>
      <c r="M671" s="54"/>
      <c r="N671" s="54"/>
    </row>
    <row r="672">
      <c r="A672" s="54"/>
      <c r="B672" s="99"/>
      <c r="C672" s="99"/>
      <c r="D672" s="99"/>
      <c r="E672" s="99"/>
      <c r="F672" s="99"/>
      <c r="G672" s="99"/>
      <c r="H672" s="102"/>
      <c r="I672" s="102"/>
      <c r="J672" s="102"/>
      <c r="K672" s="102"/>
      <c r="L672" s="54"/>
      <c r="M672" s="54"/>
      <c r="N672" s="54"/>
    </row>
    <row r="673">
      <c r="A673" s="54"/>
      <c r="B673" s="99"/>
      <c r="C673" s="99"/>
      <c r="D673" s="99"/>
      <c r="E673" s="99"/>
      <c r="F673" s="99"/>
      <c r="G673" s="99"/>
      <c r="H673" s="102"/>
      <c r="I673" s="102"/>
      <c r="J673" s="102"/>
      <c r="K673" s="102"/>
      <c r="L673" s="54"/>
      <c r="M673" s="54"/>
      <c r="N673" s="54"/>
    </row>
    <row r="674">
      <c r="A674" s="54"/>
      <c r="B674" s="99"/>
      <c r="C674" s="99"/>
      <c r="D674" s="99"/>
      <c r="E674" s="99"/>
      <c r="F674" s="99"/>
      <c r="G674" s="99"/>
      <c r="H674" s="102"/>
      <c r="I674" s="102"/>
      <c r="J674" s="102"/>
      <c r="K674" s="102"/>
      <c r="L674" s="54"/>
      <c r="M674" s="54"/>
      <c r="N674" s="54"/>
    </row>
    <row r="675">
      <c r="A675" s="54"/>
      <c r="B675" s="99"/>
      <c r="C675" s="99"/>
      <c r="D675" s="99"/>
      <c r="E675" s="99"/>
      <c r="F675" s="99"/>
      <c r="G675" s="99"/>
      <c r="H675" s="102"/>
      <c r="I675" s="102"/>
      <c r="J675" s="102"/>
      <c r="K675" s="102"/>
      <c r="L675" s="54"/>
      <c r="M675" s="54"/>
      <c r="N675" s="54"/>
    </row>
    <row r="676">
      <c r="A676" s="54"/>
      <c r="B676" s="99"/>
      <c r="C676" s="99"/>
      <c r="D676" s="99"/>
      <c r="E676" s="99"/>
      <c r="F676" s="99"/>
      <c r="G676" s="99"/>
      <c r="H676" s="102"/>
      <c r="I676" s="102"/>
      <c r="J676" s="102"/>
      <c r="K676" s="102"/>
      <c r="L676" s="54"/>
      <c r="M676" s="54"/>
      <c r="N676" s="54"/>
    </row>
    <row r="677">
      <c r="A677" s="54"/>
      <c r="B677" s="99"/>
      <c r="C677" s="99"/>
      <c r="D677" s="99"/>
      <c r="E677" s="99"/>
      <c r="F677" s="99"/>
      <c r="G677" s="99"/>
      <c r="H677" s="102"/>
      <c r="I677" s="102"/>
      <c r="J677" s="102"/>
      <c r="K677" s="102"/>
      <c r="L677" s="54"/>
      <c r="M677" s="54"/>
      <c r="N677" s="54"/>
    </row>
    <row r="678">
      <c r="A678" s="54"/>
      <c r="B678" s="99"/>
      <c r="C678" s="99"/>
      <c r="D678" s="99"/>
      <c r="E678" s="99"/>
      <c r="F678" s="99"/>
      <c r="G678" s="99"/>
      <c r="H678" s="102"/>
      <c r="I678" s="102"/>
      <c r="J678" s="102"/>
      <c r="K678" s="102"/>
      <c r="L678" s="54"/>
      <c r="M678" s="54"/>
      <c r="N678" s="54"/>
    </row>
    <row r="679">
      <c r="A679" s="54"/>
      <c r="B679" s="99"/>
      <c r="C679" s="99"/>
      <c r="D679" s="99"/>
      <c r="E679" s="99"/>
      <c r="F679" s="99"/>
      <c r="G679" s="99"/>
      <c r="H679" s="102"/>
      <c r="I679" s="102"/>
      <c r="J679" s="102"/>
      <c r="K679" s="102"/>
      <c r="L679" s="54"/>
      <c r="M679" s="54"/>
      <c r="N679" s="54"/>
    </row>
    <row r="680">
      <c r="A680" s="54"/>
      <c r="B680" s="99"/>
      <c r="C680" s="99"/>
      <c r="D680" s="99"/>
      <c r="E680" s="99"/>
      <c r="F680" s="99"/>
      <c r="G680" s="99"/>
      <c r="H680" s="102"/>
      <c r="I680" s="102"/>
      <c r="J680" s="102"/>
      <c r="K680" s="102"/>
      <c r="L680" s="54"/>
      <c r="M680" s="54"/>
      <c r="N680" s="54"/>
    </row>
    <row r="681">
      <c r="A681" s="54"/>
      <c r="B681" s="99"/>
      <c r="C681" s="99"/>
      <c r="D681" s="99"/>
      <c r="E681" s="99"/>
      <c r="F681" s="99"/>
      <c r="G681" s="99"/>
      <c r="H681" s="102"/>
      <c r="I681" s="102"/>
      <c r="J681" s="102"/>
      <c r="K681" s="102"/>
      <c r="L681" s="54"/>
      <c r="M681" s="54"/>
      <c r="N681" s="54"/>
    </row>
    <row r="682">
      <c r="A682" s="54"/>
      <c r="B682" s="99"/>
      <c r="C682" s="99"/>
      <c r="D682" s="99"/>
      <c r="E682" s="99"/>
      <c r="F682" s="99"/>
      <c r="G682" s="99"/>
      <c r="H682" s="102"/>
      <c r="I682" s="102"/>
      <c r="J682" s="102"/>
      <c r="K682" s="102"/>
      <c r="L682" s="54"/>
      <c r="M682" s="54"/>
      <c r="N682" s="54"/>
    </row>
    <row r="683">
      <c r="A683" s="54"/>
      <c r="B683" s="99"/>
      <c r="C683" s="99"/>
      <c r="D683" s="99"/>
      <c r="E683" s="99"/>
      <c r="F683" s="99"/>
      <c r="G683" s="99"/>
      <c r="H683" s="102"/>
      <c r="I683" s="102"/>
      <c r="J683" s="102"/>
      <c r="K683" s="102"/>
      <c r="L683" s="54"/>
      <c r="M683" s="54"/>
      <c r="N683" s="54"/>
    </row>
    <row r="684">
      <c r="A684" s="54"/>
      <c r="B684" s="99"/>
      <c r="C684" s="99"/>
      <c r="D684" s="99"/>
      <c r="E684" s="99"/>
      <c r="F684" s="99"/>
      <c r="G684" s="99"/>
      <c r="H684" s="102"/>
      <c r="I684" s="102"/>
      <c r="J684" s="102"/>
      <c r="K684" s="102"/>
      <c r="L684" s="54"/>
      <c r="M684" s="54"/>
      <c r="N684" s="54"/>
    </row>
    <row r="685">
      <c r="A685" s="54"/>
      <c r="B685" s="99"/>
      <c r="C685" s="99"/>
      <c r="D685" s="99"/>
      <c r="E685" s="99"/>
      <c r="F685" s="99"/>
      <c r="G685" s="99"/>
      <c r="H685" s="102"/>
      <c r="I685" s="102"/>
      <c r="J685" s="102"/>
      <c r="K685" s="102"/>
      <c r="L685" s="54"/>
      <c r="M685" s="54"/>
      <c r="N685" s="54"/>
    </row>
    <row r="686">
      <c r="A686" s="54"/>
      <c r="B686" s="99"/>
      <c r="C686" s="99"/>
      <c r="D686" s="99"/>
      <c r="E686" s="99"/>
      <c r="F686" s="99"/>
      <c r="G686" s="99"/>
      <c r="H686" s="102"/>
      <c r="I686" s="102"/>
      <c r="J686" s="102"/>
      <c r="K686" s="102"/>
      <c r="L686" s="54"/>
      <c r="M686" s="54"/>
      <c r="N686" s="54"/>
    </row>
    <row r="687">
      <c r="A687" s="54"/>
      <c r="B687" s="99"/>
      <c r="C687" s="99"/>
      <c r="D687" s="99"/>
      <c r="E687" s="99"/>
      <c r="F687" s="99"/>
      <c r="G687" s="99"/>
      <c r="H687" s="102"/>
      <c r="I687" s="102"/>
      <c r="J687" s="102"/>
      <c r="K687" s="102"/>
      <c r="L687" s="54"/>
      <c r="M687" s="54"/>
      <c r="N687" s="54"/>
    </row>
    <row r="688">
      <c r="A688" s="54"/>
      <c r="B688" s="99"/>
      <c r="C688" s="99"/>
      <c r="D688" s="99"/>
      <c r="E688" s="99"/>
      <c r="F688" s="99"/>
      <c r="G688" s="99"/>
      <c r="H688" s="102"/>
      <c r="I688" s="102"/>
      <c r="J688" s="102"/>
      <c r="K688" s="102"/>
      <c r="L688" s="54"/>
      <c r="M688" s="54"/>
      <c r="N688" s="54"/>
    </row>
    <row r="689">
      <c r="A689" s="54"/>
      <c r="B689" s="99"/>
      <c r="C689" s="99"/>
      <c r="D689" s="99"/>
      <c r="E689" s="99"/>
      <c r="F689" s="99"/>
      <c r="G689" s="99"/>
      <c r="H689" s="102"/>
      <c r="I689" s="102"/>
      <c r="J689" s="102"/>
      <c r="K689" s="102"/>
      <c r="L689" s="54"/>
      <c r="M689" s="54"/>
      <c r="N689" s="54"/>
    </row>
    <row r="690">
      <c r="A690" s="54"/>
      <c r="B690" s="99"/>
      <c r="C690" s="99"/>
      <c r="D690" s="99"/>
      <c r="E690" s="99"/>
      <c r="F690" s="99"/>
      <c r="G690" s="99"/>
      <c r="H690" s="102"/>
      <c r="I690" s="102"/>
      <c r="J690" s="102"/>
      <c r="K690" s="102"/>
      <c r="L690" s="54"/>
      <c r="M690" s="54"/>
      <c r="N690" s="54"/>
    </row>
    <row r="691">
      <c r="A691" s="54"/>
      <c r="B691" s="99"/>
      <c r="C691" s="99"/>
      <c r="D691" s="99"/>
      <c r="E691" s="99"/>
      <c r="F691" s="99"/>
      <c r="G691" s="99"/>
      <c r="H691" s="102"/>
      <c r="I691" s="102"/>
      <c r="J691" s="102"/>
      <c r="K691" s="102"/>
      <c r="L691" s="54"/>
      <c r="M691" s="54"/>
      <c r="N691" s="54"/>
    </row>
    <row r="692">
      <c r="A692" s="54"/>
      <c r="B692" s="99"/>
      <c r="C692" s="99"/>
      <c r="D692" s="99"/>
      <c r="E692" s="99"/>
      <c r="F692" s="99"/>
      <c r="G692" s="99"/>
      <c r="H692" s="102"/>
      <c r="I692" s="102"/>
      <c r="J692" s="102"/>
      <c r="K692" s="102"/>
      <c r="L692" s="54"/>
      <c r="M692" s="54"/>
      <c r="N692" s="54"/>
    </row>
    <row r="693">
      <c r="A693" s="54"/>
      <c r="B693" s="99"/>
      <c r="C693" s="99"/>
      <c r="D693" s="99"/>
      <c r="E693" s="99"/>
      <c r="F693" s="99"/>
      <c r="G693" s="99"/>
      <c r="H693" s="102"/>
      <c r="I693" s="102"/>
      <c r="J693" s="102"/>
      <c r="K693" s="102"/>
      <c r="L693" s="54"/>
      <c r="M693" s="54"/>
      <c r="N693" s="54"/>
    </row>
    <row r="694">
      <c r="A694" s="54"/>
      <c r="B694" s="99"/>
      <c r="C694" s="99"/>
      <c r="D694" s="99"/>
      <c r="E694" s="99"/>
      <c r="F694" s="99"/>
      <c r="G694" s="99"/>
      <c r="H694" s="102"/>
      <c r="I694" s="102"/>
      <c r="J694" s="102"/>
      <c r="K694" s="102"/>
      <c r="L694" s="54"/>
      <c r="M694" s="54"/>
      <c r="N694" s="54"/>
    </row>
    <row r="695">
      <c r="A695" s="54"/>
      <c r="B695" s="99"/>
      <c r="C695" s="99"/>
      <c r="D695" s="99"/>
      <c r="E695" s="99"/>
      <c r="F695" s="99"/>
      <c r="G695" s="99"/>
      <c r="H695" s="102"/>
      <c r="I695" s="102"/>
      <c r="J695" s="102"/>
      <c r="K695" s="102"/>
      <c r="L695" s="54"/>
      <c r="M695" s="54"/>
      <c r="N695" s="54"/>
    </row>
    <row r="696">
      <c r="A696" s="54"/>
      <c r="B696" s="99"/>
      <c r="C696" s="99"/>
      <c r="D696" s="99"/>
      <c r="E696" s="99"/>
      <c r="F696" s="99"/>
      <c r="G696" s="99"/>
      <c r="H696" s="102"/>
      <c r="I696" s="102"/>
      <c r="J696" s="102"/>
      <c r="K696" s="102"/>
      <c r="L696" s="54"/>
      <c r="M696" s="54"/>
      <c r="N696" s="54"/>
    </row>
    <row r="697">
      <c r="A697" s="54"/>
      <c r="B697" s="99"/>
      <c r="C697" s="99"/>
      <c r="D697" s="99"/>
      <c r="E697" s="99"/>
      <c r="F697" s="99"/>
      <c r="G697" s="99"/>
      <c r="H697" s="102"/>
      <c r="I697" s="102"/>
      <c r="J697" s="102"/>
      <c r="K697" s="102"/>
      <c r="L697" s="54"/>
      <c r="M697" s="54"/>
      <c r="N697" s="54"/>
    </row>
    <row r="698">
      <c r="A698" s="54"/>
      <c r="B698" s="99"/>
      <c r="C698" s="99"/>
      <c r="D698" s="99"/>
      <c r="E698" s="99"/>
      <c r="F698" s="99"/>
      <c r="G698" s="99"/>
      <c r="H698" s="102"/>
      <c r="I698" s="102"/>
      <c r="J698" s="102"/>
      <c r="K698" s="102"/>
      <c r="L698" s="54"/>
      <c r="M698" s="54"/>
      <c r="N698" s="54"/>
    </row>
    <row r="699">
      <c r="A699" s="54"/>
      <c r="B699" s="99"/>
      <c r="C699" s="99"/>
      <c r="D699" s="99"/>
      <c r="E699" s="99"/>
      <c r="F699" s="99"/>
      <c r="G699" s="99"/>
      <c r="H699" s="102"/>
      <c r="I699" s="102"/>
      <c r="J699" s="102"/>
      <c r="K699" s="102"/>
      <c r="L699" s="54"/>
      <c r="M699" s="54"/>
      <c r="N699" s="54"/>
    </row>
    <row r="700">
      <c r="A700" s="54"/>
      <c r="B700" s="99"/>
      <c r="C700" s="99"/>
      <c r="D700" s="99"/>
      <c r="E700" s="99"/>
      <c r="F700" s="99"/>
      <c r="G700" s="99"/>
      <c r="H700" s="102"/>
      <c r="I700" s="102"/>
      <c r="J700" s="102"/>
      <c r="K700" s="102"/>
      <c r="L700" s="54"/>
      <c r="M700" s="54"/>
      <c r="N700" s="54"/>
    </row>
    <row r="701">
      <c r="A701" s="54"/>
      <c r="B701" s="99"/>
      <c r="C701" s="99"/>
      <c r="D701" s="99"/>
      <c r="E701" s="99"/>
      <c r="F701" s="99"/>
      <c r="G701" s="99"/>
      <c r="H701" s="102"/>
      <c r="I701" s="102"/>
      <c r="J701" s="102"/>
      <c r="K701" s="102"/>
      <c r="L701" s="54"/>
      <c r="M701" s="54"/>
      <c r="N701" s="54"/>
    </row>
    <row r="702">
      <c r="A702" s="54"/>
      <c r="B702" s="99"/>
      <c r="C702" s="99"/>
      <c r="D702" s="99"/>
      <c r="E702" s="99"/>
      <c r="F702" s="99"/>
      <c r="G702" s="99"/>
      <c r="H702" s="102"/>
      <c r="I702" s="102"/>
      <c r="J702" s="102"/>
      <c r="K702" s="102"/>
      <c r="L702" s="54"/>
      <c r="M702" s="54"/>
      <c r="N702" s="54"/>
    </row>
    <row r="703">
      <c r="A703" s="54"/>
      <c r="B703" s="99"/>
      <c r="C703" s="99"/>
      <c r="D703" s="99"/>
      <c r="E703" s="99"/>
      <c r="F703" s="99"/>
      <c r="G703" s="99"/>
      <c r="H703" s="102"/>
      <c r="I703" s="102"/>
      <c r="J703" s="102"/>
      <c r="K703" s="102"/>
      <c r="L703" s="54"/>
      <c r="M703" s="54"/>
      <c r="N703" s="54"/>
    </row>
    <row r="704">
      <c r="A704" s="54"/>
      <c r="B704" s="99"/>
      <c r="C704" s="99"/>
      <c r="D704" s="99"/>
      <c r="E704" s="99"/>
      <c r="F704" s="99"/>
      <c r="G704" s="99"/>
      <c r="H704" s="102"/>
      <c r="I704" s="102"/>
      <c r="J704" s="102"/>
      <c r="K704" s="102"/>
      <c r="L704" s="54"/>
      <c r="M704" s="54"/>
      <c r="N704" s="54"/>
    </row>
    <row r="705">
      <c r="A705" s="54"/>
      <c r="B705" s="99"/>
      <c r="C705" s="99"/>
      <c r="D705" s="99"/>
      <c r="E705" s="99"/>
      <c r="F705" s="99"/>
      <c r="G705" s="99"/>
      <c r="H705" s="102"/>
      <c r="I705" s="102"/>
      <c r="J705" s="102"/>
      <c r="K705" s="102"/>
      <c r="L705" s="54"/>
      <c r="M705" s="54"/>
      <c r="N705" s="54"/>
    </row>
    <row r="706">
      <c r="A706" s="54"/>
      <c r="B706" s="99"/>
      <c r="C706" s="99"/>
      <c r="D706" s="99"/>
      <c r="E706" s="99"/>
      <c r="F706" s="99"/>
      <c r="G706" s="99"/>
      <c r="H706" s="102"/>
      <c r="I706" s="102"/>
      <c r="J706" s="102"/>
      <c r="K706" s="102"/>
      <c r="L706" s="54"/>
      <c r="M706" s="54"/>
      <c r="N706" s="54"/>
    </row>
    <row r="707">
      <c r="A707" s="54"/>
      <c r="B707" s="99"/>
      <c r="C707" s="99"/>
      <c r="D707" s="99"/>
      <c r="E707" s="99"/>
      <c r="F707" s="99"/>
      <c r="G707" s="99"/>
      <c r="H707" s="102"/>
      <c r="I707" s="102"/>
      <c r="J707" s="102"/>
      <c r="K707" s="102"/>
      <c r="L707" s="54"/>
      <c r="M707" s="54"/>
      <c r="N707" s="54"/>
    </row>
    <row r="708">
      <c r="A708" s="54"/>
      <c r="B708" s="99"/>
      <c r="C708" s="99"/>
      <c r="D708" s="99"/>
      <c r="E708" s="99"/>
      <c r="F708" s="99"/>
      <c r="G708" s="99"/>
      <c r="H708" s="102"/>
      <c r="I708" s="102"/>
      <c r="J708" s="102"/>
      <c r="K708" s="102"/>
      <c r="L708" s="54"/>
      <c r="M708" s="54"/>
      <c r="N708" s="54"/>
    </row>
    <row r="709">
      <c r="A709" s="54"/>
      <c r="B709" s="99"/>
      <c r="C709" s="99"/>
      <c r="D709" s="99"/>
      <c r="E709" s="99"/>
      <c r="F709" s="99"/>
      <c r="G709" s="99"/>
      <c r="H709" s="102"/>
      <c r="I709" s="102"/>
      <c r="J709" s="102"/>
      <c r="K709" s="102"/>
      <c r="L709" s="54"/>
      <c r="M709" s="54"/>
      <c r="N709" s="54"/>
    </row>
    <row r="710">
      <c r="A710" s="54"/>
      <c r="B710" s="99"/>
      <c r="C710" s="99"/>
      <c r="D710" s="99"/>
      <c r="E710" s="99"/>
      <c r="F710" s="99"/>
      <c r="G710" s="99"/>
      <c r="H710" s="102"/>
      <c r="I710" s="102"/>
      <c r="J710" s="102"/>
      <c r="K710" s="102"/>
      <c r="L710" s="54"/>
      <c r="M710" s="54"/>
      <c r="N710" s="54"/>
    </row>
    <row r="711">
      <c r="A711" s="54"/>
      <c r="B711" s="99"/>
      <c r="C711" s="99"/>
      <c r="D711" s="99"/>
      <c r="E711" s="99"/>
      <c r="F711" s="99"/>
      <c r="G711" s="99"/>
      <c r="H711" s="102"/>
      <c r="I711" s="102"/>
      <c r="J711" s="102"/>
      <c r="K711" s="102"/>
      <c r="L711" s="54"/>
      <c r="M711" s="54"/>
      <c r="N711" s="54"/>
    </row>
    <row r="712">
      <c r="A712" s="54"/>
      <c r="B712" s="99"/>
      <c r="C712" s="99"/>
      <c r="D712" s="99"/>
      <c r="E712" s="99"/>
      <c r="F712" s="99"/>
      <c r="G712" s="99"/>
      <c r="H712" s="102"/>
      <c r="I712" s="102"/>
      <c r="J712" s="102"/>
      <c r="K712" s="102"/>
      <c r="L712" s="54"/>
      <c r="M712" s="54"/>
      <c r="N712" s="54"/>
    </row>
    <row r="713">
      <c r="A713" s="54"/>
      <c r="B713" s="99"/>
      <c r="C713" s="99"/>
      <c r="D713" s="99"/>
      <c r="E713" s="99"/>
      <c r="F713" s="99"/>
      <c r="G713" s="99"/>
      <c r="H713" s="102"/>
      <c r="I713" s="102"/>
      <c r="J713" s="102"/>
      <c r="K713" s="102"/>
      <c r="L713" s="54"/>
      <c r="M713" s="54"/>
      <c r="N713" s="54"/>
    </row>
    <row r="714">
      <c r="A714" s="54"/>
      <c r="B714" s="99"/>
      <c r="C714" s="99"/>
      <c r="D714" s="99"/>
      <c r="E714" s="99"/>
      <c r="F714" s="99"/>
      <c r="G714" s="99"/>
      <c r="H714" s="102"/>
      <c r="I714" s="102"/>
      <c r="J714" s="102"/>
      <c r="K714" s="102"/>
      <c r="L714" s="54"/>
      <c r="M714" s="54"/>
      <c r="N714" s="54"/>
    </row>
    <row r="715">
      <c r="A715" s="54"/>
      <c r="B715" s="99"/>
      <c r="C715" s="99"/>
      <c r="D715" s="99"/>
      <c r="E715" s="99"/>
      <c r="F715" s="99"/>
      <c r="G715" s="99"/>
      <c r="H715" s="102"/>
      <c r="I715" s="102"/>
      <c r="J715" s="102"/>
      <c r="K715" s="102"/>
      <c r="L715" s="54"/>
      <c r="M715" s="54"/>
      <c r="N715" s="54"/>
    </row>
    <row r="716">
      <c r="A716" s="54"/>
      <c r="B716" s="99"/>
      <c r="C716" s="99"/>
      <c r="D716" s="99"/>
      <c r="E716" s="99"/>
      <c r="F716" s="99"/>
      <c r="G716" s="99"/>
      <c r="H716" s="102"/>
      <c r="I716" s="102"/>
      <c r="J716" s="102"/>
      <c r="K716" s="102"/>
      <c r="L716" s="54"/>
      <c r="M716" s="54"/>
      <c r="N716" s="54"/>
    </row>
    <row r="717">
      <c r="A717" s="54"/>
      <c r="B717" s="99"/>
      <c r="C717" s="99"/>
      <c r="D717" s="99"/>
      <c r="E717" s="99"/>
      <c r="F717" s="99"/>
      <c r="G717" s="99"/>
      <c r="H717" s="102"/>
      <c r="I717" s="102"/>
      <c r="J717" s="102"/>
      <c r="K717" s="102"/>
      <c r="L717" s="54"/>
      <c r="M717" s="54"/>
      <c r="N717" s="54"/>
    </row>
    <row r="718">
      <c r="A718" s="54"/>
      <c r="B718" s="99"/>
      <c r="C718" s="99"/>
      <c r="D718" s="99"/>
      <c r="E718" s="99"/>
      <c r="F718" s="99"/>
      <c r="G718" s="99"/>
      <c r="H718" s="102"/>
      <c r="I718" s="102"/>
      <c r="J718" s="102"/>
      <c r="K718" s="102"/>
      <c r="L718" s="54"/>
      <c r="M718" s="54"/>
      <c r="N718" s="54"/>
    </row>
    <row r="719">
      <c r="A719" s="54"/>
      <c r="B719" s="99"/>
      <c r="C719" s="99"/>
      <c r="D719" s="99"/>
      <c r="E719" s="99"/>
      <c r="F719" s="99"/>
      <c r="G719" s="99"/>
      <c r="H719" s="102"/>
      <c r="I719" s="102"/>
      <c r="J719" s="102"/>
      <c r="K719" s="102"/>
      <c r="L719" s="54"/>
      <c r="M719" s="54"/>
      <c r="N719" s="54"/>
    </row>
    <row r="720">
      <c r="A720" s="54"/>
      <c r="B720" s="99"/>
      <c r="C720" s="99"/>
      <c r="D720" s="99"/>
      <c r="E720" s="99"/>
      <c r="F720" s="99"/>
      <c r="G720" s="99"/>
      <c r="H720" s="102"/>
      <c r="I720" s="102"/>
      <c r="J720" s="102"/>
      <c r="K720" s="102"/>
      <c r="L720" s="54"/>
      <c r="M720" s="54"/>
      <c r="N720" s="54"/>
    </row>
    <row r="721">
      <c r="A721" s="54"/>
      <c r="B721" s="99"/>
      <c r="C721" s="99"/>
      <c r="D721" s="99"/>
      <c r="E721" s="99"/>
      <c r="F721" s="99"/>
      <c r="G721" s="99"/>
      <c r="H721" s="102"/>
      <c r="I721" s="102"/>
      <c r="J721" s="102"/>
      <c r="K721" s="102"/>
      <c r="L721" s="54"/>
      <c r="M721" s="54"/>
      <c r="N721" s="54"/>
    </row>
    <row r="722">
      <c r="A722" s="54"/>
      <c r="B722" s="99"/>
      <c r="C722" s="99"/>
      <c r="D722" s="99"/>
      <c r="E722" s="99"/>
      <c r="F722" s="99"/>
      <c r="G722" s="99"/>
      <c r="H722" s="102"/>
      <c r="I722" s="102"/>
      <c r="J722" s="102"/>
      <c r="K722" s="102"/>
      <c r="L722" s="54"/>
      <c r="M722" s="54"/>
      <c r="N722" s="54"/>
    </row>
    <row r="723">
      <c r="A723" s="54"/>
      <c r="B723" s="99"/>
      <c r="C723" s="99"/>
      <c r="D723" s="99"/>
      <c r="E723" s="99"/>
      <c r="F723" s="99"/>
      <c r="G723" s="99"/>
      <c r="H723" s="102"/>
      <c r="I723" s="102"/>
      <c r="J723" s="102"/>
      <c r="K723" s="102"/>
      <c r="L723" s="54"/>
      <c r="M723" s="54"/>
      <c r="N723" s="54"/>
    </row>
    <row r="724">
      <c r="A724" s="54"/>
      <c r="B724" s="99"/>
      <c r="C724" s="99"/>
      <c r="D724" s="99"/>
      <c r="E724" s="99"/>
      <c r="F724" s="99"/>
      <c r="G724" s="99"/>
      <c r="H724" s="102"/>
      <c r="I724" s="102"/>
      <c r="J724" s="102"/>
      <c r="K724" s="102"/>
      <c r="L724" s="54"/>
      <c r="M724" s="54"/>
      <c r="N724" s="54"/>
    </row>
    <row r="725">
      <c r="A725" s="54"/>
      <c r="B725" s="99"/>
      <c r="C725" s="99"/>
      <c r="D725" s="99"/>
      <c r="E725" s="99"/>
      <c r="F725" s="99"/>
      <c r="G725" s="99"/>
      <c r="H725" s="102"/>
      <c r="I725" s="102"/>
      <c r="J725" s="102"/>
      <c r="K725" s="102"/>
      <c r="L725" s="54"/>
      <c r="M725" s="54"/>
      <c r="N725" s="54"/>
    </row>
    <row r="726">
      <c r="A726" s="54"/>
      <c r="B726" s="99"/>
      <c r="C726" s="99"/>
      <c r="D726" s="99"/>
      <c r="E726" s="99"/>
      <c r="F726" s="99"/>
      <c r="G726" s="99"/>
      <c r="H726" s="102"/>
      <c r="I726" s="102"/>
      <c r="J726" s="102"/>
      <c r="K726" s="102"/>
      <c r="L726" s="54"/>
      <c r="M726" s="54"/>
      <c r="N726" s="54"/>
    </row>
    <row r="727">
      <c r="A727" s="54"/>
      <c r="B727" s="99"/>
      <c r="C727" s="99"/>
      <c r="D727" s="99"/>
      <c r="E727" s="99"/>
      <c r="F727" s="99"/>
      <c r="G727" s="99"/>
      <c r="H727" s="102"/>
      <c r="I727" s="102"/>
      <c r="J727" s="102"/>
      <c r="K727" s="102"/>
      <c r="L727" s="54"/>
      <c r="M727" s="54"/>
      <c r="N727" s="54"/>
    </row>
    <row r="728">
      <c r="A728" s="54"/>
      <c r="B728" s="99"/>
      <c r="C728" s="99"/>
      <c r="D728" s="99"/>
      <c r="E728" s="99"/>
      <c r="F728" s="99"/>
      <c r="G728" s="99"/>
      <c r="H728" s="102"/>
      <c r="I728" s="102"/>
      <c r="J728" s="102"/>
      <c r="K728" s="102"/>
      <c r="L728" s="54"/>
      <c r="M728" s="54"/>
      <c r="N728" s="54"/>
    </row>
    <row r="729">
      <c r="A729" s="54"/>
      <c r="B729" s="99"/>
      <c r="C729" s="99"/>
      <c r="D729" s="99"/>
      <c r="E729" s="99"/>
      <c r="F729" s="99"/>
      <c r="G729" s="99"/>
      <c r="H729" s="102"/>
      <c r="I729" s="102"/>
      <c r="J729" s="102"/>
      <c r="K729" s="102"/>
      <c r="L729" s="54"/>
      <c r="M729" s="54"/>
      <c r="N729" s="54"/>
    </row>
    <row r="730">
      <c r="A730" s="54"/>
      <c r="B730" s="99"/>
      <c r="C730" s="99"/>
      <c r="D730" s="99"/>
      <c r="E730" s="99"/>
      <c r="F730" s="99"/>
      <c r="G730" s="99"/>
      <c r="H730" s="102"/>
      <c r="I730" s="102"/>
      <c r="J730" s="102"/>
      <c r="K730" s="102"/>
      <c r="L730" s="54"/>
      <c r="M730" s="54"/>
      <c r="N730" s="54"/>
    </row>
    <row r="731">
      <c r="A731" s="54"/>
      <c r="B731" s="99"/>
      <c r="C731" s="99"/>
      <c r="D731" s="99"/>
      <c r="E731" s="99"/>
      <c r="F731" s="99"/>
      <c r="G731" s="99"/>
      <c r="H731" s="102"/>
      <c r="I731" s="102"/>
      <c r="J731" s="102"/>
      <c r="K731" s="102"/>
      <c r="L731" s="54"/>
      <c r="M731" s="54"/>
      <c r="N731" s="54"/>
    </row>
    <row r="732">
      <c r="A732" s="54"/>
      <c r="B732" s="99"/>
      <c r="C732" s="99"/>
      <c r="D732" s="99"/>
      <c r="E732" s="99"/>
      <c r="F732" s="99"/>
      <c r="G732" s="99"/>
      <c r="H732" s="102"/>
      <c r="I732" s="102"/>
      <c r="J732" s="102"/>
      <c r="K732" s="102"/>
      <c r="L732" s="54"/>
      <c r="M732" s="54"/>
      <c r="N732" s="54"/>
    </row>
    <row r="733">
      <c r="A733" s="54"/>
      <c r="B733" s="99"/>
      <c r="C733" s="99"/>
      <c r="D733" s="99"/>
      <c r="E733" s="99"/>
      <c r="F733" s="99"/>
      <c r="G733" s="99"/>
      <c r="H733" s="102"/>
      <c r="I733" s="102"/>
      <c r="J733" s="102"/>
      <c r="K733" s="102"/>
      <c r="L733" s="54"/>
      <c r="M733" s="54"/>
      <c r="N733" s="54"/>
    </row>
    <row r="734">
      <c r="A734" s="54"/>
      <c r="B734" s="99"/>
      <c r="C734" s="99"/>
      <c r="D734" s="99"/>
      <c r="E734" s="99"/>
      <c r="F734" s="99"/>
      <c r="G734" s="99"/>
      <c r="H734" s="102"/>
      <c r="I734" s="102"/>
      <c r="J734" s="102"/>
      <c r="K734" s="102"/>
      <c r="L734" s="54"/>
      <c r="M734" s="54"/>
      <c r="N734" s="54"/>
    </row>
    <row r="735">
      <c r="A735" s="54"/>
      <c r="B735" s="99"/>
      <c r="C735" s="99"/>
      <c r="D735" s="99"/>
      <c r="E735" s="99"/>
      <c r="F735" s="99"/>
      <c r="G735" s="99"/>
      <c r="H735" s="102"/>
      <c r="I735" s="102"/>
      <c r="J735" s="102"/>
      <c r="K735" s="102"/>
      <c r="L735" s="54"/>
      <c r="M735" s="54"/>
      <c r="N735" s="54"/>
    </row>
    <row r="736">
      <c r="A736" s="54"/>
      <c r="B736" s="99"/>
      <c r="C736" s="99"/>
      <c r="D736" s="99"/>
      <c r="E736" s="99"/>
      <c r="F736" s="99"/>
      <c r="G736" s="99"/>
      <c r="H736" s="102"/>
      <c r="I736" s="102"/>
      <c r="J736" s="102"/>
      <c r="K736" s="102"/>
      <c r="L736" s="54"/>
      <c r="M736" s="54"/>
      <c r="N736" s="54"/>
    </row>
    <row r="737">
      <c r="A737" s="54"/>
      <c r="B737" s="99"/>
      <c r="C737" s="99"/>
      <c r="D737" s="99"/>
      <c r="E737" s="99"/>
      <c r="F737" s="99"/>
      <c r="G737" s="99"/>
      <c r="H737" s="102"/>
      <c r="I737" s="102"/>
      <c r="J737" s="102"/>
      <c r="K737" s="102"/>
      <c r="L737" s="54"/>
      <c r="M737" s="54"/>
      <c r="N737" s="54"/>
    </row>
    <row r="738">
      <c r="A738" s="54"/>
      <c r="B738" s="99"/>
      <c r="C738" s="99"/>
      <c r="D738" s="99"/>
      <c r="E738" s="99"/>
      <c r="F738" s="99"/>
      <c r="G738" s="99"/>
      <c r="H738" s="102"/>
      <c r="I738" s="102"/>
      <c r="J738" s="102"/>
      <c r="K738" s="102"/>
      <c r="L738" s="54"/>
      <c r="M738" s="54"/>
      <c r="N738" s="54"/>
    </row>
    <row r="739">
      <c r="A739" s="54"/>
      <c r="B739" s="99"/>
      <c r="C739" s="99"/>
      <c r="D739" s="99"/>
      <c r="E739" s="99"/>
      <c r="F739" s="99"/>
      <c r="G739" s="99"/>
      <c r="H739" s="102"/>
      <c r="I739" s="102"/>
      <c r="J739" s="102"/>
      <c r="K739" s="102"/>
      <c r="L739" s="54"/>
      <c r="M739" s="54"/>
      <c r="N739" s="54"/>
    </row>
    <row r="740">
      <c r="A740" s="54"/>
      <c r="B740" s="99"/>
      <c r="C740" s="99"/>
      <c r="D740" s="99"/>
      <c r="E740" s="99"/>
      <c r="F740" s="99"/>
      <c r="G740" s="99"/>
      <c r="H740" s="102"/>
      <c r="I740" s="102"/>
      <c r="J740" s="102"/>
      <c r="K740" s="102"/>
      <c r="L740" s="54"/>
      <c r="M740" s="54"/>
      <c r="N740" s="54"/>
    </row>
    <row r="741">
      <c r="A741" s="54"/>
      <c r="B741" s="99"/>
      <c r="C741" s="99"/>
      <c r="D741" s="99"/>
      <c r="E741" s="99"/>
      <c r="F741" s="99"/>
      <c r="G741" s="99"/>
      <c r="H741" s="102"/>
      <c r="I741" s="102"/>
      <c r="J741" s="102"/>
      <c r="K741" s="102"/>
      <c r="L741" s="54"/>
      <c r="M741" s="54"/>
      <c r="N741" s="54"/>
    </row>
    <row r="742">
      <c r="A742" s="54"/>
      <c r="B742" s="99"/>
      <c r="C742" s="99"/>
      <c r="D742" s="99"/>
      <c r="E742" s="99"/>
      <c r="F742" s="99"/>
      <c r="G742" s="99"/>
      <c r="H742" s="102"/>
      <c r="I742" s="102"/>
      <c r="J742" s="102"/>
      <c r="K742" s="102"/>
      <c r="L742" s="54"/>
      <c r="M742" s="54"/>
      <c r="N742" s="54"/>
    </row>
    <row r="743">
      <c r="A743" s="54"/>
      <c r="B743" s="99"/>
      <c r="C743" s="99"/>
      <c r="D743" s="99"/>
      <c r="E743" s="99"/>
      <c r="F743" s="99"/>
      <c r="G743" s="99"/>
      <c r="H743" s="102"/>
      <c r="I743" s="102"/>
      <c r="J743" s="102"/>
      <c r="K743" s="102"/>
      <c r="L743" s="54"/>
      <c r="M743" s="54"/>
      <c r="N743" s="54"/>
    </row>
    <row r="744">
      <c r="A744" s="54"/>
      <c r="B744" s="99"/>
      <c r="C744" s="99"/>
      <c r="D744" s="99"/>
      <c r="E744" s="99"/>
      <c r="F744" s="99"/>
      <c r="G744" s="99"/>
      <c r="H744" s="102"/>
      <c r="I744" s="102"/>
      <c r="J744" s="102"/>
      <c r="K744" s="102"/>
      <c r="L744" s="54"/>
      <c r="M744" s="54"/>
      <c r="N744" s="54"/>
    </row>
    <row r="745">
      <c r="A745" s="54"/>
      <c r="B745" s="99"/>
      <c r="C745" s="99"/>
      <c r="D745" s="99"/>
      <c r="E745" s="99"/>
      <c r="F745" s="99"/>
      <c r="G745" s="99"/>
      <c r="H745" s="102"/>
      <c r="I745" s="102"/>
      <c r="J745" s="102"/>
      <c r="K745" s="102"/>
      <c r="L745" s="54"/>
      <c r="M745" s="54"/>
      <c r="N745" s="54"/>
    </row>
    <row r="746">
      <c r="A746" s="54"/>
      <c r="B746" s="99"/>
      <c r="C746" s="99"/>
      <c r="D746" s="99"/>
      <c r="E746" s="99"/>
      <c r="F746" s="99"/>
      <c r="G746" s="99"/>
      <c r="H746" s="102"/>
      <c r="I746" s="102"/>
      <c r="J746" s="102"/>
      <c r="K746" s="102"/>
      <c r="L746" s="54"/>
      <c r="M746" s="54"/>
      <c r="N746" s="54"/>
    </row>
    <row r="747">
      <c r="A747" s="54"/>
      <c r="B747" s="99"/>
      <c r="C747" s="99"/>
      <c r="D747" s="99"/>
      <c r="E747" s="99"/>
      <c r="F747" s="99"/>
      <c r="G747" s="99"/>
      <c r="H747" s="102"/>
      <c r="I747" s="102"/>
      <c r="J747" s="102"/>
      <c r="K747" s="102"/>
      <c r="L747" s="54"/>
      <c r="M747" s="54"/>
      <c r="N747" s="54"/>
    </row>
    <row r="748">
      <c r="A748" s="54"/>
      <c r="B748" s="99"/>
      <c r="C748" s="99"/>
      <c r="D748" s="99"/>
      <c r="E748" s="99"/>
      <c r="F748" s="99"/>
      <c r="G748" s="99"/>
      <c r="H748" s="102"/>
      <c r="I748" s="102"/>
      <c r="J748" s="102"/>
      <c r="K748" s="102"/>
      <c r="L748" s="54"/>
      <c r="M748" s="54"/>
      <c r="N748" s="54"/>
    </row>
    <row r="749">
      <c r="A749" s="54"/>
      <c r="B749" s="99"/>
      <c r="C749" s="99"/>
      <c r="D749" s="99"/>
      <c r="E749" s="99"/>
      <c r="F749" s="99"/>
      <c r="G749" s="99"/>
      <c r="H749" s="102"/>
      <c r="I749" s="102"/>
      <c r="J749" s="102"/>
      <c r="K749" s="102"/>
      <c r="L749" s="54"/>
      <c r="M749" s="54"/>
      <c r="N749" s="54"/>
    </row>
    <row r="750">
      <c r="A750" s="54"/>
      <c r="B750" s="99"/>
      <c r="C750" s="99"/>
      <c r="D750" s="99"/>
      <c r="E750" s="99"/>
      <c r="F750" s="99"/>
      <c r="G750" s="99"/>
      <c r="H750" s="102"/>
      <c r="I750" s="102"/>
      <c r="J750" s="102"/>
      <c r="K750" s="102"/>
      <c r="L750" s="54"/>
      <c r="M750" s="54"/>
      <c r="N750" s="54"/>
    </row>
    <row r="751">
      <c r="A751" s="54"/>
      <c r="B751" s="99"/>
      <c r="C751" s="99"/>
      <c r="D751" s="99"/>
      <c r="E751" s="99"/>
      <c r="F751" s="99"/>
      <c r="G751" s="99"/>
      <c r="H751" s="102"/>
      <c r="I751" s="102"/>
      <c r="J751" s="102"/>
      <c r="K751" s="102"/>
      <c r="L751" s="54"/>
      <c r="M751" s="54"/>
      <c r="N751" s="54"/>
    </row>
    <row r="752">
      <c r="A752" s="54"/>
      <c r="B752" s="99"/>
      <c r="C752" s="99"/>
      <c r="D752" s="99"/>
      <c r="E752" s="99"/>
      <c r="F752" s="99"/>
      <c r="G752" s="99"/>
      <c r="H752" s="102"/>
      <c r="I752" s="102"/>
      <c r="J752" s="102"/>
      <c r="K752" s="102"/>
      <c r="L752" s="54"/>
      <c r="M752" s="54"/>
      <c r="N752" s="54"/>
    </row>
    <row r="753">
      <c r="A753" s="54"/>
      <c r="B753" s="99"/>
      <c r="C753" s="99"/>
      <c r="D753" s="99"/>
      <c r="E753" s="99"/>
      <c r="F753" s="99"/>
      <c r="G753" s="99"/>
      <c r="H753" s="102"/>
      <c r="I753" s="102"/>
      <c r="J753" s="102"/>
      <c r="K753" s="102"/>
      <c r="L753" s="54"/>
      <c r="M753" s="54"/>
      <c r="N753" s="54"/>
    </row>
    <row r="754">
      <c r="A754" s="54"/>
      <c r="B754" s="99"/>
      <c r="C754" s="99"/>
      <c r="D754" s="99"/>
      <c r="E754" s="99"/>
      <c r="F754" s="99"/>
      <c r="G754" s="99"/>
      <c r="H754" s="102"/>
      <c r="I754" s="102"/>
      <c r="J754" s="102"/>
      <c r="K754" s="102"/>
      <c r="L754" s="54"/>
      <c r="M754" s="54"/>
      <c r="N754" s="54"/>
    </row>
    <row r="755">
      <c r="A755" s="54"/>
      <c r="B755" s="99"/>
      <c r="C755" s="99"/>
      <c r="D755" s="99"/>
      <c r="E755" s="99"/>
      <c r="F755" s="99"/>
      <c r="G755" s="99"/>
      <c r="H755" s="102"/>
      <c r="I755" s="102"/>
      <c r="J755" s="102"/>
      <c r="K755" s="102"/>
      <c r="L755" s="54"/>
      <c r="M755" s="54"/>
      <c r="N755" s="54"/>
    </row>
    <row r="756">
      <c r="A756" s="54"/>
      <c r="B756" s="99"/>
      <c r="C756" s="99"/>
      <c r="D756" s="99"/>
      <c r="E756" s="99"/>
      <c r="F756" s="99"/>
      <c r="G756" s="99"/>
      <c r="H756" s="102"/>
      <c r="I756" s="102"/>
      <c r="J756" s="102"/>
      <c r="K756" s="102"/>
      <c r="L756" s="54"/>
      <c r="M756" s="54"/>
      <c r="N756" s="54"/>
    </row>
    <row r="757">
      <c r="A757" s="54"/>
      <c r="B757" s="99"/>
      <c r="C757" s="99"/>
      <c r="D757" s="99"/>
      <c r="E757" s="99"/>
      <c r="F757" s="99"/>
      <c r="G757" s="99"/>
      <c r="H757" s="102"/>
      <c r="I757" s="102"/>
      <c r="J757" s="102"/>
      <c r="K757" s="102"/>
      <c r="L757" s="54"/>
      <c r="M757" s="54"/>
      <c r="N757" s="54"/>
    </row>
    <row r="758">
      <c r="A758" s="54"/>
      <c r="B758" s="99"/>
      <c r="C758" s="99"/>
      <c r="D758" s="99"/>
      <c r="E758" s="99"/>
      <c r="F758" s="99"/>
      <c r="G758" s="99"/>
      <c r="H758" s="102"/>
      <c r="I758" s="102"/>
      <c r="J758" s="102"/>
      <c r="K758" s="102"/>
      <c r="L758" s="54"/>
      <c r="M758" s="54"/>
      <c r="N758" s="54"/>
    </row>
    <row r="759">
      <c r="A759" s="54"/>
      <c r="B759" s="99"/>
      <c r="C759" s="99"/>
      <c r="D759" s="99"/>
      <c r="E759" s="99"/>
      <c r="F759" s="99"/>
      <c r="G759" s="99"/>
      <c r="H759" s="102"/>
      <c r="I759" s="102"/>
      <c r="J759" s="102"/>
      <c r="K759" s="102"/>
      <c r="L759" s="54"/>
      <c r="M759" s="54"/>
      <c r="N759" s="54"/>
    </row>
    <row r="760">
      <c r="A760" s="54"/>
      <c r="B760" s="99"/>
      <c r="C760" s="99"/>
      <c r="D760" s="99"/>
      <c r="E760" s="99"/>
      <c r="F760" s="99"/>
      <c r="G760" s="99"/>
      <c r="H760" s="102"/>
      <c r="I760" s="102"/>
      <c r="J760" s="102"/>
      <c r="K760" s="102"/>
      <c r="L760" s="54"/>
      <c r="M760" s="54"/>
      <c r="N760" s="54"/>
    </row>
    <row r="761">
      <c r="A761" s="54"/>
      <c r="B761" s="99"/>
      <c r="C761" s="99"/>
      <c r="D761" s="99"/>
      <c r="E761" s="99"/>
      <c r="F761" s="99"/>
      <c r="G761" s="99"/>
      <c r="H761" s="102"/>
      <c r="I761" s="102"/>
      <c r="J761" s="102"/>
      <c r="K761" s="102"/>
      <c r="L761" s="54"/>
      <c r="M761" s="54"/>
      <c r="N761" s="54"/>
    </row>
    <row r="762">
      <c r="A762" s="54"/>
      <c r="B762" s="99"/>
      <c r="C762" s="99"/>
      <c r="D762" s="99"/>
      <c r="E762" s="99"/>
      <c r="F762" s="99"/>
      <c r="G762" s="99"/>
      <c r="H762" s="102"/>
      <c r="I762" s="102"/>
      <c r="J762" s="102"/>
      <c r="K762" s="102"/>
      <c r="L762" s="54"/>
      <c r="M762" s="54"/>
      <c r="N762" s="54"/>
    </row>
    <row r="763">
      <c r="A763" s="54"/>
      <c r="B763" s="99"/>
      <c r="C763" s="99"/>
      <c r="D763" s="99"/>
      <c r="E763" s="99"/>
      <c r="F763" s="99"/>
      <c r="G763" s="99"/>
      <c r="H763" s="102"/>
      <c r="I763" s="102"/>
      <c r="J763" s="102"/>
      <c r="K763" s="102"/>
      <c r="L763" s="54"/>
      <c r="M763" s="54"/>
      <c r="N763" s="54"/>
    </row>
    <row r="764">
      <c r="A764" s="54"/>
      <c r="B764" s="99"/>
      <c r="C764" s="99"/>
      <c r="D764" s="99"/>
      <c r="E764" s="99"/>
      <c r="F764" s="99"/>
      <c r="G764" s="99"/>
      <c r="H764" s="102"/>
      <c r="I764" s="102"/>
      <c r="J764" s="102"/>
      <c r="K764" s="102"/>
      <c r="L764" s="54"/>
      <c r="M764" s="54"/>
      <c r="N764" s="54"/>
    </row>
    <row r="765">
      <c r="A765" s="54"/>
      <c r="B765" s="99"/>
      <c r="C765" s="99"/>
      <c r="D765" s="99"/>
      <c r="E765" s="99"/>
      <c r="F765" s="99"/>
      <c r="G765" s="99"/>
      <c r="H765" s="102"/>
      <c r="I765" s="102"/>
      <c r="J765" s="102"/>
      <c r="K765" s="102"/>
      <c r="L765" s="54"/>
      <c r="M765" s="54"/>
      <c r="N765" s="54"/>
    </row>
    <row r="766">
      <c r="A766" s="54"/>
      <c r="B766" s="99"/>
      <c r="C766" s="99"/>
      <c r="D766" s="99"/>
      <c r="E766" s="99"/>
      <c r="F766" s="99"/>
      <c r="G766" s="99"/>
      <c r="H766" s="102"/>
      <c r="I766" s="102"/>
      <c r="J766" s="102"/>
      <c r="K766" s="102"/>
      <c r="L766" s="54"/>
      <c r="M766" s="54"/>
      <c r="N766" s="54"/>
    </row>
    <row r="767">
      <c r="A767" s="54"/>
      <c r="B767" s="99"/>
      <c r="C767" s="99"/>
      <c r="D767" s="99"/>
      <c r="E767" s="99"/>
      <c r="F767" s="99"/>
      <c r="G767" s="99"/>
      <c r="H767" s="102"/>
      <c r="I767" s="102"/>
      <c r="J767" s="102"/>
      <c r="K767" s="102"/>
      <c r="L767" s="54"/>
      <c r="M767" s="54"/>
      <c r="N767" s="54"/>
    </row>
    <row r="768">
      <c r="A768" s="54"/>
      <c r="B768" s="99"/>
      <c r="C768" s="99"/>
      <c r="D768" s="99"/>
      <c r="E768" s="99"/>
      <c r="F768" s="99"/>
      <c r="G768" s="99"/>
      <c r="H768" s="102"/>
      <c r="I768" s="102"/>
      <c r="J768" s="102"/>
      <c r="K768" s="102"/>
      <c r="L768" s="54"/>
      <c r="M768" s="54"/>
      <c r="N768" s="54"/>
    </row>
    <row r="769">
      <c r="A769" s="54"/>
      <c r="B769" s="99"/>
      <c r="C769" s="99"/>
      <c r="D769" s="99"/>
      <c r="E769" s="99"/>
      <c r="F769" s="99"/>
      <c r="G769" s="99"/>
      <c r="H769" s="102"/>
      <c r="I769" s="102"/>
      <c r="J769" s="102"/>
      <c r="K769" s="102"/>
      <c r="L769" s="54"/>
      <c r="M769" s="54"/>
      <c r="N769" s="54"/>
    </row>
    <row r="770">
      <c r="A770" s="54"/>
      <c r="B770" s="99"/>
      <c r="C770" s="99"/>
      <c r="D770" s="99"/>
      <c r="E770" s="99"/>
      <c r="F770" s="99"/>
      <c r="G770" s="99"/>
      <c r="H770" s="102"/>
      <c r="I770" s="102"/>
      <c r="J770" s="102"/>
      <c r="K770" s="102"/>
      <c r="L770" s="54"/>
      <c r="M770" s="54"/>
      <c r="N770" s="54"/>
    </row>
    <row r="771">
      <c r="A771" s="54"/>
      <c r="B771" s="99"/>
      <c r="C771" s="99"/>
      <c r="D771" s="99"/>
      <c r="E771" s="99"/>
      <c r="F771" s="99"/>
      <c r="G771" s="99"/>
      <c r="H771" s="102"/>
      <c r="I771" s="102"/>
      <c r="J771" s="102"/>
      <c r="K771" s="102"/>
      <c r="L771" s="54"/>
      <c r="M771" s="54"/>
      <c r="N771" s="54"/>
    </row>
    <row r="772">
      <c r="A772" s="54"/>
      <c r="B772" s="99"/>
      <c r="C772" s="99"/>
      <c r="D772" s="99"/>
      <c r="E772" s="99"/>
      <c r="F772" s="99"/>
      <c r="G772" s="99"/>
      <c r="H772" s="102"/>
      <c r="I772" s="102"/>
      <c r="J772" s="102"/>
      <c r="K772" s="102"/>
      <c r="L772" s="54"/>
      <c r="M772" s="54"/>
      <c r="N772" s="54"/>
    </row>
    <row r="773">
      <c r="A773" s="54"/>
      <c r="B773" s="99"/>
      <c r="C773" s="99"/>
      <c r="D773" s="99"/>
      <c r="E773" s="99"/>
      <c r="F773" s="99"/>
      <c r="G773" s="99"/>
      <c r="H773" s="102"/>
      <c r="I773" s="102"/>
      <c r="J773" s="102"/>
      <c r="K773" s="102"/>
      <c r="L773" s="54"/>
      <c r="M773" s="54"/>
      <c r="N773" s="54"/>
    </row>
    <row r="774">
      <c r="A774" s="54"/>
      <c r="B774" s="99"/>
      <c r="C774" s="99"/>
      <c r="D774" s="99"/>
      <c r="E774" s="99"/>
      <c r="F774" s="99"/>
      <c r="G774" s="99"/>
      <c r="H774" s="102"/>
      <c r="I774" s="102"/>
      <c r="J774" s="102"/>
      <c r="K774" s="102"/>
      <c r="L774" s="54"/>
      <c r="M774" s="54"/>
      <c r="N774" s="54"/>
    </row>
    <row r="775">
      <c r="A775" s="54"/>
      <c r="B775" s="99"/>
      <c r="C775" s="99"/>
      <c r="D775" s="99"/>
      <c r="E775" s="99"/>
      <c r="F775" s="99"/>
      <c r="G775" s="99"/>
      <c r="H775" s="102"/>
      <c r="I775" s="102"/>
      <c r="J775" s="102"/>
      <c r="K775" s="102"/>
      <c r="L775" s="54"/>
      <c r="M775" s="54"/>
      <c r="N775" s="54"/>
    </row>
    <row r="776">
      <c r="A776" s="54"/>
      <c r="B776" s="99"/>
      <c r="C776" s="99"/>
      <c r="D776" s="99"/>
      <c r="E776" s="99"/>
      <c r="F776" s="99"/>
      <c r="G776" s="99"/>
      <c r="H776" s="102"/>
      <c r="I776" s="102"/>
      <c r="J776" s="102"/>
      <c r="K776" s="102"/>
      <c r="L776" s="54"/>
      <c r="M776" s="54"/>
      <c r="N776" s="54"/>
    </row>
    <row r="777">
      <c r="A777" s="54"/>
      <c r="B777" s="99"/>
      <c r="C777" s="99"/>
      <c r="D777" s="99"/>
      <c r="E777" s="99"/>
      <c r="F777" s="99"/>
      <c r="G777" s="99"/>
      <c r="H777" s="102"/>
      <c r="I777" s="102"/>
      <c r="J777" s="102"/>
      <c r="K777" s="102"/>
      <c r="L777" s="54"/>
      <c r="M777" s="54"/>
      <c r="N777" s="54"/>
    </row>
    <row r="778">
      <c r="A778" s="54"/>
      <c r="B778" s="99"/>
      <c r="C778" s="99"/>
      <c r="D778" s="99"/>
      <c r="E778" s="99"/>
      <c r="F778" s="99"/>
      <c r="G778" s="99"/>
      <c r="H778" s="102"/>
      <c r="I778" s="102"/>
      <c r="J778" s="102"/>
      <c r="K778" s="102"/>
      <c r="L778" s="54"/>
      <c r="M778" s="54"/>
      <c r="N778" s="54"/>
    </row>
    <row r="779">
      <c r="A779" s="54"/>
      <c r="B779" s="99"/>
      <c r="C779" s="99"/>
      <c r="D779" s="99"/>
      <c r="E779" s="99"/>
      <c r="F779" s="99"/>
      <c r="G779" s="99"/>
      <c r="H779" s="102"/>
      <c r="I779" s="102"/>
      <c r="J779" s="102"/>
      <c r="K779" s="102"/>
      <c r="L779" s="54"/>
      <c r="M779" s="54"/>
      <c r="N779" s="54"/>
    </row>
    <row r="780">
      <c r="A780" s="54"/>
      <c r="B780" s="99"/>
      <c r="C780" s="99"/>
      <c r="D780" s="99"/>
      <c r="E780" s="99"/>
      <c r="F780" s="99"/>
      <c r="G780" s="99"/>
      <c r="H780" s="102"/>
      <c r="I780" s="102"/>
      <c r="J780" s="102"/>
      <c r="K780" s="102"/>
      <c r="L780" s="54"/>
      <c r="M780" s="54"/>
      <c r="N780" s="54"/>
    </row>
    <row r="781">
      <c r="A781" s="54"/>
      <c r="B781" s="99"/>
      <c r="C781" s="99"/>
      <c r="D781" s="99"/>
      <c r="E781" s="99"/>
      <c r="F781" s="99"/>
      <c r="G781" s="99"/>
      <c r="H781" s="102"/>
      <c r="I781" s="102"/>
      <c r="J781" s="102"/>
      <c r="K781" s="102"/>
      <c r="L781" s="54"/>
      <c r="M781" s="54"/>
      <c r="N781" s="54"/>
    </row>
    <row r="782">
      <c r="A782" s="54"/>
      <c r="B782" s="99"/>
      <c r="C782" s="99"/>
      <c r="D782" s="99"/>
      <c r="E782" s="99"/>
      <c r="F782" s="99"/>
      <c r="G782" s="99"/>
      <c r="H782" s="102"/>
      <c r="I782" s="102"/>
      <c r="J782" s="102"/>
      <c r="K782" s="102"/>
      <c r="L782" s="54"/>
      <c r="M782" s="54"/>
      <c r="N782" s="54"/>
    </row>
    <row r="783">
      <c r="A783" s="54"/>
      <c r="B783" s="99"/>
      <c r="C783" s="99"/>
      <c r="D783" s="99"/>
      <c r="E783" s="99"/>
      <c r="F783" s="99"/>
      <c r="G783" s="99"/>
      <c r="H783" s="102"/>
      <c r="I783" s="102"/>
      <c r="J783" s="102"/>
      <c r="K783" s="102"/>
      <c r="L783" s="54"/>
      <c r="M783" s="54"/>
      <c r="N783" s="54"/>
    </row>
    <row r="784">
      <c r="A784" s="54"/>
      <c r="B784" s="99"/>
      <c r="C784" s="99"/>
      <c r="D784" s="99"/>
      <c r="E784" s="99"/>
      <c r="F784" s="99"/>
      <c r="G784" s="99"/>
      <c r="H784" s="102"/>
      <c r="I784" s="102"/>
      <c r="J784" s="102"/>
      <c r="K784" s="102"/>
      <c r="L784" s="54"/>
      <c r="M784" s="54"/>
      <c r="N784" s="54"/>
    </row>
    <row r="785">
      <c r="A785" s="54"/>
      <c r="B785" s="99"/>
      <c r="C785" s="99"/>
      <c r="D785" s="99"/>
      <c r="E785" s="99"/>
      <c r="F785" s="99"/>
      <c r="G785" s="99"/>
      <c r="H785" s="102"/>
      <c r="I785" s="102"/>
      <c r="J785" s="102"/>
      <c r="K785" s="102"/>
      <c r="L785" s="54"/>
      <c r="M785" s="54"/>
      <c r="N785" s="54"/>
    </row>
    <row r="786">
      <c r="A786" s="54"/>
      <c r="B786" s="99"/>
      <c r="C786" s="99"/>
      <c r="D786" s="99"/>
      <c r="E786" s="99"/>
      <c r="F786" s="99"/>
      <c r="G786" s="99"/>
      <c r="H786" s="102"/>
      <c r="I786" s="102"/>
      <c r="J786" s="102"/>
      <c r="K786" s="102"/>
      <c r="L786" s="54"/>
      <c r="M786" s="54"/>
      <c r="N786" s="54"/>
    </row>
    <row r="787">
      <c r="A787" s="54"/>
      <c r="B787" s="99"/>
      <c r="C787" s="99"/>
      <c r="D787" s="99"/>
      <c r="E787" s="99"/>
      <c r="F787" s="99"/>
      <c r="G787" s="99"/>
      <c r="H787" s="102"/>
      <c r="I787" s="102"/>
      <c r="J787" s="102"/>
      <c r="K787" s="102"/>
      <c r="L787" s="54"/>
      <c r="M787" s="54"/>
      <c r="N787" s="54"/>
    </row>
    <row r="788">
      <c r="A788" s="54"/>
      <c r="B788" s="99"/>
      <c r="C788" s="99"/>
      <c r="D788" s="99"/>
      <c r="E788" s="99"/>
      <c r="F788" s="99"/>
      <c r="G788" s="99"/>
      <c r="H788" s="102"/>
      <c r="I788" s="102"/>
      <c r="J788" s="102"/>
      <c r="K788" s="102"/>
      <c r="L788" s="54"/>
      <c r="M788" s="54"/>
      <c r="N788" s="54"/>
    </row>
    <row r="789">
      <c r="A789" s="54"/>
      <c r="B789" s="99"/>
      <c r="C789" s="99"/>
      <c r="D789" s="99"/>
      <c r="E789" s="99"/>
      <c r="F789" s="99"/>
      <c r="G789" s="99"/>
      <c r="H789" s="102"/>
      <c r="I789" s="102"/>
      <c r="J789" s="102"/>
      <c r="K789" s="102"/>
      <c r="L789" s="54"/>
      <c r="M789" s="54"/>
      <c r="N789" s="54"/>
    </row>
    <row r="790">
      <c r="A790" s="54"/>
      <c r="B790" s="99"/>
      <c r="C790" s="99"/>
      <c r="D790" s="99"/>
      <c r="E790" s="99"/>
      <c r="F790" s="99"/>
      <c r="G790" s="99"/>
      <c r="H790" s="102"/>
      <c r="I790" s="102"/>
      <c r="J790" s="102"/>
      <c r="K790" s="102"/>
      <c r="L790" s="54"/>
      <c r="M790" s="54"/>
      <c r="N790" s="54"/>
    </row>
    <row r="791">
      <c r="A791" s="54"/>
      <c r="B791" s="99"/>
      <c r="C791" s="99"/>
      <c r="D791" s="99"/>
      <c r="E791" s="99"/>
      <c r="F791" s="99"/>
      <c r="G791" s="99"/>
      <c r="H791" s="102"/>
      <c r="I791" s="102"/>
      <c r="J791" s="102"/>
      <c r="K791" s="102"/>
      <c r="L791" s="54"/>
      <c r="M791" s="54"/>
      <c r="N791" s="54"/>
    </row>
    <row r="792">
      <c r="A792" s="54"/>
      <c r="B792" s="99"/>
      <c r="C792" s="99"/>
      <c r="D792" s="99"/>
      <c r="E792" s="99"/>
      <c r="F792" s="99"/>
      <c r="G792" s="99"/>
      <c r="H792" s="102"/>
      <c r="I792" s="102"/>
      <c r="J792" s="102"/>
      <c r="K792" s="102"/>
      <c r="L792" s="54"/>
      <c r="M792" s="54"/>
      <c r="N792" s="54"/>
    </row>
    <row r="793">
      <c r="A793" s="54"/>
      <c r="B793" s="99"/>
      <c r="C793" s="99"/>
      <c r="D793" s="99"/>
      <c r="E793" s="99"/>
      <c r="F793" s="99"/>
      <c r="G793" s="99"/>
      <c r="H793" s="102"/>
      <c r="I793" s="102"/>
      <c r="J793" s="102"/>
      <c r="K793" s="102"/>
      <c r="L793" s="54"/>
      <c r="M793" s="54"/>
      <c r="N793" s="54"/>
    </row>
    <row r="794">
      <c r="A794" s="54"/>
      <c r="B794" s="99"/>
      <c r="C794" s="99"/>
      <c r="D794" s="99"/>
      <c r="E794" s="99"/>
      <c r="F794" s="99"/>
      <c r="G794" s="99"/>
      <c r="H794" s="102"/>
      <c r="I794" s="102"/>
      <c r="J794" s="102"/>
      <c r="K794" s="102"/>
      <c r="L794" s="54"/>
      <c r="M794" s="54"/>
      <c r="N794" s="54"/>
    </row>
    <row r="795">
      <c r="A795" s="54"/>
      <c r="B795" s="99"/>
      <c r="C795" s="99"/>
      <c r="D795" s="99"/>
      <c r="E795" s="99"/>
      <c r="F795" s="99"/>
      <c r="G795" s="99"/>
      <c r="H795" s="102"/>
      <c r="I795" s="102"/>
      <c r="J795" s="102"/>
      <c r="K795" s="102"/>
      <c r="L795" s="54"/>
      <c r="M795" s="54"/>
      <c r="N795" s="54"/>
    </row>
    <row r="796">
      <c r="A796" s="54"/>
      <c r="B796" s="99"/>
      <c r="C796" s="99"/>
      <c r="D796" s="99"/>
      <c r="E796" s="99"/>
      <c r="F796" s="99"/>
      <c r="G796" s="99"/>
      <c r="H796" s="102"/>
      <c r="I796" s="102"/>
      <c r="J796" s="102"/>
      <c r="K796" s="102"/>
      <c r="L796" s="54"/>
      <c r="M796" s="54"/>
      <c r="N796" s="54"/>
    </row>
    <row r="797">
      <c r="A797" s="54"/>
      <c r="B797" s="99"/>
      <c r="C797" s="99"/>
      <c r="D797" s="99"/>
      <c r="E797" s="99"/>
      <c r="F797" s="99"/>
      <c r="G797" s="99"/>
      <c r="H797" s="102"/>
      <c r="I797" s="102"/>
      <c r="J797" s="102"/>
      <c r="K797" s="102"/>
      <c r="L797" s="54"/>
      <c r="M797" s="54"/>
      <c r="N797" s="54"/>
    </row>
    <row r="798">
      <c r="A798" s="54"/>
      <c r="B798" s="99"/>
      <c r="C798" s="99"/>
      <c r="D798" s="99"/>
      <c r="E798" s="99"/>
      <c r="F798" s="99"/>
      <c r="G798" s="99"/>
      <c r="H798" s="102"/>
      <c r="I798" s="102"/>
      <c r="J798" s="102"/>
      <c r="K798" s="102"/>
      <c r="L798" s="54"/>
      <c r="M798" s="54"/>
      <c r="N798" s="54"/>
    </row>
    <row r="799">
      <c r="A799" s="54"/>
      <c r="B799" s="99"/>
      <c r="C799" s="99"/>
      <c r="D799" s="99"/>
      <c r="E799" s="99"/>
      <c r="F799" s="99"/>
      <c r="G799" s="99"/>
      <c r="H799" s="102"/>
      <c r="I799" s="102"/>
      <c r="J799" s="102"/>
      <c r="K799" s="102"/>
      <c r="L799" s="54"/>
      <c r="M799" s="54"/>
      <c r="N799" s="54"/>
    </row>
    <row r="800">
      <c r="A800" s="54"/>
      <c r="B800" s="99"/>
      <c r="C800" s="99"/>
      <c r="D800" s="99"/>
      <c r="E800" s="99"/>
      <c r="F800" s="99"/>
      <c r="G800" s="99"/>
      <c r="H800" s="102"/>
      <c r="I800" s="102"/>
      <c r="J800" s="102"/>
      <c r="K800" s="102"/>
      <c r="L800" s="54"/>
      <c r="M800" s="54"/>
      <c r="N800" s="54"/>
    </row>
    <row r="801">
      <c r="A801" s="54"/>
      <c r="B801" s="99"/>
      <c r="C801" s="99"/>
      <c r="D801" s="99"/>
      <c r="E801" s="99"/>
      <c r="F801" s="99"/>
      <c r="G801" s="99"/>
      <c r="H801" s="102"/>
      <c r="I801" s="102"/>
      <c r="J801" s="102"/>
      <c r="K801" s="102"/>
      <c r="L801" s="54"/>
      <c r="M801" s="54"/>
      <c r="N801" s="54"/>
    </row>
    <row r="802">
      <c r="A802" s="54"/>
      <c r="B802" s="99"/>
      <c r="C802" s="99"/>
      <c r="D802" s="99"/>
      <c r="E802" s="99"/>
      <c r="F802" s="99"/>
      <c r="G802" s="99"/>
      <c r="H802" s="102"/>
      <c r="I802" s="102"/>
      <c r="J802" s="102"/>
      <c r="K802" s="102"/>
      <c r="L802" s="54"/>
      <c r="M802" s="54"/>
      <c r="N802" s="54"/>
    </row>
    <row r="803">
      <c r="A803" s="54"/>
      <c r="B803" s="99"/>
      <c r="C803" s="99"/>
      <c r="D803" s="99"/>
      <c r="E803" s="99"/>
      <c r="F803" s="99"/>
      <c r="G803" s="99"/>
      <c r="H803" s="102"/>
      <c r="I803" s="102"/>
      <c r="J803" s="102"/>
      <c r="K803" s="102"/>
      <c r="L803" s="54"/>
      <c r="M803" s="54"/>
      <c r="N803" s="54"/>
    </row>
    <row r="804">
      <c r="A804" s="54"/>
      <c r="B804" s="99"/>
      <c r="C804" s="99"/>
      <c r="D804" s="99"/>
      <c r="E804" s="99"/>
      <c r="F804" s="99"/>
      <c r="G804" s="99"/>
      <c r="H804" s="102"/>
      <c r="I804" s="102"/>
      <c r="J804" s="102"/>
      <c r="K804" s="102"/>
      <c r="L804" s="54"/>
      <c r="M804" s="54"/>
      <c r="N804" s="54"/>
    </row>
    <row r="805">
      <c r="A805" s="54"/>
      <c r="B805" s="99"/>
      <c r="C805" s="99"/>
      <c r="D805" s="99"/>
      <c r="E805" s="99"/>
      <c r="F805" s="99"/>
      <c r="G805" s="99"/>
      <c r="H805" s="102"/>
      <c r="I805" s="102"/>
      <c r="J805" s="102"/>
      <c r="K805" s="102"/>
      <c r="L805" s="54"/>
      <c r="M805" s="54"/>
      <c r="N805" s="54"/>
    </row>
    <row r="806">
      <c r="A806" s="54"/>
      <c r="B806" s="99"/>
      <c r="C806" s="99"/>
      <c r="D806" s="99"/>
      <c r="E806" s="99"/>
      <c r="F806" s="99"/>
      <c r="G806" s="99"/>
      <c r="H806" s="102"/>
      <c r="I806" s="102"/>
      <c r="J806" s="102"/>
      <c r="K806" s="102"/>
      <c r="L806" s="54"/>
      <c r="M806" s="54"/>
      <c r="N806" s="54"/>
    </row>
    <row r="807">
      <c r="A807" s="54"/>
      <c r="B807" s="99"/>
      <c r="C807" s="99"/>
      <c r="D807" s="99"/>
      <c r="E807" s="99"/>
      <c r="F807" s="99"/>
      <c r="G807" s="99"/>
      <c r="H807" s="102"/>
      <c r="I807" s="102"/>
      <c r="J807" s="102"/>
      <c r="K807" s="102"/>
      <c r="L807" s="54"/>
      <c r="M807" s="54"/>
      <c r="N807" s="54"/>
    </row>
    <row r="808">
      <c r="A808" s="54"/>
      <c r="B808" s="99"/>
      <c r="C808" s="99"/>
      <c r="D808" s="99"/>
      <c r="E808" s="99"/>
      <c r="F808" s="99"/>
      <c r="G808" s="99"/>
      <c r="H808" s="102"/>
      <c r="I808" s="102"/>
      <c r="J808" s="102"/>
      <c r="K808" s="102"/>
      <c r="L808" s="54"/>
      <c r="M808" s="54"/>
      <c r="N808" s="54"/>
    </row>
    <row r="809">
      <c r="A809" s="54"/>
      <c r="B809" s="99"/>
      <c r="C809" s="99"/>
      <c r="D809" s="99"/>
      <c r="E809" s="99"/>
      <c r="F809" s="99"/>
      <c r="G809" s="99"/>
      <c r="H809" s="102"/>
      <c r="I809" s="102"/>
      <c r="J809" s="102"/>
      <c r="K809" s="102"/>
      <c r="L809" s="54"/>
      <c r="M809" s="54"/>
      <c r="N809" s="54"/>
    </row>
    <row r="810">
      <c r="A810" s="54"/>
      <c r="B810" s="99"/>
      <c r="C810" s="99"/>
      <c r="D810" s="99"/>
      <c r="E810" s="99"/>
      <c r="F810" s="99"/>
      <c r="G810" s="99"/>
      <c r="H810" s="102"/>
      <c r="I810" s="102"/>
      <c r="J810" s="102"/>
      <c r="K810" s="102"/>
      <c r="L810" s="54"/>
      <c r="M810" s="54"/>
      <c r="N810" s="54"/>
    </row>
    <row r="811">
      <c r="A811" s="54"/>
      <c r="B811" s="99"/>
      <c r="C811" s="99"/>
      <c r="D811" s="99"/>
      <c r="E811" s="99"/>
      <c r="F811" s="99"/>
      <c r="G811" s="99"/>
      <c r="H811" s="102"/>
      <c r="I811" s="102"/>
      <c r="J811" s="102"/>
      <c r="K811" s="102"/>
      <c r="L811" s="54"/>
      <c r="M811" s="54"/>
      <c r="N811" s="54"/>
    </row>
    <row r="812">
      <c r="A812" s="54"/>
      <c r="B812" s="99"/>
      <c r="C812" s="99"/>
      <c r="D812" s="99"/>
      <c r="E812" s="99"/>
      <c r="F812" s="99"/>
      <c r="G812" s="99"/>
      <c r="H812" s="102"/>
      <c r="I812" s="102"/>
      <c r="J812" s="102"/>
      <c r="K812" s="102"/>
      <c r="L812" s="54"/>
      <c r="M812" s="54"/>
      <c r="N812" s="54"/>
    </row>
    <row r="813">
      <c r="A813" s="54"/>
      <c r="B813" s="99"/>
      <c r="C813" s="99"/>
      <c r="D813" s="99"/>
      <c r="E813" s="99"/>
      <c r="F813" s="99"/>
      <c r="G813" s="99"/>
      <c r="H813" s="102"/>
      <c r="I813" s="102"/>
      <c r="J813" s="102"/>
      <c r="K813" s="102"/>
      <c r="L813" s="54"/>
      <c r="M813" s="54"/>
      <c r="N813" s="54"/>
    </row>
    <row r="814">
      <c r="A814" s="54"/>
      <c r="B814" s="99"/>
      <c r="C814" s="99"/>
      <c r="D814" s="99"/>
      <c r="E814" s="99"/>
      <c r="F814" s="99"/>
      <c r="G814" s="99"/>
      <c r="H814" s="102"/>
      <c r="I814" s="102"/>
      <c r="J814" s="102"/>
      <c r="K814" s="102"/>
      <c r="L814" s="54"/>
      <c r="M814" s="54"/>
      <c r="N814" s="54"/>
    </row>
    <row r="815">
      <c r="A815" s="54"/>
      <c r="B815" s="99"/>
      <c r="C815" s="99"/>
      <c r="D815" s="99"/>
      <c r="E815" s="99"/>
      <c r="F815" s="99"/>
      <c r="G815" s="99"/>
      <c r="H815" s="102"/>
      <c r="I815" s="102"/>
      <c r="J815" s="102"/>
      <c r="K815" s="102"/>
      <c r="L815" s="54"/>
      <c r="M815" s="54"/>
      <c r="N815" s="54"/>
    </row>
    <row r="816">
      <c r="A816" s="54"/>
      <c r="B816" s="99"/>
      <c r="C816" s="99"/>
      <c r="D816" s="99"/>
      <c r="E816" s="99"/>
      <c r="F816" s="99"/>
      <c r="G816" s="99"/>
      <c r="H816" s="102"/>
      <c r="I816" s="102"/>
      <c r="J816" s="102"/>
      <c r="K816" s="102"/>
      <c r="L816" s="54"/>
      <c r="M816" s="54"/>
      <c r="N816" s="54"/>
    </row>
    <row r="817">
      <c r="A817" s="54"/>
      <c r="B817" s="99"/>
      <c r="C817" s="99"/>
      <c r="D817" s="99"/>
      <c r="E817" s="99"/>
      <c r="F817" s="99"/>
      <c r="G817" s="99"/>
      <c r="H817" s="102"/>
      <c r="I817" s="102"/>
      <c r="J817" s="102"/>
      <c r="K817" s="102"/>
      <c r="L817" s="54"/>
      <c r="M817" s="54"/>
      <c r="N817" s="54"/>
    </row>
    <row r="818">
      <c r="A818" s="54"/>
      <c r="B818" s="99"/>
      <c r="C818" s="99"/>
      <c r="D818" s="99"/>
      <c r="E818" s="99"/>
      <c r="F818" s="99"/>
      <c r="G818" s="99"/>
      <c r="H818" s="102"/>
      <c r="I818" s="102"/>
      <c r="J818" s="102"/>
      <c r="K818" s="102"/>
      <c r="L818" s="54"/>
      <c r="M818" s="54"/>
      <c r="N818" s="54"/>
    </row>
    <row r="819">
      <c r="A819" s="54"/>
      <c r="B819" s="99"/>
      <c r="C819" s="99"/>
      <c r="D819" s="99"/>
      <c r="E819" s="99"/>
      <c r="F819" s="99"/>
      <c r="G819" s="99"/>
      <c r="H819" s="102"/>
      <c r="I819" s="102"/>
      <c r="J819" s="102"/>
      <c r="K819" s="102"/>
      <c r="L819" s="54"/>
      <c r="M819" s="54"/>
      <c r="N819" s="54"/>
    </row>
    <row r="820">
      <c r="A820" s="54"/>
      <c r="B820" s="99"/>
      <c r="C820" s="99"/>
      <c r="D820" s="99"/>
      <c r="E820" s="99"/>
      <c r="F820" s="99"/>
      <c r="G820" s="99"/>
      <c r="H820" s="102"/>
      <c r="I820" s="102"/>
      <c r="J820" s="102"/>
      <c r="K820" s="102"/>
      <c r="L820" s="54"/>
      <c r="M820" s="54"/>
      <c r="N820" s="54"/>
    </row>
    <row r="821">
      <c r="A821" s="54"/>
      <c r="B821" s="99"/>
      <c r="C821" s="99"/>
      <c r="D821" s="99"/>
      <c r="E821" s="99"/>
      <c r="F821" s="99"/>
      <c r="G821" s="99"/>
      <c r="H821" s="102"/>
      <c r="I821" s="102"/>
      <c r="J821" s="102"/>
      <c r="K821" s="102"/>
      <c r="L821" s="54"/>
      <c r="M821" s="54"/>
      <c r="N821" s="54"/>
    </row>
    <row r="822">
      <c r="A822" s="54"/>
      <c r="B822" s="99"/>
      <c r="C822" s="99"/>
      <c r="D822" s="99"/>
      <c r="E822" s="99"/>
      <c r="F822" s="99"/>
      <c r="G822" s="99"/>
      <c r="H822" s="102"/>
      <c r="I822" s="102"/>
      <c r="J822" s="102"/>
      <c r="K822" s="102"/>
      <c r="L822" s="54"/>
      <c r="M822" s="54"/>
      <c r="N822" s="54"/>
    </row>
    <row r="823">
      <c r="A823" s="54"/>
      <c r="B823" s="99"/>
      <c r="C823" s="99"/>
      <c r="D823" s="99"/>
      <c r="E823" s="99"/>
      <c r="F823" s="99"/>
      <c r="G823" s="99"/>
      <c r="H823" s="102"/>
      <c r="I823" s="102"/>
      <c r="J823" s="102"/>
      <c r="K823" s="102"/>
      <c r="L823" s="54"/>
      <c r="M823" s="54"/>
      <c r="N823" s="54"/>
    </row>
    <row r="824">
      <c r="A824" s="54"/>
      <c r="B824" s="99"/>
      <c r="C824" s="99"/>
      <c r="D824" s="99"/>
      <c r="E824" s="99"/>
      <c r="F824" s="99"/>
      <c r="G824" s="99"/>
      <c r="H824" s="102"/>
      <c r="I824" s="102"/>
      <c r="J824" s="102"/>
      <c r="K824" s="102"/>
      <c r="L824" s="54"/>
      <c r="M824" s="54"/>
      <c r="N824" s="54"/>
    </row>
    <row r="825">
      <c r="A825" s="54"/>
      <c r="B825" s="99"/>
      <c r="C825" s="99"/>
      <c r="D825" s="99"/>
      <c r="E825" s="99"/>
      <c r="F825" s="99"/>
      <c r="G825" s="99"/>
      <c r="H825" s="102"/>
      <c r="I825" s="102"/>
      <c r="J825" s="102"/>
      <c r="K825" s="102"/>
      <c r="L825" s="54"/>
      <c r="M825" s="54"/>
      <c r="N825" s="54"/>
    </row>
    <row r="826">
      <c r="A826" s="54"/>
      <c r="B826" s="99"/>
      <c r="C826" s="99"/>
      <c r="D826" s="99"/>
      <c r="E826" s="99"/>
      <c r="F826" s="99"/>
      <c r="G826" s="99"/>
      <c r="H826" s="102"/>
      <c r="I826" s="102"/>
      <c r="J826" s="102"/>
      <c r="K826" s="102"/>
      <c r="L826" s="54"/>
      <c r="M826" s="54"/>
      <c r="N826" s="54"/>
    </row>
    <row r="827">
      <c r="A827" s="54"/>
      <c r="B827" s="99"/>
      <c r="C827" s="99"/>
      <c r="D827" s="99"/>
      <c r="E827" s="99"/>
      <c r="F827" s="99"/>
      <c r="G827" s="99"/>
      <c r="H827" s="102"/>
      <c r="I827" s="102"/>
      <c r="J827" s="102"/>
      <c r="K827" s="102"/>
      <c r="L827" s="54"/>
      <c r="M827" s="54"/>
      <c r="N827" s="54"/>
    </row>
    <row r="828">
      <c r="A828" s="54"/>
      <c r="B828" s="99"/>
      <c r="C828" s="99"/>
      <c r="D828" s="99"/>
      <c r="E828" s="99"/>
      <c r="F828" s="99"/>
      <c r="G828" s="99"/>
      <c r="H828" s="102"/>
      <c r="I828" s="102"/>
      <c r="J828" s="102"/>
      <c r="K828" s="102"/>
      <c r="L828" s="54"/>
      <c r="M828" s="54"/>
      <c r="N828" s="54"/>
    </row>
    <row r="829">
      <c r="A829" s="54"/>
      <c r="B829" s="99"/>
      <c r="C829" s="99"/>
      <c r="D829" s="99"/>
      <c r="E829" s="99"/>
      <c r="F829" s="99"/>
      <c r="G829" s="99"/>
      <c r="H829" s="102"/>
      <c r="I829" s="102"/>
      <c r="J829" s="102"/>
      <c r="K829" s="102"/>
      <c r="L829" s="54"/>
      <c r="M829" s="54"/>
      <c r="N829" s="54"/>
    </row>
    <row r="830">
      <c r="A830" s="54"/>
      <c r="B830" s="99"/>
      <c r="C830" s="99"/>
      <c r="D830" s="99"/>
      <c r="E830" s="99"/>
      <c r="F830" s="99"/>
      <c r="G830" s="99"/>
      <c r="H830" s="102"/>
      <c r="I830" s="102"/>
      <c r="J830" s="102"/>
      <c r="K830" s="102"/>
      <c r="L830" s="54"/>
      <c r="M830" s="54"/>
      <c r="N830" s="54"/>
    </row>
    <row r="831">
      <c r="A831" s="54"/>
      <c r="B831" s="99"/>
      <c r="C831" s="99"/>
      <c r="D831" s="99"/>
      <c r="E831" s="99"/>
      <c r="F831" s="99"/>
      <c r="G831" s="99"/>
      <c r="H831" s="102"/>
      <c r="I831" s="102"/>
      <c r="J831" s="102"/>
      <c r="K831" s="102"/>
      <c r="L831" s="54"/>
      <c r="M831" s="54"/>
      <c r="N831" s="54"/>
    </row>
    <row r="832">
      <c r="A832" s="54"/>
      <c r="B832" s="99"/>
      <c r="C832" s="99"/>
      <c r="D832" s="99"/>
      <c r="E832" s="99"/>
      <c r="F832" s="99"/>
      <c r="G832" s="99"/>
      <c r="H832" s="102"/>
      <c r="I832" s="102"/>
      <c r="J832" s="102"/>
      <c r="K832" s="102"/>
      <c r="L832" s="54"/>
      <c r="M832" s="54"/>
      <c r="N832" s="54"/>
    </row>
    <row r="833">
      <c r="A833" s="54"/>
      <c r="B833" s="99"/>
      <c r="C833" s="99"/>
      <c r="D833" s="99"/>
      <c r="E833" s="99"/>
      <c r="F833" s="99"/>
      <c r="G833" s="99"/>
      <c r="H833" s="102"/>
      <c r="I833" s="102"/>
      <c r="J833" s="102"/>
      <c r="K833" s="102"/>
      <c r="L833" s="54"/>
      <c r="M833" s="54"/>
      <c r="N833" s="54"/>
    </row>
    <row r="834">
      <c r="A834" s="54"/>
      <c r="B834" s="99"/>
      <c r="C834" s="99"/>
      <c r="D834" s="99"/>
      <c r="E834" s="99"/>
      <c r="F834" s="99"/>
      <c r="G834" s="99"/>
      <c r="H834" s="102"/>
      <c r="I834" s="102"/>
      <c r="J834" s="102"/>
      <c r="K834" s="102"/>
      <c r="L834" s="54"/>
      <c r="M834" s="54"/>
      <c r="N834" s="54"/>
    </row>
    <row r="835">
      <c r="A835" s="54"/>
      <c r="B835" s="99"/>
      <c r="C835" s="99"/>
      <c r="D835" s="99"/>
      <c r="E835" s="99"/>
      <c r="F835" s="99"/>
      <c r="G835" s="99"/>
      <c r="H835" s="102"/>
      <c r="I835" s="102"/>
      <c r="J835" s="102"/>
      <c r="K835" s="102"/>
      <c r="L835" s="54"/>
      <c r="M835" s="54"/>
      <c r="N835" s="54"/>
    </row>
    <row r="836">
      <c r="A836" s="54"/>
      <c r="B836" s="99"/>
      <c r="C836" s="99"/>
      <c r="D836" s="99"/>
      <c r="E836" s="99"/>
      <c r="F836" s="99"/>
      <c r="G836" s="99"/>
      <c r="H836" s="102"/>
      <c r="I836" s="102"/>
      <c r="J836" s="102"/>
      <c r="K836" s="102"/>
      <c r="L836" s="54"/>
      <c r="M836" s="54"/>
      <c r="N836" s="54"/>
    </row>
    <row r="837">
      <c r="A837" s="54"/>
      <c r="B837" s="99"/>
      <c r="C837" s="99"/>
      <c r="D837" s="99"/>
      <c r="E837" s="99"/>
      <c r="F837" s="99"/>
      <c r="G837" s="99"/>
      <c r="H837" s="102"/>
      <c r="I837" s="102"/>
      <c r="J837" s="102"/>
      <c r="K837" s="102"/>
      <c r="L837" s="54"/>
      <c r="M837" s="54"/>
      <c r="N837" s="54"/>
    </row>
    <row r="838">
      <c r="A838" s="54"/>
      <c r="B838" s="99"/>
      <c r="C838" s="99"/>
      <c r="D838" s="99"/>
      <c r="E838" s="99"/>
      <c r="F838" s="99"/>
      <c r="G838" s="99"/>
      <c r="H838" s="102"/>
      <c r="I838" s="102"/>
      <c r="J838" s="102"/>
      <c r="K838" s="102"/>
      <c r="L838" s="54"/>
      <c r="M838" s="54"/>
      <c r="N838" s="54"/>
    </row>
    <row r="839">
      <c r="A839" s="54"/>
      <c r="B839" s="99"/>
      <c r="C839" s="99"/>
      <c r="D839" s="99"/>
      <c r="E839" s="99"/>
      <c r="F839" s="99"/>
      <c r="G839" s="99"/>
      <c r="H839" s="102"/>
      <c r="I839" s="102"/>
      <c r="J839" s="102"/>
      <c r="K839" s="102"/>
      <c r="L839" s="54"/>
      <c r="M839" s="54"/>
      <c r="N839" s="54"/>
    </row>
    <row r="840">
      <c r="A840" s="54"/>
      <c r="B840" s="99"/>
      <c r="C840" s="99"/>
      <c r="D840" s="99"/>
      <c r="E840" s="99"/>
      <c r="F840" s="99"/>
      <c r="G840" s="99"/>
      <c r="H840" s="102"/>
      <c r="I840" s="102"/>
      <c r="J840" s="102"/>
      <c r="K840" s="102"/>
      <c r="L840" s="54"/>
      <c r="M840" s="54"/>
      <c r="N840" s="54"/>
    </row>
    <row r="841">
      <c r="A841" s="54"/>
      <c r="B841" s="99"/>
      <c r="C841" s="99"/>
      <c r="D841" s="99"/>
      <c r="E841" s="99"/>
      <c r="F841" s="99"/>
      <c r="G841" s="99"/>
      <c r="H841" s="102"/>
      <c r="I841" s="102"/>
      <c r="J841" s="102"/>
      <c r="K841" s="102"/>
      <c r="L841" s="54"/>
      <c r="M841" s="54"/>
      <c r="N841" s="54"/>
    </row>
    <row r="842">
      <c r="A842" s="54"/>
      <c r="B842" s="99"/>
      <c r="C842" s="99"/>
      <c r="D842" s="99"/>
      <c r="E842" s="99"/>
      <c r="F842" s="99"/>
      <c r="G842" s="99"/>
      <c r="H842" s="102"/>
      <c r="I842" s="102"/>
      <c r="J842" s="102"/>
      <c r="K842" s="102"/>
      <c r="L842" s="54"/>
      <c r="M842" s="54"/>
      <c r="N842" s="54"/>
    </row>
    <row r="843">
      <c r="A843" s="54"/>
      <c r="B843" s="99"/>
      <c r="C843" s="99"/>
      <c r="D843" s="99"/>
      <c r="E843" s="99"/>
      <c r="F843" s="99"/>
      <c r="G843" s="99"/>
      <c r="H843" s="102"/>
      <c r="I843" s="102"/>
      <c r="J843" s="102"/>
      <c r="K843" s="102"/>
      <c r="L843" s="54"/>
      <c r="M843" s="54"/>
      <c r="N843" s="54"/>
    </row>
    <row r="844">
      <c r="A844" s="54"/>
      <c r="B844" s="99"/>
      <c r="C844" s="99"/>
      <c r="D844" s="99"/>
      <c r="E844" s="99"/>
      <c r="F844" s="99"/>
      <c r="G844" s="99"/>
      <c r="H844" s="102"/>
      <c r="I844" s="102"/>
      <c r="J844" s="102"/>
      <c r="K844" s="102"/>
      <c r="L844" s="54"/>
      <c r="M844" s="54"/>
      <c r="N844" s="54"/>
    </row>
    <row r="845">
      <c r="A845" s="54"/>
      <c r="B845" s="99"/>
      <c r="C845" s="99"/>
      <c r="D845" s="99"/>
      <c r="E845" s="99"/>
      <c r="F845" s="99"/>
      <c r="G845" s="99"/>
      <c r="H845" s="102"/>
      <c r="I845" s="102"/>
      <c r="J845" s="102"/>
      <c r="K845" s="102"/>
      <c r="L845" s="54"/>
      <c r="M845" s="54"/>
      <c r="N845" s="54"/>
    </row>
    <row r="846">
      <c r="A846" s="54"/>
      <c r="B846" s="99"/>
      <c r="C846" s="99"/>
      <c r="D846" s="99"/>
      <c r="E846" s="99"/>
      <c r="F846" s="99"/>
      <c r="G846" s="99"/>
      <c r="H846" s="102"/>
      <c r="I846" s="102"/>
      <c r="J846" s="102"/>
      <c r="K846" s="102"/>
      <c r="L846" s="54"/>
      <c r="M846" s="54"/>
      <c r="N846" s="54"/>
    </row>
    <row r="847">
      <c r="A847" s="54"/>
      <c r="B847" s="99"/>
      <c r="C847" s="99"/>
      <c r="D847" s="99"/>
      <c r="E847" s="99"/>
      <c r="F847" s="99"/>
      <c r="G847" s="99"/>
      <c r="H847" s="102"/>
      <c r="I847" s="102"/>
      <c r="J847" s="102"/>
      <c r="K847" s="102"/>
      <c r="L847" s="54"/>
      <c r="M847" s="54"/>
      <c r="N847" s="54"/>
    </row>
    <row r="848">
      <c r="A848" s="54"/>
      <c r="B848" s="99"/>
      <c r="C848" s="99"/>
      <c r="D848" s="99"/>
      <c r="E848" s="99"/>
      <c r="F848" s="99"/>
      <c r="G848" s="99"/>
      <c r="H848" s="102"/>
      <c r="I848" s="102"/>
      <c r="J848" s="102"/>
      <c r="K848" s="102"/>
      <c r="L848" s="54"/>
      <c r="M848" s="54"/>
      <c r="N848" s="54"/>
    </row>
    <row r="849">
      <c r="A849" s="54"/>
      <c r="B849" s="99"/>
      <c r="C849" s="99"/>
      <c r="D849" s="99"/>
      <c r="E849" s="99"/>
      <c r="F849" s="99"/>
      <c r="G849" s="99"/>
      <c r="H849" s="102"/>
      <c r="I849" s="102"/>
      <c r="J849" s="102"/>
      <c r="K849" s="102"/>
      <c r="L849" s="54"/>
      <c r="M849" s="54"/>
      <c r="N849" s="54"/>
    </row>
    <row r="850">
      <c r="A850" s="54"/>
      <c r="B850" s="99"/>
      <c r="C850" s="99"/>
      <c r="D850" s="99"/>
      <c r="E850" s="99"/>
      <c r="F850" s="99"/>
      <c r="G850" s="99"/>
      <c r="H850" s="102"/>
      <c r="I850" s="102"/>
      <c r="J850" s="102"/>
      <c r="K850" s="102"/>
      <c r="L850" s="54"/>
      <c r="M850" s="54"/>
      <c r="N850" s="54"/>
    </row>
    <row r="851">
      <c r="A851" s="54"/>
      <c r="B851" s="99"/>
      <c r="C851" s="99"/>
      <c r="D851" s="99"/>
      <c r="E851" s="99"/>
      <c r="F851" s="99"/>
      <c r="G851" s="99"/>
      <c r="H851" s="102"/>
      <c r="I851" s="102"/>
      <c r="J851" s="102"/>
      <c r="K851" s="102"/>
      <c r="L851" s="54"/>
      <c r="M851" s="54"/>
      <c r="N851" s="54"/>
    </row>
    <row r="852">
      <c r="A852" s="54"/>
      <c r="B852" s="99"/>
      <c r="C852" s="99"/>
      <c r="D852" s="99"/>
      <c r="E852" s="99"/>
      <c r="F852" s="99"/>
      <c r="G852" s="99"/>
      <c r="H852" s="102"/>
      <c r="I852" s="102"/>
      <c r="J852" s="102"/>
      <c r="K852" s="102"/>
      <c r="L852" s="54"/>
      <c r="M852" s="54"/>
      <c r="N852" s="54"/>
    </row>
    <row r="853">
      <c r="A853" s="54"/>
      <c r="B853" s="99"/>
      <c r="C853" s="99"/>
      <c r="D853" s="99"/>
      <c r="E853" s="99"/>
      <c r="F853" s="99"/>
      <c r="G853" s="99"/>
      <c r="H853" s="102"/>
      <c r="I853" s="102"/>
      <c r="J853" s="102"/>
      <c r="K853" s="102"/>
      <c r="L853" s="54"/>
      <c r="M853" s="54"/>
      <c r="N853" s="54"/>
    </row>
    <row r="854">
      <c r="A854" s="54"/>
      <c r="B854" s="99"/>
      <c r="C854" s="99"/>
      <c r="D854" s="99"/>
      <c r="E854" s="99"/>
      <c r="F854" s="99"/>
      <c r="G854" s="99"/>
      <c r="H854" s="102"/>
      <c r="I854" s="102"/>
      <c r="J854" s="102"/>
      <c r="K854" s="102"/>
      <c r="L854" s="54"/>
      <c r="M854" s="54"/>
      <c r="N854" s="54"/>
    </row>
    <row r="855">
      <c r="A855" s="54"/>
      <c r="B855" s="99"/>
      <c r="C855" s="99"/>
      <c r="D855" s="99"/>
      <c r="E855" s="99"/>
      <c r="F855" s="99"/>
      <c r="G855" s="99"/>
      <c r="H855" s="102"/>
      <c r="I855" s="102"/>
      <c r="J855" s="102"/>
      <c r="K855" s="102"/>
      <c r="L855" s="54"/>
      <c r="M855" s="54"/>
      <c r="N855" s="54"/>
    </row>
    <row r="856">
      <c r="A856" s="54"/>
      <c r="B856" s="99"/>
      <c r="C856" s="99"/>
      <c r="D856" s="99"/>
      <c r="E856" s="99"/>
      <c r="F856" s="99"/>
      <c r="G856" s="99"/>
      <c r="H856" s="102"/>
      <c r="I856" s="102"/>
      <c r="J856" s="102"/>
      <c r="K856" s="102"/>
      <c r="L856" s="54"/>
      <c r="M856" s="54"/>
      <c r="N856" s="54"/>
    </row>
    <row r="857">
      <c r="A857" s="54"/>
      <c r="B857" s="99"/>
      <c r="C857" s="99"/>
      <c r="D857" s="99"/>
      <c r="E857" s="99"/>
      <c r="F857" s="99"/>
      <c r="G857" s="99"/>
      <c r="H857" s="102"/>
      <c r="I857" s="102"/>
      <c r="J857" s="102"/>
      <c r="K857" s="102"/>
      <c r="L857" s="54"/>
      <c r="M857" s="54"/>
      <c r="N857" s="54"/>
    </row>
    <row r="858">
      <c r="A858" s="54"/>
      <c r="B858" s="99"/>
      <c r="C858" s="99"/>
      <c r="D858" s="99"/>
      <c r="E858" s="99"/>
      <c r="F858" s="99"/>
      <c r="G858" s="99"/>
      <c r="H858" s="102"/>
      <c r="I858" s="102"/>
      <c r="J858" s="102"/>
      <c r="K858" s="102"/>
      <c r="L858" s="54"/>
      <c r="M858" s="54"/>
      <c r="N858" s="54"/>
    </row>
    <row r="859">
      <c r="A859" s="54"/>
      <c r="B859" s="99"/>
      <c r="C859" s="99"/>
      <c r="D859" s="99"/>
      <c r="E859" s="99"/>
      <c r="F859" s="99"/>
      <c r="G859" s="99"/>
      <c r="H859" s="102"/>
      <c r="I859" s="102"/>
      <c r="J859" s="102"/>
      <c r="K859" s="102"/>
      <c r="L859" s="54"/>
      <c r="M859" s="54"/>
      <c r="N859" s="54"/>
    </row>
    <row r="860">
      <c r="A860" s="54"/>
      <c r="B860" s="99"/>
      <c r="C860" s="99"/>
      <c r="D860" s="99"/>
      <c r="E860" s="99"/>
      <c r="F860" s="99"/>
      <c r="G860" s="99"/>
      <c r="H860" s="102"/>
      <c r="I860" s="102"/>
      <c r="J860" s="102"/>
      <c r="K860" s="102"/>
      <c r="L860" s="54"/>
      <c r="M860" s="54"/>
      <c r="N860" s="54"/>
    </row>
    <row r="861">
      <c r="A861" s="54"/>
      <c r="B861" s="99"/>
      <c r="C861" s="99"/>
      <c r="D861" s="99"/>
      <c r="E861" s="99"/>
      <c r="F861" s="99"/>
      <c r="G861" s="99"/>
      <c r="H861" s="102"/>
      <c r="I861" s="102"/>
      <c r="J861" s="102"/>
      <c r="K861" s="102"/>
      <c r="L861" s="54"/>
      <c r="M861" s="54"/>
      <c r="N861" s="54"/>
    </row>
    <row r="862">
      <c r="A862" s="54"/>
      <c r="B862" s="99"/>
      <c r="C862" s="99"/>
      <c r="D862" s="99"/>
      <c r="E862" s="99"/>
      <c r="F862" s="99"/>
      <c r="G862" s="99"/>
      <c r="H862" s="102"/>
      <c r="I862" s="102"/>
      <c r="J862" s="102"/>
      <c r="K862" s="102"/>
      <c r="L862" s="54"/>
      <c r="M862" s="54"/>
      <c r="N862" s="54"/>
    </row>
    <row r="863">
      <c r="A863" s="54"/>
      <c r="B863" s="99"/>
      <c r="C863" s="99"/>
      <c r="D863" s="99"/>
      <c r="E863" s="99"/>
      <c r="F863" s="99"/>
      <c r="G863" s="99"/>
      <c r="H863" s="102"/>
      <c r="I863" s="102"/>
      <c r="J863" s="102"/>
      <c r="K863" s="102"/>
      <c r="L863" s="54"/>
      <c r="M863" s="54"/>
      <c r="N863" s="54"/>
    </row>
    <row r="864">
      <c r="A864" s="54"/>
      <c r="B864" s="99"/>
      <c r="C864" s="99"/>
      <c r="D864" s="99"/>
      <c r="E864" s="99"/>
      <c r="F864" s="99"/>
      <c r="G864" s="99"/>
      <c r="H864" s="102"/>
      <c r="I864" s="102"/>
      <c r="J864" s="102"/>
      <c r="K864" s="102"/>
      <c r="L864" s="54"/>
      <c r="M864" s="54"/>
      <c r="N864" s="54"/>
    </row>
    <row r="865">
      <c r="A865" s="54"/>
      <c r="B865" s="99"/>
      <c r="C865" s="99"/>
      <c r="D865" s="99"/>
      <c r="E865" s="99"/>
      <c r="F865" s="99"/>
      <c r="G865" s="99"/>
      <c r="H865" s="102"/>
      <c r="I865" s="102"/>
      <c r="J865" s="102"/>
      <c r="K865" s="102"/>
      <c r="L865" s="54"/>
      <c r="M865" s="54"/>
      <c r="N865" s="54"/>
    </row>
    <row r="866">
      <c r="A866" s="54"/>
      <c r="B866" s="99"/>
      <c r="C866" s="99"/>
      <c r="D866" s="99"/>
      <c r="E866" s="99"/>
      <c r="F866" s="99"/>
      <c r="G866" s="99"/>
      <c r="H866" s="102"/>
      <c r="I866" s="102"/>
      <c r="J866" s="102"/>
      <c r="K866" s="102"/>
      <c r="L866" s="54"/>
      <c r="M866" s="54"/>
      <c r="N866" s="54"/>
    </row>
    <row r="867">
      <c r="A867" s="54"/>
      <c r="B867" s="99"/>
      <c r="C867" s="99"/>
      <c r="D867" s="99"/>
      <c r="E867" s="99"/>
      <c r="F867" s="99"/>
      <c r="G867" s="99"/>
      <c r="H867" s="102"/>
      <c r="I867" s="102"/>
      <c r="J867" s="102"/>
      <c r="K867" s="102"/>
      <c r="L867" s="54"/>
      <c r="M867" s="54"/>
      <c r="N867" s="54"/>
    </row>
    <row r="868">
      <c r="A868" s="54"/>
      <c r="B868" s="99"/>
      <c r="C868" s="99"/>
      <c r="D868" s="99"/>
      <c r="E868" s="99"/>
      <c r="F868" s="99"/>
      <c r="G868" s="99"/>
      <c r="H868" s="102"/>
      <c r="I868" s="102"/>
      <c r="J868" s="102"/>
      <c r="K868" s="102"/>
      <c r="L868" s="54"/>
      <c r="M868" s="54"/>
      <c r="N868" s="54"/>
    </row>
    <row r="869">
      <c r="A869" s="54"/>
      <c r="B869" s="99"/>
      <c r="C869" s="99"/>
      <c r="D869" s="99"/>
      <c r="E869" s="99"/>
      <c r="F869" s="99"/>
      <c r="G869" s="99"/>
      <c r="H869" s="102"/>
      <c r="I869" s="102"/>
      <c r="J869" s="102"/>
      <c r="K869" s="102"/>
      <c r="L869" s="54"/>
      <c r="M869" s="54"/>
      <c r="N869" s="54"/>
    </row>
    <row r="870">
      <c r="A870" s="54"/>
      <c r="B870" s="99"/>
      <c r="C870" s="99"/>
      <c r="D870" s="99"/>
      <c r="E870" s="99"/>
      <c r="F870" s="99"/>
      <c r="G870" s="99"/>
      <c r="H870" s="102"/>
      <c r="I870" s="102"/>
      <c r="J870" s="102"/>
      <c r="K870" s="102"/>
      <c r="L870" s="54"/>
      <c r="M870" s="54"/>
      <c r="N870" s="54"/>
    </row>
    <row r="871">
      <c r="A871" s="54"/>
      <c r="B871" s="114"/>
      <c r="C871" s="114"/>
      <c r="D871" s="114"/>
      <c r="E871" s="114"/>
      <c r="F871" s="114"/>
      <c r="G871" s="114"/>
      <c r="H871" s="54"/>
      <c r="I871" s="54"/>
      <c r="J871" s="54"/>
      <c r="K871" s="54"/>
      <c r="L871" s="54"/>
      <c r="M871" s="54"/>
      <c r="N871" s="54"/>
    </row>
    <row r="872">
      <c r="A872" s="54"/>
      <c r="B872" s="114"/>
      <c r="C872" s="114"/>
      <c r="D872" s="114"/>
      <c r="E872" s="114"/>
      <c r="F872" s="114"/>
      <c r="G872" s="114"/>
      <c r="H872" s="54"/>
      <c r="I872" s="54"/>
      <c r="J872" s="54"/>
      <c r="K872" s="54"/>
      <c r="L872" s="54"/>
      <c r="M872" s="54"/>
      <c r="N872" s="54"/>
    </row>
    <row r="873">
      <c r="A873" s="54"/>
      <c r="B873" s="114"/>
      <c r="C873" s="114"/>
      <c r="D873" s="114"/>
      <c r="E873" s="114"/>
      <c r="F873" s="114"/>
      <c r="G873" s="114"/>
      <c r="H873" s="54"/>
      <c r="I873" s="54"/>
      <c r="J873" s="54"/>
      <c r="K873" s="54"/>
      <c r="L873" s="54"/>
      <c r="M873" s="54"/>
      <c r="N873" s="54"/>
    </row>
    <row r="874">
      <c r="A874" s="54"/>
      <c r="B874" s="114"/>
      <c r="C874" s="114"/>
      <c r="D874" s="114"/>
      <c r="E874" s="114"/>
      <c r="F874" s="114"/>
      <c r="G874" s="114"/>
      <c r="H874" s="54"/>
      <c r="I874" s="54"/>
      <c r="J874" s="54"/>
      <c r="K874" s="54"/>
      <c r="L874" s="54"/>
      <c r="M874" s="54"/>
      <c r="N874" s="54"/>
    </row>
    <row r="875">
      <c r="A875" s="54"/>
      <c r="B875" s="114"/>
      <c r="C875" s="114"/>
      <c r="D875" s="114"/>
      <c r="E875" s="114"/>
      <c r="F875" s="114"/>
      <c r="G875" s="114"/>
      <c r="H875" s="54"/>
      <c r="I875" s="54"/>
      <c r="J875" s="54"/>
      <c r="K875" s="54"/>
      <c r="L875" s="54"/>
      <c r="M875" s="54"/>
      <c r="N875" s="54"/>
    </row>
    <row r="876">
      <c r="A876" s="54"/>
      <c r="B876" s="114"/>
      <c r="C876" s="114"/>
      <c r="D876" s="114"/>
      <c r="E876" s="114"/>
      <c r="F876" s="114"/>
      <c r="G876" s="114"/>
      <c r="H876" s="54"/>
      <c r="I876" s="54"/>
      <c r="J876" s="54"/>
      <c r="K876" s="54"/>
      <c r="L876" s="54"/>
      <c r="M876" s="54"/>
      <c r="N876" s="54"/>
    </row>
    <row r="877">
      <c r="A877" s="54"/>
      <c r="B877" s="114"/>
      <c r="C877" s="114"/>
      <c r="D877" s="114"/>
      <c r="E877" s="114"/>
      <c r="F877" s="114"/>
      <c r="G877" s="114"/>
      <c r="H877" s="54"/>
      <c r="I877" s="54"/>
      <c r="J877" s="54"/>
      <c r="K877" s="54"/>
      <c r="L877" s="54"/>
      <c r="M877" s="54"/>
      <c r="N877" s="54"/>
    </row>
    <row r="878">
      <c r="A878" s="54"/>
      <c r="B878" s="114"/>
      <c r="C878" s="114"/>
      <c r="D878" s="114"/>
      <c r="E878" s="114"/>
      <c r="F878" s="114"/>
      <c r="G878" s="114"/>
      <c r="H878" s="54"/>
      <c r="I878" s="54"/>
      <c r="J878" s="54"/>
      <c r="K878" s="54"/>
      <c r="L878" s="54"/>
      <c r="M878" s="54"/>
      <c r="N878" s="54"/>
    </row>
    <row r="879">
      <c r="A879" s="54"/>
      <c r="B879" s="114"/>
      <c r="C879" s="114"/>
      <c r="D879" s="114"/>
      <c r="E879" s="114"/>
      <c r="F879" s="114"/>
      <c r="G879" s="114"/>
      <c r="H879" s="54"/>
      <c r="I879" s="54"/>
      <c r="J879" s="54"/>
      <c r="K879" s="54"/>
      <c r="L879" s="54"/>
      <c r="M879" s="54"/>
      <c r="N879" s="54"/>
    </row>
    <row r="880">
      <c r="A880" s="54"/>
      <c r="B880" s="114"/>
      <c r="C880" s="114"/>
      <c r="D880" s="114"/>
      <c r="E880" s="114"/>
      <c r="F880" s="114"/>
      <c r="G880" s="114"/>
      <c r="H880" s="54"/>
      <c r="I880" s="54"/>
      <c r="J880" s="54"/>
      <c r="K880" s="54"/>
      <c r="L880" s="54"/>
      <c r="M880" s="54"/>
      <c r="N880" s="54"/>
    </row>
    <row r="881">
      <c r="A881" s="54"/>
      <c r="B881" s="114"/>
      <c r="C881" s="114"/>
      <c r="D881" s="114"/>
      <c r="E881" s="114"/>
      <c r="F881" s="114"/>
      <c r="G881" s="114"/>
      <c r="H881" s="54"/>
      <c r="I881" s="54"/>
      <c r="J881" s="54"/>
      <c r="K881" s="54"/>
      <c r="L881" s="54"/>
      <c r="M881" s="54"/>
      <c r="N881" s="54"/>
    </row>
    <row r="882">
      <c r="A882" s="54"/>
      <c r="B882" s="114"/>
      <c r="C882" s="114"/>
      <c r="D882" s="114"/>
      <c r="E882" s="114"/>
      <c r="F882" s="114"/>
      <c r="G882" s="114"/>
      <c r="H882" s="54"/>
      <c r="I882" s="54"/>
      <c r="J882" s="54"/>
      <c r="K882" s="54"/>
      <c r="L882" s="54"/>
      <c r="M882" s="54"/>
      <c r="N882" s="54"/>
    </row>
    <row r="883">
      <c r="A883" s="54"/>
      <c r="B883" s="114"/>
      <c r="C883" s="114"/>
      <c r="D883" s="114"/>
      <c r="E883" s="114"/>
      <c r="F883" s="114"/>
      <c r="G883" s="114"/>
      <c r="H883" s="54"/>
      <c r="I883" s="54"/>
      <c r="J883" s="54"/>
      <c r="K883" s="54"/>
      <c r="L883" s="54"/>
      <c r="M883" s="54"/>
      <c r="N883" s="54"/>
    </row>
    <row r="884">
      <c r="A884" s="54"/>
      <c r="B884" s="114"/>
      <c r="C884" s="114"/>
      <c r="D884" s="114"/>
      <c r="E884" s="114"/>
      <c r="F884" s="114"/>
      <c r="G884" s="114"/>
      <c r="H884" s="54"/>
      <c r="I884" s="54"/>
      <c r="J884" s="54"/>
      <c r="K884" s="54"/>
      <c r="L884" s="54"/>
      <c r="M884" s="54"/>
      <c r="N884" s="54"/>
    </row>
    <row r="885">
      <c r="A885" s="54"/>
      <c r="B885" s="114"/>
      <c r="C885" s="114"/>
      <c r="D885" s="114"/>
      <c r="E885" s="114"/>
      <c r="F885" s="114"/>
      <c r="G885" s="114"/>
      <c r="H885" s="54"/>
      <c r="I885" s="54"/>
      <c r="J885" s="54"/>
      <c r="K885" s="54"/>
      <c r="L885" s="54"/>
      <c r="M885" s="54"/>
      <c r="N885" s="54"/>
    </row>
    <row r="886">
      <c r="A886" s="54"/>
      <c r="B886" s="114"/>
      <c r="C886" s="114"/>
      <c r="D886" s="114"/>
      <c r="E886" s="114"/>
      <c r="F886" s="114"/>
      <c r="G886" s="114"/>
      <c r="H886" s="54"/>
      <c r="I886" s="54"/>
      <c r="J886" s="54"/>
      <c r="K886" s="54"/>
      <c r="L886" s="54"/>
      <c r="M886" s="54"/>
      <c r="N886" s="54"/>
    </row>
    <row r="887">
      <c r="A887" s="54"/>
      <c r="B887" s="114"/>
      <c r="C887" s="114"/>
      <c r="D887" s="114"/>
      <c r="E887" s="114"/>
      <c r="F887" s="114"/>
      <c r="G887" s="114"/>
      <c r="H887" s="54"/>
      <c r="I887" s="54"/>
      <c r="J887" s="54"/>
      <c r="K887" s="54"/>
      <c r="L887" s="54"/>
      <c r="M887" s="54"/>
      <c r="N887" s="54"/>
    </row>
    <row r="888">
      <c r="A888" s="54"/>
      <c r="B888" s="114"/>
      <c r="C888" s="114"/>
      <c r="D888" s="114"/>
      <c r="E888" s="114"/>
      <c r="F888" s="114"/>
      <c r="G888" s="114"/>
      <c r="H888" s="54"/>
      <c r="I888" s="54"/>
      <c r="J888" s="54"/>
      <c r="K888" s="54"/>
      <c r="L888" s="54"/>
      <c r="M888" s="54"/>
      <c r="N888" s="54"/>
    </row>
    <row r="889">
      <c r="A889" s="54"/>
      <c r="B889" s="114"/>
      <c r="C889" s="114"/>
      <c r="D889" s="114"/>
      <c r="E889" s="114"/>
      <c r="F889" s="114"/>
      <c r="G889" s="114"/>
      <c r="H889" s="54"/>
      <c r="I889" s="54"/>
      <c r="J889" s="54"/>
      <c r="K889" s="54"/>
      <c r="L889" s="54"/>
      <c r="M889" s="54"/>
      <c r="N889" s="54"/>
    </row>
    <row r="890">
      <c r="A890" s="54"/>
      <c r="B890" s="114"/>
      <c r="C890" s="114"/>
      <c r="D890" s="114"/>
      <c r="E890" s="114"/>
      <c r="F890" s="114"/>
      <c r="G890" s="114"/>
      <c r="H890" s="54"/>
      <c r="I890" s="54"/>
      <c r="J890" s="54"/>
      <c r="K890" s="54"/>
      <c r="L890" s="54"/>
      <c r="M890" s="54"/>
      <c r="N890" s="54"/>
    </row>
    <row r="891">
      <c r="A891" s="54"/>
      <c r="B891" s="114"/>
      <c r="C891" s="114"/>
      <c r="D891" s="114"/>
      <c r="E891" s="114"/>
      <c r="F891" s="114"/>
      <c r="G891" s="114"/>
      <c r="H891" s="54"/>
      <c r="I891" s="54"/>
      <c r="J891" s="54"/>
      <c r="K891" s="54"/>
      <c r="L891" s="54"/>
      <c r="M891" s="54"/>
      <c r="N891" s="54"/>
    </row>
    <row r="892">
      <c r="A892" s="54"/>
      <c r="B892" s="114"/>
      <c r="C892" s="114"/>
      <c r="D892" s="114"/>
      <c r="E892" s="114"/>
      <c r="F892" s="114"/>
      <c r="G892" s="114"/>
      <c r="H892" s="54"/>
      <c r="I892" s="54"/>
      <c r="J892" s="54"/>
      <c r="K892" s="54"/>
      <c r="L892" s="54"/>
      <c r="M892" s="54"/>
      <c r="N892" s="54"/>
    </row>
    <row r="893">
      <c r="A893" s="54"/>
      <c r="B893" s="114"/>
      <c r="C893" s="114"/>
      <c r="D893" s="114"/>
      <c r="E893" s="114"/>
      <c r="F893" s="114"/>
      <c r="G893" s="114"/>
      <c r="H893" s="54"/>
      <c r="I893" s="54"/>
      <c r="J893" s="54"/>
      <c r="K893" s="54"/>
      <c r="L893" s="54"/>
      <c r="M893" s="54"/>
      <c r="N893" s="54"/>
    </row>
    <row r="894">
      <c r="A894" s="54"/>
      <c r="B894" s="114"/>
      <c r="C894" s="114"/>
      <c r="D894" s="114"/>
      <c r="E894" s="114"/>
      <c r="F894" s="114"/>
      <c r="G894" s="114"/>
      <c r="H894" s="54"/>
      <c r="I894" s="54"/>
      <c r="J894" s="54"/>
      <c r="K894" s="54"/>
      <c r="L894" s="54"/>
      <c r="M894" s="54"/>
      <c r="N894" s="54"/>
    </row>
    <row r="895">
      <c r="A895" s="54"/>
      <c r="B895" s="114"/>
      <c r="C895" s="114"/>
      <c r="D895" s="114"/>
      <c r="E895" s="114"/>
      <c r="F895" s="114"/>
      <c r="G895" s="114"/>
      <c r="H895" s="54"/>
      <c r="I895" s="54"/>
      <c r="J895" s="54"/>
      <c r="K895" s="54"/>
      <c r="L895" s="54"/>
      <c r="M895" s="54"/>
      <c r="N895" s="54"/>
    </row>
    <row r="896">
      <c r="A896" s="54"/>
      <c r="B896" s="114"/>
      <c r="C896" s="114"/>
      <c r="D896" s="114"/>
      <c r="E896" s="114"/>
      <c r="F896" s="114"/>
      <c r="G896" s="114"/>
      <c r="H896" s="54"/>
      <c r="I896" s="54"/>
      <c r="J896" s="54"/>
      <c r="K896" s="54"/>
      <c r="L896" s="54"/>
      <c r="M896" s="54"/>
      <c r="N896" s="54"/>
    </row>
    <row r="897">
      <c r="A897" s="54"/>
      <c r="B897" s="114"/>
      <c r="C897" s="114"/>
      <c r="D897" s="114"/>
      <c r="E897" s="114"/>
      <c r="F897" s="114"/>
      <c r="G897" s="114"/>
      <c r="H897" s="54"/>
      <c r="I897" s="54"/>
      <c r="J897" s="54"/>
      <c r="K897" s="54"/>
      <c r="L897" s="54"/>
      <c r="M897" s="54"/>
      <c r="N897" s="54"/>
    </row>
    <row r="898">
      <c r="A898" s="54"/>
      <c r="B898" s="114"/>
      <c r="C898" s="114"/>
      <c r="D898" s="114"/>
      <c r="E898" s="114"/>
      <c r="F898" s="114"/>
      <c r="G898" s="114"/>
      <c r="H898" s="54"/>
      <c r="I898" s="54"/>
      <c r="J898" s="54"/>
      <c r="K898" s="54"/>
      <c r="L898" s="54"/>
      <c r="M898" s="54"/>
      <c r="N898" s="54"/>
    </row>
    <row r="899">
      <c r="A899" s="54"/>
      <c r="B899" s="114"/>
      <c r="C899" s="114"/>
      <c r="D899" s="114"/>
      <c r="E899" s="114"/>
      <c r="F899" s="114"/>
      <c r="G899" s="114"/>
      <c r="H899" s="54"/>
      <c r="I899" s="54"/>
      <c r="J899" s="54"/>
      <c r="K899" s="54"/>
      <c r="L899" s="54"/>
      <c r="M899" s="54"/>
      <c r="N899" s="54"/>
    </row>
    <row r="900">
      <c r="A900" s="54"/>
      <c r="B900" s="114"/>
      <c r="C900" s="114"/>
      <c r="D900" s="114"/>
      <c r="E900" s="114"/>
      <c r="F900" s="114"/>
      <c r="G900" s="114"/>
      <c r="H900" s="54"/>
      <c r="I900" s="54"/>
      <c r="J900" s="54"/>
      <c r="K900" s="54"/>
      <c r="L900" s="54"/>
      <c r="M900" s="54"/>
      <c r="N900" s="54"/>
    </row>
    <row r="901">
      <c r="A901" s="54"/>
      <c r="B901" s="114"/>
      <c r="C901" s="114"/>
      <c r="D901" s="114"/>
      <c r="E901" s="114"/>
      <c r="F901" s="114"/>
      <c r="G901" s="114"/>
      <c r="H901" s="54"/>
      <c r="I901" s="54"/>
      <c r="J901" s="54"/>
      <c r="K901" s="54"/>
      <c r="L901" s="54"/>
      <c r="M901" s="54"/>
      <c r="N901" s="54"/>
    </row>
    <row r="902">
      <c r="A902" s="54"/>
      <c r="B902" s="114"/>
      <c r="C902" s="114"/>
      <c r="D902" s="114"/>
      <c r="E902" s="114"/>
      <c r="F902" s="114"/>
      <c r="G902" s="114"/>
      <c r="H902" s="54"/>
      <c r="I902" s="54"/>
      <c r="J902" s="54"/>
      <c r="K902" s="54"/>
      <c r="L902" s="54"/>
      <c r="M902" s="54"/>
      <c r="N902" s="54"/>
    </row>
    <row r="903">
      <c r="A903" s="54"/>
      <c r="B903" s="114"/>
      <c r="C903" s="114"/>
      <c r="D903" s="114"/>
      <c r="E903" s="114"/>
      <c r="F903" s="114"/>
      <c r="G903" s="114"/>
      <c r="H903" s="54"/>
      <c r="I903" s="54"/>
      <c r="J903" s="54"/>
      <c r="K903" s="54"/>
      <c r="L903" s="54"/>
      <c r="M903" s="54"/>
      <c r="N903" s="54"/>
    </row>
    <row r="904">
      <c r="A904" s="54"/>
      <c r="B904" s="114"/>
      <c r="C904" s="114"/>
      <c r="D904" s="114"/>
      <c r="E904" s="114"/>
      <c r="F904" s="114"/>
      <c r="G904" s="114"/>
      <c r="H904" s="54"/>
      <c r="I904" s="54"/>
      <c r="J904" s="54"/>
      <c r="K904" s="54"/>
      <c r="L904" s="54"/>
      <c r="M904" s="54"/>
      <c r="N904" s="54"/>
    </row>
    <row r="905">
      <c r="A905" s="54"/>
      <c r="B905" s="114"/>
      <c r="C905" s="114"/>
      <c r="D905" s="114"/>
      <c r="E905" s="114"/>
      <c r="F905" s="114"/>
      <c r="G905" s="114"/>
      <c r="H905" s="54"/>
      <c r="I905" s="54"/>
      <c r="J905" s="54"/>
      <c r="K905" s="54"/>
      <c r="L905" s="54"/>
      <c r="M905" s="54"/>
      <c r="N905" s="54"/>
    </row>
    <row r="906">
      <c r="A906" s="54"/>
      <c r="B906" s="114"/>
      <c r="C906" s="114"/>
      <c r="D906" s="114"/>
      <c r="E906" s="114"/>
      <c r="F906" s="114"/>
      <c r="G906" s="114"/>
      <c r="H906" s="54"/>
      <c r="I906" s="54"/>
      <c r="J906" s="54"/>
      <c r="K906" s="54"/>
      <c r="L906" s="54"/>
      <c r="M906" s="54"/>
      <c r="N906" s="54"/>
    </row>
    <row r="907">
      <c r="A907" s="54"/>
      <c r="B907" s="114"/>
      <c r="C907" s="114"/>
      <c r="D907" s="114"/>
      <c r="E907" s="114"/>
      <c r="F907" s="114"/>
      <c r="G907" s="114"/>
      <c r="H907" s="54"/>
      <c r="I907" s="54"/>
      <c r="J907" s="54"/>
      <c r="K907" s="54"/>
      <c r="L907" s="54"/>
      <c r="M907" s="54"/>
      <c r="N907" s="54"/>
    </row>
    <row r="908">
      <c r="A908" s="54"/>
      <c r="B908" s="114"/>
      <c r="C908" s="114"/>
      <c r="D908" s="114"/>
      <c r="E908" s="114"/>
      <c r="F908" s="114"/>
      <c r="G908" s="114"/>
      <c r="H908" s="54"/>
      <c r="I908" s="54"/>
      <c r="J908" s="54"/>
      <c r="K908" s="54"/>
      <c r="L908" s="54"/>
      <c r="M908" s="54"/>
      <c r="N908" s="54"/>
    </row>
    <row r="909">
      <c r="A909" s="54"/>
      <c r="B909" s="114"/>
      <c r="C909" s="114"/>
      <c r="D909" s="114"/>
      <c r="E909" s="114"/>
      <c r="F909" s="114"/>
      <c r="G909" s="114"/>
      <c r="H909" s="54"/>
      <c r="I909" s="54"/>
      <c r="J909" s="54"/>
      <c r="K909" s="54"/>
      <c r="L909" s="54"/>
      <c r="M909" s="54"/>
      <c r="N909" s="54"/>
    </row>
    <row r="910">
      <c r="A910" s="54"/>
      <c r="B910" s="114"/>
      <c r="C910" s="114"/>
      <c r="D910" s="114"/>
      <c r="E910" s="114"/>
      <c r="F910" s="114"/>
      <c r="G910" s="114"/>
      <c r="H910" s="54"/>
      <c r="I910" s="54"/>
      <c r="J910" s="54"/>
      <c r="K910" s="54"/>
      <c r="L910" s="54"/>
      <c r="M910" s="54"/>
      <c r="N910" s="54"/>
    </row>
    <row r="911">
      <c r="A911" s="54"/>
      <c r="B911" s="114"/>
      <c r="C911" s="114"/>
      <c r="D911" s="114"/>
      <c r="E911" s="114"/>
      <c r="F911" s="114"/>
      <c r="G911" s="114"/>
      <c r="H911" s="54"/>
      <c r="I911" s="54"/>
      <c r="J911" s="54"/>
      <c r="K911" s="54"/>
      <c r="L911" s="54"/>
      <c r="M911" s="54"/>
      <c r="N911" s="54"/>
    </row>
    <row r="912">
      <c r="A912" s="54"/>
      <c r="B912" s="114"/>
      <c r="C912" s="114"/>
      <c r="D912" s="114"/>
      <c r="E912" s="114"/>
      <c r="F912" s="114"/>
      <c r="G912" s="114"/>
      <c r="H912" s="54"/>
      <c r="I912" s="54"/>
      <c r="J912" s="54"/>
      <c r="K912" s="54"/>
      <c r="L912" s="54"/>
      <c r="M912" s="54"/>
      <c r="N912" s="54"/>
    </row>
    <row r="913">
      <c r="A913" s="54"/>
      <c r="B913" s="114"/>
      <c r="C913" s="114"/>
      <c r="D913" s="114"/>
      <c r="E913" s="114"/>
      <c r="F913" s="114"/>
      <c r="G913" s="114"/>
      <c r="H913" s="54"/>
      <c r="I913" s="54"/>
      <c r="J913" s="54"/>
      <c r="K913" s="54"/>
      <c r="L913" s="54"/>
      <c r="M913" s="54"/>
      <c r="N913" s="54"/>
    </row>
    <row r="914">
      <c r="A914" s="54"/>
      <c r="B914" s="114"/>
      <c r="C914" s="114"/>
      <c r="D914" s="114"/>
      <c r="E914" s="114"/>
      <c r="F914" s="114"/>
      <c r="G914" s="114"/>
      <c r="H914" s="54"/>
      <c r="I914" s="54"/>
      <c r="J914" s="54"/>
      <c r="K914" s="54"/>
      <c r="L914" s="54"/>
      <c r="M914" s="54"/>
      <c r="N914" s="54"/>
    </row>
    <row r="915">
      <c r="A915" s="54"/>
      <c r="B915" s="114"/>
      <c r="C915" s="114"/>
      <c r="D915" s="114"/>
      <c r="E915" s="114"/>
      <c r="F915" s="114"/>
      <c r="G915" s="114"/>
      <c r="H915" s="54"/>
      <c r="I915" s="54"/>
      <c r="J915" s="54"/>
      <c r="K915" s="54"/>
      <c r="L915" s="54"/>
      <c r="M915" s="54"/>
      <c r="N915" s="54"/>
    </row>
    <row r="916">
      <c r="A916" s="54"/>
      <c r="B916" s="114"/>
      <c r="C916" s="114"/>
      <c r="D916" s="114"/>
      <c r="E916" s="114"/>
      <c r="F916" s="114"/>
      <c r="G916" s="114"/>
      <c r="H916" s="54"/>
      <c r="I916" s="54"/>
      <c r="J916" s="54"/>
      <c r="K916" s="54"/>
      <c r="L916" s="54"/>
      <c r="M916" s="54"/>
      <c r="N916" s="54"/>
    </row>
    <row r="917">
      <c r="A917" s="54"/>
      <c r="B917" s="114"/>
      <c r="C917" s="114"/>
      <c r="D917" s="114"/>
      <c r="E917" s="114"/>
      <c r="F917" s="114"/>
      <c r="G917" s="114"/>
      <c r="H917" s="54"/>
      <c r="I917" s="54"/>
      <c r="J917" s="54"/>
      <c r="K917" s="54"/>
      <c r="L917" s="54"/>
      <c r="M917" s="54"/>
      <c r="N917" s="54"/>
    </row>
    <row r="918">
      <c r="A918" s="54"/>
      <c r="B918" s="114"/>
      <c r="C918" s="114"/>
      <c r="D918" s="114"/>
      <c r="E918" s="114"/>
      <c r="F918" s="114"/>
      <c r="G918" s="114"/>
      <c r="H918" s="54"/>
      <c r="I918" s="54"/>
      <c r="J918" s="54"/>
      <c r="K918" s="54"/>
      <c r="L918" s="54"/>
      <c r="M918" s="54"/>
      <c r="N918" s="54"/>
    </row>
    <row r="919">
      <c r="A919" s="54"/>
      <c r="B919" s="114"/>
      <c r="C919" s="114"/>
      <c r="D919" s="114"/>
      <c r="E919" s="114"/>
      <c r="F919" s="114"/>
      <c r="G919" s="114"/>
      <c r="H919" s="54"/>
      <c r="I919" s="54"/>
      <c r="J919" s="54"/>
      <c r="K919" s="54"/>
      <c r="L919" s="54"/>
      <c r="M919" s="54"/>
      <c r="N919" s="54"/>
    </row>
    <row r="920">
      <c r="A920" s="54"/>
      <c r="B920" s="114"/>
      <c r="C920" s="114"/>
      <c r="D920" s="114"/>
      <c r="E920" s="114"/>
      <c r="F920" s="114"/>
      <c r="G920" s="114"/>
      <c r="H920" s="54"/>
      <c r="I920" s="54"/>
      <c r="J920" s="54"/>
      <c r="K920" s="54"/>
      <c r="L920" s="54"/>
      <c r="M920" s="54"/>
      <c r="N920" s="54"/>
    </row>
    <row r="921">
      <c r="A921" s="54"/>
      <c r="B921" s="114"/>
      <c r="C921" s="114"/>
      <c r="D921" s="114"/>
      <c r="E921" s="114"/>
      <c r="F921" s="114"/>
      <c r="G921" s="114"/>
      <c r="H921" s="54"/>
      <c r="I921" s="54"/>
      <c r="J921" s="54"/>
      <c r="K921" s="54"/>
      <c r="L921" s="54"/>
      <c r="M921" s="54"/>
      <c r="N921" s="54"/>
    </row>
    <row r="922">
      <c r="A922" s="54"/>
      <c r="B922" s="114"/>
      <c r="C922" s="114"/>
      <c r="D922" s="114"/>
      <c r="E922" s="114"/>
      <c r="F922" s="114"/>
      <c r="G922" s="114"/>
      <c r="H922" s="54"/>
      <c r="I922" s="54"/>
      <c r="J922" s="54"/>
      <c r="K922" s="54"/>
      <c r="L922" s="54"/>
      <c r="M922" s="54"/>
      <c r="N922" s="54"/>
    </row>
    <row r="923">
      <c r="A923" s="54"/>
      <c r="B923" s="114"/>
      <c r="C923" s="114"/>
      <c r="D923" s="114"/>
      <c r="E923" s="114"/>
      <c r="F923" s="114"/>
      <c r="G923" s="114"/>
      <c r="H923" s="54"/>
      <c r="I923" s="54"/>
      <c r="J923" s="54"/>
      <c r="K923" s="54"/>
      <c r="L923" s="54"/>
      <c r="M923" s="54"/>
      <c r="N923" s="54"/>
    </row>
    <row r="924">
      <c r="A924" s="54"/>
      <c r="B924" s="114"/>
      <c r="C924" s="114"/>
      <c r="D924" s="114"/>
      <c r="E924" s="114"/>
      <c r="F924" s="114"/>
      <c r="G924" s="114"/>
      <c r="H924" s="54"/>
      <c r="I924" s="54"/>
      <c r="J924" s="54"/>
      <c r="K924" s="54"/>
      <c r="L924" s="54"/>
      <c r="M924" s="54"/>
      <c r="N924" s="54"/>
    </row>
    <row r="925">
      <c r="A925" s="54"/>
      <c r="B925" s="114"/>
      <c r="C925" s="114"/>
      <c r="D925" s="114"/>
      <c r="E925" s="114"/>
      <c r="F925" s="114"/>
      <c r="G925" s="114"/>
      <c r="H925" s="54"/>
      <c r="I925" s="54"/>
      <c r="J925" s="54"/>
      <c r="K925" s="54"/>
      <c r="L925" s="54"/>
      <c r="M925" s="54"/>
      <c r="N925" s="54"/>
    </row>
    <row r="926">
      <c r="A926" s="54"/>
      <c r="B926" s="114"/>
      <c r="C926" s="114"/>
      <c r="D926" s="114"/>
      <c r="E926" s="114"/>
      <c r="F926" s="114"/>
      <c r="G926" s="114"/>
      <c r="H926" s="54"/>
      <c r="I926" s="54"/>
      <c r="J926" s="54"/>
      <c r="K926" s="54"/>
      <c r="L926" s="54"/>
      <c r="M926" s="54"/>
      <c r="N926" s="54"/>
    </row>
    <row r="927">
      <c r="A927" s="54"/>
      <c r="B927" s="114"/>
      <c r="C927" s="114"/>
      <c r="D927" s="114"/>
      <c r="E927" s="114"/>
      <c r="F927" s="114"/>
      <c r="G927" s="114"/>
      <c r="H927" s="54"/>
      <c r="I927" s="54"/>
      <c r="J927" s="54"/>
      <c r="K927" s="54"/>
      <c r="L927" s="54"/>
      <c r="M927" s="54"/>
      <c r="N927" s="54"/>
    </row>
    <row r="928">
      <c r="A928" s="54"/>
      <c r="B928" s="114"/>
      <c r="C928" s="114"/>
      <c r="D928" s="114"/>
      <c r="E928" s="114"/>
      <c r="F928" s="114"/>
      <c r="G928" s="114"/>
      <c r="H928" s="54"/>
      <c r="I928" s="54"/>
      <c r="J928" s="54"/>
      <c r="K928" s="54"/>
      <c r="L928" s="54"/>
      <c r="M928" s="54"/>
      <c r="N928" s="54"/>
    </row>
    <row r="929">
      <c r="A929" s="54"/>
      <c r="B929" s="114"/>
      <c r="C929" s="114"/>
      <c r="D929" s="114"/>
      <c r="E929" s="114"/>
      <c r="F929" s="114"/>
      <c r="G929" s="114"/>
      <c r="H929" s="54"/>
      <c r="I929" s="54"/>
      <c r="J929" s="54"/>
      <c r="K929" s="54"/>
      <c r="L929" s="54"/>
      <c r="M929" s="54"/>
      <c r="N929" s="54"/>
    </row>
    <row r="930">
      <c r="A930" s="54"/>
      <c r="B930" s="114"/>
      <c r="C930" s="114"/>
      <c r="D930" s="114"/>
      <c r="E930" s="114"/>
      <c r="F930" s="114"/>
      <c r="G930" s="114"/>
      <c r="H930" s="54"/>
      <c r="I930" s="54"/>
      <c r="J930" s="54"/>
      <c r="K930" s="54"/>
      <c r="L930" s="54"/>
      <c r="M930" s="54"/>
      <c r="N930" s="54"/>
    </row>
    <row r="931">
      <c r="A931" s="54"/>
      <c r="B931" s="114"/>
      <c r="C931" s="114"/>
      <c r="D931" s="114"/>
      <c r="E931" s="114"/>
      <c r="F931" s="114"/>
      <c r="G931" s="114"/>
      <c r="H931" s="54"/>
      <c r="I931" s="54"/>
      <c r="J931" s="54"/>
      <c r="K931" s="54"/>
      <c r="L931" s="54"/>
      <c r="M931" s="54"/>
      <c r="N931" s="54"/>
    </row>
    <row r="932">
      <c r="A932" s="54"/>
      <c r="B932" s="114"/>
      <c r="C932" s="114"/>
      <c r="D932" s="114"/>
      <c r="E932" s="114"/>
      <c r="F932" s="114"/>
      <c r="G932" s="114"/>
      <c r="H932" s="54"/>
      <c r="I932" s="54"/>
      <c r="J932" s="54"/>
      <c r="K932" s="54"/>
      <c r="L932" s="54"/>
      <c r="M932" s="54"/>
      <c r="N932" s="54"/>
    </row>
    <row r="933">
      <c r="A933" s="54"/>
      <c r="B933" s="114"/>
      <c r="C933" s="114"/>
      <c r="D933" s="114"/>
      <c r="E933" s="114"/>
      <c r="F933" s="114"/>
      <c r="G933" s="114"/>
      <c r="H933" s="54"/>
      <c r="I933" s="54"/>
      <c r="J933" s="54"/>
      <c r="K933" s="54"/>
      <c r="L933" s="54"/>
      <c r="M933" s="54"/>
      <c r="N933" s="54"/>
    </row>
    <row r="934">
      <c r="A934" s="54"/>
      <c r="B934" s="114"/>
      <c r="C934" s="114"/>
      <c r="D934" s="114"/>
      <c r="E934" s="114"/>
      <c r="F934" s="114"/>
      <c r="G934" s="114"/>
      <c r="H934" s="54"/>
      <c r="I934" s="54"/>
      <c r="J934" s="54"/>
      <c r="K934" s="54"/>
      <c r="L934" s="54"/>
      <c r="M934" s="54"/>
      <c r="N934" s="54"/>
    </row>
    <row r="935">
      <c r="A935" s="54"/>
      <c r="B935" s="114"/>
      <c r="C935" s="114"/>
      <c r="D935" s="114"/>
      <c r="E935" s="114"/>
      <c r="F935" s="114"/>
      <c r="G935" s="114"/>
      <c r="H935" s="54"/>
      <c r="I935" s="54"/>
      <c r="J935" s="54"/>
      <c r="K935" s="54"/>
      <c r="L935" s="54"/>
      <c r="M935" s="54"/>
      <c r="N935" s="54"/>
    </row>
    <row r="936">
      <c r="A936" s="54"/>
      <c r="B936" s="114"/>
      <c r="C936" s="114"/>
      <c r="D936" s="114"/>
      <c r="E936" s="114"/>
      <c r="F936" s="114"/>
      <c r="G936" s="114"/>
      <c r="H936" s="54"/>
      <c r="I936" s="54"/>
      <c r="J936" s="54"/>
      <c r="K936" s="54"/>
      <c r="L936" s="54"/>
      <c r="M936" s="54"/>
      <c r="N936" s="54"/>
    </row>
    <row r="937">
      <c r="A937" s="54"/>
      <c r="B937" s="114"/>
      <c r="C937" s="114"/>
      <c r="D937" s="114"/>
      <c r="E937" s="114"/>
      <c r="F937" s="114"/>
      <c r="G937" s="114"/>
      <c r="H937" s="54"/>
      <c r="I937" s="54"/>
      <c r="J937" s="54"/>
      <c r="K937" s="54"/>
      <c r="L937" s="54"/>
      <c r="M937" s="54"/>
      <c r="N937" s="54"/>
    </row>
    <row r="938">
      <c r="A938" s="54"/>
      <c r="B938" s="114"/>
      <c r="C938" s="114"/>
      <c r="D938" s="114"/>
      <c r="E938" s="114"/>
      <c r="F938" s="114"/>
      <c r="G938" s="114"/>
      <c r="H938" s="54"/>
      <c r="I938" s="54"/>
      <c r="J938" s="54"/>
      <c r="K938" s="54"/>
      <c r="L938" s="54"/>
      <c r="M938" s="54"/>
      <c r="N938" s="54"/>
    </row>
    <row r="939">
      <c r="A939" s="54"/>
      <c r="B939" s="114"/>
      <c r="C939" s="114"/>
      <c r="D939" s="114"/>
      <c r="E939" s="114"/>
      <c r="F939" s="114"/>
      <c r="G939" s="114"/>
      <c r="H939" s="54"/>
      <c r="I939" s="54"/>
      <c r="J939" s="54"/>
      <c r="K939" s="54"/>
      <c r="L939" s="54"/>
      <c r="M939" s="54"/>
      <c r="N939" s="54"/>
    </row>
    <row r="940">
      <c r="A940" s="54"/>
      <c r="B940" s="114"/>
      <c r="C940" s="114"/>
      <c r="D940" s="114"/>
      <c r="E940" s="114"/>
      <c r="F940" s="114"/>
      <c r="G940" s="114"/>
      <c r="H940" s="54"/>
      <c r="I940" s="54"/>
      <c r="J940" s="54"/>
      <c r="K940" s="54"/>
      <c r="L940" s="54"/>
      <c r="M940" s="54"/>
      <c r="N940" s="54"/>
    </row>
    <row r="941">
      <c r="A941" s="54"/>
      <c r="B941" s="114"/>
      <c r="C941" s="114"/>
      <c r="D941" s="114"/>
      <c r="E941" s="114"/>
      <c r="F941" s="114"/>
      <c r="G941" s="114"/>
      <c r="H941" s="54"/>
      <c r="I941" s="54"/>
      <c r="J941" s="54"/>
      <c r="K941" s="54"/>
      <c r="L941" s="54"/>
      <c r="M941" s="54"/>
      <c r="N941" s="54"/>
    </row>
    <row r="942">
      <c r="A942" s="54"/>
      <c r="B942" s="114"/>
      <c r="C942" s="114"/>
      <c r="D942" s="114"/>
      <c r="E942" s="114"/>
      <c r="F942" s="114"/>
      <c r="G942" s="114"/>
      <c r="H942" s="54"/>
      <c r="I942" s="54"/>
      <c r="J942" s="54"/>
      <c r="K942" s="54"/>
      <c r="L942" s="54"/>
      <c r="M942" s="54"/>
      <c r="N942" s="54"/>
    </row>
    <row r="943">
      <c r="A943" s="54"/>
      <c r="B943" s="114"/>
      <c r="C943" s="114"/>
      <c r="D943" s="114"/>
      <c r="E943" s="114"/>
      <c r="F943" s="114"/>
      <c r="G943" s="114"/>
      <c r="H943" s="54"/>
      <c r="I943" s="54"/>
      <c r="J943" s="54"/>
      <c r="K943" s="54"/>
      <c r="L943" s="54"/>
      <c r="M943" s="54"/>
      <c r="N943" s="54"/>
    </row>
    <row r="944">
      <c r="A944" s="54"/>
      <c r="B944" s="114"/>
      <c r="C944" s="114"/>
      <c r="D944" s="114"/>
      <c r="E944" s="114"/>
      <c r="F944" s="114"/>
      <c r="G944" s="114"/>
      <c r="H944" s="54"/>
      <c r="I944" s="54"/>
      <c r="J944" s="54"/>
      <c r="K944" s="54"/>
      <c r="L944" s="54"/>
      <c r="M944" s="54"/>
      <c r="N944" s="54"/>
    </row>
    <row r="945">
      <c r="A945" s="54"/>
      <c r="B945" s="114"/>
      <c r="C945" s="114"/>
      <c r="D945" s="114"/>
      <c r="E945" s="114"/>
      <c r="F945" s="114"/>
      <c r="G945" s="114"/>
      <c r="H945" s="54"/>
      <c r="I945" s="54"/>
      <c r="J945" s="54"/>
      <c r="K945" s="54"/>
      <c r="L945" s="54"/>
      <c r="M945" s="54"/>
      <c r="N945" s="54"/>
    </row>
    <row r="946">
      <c r="A946" s="54"/>
      <c r="B946" s="114"/>
      <c r="C946" s="114"/>
      <c r="D946" s="114"/>
      <c r="E946" s="114"/>
      <c r="F946" s="114"/>
      <c r="G946" s="114"/>
      <c r="H946" s="54"/>
      <c r="I946" s="54"/>
      <c r="J946" s="54"/>
      <c r="K946" s="54"/>
      <c r="L946" s="54"/>
      <c r="M946" s="54"/>
      <c r="N946" s="54"/>
    </row>
    <row r="947">
      <c r="A947" s="54"/>
      <c r="B947" s="114"/>
      <c r="C947" s="114"/>
      <c r="D947" s="114"/>
      <c r="E947" s="114"/>
      <c r="F947" s="114"/>
      <c r="G947" s="114"/>
      <c r="H947" s="54"/>
      <c r="I947" s="54"/>
      <c r="J947" s="54"/>
      <c r="K947" s="54"/>
      <c r="L947" s="54"/>
      <c r="M947" s="54"/>
      <c r="N947" s="54"/>
    </row>
    <row r="948">
      <c r="A948" s="54"/>
      <c r="B948" s="114"/>
      <c r="C948" s="114"/>
      <c r="D948" s="114"/>
      <c r="E948" s="114"/>
      <c r="F948" s="114"/>
      <c r="G948" s="114"/>
      <c r="H948" s="54"/>
      <c r="I948" s="54"/>
      <c r="J948" s="54"/>
      <c r="K948" s="54"/>
      <c r="L948" s="54"/>
      <c r="M948" s="54"/>
      <c r="N948" s="54"/>
    </row>
    <row r="949">
      <c r="A949" s="54"/>
      <c r="B949" s="114"/>
      <c r="C949" s="114"/>
      <c r="D949" s="114"/>
      <c r="E949" s="114"/>
      <c r="F949" s="114"/>
      <c r="G949" s="114"/>
      <c r="H949" s="54"/>
      <c r="I949" s="54"/>
      <c r="J949" s="54"/>
      <c r="K949" s="54"/>
      <c r="L949" s="54"/>
      <c r="M949" s="54"/>
      <c r="N949" s="54"/>
    </row>
    <row r="950">
      <c r="A950" s="54"/>
      <c r="B950" s="114"/>
      <c r="C950" s="114"/>
      <c r="D950" s="114"/>
      <c r="E950" s="114"/>
      <c r="F950" s="114"/>
      <c r="G950" s="114"/>
      <c r="H950" s="54"/>
      <c r="I950" s="54"/>
      <c r="J950" s="54"/>
      <c r="K950" s="54"/>
      <c r="L950" s="54"/>
      <c r="M950" s="54"/>
      <c r="N950" s="54"/>
    </row>
    <row r="951">
      <c r="A951" s="54"/>
      <c r="B951" s="114"/>
      <c r="C951" s="114"/>
      <c r="D951" s="114"/>
      <c r="E951" s="114"/>
      <c r="F951" s="114"/>
      <c r="G951" s="114"/>
      <c r="H951" s="54"/>
      <c r="I951" s="54"/>
      <c r="J951" s="54"/>
      <c r="K951" s="54"/>
      <c r="L951" s="54"/>
      <c r="M951" s="54"/>
      <c r="N951" s="54"/>
    </row>
    <row r="952">
      <c r="A952" s="54"/>
      <c r="B952" s="114"/>
      <c r="C952" s="114"/>
      <c r="D952" s="114"/>
      <c r="E952" s="114"/>
      <c r="F952" s="114"/>
      <c r="G952" s="114"/>
      <c r="H952" s="54"/>
      <c r="I952" s="54"/>
      <c r="J952" s="54"/>
      <c r="K952" s="54"/>
      <c r="L952" s="54"/>
      <c r="M952" s="54"/>
      <c r="N952" s="54"/>
    </row>
    <row r="953">
      <c r="A953" s="54"/>
      <c r="B953" s="114"/>
      <c r="C953" s="114"/>
      <c r="D953" s="114"/>
      <c r="E953" s="114"/>
      <c r="F953" s="114"/>
      <c r="G953" s="114"/>
      <c r="H953" s="54"/>
      <c r="I953" s="54"/>
      <c r="J953" s="54"/>
      <c r="K953" s="54"/>
      <c r="L953" s="54"/>
      <c r="M953" s="54"/>
      <c r="N953" s="54"/>
    </row>
    <row r="954">
      <c r="A954" s="54"/>
      <c r="B954" s="114"/>
      <c r="C954" s="114"/>
      <c r="D954" s="114"/>
      <c r="E954" s="114"/>
      <c r="F954" s="114"/>
      <c r="G954" s="114"/>
      <c r="H954" s="54"/>
      <c r="I954" s="54"/>
      <c r="J954" s="54"/>
      <c r="K954" s="54"/>
      <c r="L954" s="54"/>
      <c r="M954" s="54"/>
      <c r="N954" s="54"/>
    </row>
    <row r="955">
      <c r="A955" s="54"/>
      <c r="B955" s="114"/>
      <c r="C955" s="114"/>
      <c r="D955" s="114"/>
      <c r="E955" s="114"/>
      <c r="F955" s="114"/>
      <c r="G955" s="114"/>
      <c r="H955" s="54"/>
      <c r="I955" s="54"/>
      <c r="J955" s="54"/>
      <c r="K955" s="54"/>
      <c r="L955" s="54"/>
      <c r="M955" s="54"/>
      <c r="N955" s="54"/>
    </row>
    <row r="956">
      <c r="A956" s="54"/>
      <c r="B956" s="114"/>
      <c r="C956" s="114"/>
      <c r="D956" s="114"/>
      <c r="E956" s="114"/>
      <c r="F956" s="114"/>
      <c r="G956" s="114"/>
      <c r="H956" s="54"/>
      <c r="I956" s="54"/>
      <c r="J956" s="54"/>
      <c r="K956" s="54"/>
      <c r="L956" s="54"/>
      <c r="M956" s="54"/>
      <c r="N956" s="54"/>
    </row>
    <row r="957">
      <c r="A957" s="54"/>
      <c r="B957" s="114"/>
      <c r="C957" s="114"/>
      <c r="D957" s="114"/>
      <c r="E957" s="114"/>
      <c r="F957" s="114"/>
      <c r="G957" s="114"/>
      <c r="H957" s="54"/>
      <c r="I957" s="54"/>
      <c r="J957" s="54"/>
      <c r="K957" s="54"/>
      <c r="L957" s="54"/>
      <c r="M957" s="54"/>
      <c r="N957" s="54"/>
    </row>
    <row r="958">
      <c r="A958" s="54"/>
      <c r="B958" s="114"/>
      <c r="C958" s="114"/>
      <c r="D958" s="114"/>
      <c r="E958" s="114"/>
      <c r="F958" s="114"/>
      <c r="G958" s="114"/>
      <c r="H958" s="54"/>
      <c r="I958" s="54"/>
      <c r="J958" s="54"/>
      <c r="K958" s="54"/>
      <c r="L958" s="54"/>
      <c r="M958" s="54"/>
      <c r="N958" s="54"/>
    </row>
    <row r="959">
      <c r="A959" s="54"/>
      <c r="B959" s="114"/>
      <c r="C959" s="114"/>
      <c r="D959" s="114"/>
      <c r="E959" s="114"/>
      <c r="F959" s="114"/>
      <c r="G959" s="114"/>
      <c r="H959" s="54"/>
      <c r="I959" s="54"/>
      <c r="J959" s="54"/>
      <c r="K959" s="54"/>
      <c r="L959" s="54"/>
      <c r="M959" s="54"/>
      <c r="N959" s="54"/>
    </row>
    <row r="960">
      <c r="A960" s="54"/>
      <c r="B960" s="114"/>
      <c r="C960" s="114"/>
      <c r="D960" s="114"/>
      <c r="E960" s="114"/>
      <c r="F960" s="114"/>
      <c r="G960" s="114"/>
      <c r="H960" s="54"/>
      <c r="I960" s="54"/>
      <c r="J960" s="54"/>
      <c r="K960" s="54"/>
      <c r="L960" s="54"/>
      <c r="M960" s="54"/>
      <c r="N960" s="54"/>
    </row>
    <row r="961">
      <c r="A961" s="54"/>
      <c r="B961" s="114"/>
      <c r="C961" s="114"/>
      <c r="D961" s="114"/>
      <c r="E961" s="114"/>
      <c r="F961" s="114"/>
      <c r="G961" s="114"/>
      <c r="H961" s="54"/>
      <c r="I961" s="54"/>
      <c r="J961" s="54"/>
      <c r="K961" s="54"/>
      <c r="L961" s="54"/>
      <c r="M961" s="54"/>
      <c r="N961" s="54"/>
    </row>
    <row r="962">
      <c r="A962" s="54"/>
      <c r="B962" s="114"/>
      <c r="C962" s="114"/>
      <c r="D962" s="114"/>
      <c r="E962" s="114"/>
      <c r="F962" s="114"/>
      <c r="G962" s="114"/>
      <c r="H962" s="54"/>
      <c r="I962" s="54"/>
      <c r="J962" s="54"/>
      <c r="K962" s="54"/>
      <c r="L962" s="54"/>
      <c r="M962" s="54"/>
      <c r="N962" s="54"/>
    </row>
    <row r="963">
      <c r="A963" s="54"/>
      <c r="B963" s="114"/>
      <c r="C963" s="114"/>
      <c r="D963" s="114"/>
      <c r="E963" s="114"/>
      <c r="F963" s="114"/>
      <c r="G963" s="114"/>
      <c r="H963" s="54"/>
      <c r="I963" s="54"/>
      <c r="J963" s="54"/>
      <c r="K963" s="54"/>
      <c r="L963" s="54"/>
      <c r="M963" s="54"/>
      <c r="N963" s="54"/>
    </row>
    <row r="964">
      <c r="A964" s="54"/>
      <c r="B964" s="114"/>
      <c r="C964" s="114"/>
      <c r="D964" s="114"/>
      <c r="E964" s="114"/>
      <c r="F964" s="114"/>
      <c r="G964" s="114"/>
      <c r="H964" s="54"/>
      <c r="I964" s="54"/>
      <c r="J964" s="54"/>
      <c r="K964" s="54"/>
      <c r="L964" s="54"/>
      <c r="M964" s="54"/>
      <c r="N964" s="54"/>
    </row>
    <row r="965">
      <c r="A965" s="54"/>
      <c r="B965" s="114"/>
      <c r="C965" s="114"/>
      <c r="D965" s="114"/>
      <c r="E965" s="114"/>
      <c r="F965" s="114"/>
      <c r="G965" s="114"/>
      <c r="H965" s="54"/>
      <c r="I965" s="54"/>
      <c r="J965" s="54"/>
      <c r="K965" s="54"/>
      <c r="L965" s="54"/>
      <c r="M965" s="54"/>
      <c r="N965" s="54"/>
    </row>
    <row r="966">
      <c r="A966" s="54"/>
      <c r="B966" s="114"/>
      <c r="C966" s="114"/>
      <c r="D966" s="114"/>
      <c r="E966" s="114"/>
      <c r="F966" s="114"/>
      <c r="G966" s="114"/>
      <c r="H966" s="54"/>
      <c r="I966" s="54"/>
      <c r="J966" s="54"/>
      <c r="K966" s="54"/>
      <c r="L966" s="54"/>
      <c r="M966" s="54"/>
      <c r="N966" s="54"/>
    </row>
    <row r="967">
      <c r="A967" s="54"/>
      <c r="B967" s="114"/>
      <c r="C967" s="114"/>
      <c r="D967" s="114"/>
      <c r="E967" s="114"/>
      <c r="F967" s="114"/>
      <c r="G967" s="114"/>
      <c r="H967" s="54"/>
      <c r="I967" s="54"/>
      <c r="J967" s="54"/>
      <c r="K967" s="54"/>
      <c r="L967" s="54"/>
      <c r="M967" s="54"/>
      <c r="N967" s="54"/>
    </row>
    <row r="968">
      <c r="A968" s="54"/>
      <c r="B968" s="114"/>
      <c r="C968" s="114"/>
      <c r="D968" s="114"/>
      <c r="E968" s="114"/>
      <c r="F968" s="114"/>
      <c r="G968" s="114"/>
      <c r="H968" s="54"/>
      <c r="I968" s="54"/>
      <c r="J968" s="54"/>
      <c r="K968" s="54"/>
      <c r="L968" s="54"/>
      <c r="M968" s="54"/>
      <c r="N968" s="54"/>
    </row>
    <row r="969">
      <c r="A969" s="54"/>
      <c r="B969" s="114"/>
      <c r="C969" s="114"/>
      <c r="D969" s="114"/>
      <c r="E969" s="114"/>
      <c r="F969" s="114"/>
      <c r="G969" s="114"/>
      <c r="H969" s="54"/>
      <c r="I969" s="54"/>
      <c r="J969" s="54"/>
      <c r="K969" s="54"/>
      <c r="L969" s="54"/>
      <c r="M969" s="54"/>
      <c r="N969" s="54"/>
    </row>
    <row r="970">
      <c r="A970" s="54"/>
      <c r="B970" s="114"/>
      <c r="C970" s="114"/>
      <c r="D970" s="114"/>
      <c r="E970" s="114"/>
      <c r="F970" s="114"/>
      <c r="G970" s="114"/>
      <c r="H970" s="54"/>
      <c r="I970" s="54"/>
      <c r="J970" s="54"/>
      <c r="K970" s="54"/>
      <c r="L970" s="54"/>
      <c r="M970" s="54"/>
      <c r="N970" s="54"/>
    </row>
    <row r="971">
      <c r="A971" s="54"/>
      <c r="B971" s="114"/>
      <c r="C971" s="114"/>
      <c r="D971" s="114"/>
      <c r="E971" s="114"/>
      <c r="F971" s="114"/>
      <c r="G971" s="114"/>
      <c r="H971" s="54"/>
      <c r="I971" s="54"/>
      <c r="J971" s="54"/>
      <c r="K971" s="54"/>
      <c r="L971" s="54"/>
      <c r="M971" s="54"/>
      <c r="N971" s="54"/>
    </row>
    <row r="972">
      <c r="A972" s="54"/>
      <c r="B972" s="114"/>
      <c r="C972" s="114"/>
      <c r="D972" s="114"/>
      <c r="E972" s="114"/>
      <c r="F972" s="114"/>
      <c r="G972" s="114"/>
      <c r="H972" s="54"/>
      <c r="I972" s="54"/>
      <c r="J972" s="54"/>
      <c r="K972" s="54"/>
      <c r="L972" s="54"/>
      <c r="M972" s="54"/>
      <c r="N972" s="54"/>
    </row>
    <row r="973">
      <c r="A973" s="54"/>
      <c r="B973" s="114"/>
      <c r="C973" s="114"/>
      <c r="D973" s="114"/>
      <c r="E973" s="114"/>
      <c r="F973" s="114"/>
      <c r="G973" s="114"/>
      <c r="H973" s="54"/>
      <c r="I973" s="54"/>
      <c r="J973" s="54"/>
      <c r="K973" s="54"/>
      <c r="L973" s="54"/>
      <c r="M973" s="54"/>
      <c r="N973" s="54"/>
    </row>
    <row r="974">
      <c r="A974" s="54"/>
      <c r="B974" s="114"/>
      <c r="C974" s="114"/>
      <c r="D974" s="114"/>
      <c r="E974" s="114"/>
      <c r="F974" s="114"/>
      <c r="G974" s="114"/>
      <c r="H974" s="54"/>
      <c r="I974" s="54"/>
      <c r="J974" s="54"/>
      <c r="K974" s="54"/>
      <c r="L974" s="54"/>
      <c r="M974" s="54"/>
      <c r="N974" s="54"/>
    </row>
    <row r="975">
      <c r="A975" s="54"/>
      <c r="B975" s="114"/>
      <c r="C975" s="114"/>
      <c r="D975" s="114"/>
      <c r="E975" s="114"/>
      <c r="F975" s="114"/>
      <c r="G975" s="114"/>
      <c r="H975" s="54"/>
      <c r="I975" s="54"/>
      <c r="J975" s="54"/>
      <c r="K975" s="54"/>
      <c r="L975" s="54"/>
      <c r="M975" s="54"/>
      <c r="N975" s="54"/>
    </row>
    <row r="976">
      <c r="A976" s="54"/>
      <c r="B976" s="114"/>
      <c r="C976" s="114"/>
      <c r="D976" s="114"/>
      <c r="E976" s="114"/>
      <c r="F976" s="114"/>
      <c r="G976" s="114"/>
      <c r="H976" s="54"/>
      <c r="I976" s="54"/>
      <c r="J976" s="54"/>
      <c r="K976" s="54"/>
      <c r="L976" s="54"/>
      <c r="M976" s="54"/>
      <c r="N976" s="54"/>
    </row>
    <row r="977">
      <c r="A977" s="54"/>
      <c r="B977" s="114"/>
      <c r="C977" s="114"/>
      <c r="D977" s="114"/>
      <c r="E977" s="114"/>
      <c r="F977" s="114"/>
      <c r="G977" s="114"/>
      <c r="H977" s="54"/>
      <c r="I977" s="54"/>
      <c r="J977" s="54"/>
      <c r="K977" s="54"/>
      <c r="L977" s="54"/>
      <c r="M977" s="54"/>
      <c r="N977" s="54"/>
    </row>
    <row r="978">
      <c r="A978" s="54"/>
      <c r="B978" s="114"/>
      <c r="C978" s="114"/>
      <c r="D978" s="114"/>
      <c r="E978" s="114"/>
      <c r="F978" s="114"/>
      <c r="G978" s="114"/>
      <c r="H978" s="54"/>
      <c r="I978" s="54"/>
      <c r="J978" s="54"/>
      <c r="K978" s="54"/>
      <c r="L978" s="54"/>
      <c r="M978" s="54"/>
      <c r="N978" s="54"/>
    </row>
    <row r="979">
      <c r="A979" s="54"/>
      <c r="B979" s="114"/>
      <c r="C979" s="114"/>
      <c r="D979" s="114"/>
      <c r="E979" s="114"/>
      <c r="F979" s="114"/>
      <c r="G979" s="114"/>
      <c r="H979" s="54"/>
      <c r="I979" s="54"/>
      <c r="J979" s="54"/>
      <c r="K979" s="54"/>
      <c r="L979" s="54"/>
      <c r="M979" s="54"/>
      <c r="N979" s="54"/>
    </row>
    <row r="980">
      <c r="A980" s="54"/>
      <c r="B980" s="114"/>
      <c r="C980" s="114"/>
      <c r="D980" s="114"/>
      <c r="E980" s="114"/>
      <c r="F980" s="114"/>
      <c r="G980" s="114"/>
      <c r="H980" s="54"/>
      <c r="I980" s="54"/>
      <c r="J980" s="54"/>
      <c r="K980" s="54"/>
      <c r="L980" s="54"/>
      <c r="M980" s="54"/>
      <c r="N980" s="54"/>
    </row>
    <row r="981">
      <c r="A981" s="54"/>
      <c r="B981" s="114"/>
      <c r="C981" s="114"/>
      <c r="D981" s="114"/>
      <c r="E981" s="114"/>
      <c r="F981" s="114"/>
      <c r="G981" s="114"/>
      <c r="H981" s="54"/>
      <c r="I981" s="54"/>
      <c r="J981" s="54"/>
      <c r="K981" s="54"/>
      <c r="L981" s="54"/>
      <c r="M981" s="54"/>
      <c r="N981" s="54"/>
    </row>
    <row r="982">
      <c r="A982" s="54"/>
      <c r="B982" s="114"/>
      <c r="C982" s="114"/>
      <c r="D982" s="114"/>
      <c r="E982" s="114"/>
      <c r="F982" s="114"/>
      <c r="G982" s="114"/>
      <c r="H982" s="54"/>
      <c r="I982" s="54"/>
      <c r="J982" s="54"/>
      <c r="K982" s="54"/>
      <c r="L982" s="54"/>
      <c r="M982" s="54"/>
      <c r="N982" s="54"/>
    </row>
    <row r="983">
      <c r="A983" s="54"/>
      <c r="B983" s="114"/>
      <c r="C983" s="114"/>
      <c r="D983" s="114"/>
      <c r="E983" s="114"/>
      <c r="F983" s="114"/>
      <c r="G983" s="114"/>
      <c r="H983" s="54"/>
      <c r="I983" s="54"/>
      <c r="J983" s="54"/>
      <c r="K983" s="54"/>
      <c r="L983" s="54"/>
      <c r="M983" s="54"/>
      <c r="N983" s="54"/>
    </row>
    <row r="984">
      <c r="A984" s="54"/>
      <c r="B984" s="114"/>
      <c r="C984" s="114"/>
      <c r="D984" s="114"/>
      <c r="E984" s="114"/>
      <c r="F984" s="114"/>
      <c r="G984" s="114"/>
      <c r="H984" s="54"/>
      <c r="I984" s="54"/>
      <c r="J984" s="54"/>
      <c r="K984" s="54"/>
      <c r="L984" s="54"/>
      <c r="M984" s="54"/>
      <c r="N984" s="54"/>
    </row>
    <row r="985">
      <c r="A985" s="54"/>
      <c r="B985" s="114"/>
      <c r="C985" s="114"/>
      <c r="D985" s="114"/>
      <c r="E985" s="114"/>
      <c r="F985" s="114"/>
      <c r="G985" s="114"/>
      <c r="H985" s="54"/>
      <c r="I985" s="54"/>
      <c r="J985" s="54"/>
      <c r="K985" s="54"/>
      <c r="L985" s="54"/>
      <c r="M985" s="54"/>
      <c r="N985" s="54"/>
    </row>
    <row r="986">
      <c r="A986" s="54"/>
      <c r="B986" s="114"/>
      <c r="C986" s="114"/>
      <c r="D986" s="114"/>
      <c r="E986" s="114"/>
      <c r="F986" s="114"/>
      <c r="G986" s="114"/>
      <c r="H986" s="54"/>
      <c r="I986" s="54"/>
      <c r="J986" s="54"/>
      <c r="K986" s="54"/>
      <c r="L986" s="54"/>
      <c r="M986" s="54"/>
      <c r="N986" s="54"/>
    </row>
    <row r="987">
      <c r="A987" s="54"/>
      <c r="B987" s="114"/>
      <c r="C987" s="114"/>
      <c r="D987" s="114"/>
      <c r="E987" s="114"/>
      <c r="F987" s="114"/>
      <c r="G987" s="114"/>
      <c r="H987" s="54"/>
      <c r="I987" s="54"/>
      <c r="J987" s="54"/>
      <c r="K987" s="54"/>
      <c r="L987" s="54"/>
      <c r="M987" s="54"/>
      <c r="N987" s="54"/>
    </row>
    <row r="988">
      <c r="A988" s="54"/>
      <c r="B988" s="114"/>
      <c r="C988" s="114"/>
      <c r="D988" s="114"/>
      <c r="E988" s="114"/>
      <c r="F988" s="114"/>
      <c r="G988" s="114"/>
      <c r="H988" s="54"/>
      <c r="I988" s="54"/>
      <c r="J988" s="54"/>
      <c r="K988" s="54"/>
      <c r="L988" s="54"/>
      <c r="M988" s="54"/>
      <c r="N988" s="54"/>
    </row>
    <row r="989">
      <c r="A989" s="54"/>
      <c r="B989" s="114"/>
      <c r="C989" s="114"/>
      <c r="D989" s="114"/>
      <c r="E989" s="114"/>
      <c r="F989" s="114"/>
      <c r="G989" s="114"/>
      <c r="H989" s="54"/>
      <c r="I989" s="54"/>
      <c r="J989" s="54"/>
      <c r="K989" s="54"/>
      <c r="L989" s="54"/>
      <c r="M989" s="54"/>
      <c r="N989" s="54"/>
    </row>
    <row r="990">
      <c r="A990" s="54"/>
      <c r="B990" s="114"/>
      <c r="C990" s="114"/>
      <c r="D990" s="114"/>
      <c r="E990" s="114"/>
      <c r="F990" s="114"/>
      <c r="G990" s="114"/>
      <c r="H990" s="54"/>
      <c r="I990" s="54"/>
      <c r="J990" s="54"/>
      <c r="K990" s="54"/>
      <c r="L990" s="54"/>
      <c r="M990" s="54"/>
      <c r="N990" s="54"/>
    </row>
    <row r="991">
      <c r="A991" s="54"/>
      <c r="B991" s="114"/>
      <c r="C991" s="114"/>
      <c r="D991" s="114"/>
      <c r="E991" s="114"/>
      <c r="F991" s="114"/>
      <c r="G991" s="114"/>
      <c r="H991" s="54"/>
      <c r="I991" s="54"/>
      <c r="J991" s="54"/>
      <c r="K991" s="54"/>
      <c r="L991" s="54"/>
      <c r="M991" s="54"/>
      <c r="N991" s="54"/>
    </row>
    <row r="992">
      <c r="A992" s="54"/>
      <c r="B992" s="114"/>
      <c r="C992" s="114"/>
      <c r="D992" s="114"/>
      <c r="E992" s="114"/>
      <c r="F992" s="114"/>
      <c r="G992" s="114"/>
      <c r="H992" s="54"/>
      <c r="I992" s="54"/>
      <c r="J992" s="54"/>
      <c r="K992" s="54"/>
      <c r="L992" s="54"/>
      <c r="M992" s="54"/>
      <c r="N992" s="54"/>
    </row>
    <row r="993">
      <c r="A993" s="54"/>
      <c r="B993" s="114"/>
      <c r="C993" s="114"/>
      <c r="D993" s="114"/>
      <c r="E993" s="114"/>
      <c r="F993" s="114"/>
      <c r="G993" s="114"/>
      <c r="H993" s="54"/>
      <c r="I993" s="54"/>
      <c r="J993" s="54"/>
      <c r="K993" s="54"/>
      <c r="L993" s="54"/>
      <c r="M993" s="54"/>
      <c r="N993" s="54"/>
    </row>
    <row r="994">
      <c r="A994" s="54"/>
      <c r="B994" s="114"/>
      <c r="C994" s="114"/>
      <c r="D994" s="114"/>
      <c r="E994" s="114"/>
      <c r="F994" s="114"/>
      <c r="G994" s="114"/>
      <c r="H994" s="54"/>
      <c r="I994" s="54"/>
      <c r="J994" s="54"/>
      <c r="K994" s="54"/>
      <c r="L994" s="54"/>
      <c r="M994" s="54"/>
      <c r="N994" s="54"/>
    </row>
    <row r="995">
      <c r="A995" s="54"/>
      <c r="B995" s="114"/>
      <c r="C995" s="114"/>
      <c r="D995" s="114"/>
      <c r="E995" s="114"/>
      <c r="F995" s="114"/>
      <c r="G995" s="114"/>
      <c r="H995" s="54"/>
      <c r="I995" s="54"/>
      <c r="J995" s="54"/>
      <c r="K995" s="54"/>
      <c r="L995" s="54"/>
      <c r="M995" s="54"/>
      <c r="N995" s="54"/>
    </row>
    <row r="996">
      <c r="A996" s="54"/>
      <c r="B996" s="114"/>
      <c r="C996" s="114"/>
      <c r="D996" s="114"/>
      <c r="E996" s="114"/>
      <c r="F996" s="114"/>
      <c r="G996" s="114"/>
      <c r="H996" s="54"/>
      <c r="I996" s="54"/>
      <c r="J996" s="54"/>
      <c r="K996" s="54"/>
      <c r="L996" s="54"/>
      <c r="M996" s="54"/>
      <c r="N996" s="54"/>
    </row>
    <row r="997">
      <c r="A997" s="54"/>
      <c r="B997" s="114"/>
      <c r="C997" s="114"/>
      <c r="D997" s="114"/>
      <c r="E997" s="114"/>
      <c r="F997" s="114"/>
      <c r="G997" s="114"/>
      <c r="H997" s="54"/>
      <c r="I997" s="54"/>
      <c r="J997" s="54"/>
      <c r="K997" s="54"/>
      <c r="L997" s="54"/>
      <c r="M997" s="54"/>
      <c r="N997" s="54"/>
    </row>
    <row r="998">
      <c r="A998" s="54"/>
      <c r="B998" s="114"/>
      <c r="C998" s="114"/>
      <c r="D998" s="114"/>
      <c r="E998" s="114"/>
      <c r="F998" s="114"/>
      <c r="G998" s="114"/>
      <c r="H998" s="54"/>
      <c r="I998" s="54"/>
      <c r="J998" s="54"/>
      <c r="K998" s="54"/>
      <c r="L998" s="54"/>
      <c r="M998" s="54"/>
      <c r="N998" s="54"/>
    </row>
    <row r="999">
      <c r="A999" s="54"/>
      <c r="B999" s="114"/>
      <c r="C999" s="114"/>
      <c r="D999" s="114"/>
      <c r="E999" s="114"/>
      <c r="F999" s="114"/>
      <c r="G999" s="114"/>
      <c r="H999" s="54"/>
      <c r="I999" s="54"/>
      <c r="J999" s="54"/>
      <c r="K999" s="54"/>
      <c r="L999" s="54"/>
      <c r="M999" s="54"/>
      <c r="N999" s="54"/>
    </row>
  </sheetData>
  <mergeCells count="29">
    <mergeCell ref="B3:I3"/>
    <mergeCell ref="B8:I8"/>
    <mergeCell ref="M11:O11"/>
    <mergeCell ref="B21:I21"/>
    <mergeCell ref="M24:O24"/>
    <mergeCell ref="B34:I34"/>
    <mergeCell ref="M35:O35"/>
    <mergeCell ref="B47:I47"/>
    <mergeCell ref="M48:O48"/>
    <mergeCell ref="B52:I52"/>
    <mergeCell ref="M53:O53"/>
    <mergeCell ref="B56:I56"/>
    <mergeCell ref="M57:O57"/>
    <mergeCell ref="M63:O63"/>
    <mergeCell ref="M94:Q94"/>
    <mergeCell ref="M98:Q98"/>
    <mergeCell ref="B102:I102"/>
    <mergeCell ref="M103:Q103"/>
    <mergeCell ref="B113:I113"/>
    <mergeCell ref="M114:Q114"/>
    <mergeCell ref="B124:I124"/>
    <mergeCell ref="M125:Q125"/>
    <mergeCell ref="B62:I62"/>
    <mergeCell ref="B72:I72"/>
    <mergeCell ref="M73:Q73"/>
    <mergeCell ref="B82:I82"/>
    <mergeCell ref="M83:Q83"/>
    <mergeCell ref="B93:I93"/>
    <mergeCell ref="B97:I97"/>
  </mergeCells>
  <conditionalFormatting sqref="K93 K97 K102 K113 K124">
    <cfRule type="cellIs" dxfId="3" priority="1" operator="greaterThanOrEqual">
      <formula>28</formula>
    </cfRule>
  </conditionalFormatting>
  <conditionalFormatting sqref="K93 K97 K102 K113 K124">
    <cfRule type="cellIs" dxfId="4" priority="2" operator="greaterThanOrEqual">
      <formula>24</formula>
    </cfRule>
  </conditionalFormatting>
  <conditionalFormatting sqref="J2">
    <cfRule type="expression" dxfId="0" priority="3">
      <formula>ABS(J2:J1000)&gt;5</formula>
    </cfRule>
  </conditionalFormatting>
  <conditionalFormatting sqref="K2">
    <cfRule type="cellIs" dxfId="1" priority="4" operator="greaterThanOrEqual">
      <formula>35</formula>
    </cfRule>
  </conditionalFormatting>
  <conditionalFormatting sqref="K2">
    <cfRule type="cellIs" dxfId="2" priority="5" operator="greaterThanOrEqual">
      <formula>33</formula>
    </cfRule>
  </conditionalFormatting>
  <conditionalFormatting sqref="K2">
    <cfRule type="cellIs" dxfId="3" priority="6" operator="greaterThanOrEqual">
      <formula>33</formula>
    </cfRule>
  </conditionalFormatting>
  <conditionalFormatting sqref="K2">
    <cfRule type="cellIs" dxfId="4" priority="7" operator="greaterThanOrEqual">
      <formula>29</formula>
    </cfRule>
  </conditionalFormatting>
  <conditionalFormatting sqref="J2">
    <cfRule type="expression" dxfId="0" priority="8">
      <formula>ABS(J:J)&gt;10.3</formula>
    </cfRule>
  </conditionalFormatting>
  <conditionalFormatting sqref="K1:K999">
    <cfRule type="cellIs" dxfId="3" priority="9" operator="greaterThanOrEqual">
      <formula>30</formula>
    </cfRule>
  </conditionalFormatting>
  <conditionalFormatting sqref="K1:K999">
    <cfRule type="cellIs" dxfId="4" priority="10" operator="greaterThanOrEqual">
      <formula>28</formula>
    </cfRule>
  </conditionalFormatting>
  <conditionalFormatting sqref="J1:J999 K104">
    <cfRule type="expression" dxfId="0" priority="11">
      <formula>ABS(J:J)&gt;5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4" max="14" width="13.38"/>
  </cols>
  <sheetData>
    <row r="1">
      <c r="A1" s="58" t="s">
        <v>450</v>
      </c>
      <c r="B1" s="136" t="s">
        <v>55</v>
      </c>
      <c r="C1" s="120" t="s">
        <v>56</v>
      </c>
      <c r="D1" s="120" t="s">
        <v>57</v>
      </c>
      <c r="E1" s="120" t="s">
        <v>58</v>
      </c>
      <c r="F1" s="120" t="s">
        <v>59</v>
      </c>
      <c r="G1" s="120" t="s">
        <v>60</v>
      </c>
      <c r="H1" s="120" t="s">
        <v>61</v>
      </c>
      <c r="I1" s="120" t="s">
        <v>62</v>
      </c>
      <c r="J1" s="137" t="s">
        <v>63</v>
      </c>
      <c r="K1" s="138" t="s">
        <v>64</v>
      </c>
      <c r="L1" s="54"/>
      <c r="M1" s="54"/>
      <c r="N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139" t="s">
        <v>451</v>
      </c>
      <c r="B2" s="140"/>
      <c r="C2" s="140"/>
      <c r="D2" s="54"/>
      <c r="E2" s="54"/>
      <c r="F2" s="54">
        <f>SUM(F141:F996)</f>
        <v>224579.99</v>
      </c>
      <c r="G2" s="54">
        <f>MAX(G6:G996)</f>
        <v>1077</v>
      </c>
      <c r="H2" s="54">
        <f t="shared" ref="H2:I2" si="1">SUM(H141:H996)</f>
        <v>89391.37</v>
      </c>
      <c r="I2" s="54">
        <f t="shared" si="1"/>
        <v>91031.35</v>
      </c>
      <c r="J2" s="141">
        <f>H2-I2</f>
        <v>-1639.98</v>
      </c>
      <c r="K2" s="63">
        <f>I2/F2*100</f>
        <v>40.53404313</v>
      </c>
      <c r="L2" s="64" t="s">
        <v>103</v>
      </c>
      <c r="M2" s="65"/>
      <c r="N2" s="6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</row>
    <row r="3">
      <c r="A3" s="66"/>
      <c r="B3" s="67">
        <v>2020.0</v>
      </c>
      <c r="J3" s="142"/>
      <c r="K3" s="143"/>
      <c r="L3" s="144"/>
      <c r="M3" s="144"/>
      <c r="N3" s="142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</row>
    <row r="4">
      <c r="A4" s="66"/>
      <c r="B4" s="67" t="s">
        <v>452</v>
      </c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</row>
    <row r="5">
      <c r="A5" s="54"/>
      <c r="B5" s="145">
        <v>44095.0</v>
      </c>
      <c r="C5" s="146"/>
      <c r="D5" s="497" t="s">
        <v>453</v>
      </c>
      <c r="E5" s="148">
        <v>239957.0</v>
      </c>
      <c r="F5" s="149"/>
      <c r="G5" s="498"/>
      <c r="H5" s="498"/>
      <c r="I5" s="97">
        <v>250.0</v>
      </c>
      <c r="J5" s="149"/>
      <c r="K5" s="148">
        <v>0.1</v>
      </c>
      <c r="L5" s="121"/>
      <c r="M5" s="121"/>
      <c r="N5" s="248"/>
    </row>
    <row r="6">
      <c r="A6" s="54"/>
      <c r="B6" s="150">
        <v>44102.0</v>
      </c>
      <c r="C6" s="151"/>
      <c r="D6" s="499" t="s">
        <v>453</v>
      </c>
      <c r="E6" s="500"/>
      <c r="F6" s="501" t="s">
        <v>454</v>
      </c>
      <c r="G6" s="154">
        <v>577.0</v>
      </c>
      <c r="H6" s="154">
        <v>291.99</v>
      </c>
      <c r="I6" s="154">
        <v>300.0</v>
      </c>
      <c r="J6" s="153">
        <v>0.73</v>
      </c>
      <c r="K6" s="502" t="str">
        <f t="shared" ref="K6:K9" si="2">I6/F6*100</f>
        <v>#VALUE!</v>
      </c>
      <c r="L6" s="121"/>
      <c r="M6" s="121"/>
      <c r="N6" s="248"/>
    </row>
    <row r="7">
      <c r="A7" s="54"/>
      <c r="B7" s="150">
        <v>44103.0</v>
      </c>
      <c r="C7" s="151"/>
      <c r="D7" s="499" t="s">
        <v>453</v>
      </c>
      <c r="E7" s="500"/>
      <c r="F7" s="500"/>
      <c r="G7" s="154">
        <v>613.0</v>
      </c>
      <c r="H7" s="154">
        <v>284.55</v>
      </c>
      <c r="I7" s="154">
        <v>300.0</v>
      </c>
      <c r="J7" s="153">
        <v>1.4</v>
      </c>
      <c r="K7" s="502" t="str">
        <f t="shared" si="2"/>
        <v>#DIV/0!</v>
      </c>
      <c r="L7" s="121"/>
      <c r="M7" s="121"/>
      <c r="N7" s="248"/>
    </row>
    <row r="8">
      <c r="A8" s="54"/>
      <c r="B8" s="150">
        <v>44103.0</v>
      </c>
      <c r="C8" s="151"/>
      <c r="D8" s="499" t="s">
        <v>453</v>
      </c>
      <c r="E8" s="500"/>
      <c r="F8" s="153">
        <v>0.0</v>
      </c>
      <c r="G8" s="154">
        <v>730.0</v>
      </c>
      <c r="H8" s="154">
        <v>380.94</v>
      </c>
      <c r="I8" s="154">
        <v>400.0</v>
      </c>
      <c r="J8" s="153">
        <v>1.73</v>
      </c>
      <c r="K8" s="502" t="str">
        <f t="shared" si="2"/>
        <v>#DIV/0!</v>
      </c>
      <c r="L8" s="121"/>
      <c r="M8" s="121"/>
      <c r="N8" s="248"/>
    </row>
    <row r="9">
      <c r="A9" s="54"/>
      <c r="B9" s="150">
        <v>44104.0</v>
      </c>
      <c r="C9" s="151"/>
      <c r="D9" s="499" t="s">
        <v>453</v>
      </c>
      <c r="E9" s="153">
        <v>242610.0</v>
      </c>
      <c r="F9" s="153">
        <f>E9-E5</f>
        <v>2653</v>
      </c>
      <c r="G9" s="154">
        <v>792.0</v>
      </c>
      <c r="H9" s="154">
        <v>288.34</v>
      </c>
      <c r="I9" s="154">
        <v>300.0</v>
      </c>
      <c r="J9" s="153">
        <v>1.06</v>
      </c>
      <c r="K9" s="502">
        <f t="shared" si="2"/>
        <v>11.30795326</v>
      </c>
      <c r="L9" s="121"/>
      <c r="M9" s="121"/>
      <c r="N9" s="248"/>
    </row>
    <row r="10">
      <c r="A10" s="66"/>
      <c r="B10" s="67" t="s">
        <v>96</v>
      </c>
      <c r="J10" s="66"/>
      <c r="K10" s="66"/>
      <c r="L10" s="66"/>
      <c r="M10" s="66"/>
      <c r="N10" s="66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</row>
    <row r="11">
      <c r="A11" s="54"/>
      <c r="B11" s="150">
        <v>44111.0</v>
      </c>
      <c r="C11" s="151"/>
      <c r="D11" s="499" t="s">
        <v>455</v>
      </c>
      <c r="E11" s="500"/>
      <c r="F11" s="153"/>
      <c r="G11" s="154">
        <v>857.0</v>
      </c>
      <c r="H11" s="154">
        <v>295.7</v>
      </c>
      <c r="I11" s="154">
        <v>300.0</v>
      </c>
      <c r="J11" s="153">
        <v>0.39</v>
      </c>
      <c r="K11" s="502"/>
      <c r="L11" s="121"/>
      <c r="M11" s="121"/>
      <c r="N11" s="248"/>
    </row>
    <row r="12">
      <c r="A12" s="54"/>
      <c r="B12" s="150">
        <v>44113.0</v>
      </c>
      <c r="C12" s="151"/>
      <c r="D12" s="499" t="s">
        <v>455</v>
      </c>
      <c r="E12" s="153">
        <v>244375.0</v>
      </c>
      <c r="F12" s="153">
        <f>E12-E9</f>
        <v>1765</v>
      </c>
      <c r="G12" s="154">
        <v>843.0</v>
      </c>
      <c r="H12" s="154">
        <v>282.96</v>
      </c>
      <c r="I12" s="154">
        <v>300.0</v>
      </c>
      <c r="J12" s="153">
        <v>1.55</v>
      </c>
      <c r="K12" s="502"/>
      <c r="L12" s="121"/>
      <c r="M12" s="121"/>
      <c r="N12" s="248"/>
    </row>
    <row r="13">
      <c r="A13" s="54"/>
      <c r="B13" s="155">
        <v>44116.0</v>
      </c>
      <c r="C13" s="156"/>
      <c r="D13" s="499" t="s">
        <v>456</v>
      </c>
      <c r="E13" s="500"/>
      <c r="F13" s="153"/>
      <c r="G13" s="154">
        <v>910.0</v>
      </c>
      <c r="H13" s="154">
        <v>379.26</v>
      </c>
      <c r="I13" s="154">
        <v>400.0</v>
      </c>
      <c r="J13" s="153">
        <v>1.89</v>
      </c>
      <c r="K13" s="502"/>
      <c r="L13" s="121"/>
      <c r="M13" s="121"/>
      <c r="N13" s="248"/>
    </row>
    <row r="14">
      <c r="A14" s="54"/>
      <c r="B14" s="155">
        <v>44117.0</v>
      </c>
      <c r="C14" s="156"/>
      <c r="D14" s="499" t="s">
        <v>456</v>
      </c>
      <c r="E14" s="500"/>
      <c r="F14" s="500"/>
      <c r="G14" s="154">
        <v>944.0</v>
      </c>
      <c r="H14" s="154">
        <v>258.71</v>
      </c>
      <c r="I14" s="154">
        <v>262.41</v>
      </c>
      <c r="J14" s="153">
        <v>0.34</v>
      </c>
      <c r="K14" s="501" t="s">
        <v>140</v>
      </c>
      <c r="L14" s="121"/>
      <c r="M14" s="121"/>
      <c r="N14" s="248"/>
    </row>
    <row r="15">
      <c r="A15" s="54"/>
      <c r="B15" s="155">
        <v>44119.0</v>
      </c>
      <c r="C15" s="156"/>
      <c r="D15" s="499" t="s">
        <v>456</v>
      </c>
      <c r="E15" s="500"/>
      <c r="F15" s="501" t="s">
        <v>454</v>
      </c>
      <c r="G15" s="154">
        <v>936.0</v>
      </c>
      <c r="H15" s="154">
        <v>281.98</v>
      </c>
      <c r="I15" s="154">
        <v>296.82</v>
      </c>
      <c r="J15" s="153">
        <v>1.35</v>
      </c>
      <c r="K15" s="502"/>
      <c r="L15" s="121"/>
      <c r="M15" s="121"/>
      <c r="N15" s="248"/>
    </row>
    <row r="16">
      <c r="A16" s="54"/>
      <c r="B16" s="155">
        <v>44121.0</v>
      </c>
      <c r="C16" s="156"/>
      <c r="D16" s="499" t="s">
        <v>456</v>
      </c>
      <c r="E16" s="500"/>
      <c r="F16" s="153">
        <v>0.0</v>
      </c>
      <c r="G16" s="154">
        <v>893.0</v>
      </c>
      <c r="H16" s="154">
        <v>285.87</v>
      </c>
      <c r="I16" s="154">
        <v>300.0</v>
      </c>
      <c r="J16" s="153">
        <v>1.28</v>
      </c>
      <c r="K16" s="502"/>
      <c r="L16" s="121"/>
      <c r="M16" s="121"/>
      <c r="N16" s="248"/>
    </row>
    <row r="17">
      <c r="A17" s="54"/>
      <c r="B17" s="155">
        <v>44123.0</v>
      </c>
      <c r="C17" s="156"/>
      <c r="D17" s="499" t="s">
        <v>456</v>
      </c>
      <c r="E17" s="500"/>
      <c r="F17" s="153">
        <v>0.0</v>
      </c>
      <c r="G17" s="154">
        <v>882.0</v>
      </c>
      <c r="H17" s="154">
        <v>328.57</v>
      </c>
      <c r="I17" s="154">
        <v>350.0</v>
      </c>
      <c r="J17" s="153">
        <v>1.95</v>
      </c>
      <c r="K17" s="502"/>
      <c r="L17" s="121"/>
      <c r="M17" s="121"/>
      <c r="N17" s="248"/>
    </row>
    <row r="18">
      <c r="A18" s="54"/>
      <c r="B18" s="155">
        <v>44125.0</v>
      </c>
      <c r="C18" s="156"/>
      <c r="D18" s="499" t="s">
        <v>456</v>
      </c>
      <c r="E18" s="500"/>
      <c r="F18" s="153">
        <v>0.0</v>
      </c>
      <c r="G18" s="154">
        <v>942.0</v>
      </c>
      <c r="H18" s="154">
        <v>253.62</v>
      </c>
      <c r="I18" s="154">
        <v>263.49</v>
      </c>
      <c r="J18" s="153">
        <v>0.9</v>
      </c>
      <c r="K18" s="502"/>
      <c r="L18" s="121"/>
      <c r="M18" s="121"/>
      <c r="N18" s="248"/>
    </row>
    <row r="19">
      <c r="A19" s="54"/>
      <c r="B19" s="155">
        <v>44127.0</v>
      </c>
      <c r="C19" s="156"/>
      <c r="D19" s="499" t="s">
        <v>456</v>
      </c>
      <c r="E19" s="500"/>
      <c r="F19" s="153">
        <v>0.0</v>
      </c>
      <c r="G19" s="154">
        <v>910.0</v>
      </c>
      <c r="H19" s="154">
        <v>234.36</v>
      </c>
      <c r="I19" s="154">
        <v>250.0</v>
      </c>
      <c r="J19" s="153">
        <v>1.42</v>
      </c>
      <c r="K19" s="502"/>
      <c r="L19" s="121"/>
      <c r="M19" s="503"/>
      <c r="N19" s="248"/>
    </row>
    <row r="20">
      <c r="A20" s="54"/>
      <c r="B20" s="155">
        <v>44128.0</v>
      </c>
      <c r="C20" s="156"/>
      <c r="D20" s="499" t="s">
        <v>456</v>
      </c>
      <c r="E20" s="500"/>
      <c r="F20" s="153">
        <v>0.0</v>
      </c>
      <c r="G20" s="154">
        <v>1032.0</v>
      </c>
      <c r="H20" s="154">
        <v>407.73</v>
      </c>
      <c r="I20" s="154">
        <v>434.36</v>
      </c>
      <c r="J20" s="153">
        <v>2.42</v>
      </c>
      <c r="K20" s="502"/>
      <c r="L20" s="121"/>
      <c r="M20" s="503"/>
      <c r="N20" s="248"/>
    </row>
    <row r="21">
      <c r="A21" s="54"/>
      <c r="B21" s="155">
        <v>44132.0</v>
      </c>
      <c r="C21" s="156"/>
      <c r="D21" s="499" t="s">
        <v>456</v>
      </c>
      <c r="E21" s="500"/>
      <c r="F21" s="153">
        <v>0.0</v>
      </c>
      <c r="G21" s="154">
        <v>1026.0</v>
      </c>
      <c r="H21" s="154">
        <v>368.04</v>
      </c>
      <c r="I21" s="154">
        <v>400.0</v>
      </c>
      <c r="J21" s="153">
        <v>2.91</v>
      </c>
      <c r="K21" s="502"/>
      <c r="L21" s="121"/>
      <c r="M21" s="503"/>
      <c r="N21" s="248"/>
    </row>
    <row r="22">
      <c r="A22" s="54"/>
      <c r="B22" s="155">
        <v>44135.0</v>
      </c>
      <c r="C22" s="156"/>
      <c r="D22" s="499" t="s">
        <v>456</v>
      </c>
      <c r="E22" s="153">
        <v>252840.0</v>
      </c>
      <c r="F22" s="153">
        <f>E22-E12</f>
        <v>8465</v>
      </c>
      <c r="G22" s="154">
        <v>1064.0</v>
      </c>
      <c r="H22" s="154">
        <v>483.64</v>
      </c>
      <c r="I22" s="154">
        <v>500.0</v>
      </c>
      <c r="J22" s="153">
        <v>1.49</v>
      </c>
      <c r="K22" s="502"/>
      <c r="L22" s="121"/>
      <c r="M22" s="503"/>
      <c r="N22" s="248"/>
    </row>
    <row r="23">
      <c r="A23" s="66"/>
      <c r="B23" s="67" t="s">
        <v>97</v>
      </c>
      <c r="J23" s="66"/>
      <c r="K23" s="66"/>
      <c r="L23" s="66"/>
      <c r="M23" s="66"/>
      <c r="N23" s="66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>
      <c r="A24" s="54"/>
      <c r="B24" s="150">
        <v>44139.0</v>
      </c>
      <c r="C24" s="151"/>
      <c r="D24" s="499" t="s">
        <v>456</v>
      </c>
      <c r="E24" s="153">
        <v>253934.0</v>
      </c>
      <c r="F24" s="153">
        <v>1094.0</v>
      </c>
      <c r="G24" s="154">
        <v>1077.0</v>
      </c>
      <c r="H24" s="154">
        <v>344.62</v>
      </c>
      <c r="I24" s="154">
        <v>350.0</v>
      </c>
      <c r="J24" s="153">
        <v>0.49</v>
      </c>
      <c r="K24" s="502"/>
      <c r="L24" s="121"/>
      <c r="M24" s="503"/>
      <c r="N24" s="248"/>
    </row>
    <row r="25">
      <c r="A25" s="54"/>
      <c r="B25" s="150">
        <v>44142.0</v>
      </c>
      <c r="C25" s="151"/>
      <c r="D25" s="499" t="s">
        <v>456</v>
      </c>
      <c r="E25" s="153">
        <v>254589.0</v>
      </c>
      <c r="F25" s="153">
        <v>655.0</v>
      </c>
      <c r="G25" s="154">
        <v>1053.0</v>
      </c>
      <c r="H25" s="154">
        <v>204.99</v>
      </c>
      <c r="I25" s="154">
        <v>209.74</v>
      </c>
      <c r="J25" s="153">
        <v>0.43</v>
      </c>
      <c r="K25" s="153">
        <v>32.02</v>
      </c>
      <c r="L25" s="121"/>
      <c r="M25" s="121"/>
      <c r="N25" s="248"/>
    </row>
    <row r="26">
      <c r="A26" s="54"/>
      <c r="B26" s="155">
        <v>44146.0</v>
      </c>
      <c r="C26" s="156"/>
      <c r="D26" s="499" t="s">
        <v>456</v>
      </c>
      <c r="E26" s="500"/>
      <c r="F26" s="501"/>
      <c r="G26" s="154">
        <v>1053.0</v>
      </c>
      <c r="H26" s="154">
        <v>386.5</v>
      </c>
      <c r="I26" s="154">
        <v>400.0</v>
      </c>
      <c r="J26" s="153">
        <v>1.23</v>
      </c>
      <c r="K26" s="502"/>
      <c r="L26" s="121"/>
      <c r="M26" s="121"/>
      <c r="N26" s="248"/>
    </row>
    <row r="27">
      <c r="A27" s="54"/>
      <c r="B27" s="155">
        <v>44149.0</v>
      </c>
      <c r="C27" s="156"/>
      <c r="D27" s="499" t="s">
        <v>456</v>
      </c>
      <c r="E27" s="500"/>
      <c r="F27" s="501"/>
      <c r="G27" s="154">
        <v>1004.0</v>
      </c>
      <c r="H27" s="154">
        <v>420.05</v>
      </c>
      <c r="I27" s="154">
        <v>450.0</v>
      </c>
      <c r="J27" s="153">
        <v>2.72</v>
      </c>
      <c r="K27" s="502"/>
      <c r="L27" s="121"/>
      <c r="M27" s="121"/>
      <c r="N27" s="248"/>
    </row>
    <row r="28">
      <c r="A28" s="54"/>
      <c r="B28" s="155">
        <v>44154.0</v>
      </c>
      <c r="C28" s="156"/>
      <c r="D28" s="499" t="s">
        <v>456</v>
      </c>
      <c r="E28" s="153">
        <v>258447.0</v>
      </c>
      <c r="F28" s="501">
        <f>E28-E25</f>
        <v>3858</v>
      </c>
      <c r="G28" s="154">
        <v>1027.0</v>
      </c>
      <c r="H28" s="154">
        <v>475.34</v>
      </c>
      <c r="I28" s="154">
        <v>500.0</v>
      </c>
      <c r="J28" s="153">
        <v>2.24</v>
      </c>
      <c r="K28" s="501" t="s">
        <v>454</v>
      </c>
      <c r="L28" s="121"/>
      <c r="M28" s="504"/>
      <c r="N28" s="248"/>
    </row>
    <row r="29">
      <c r="A29" s="54"/>
      <c r="B29" s="155">
        <v>44158.0</v>
      </c>
      <c r="C29" s="156"/>
      <c r="D29" s="499" t="s">
        <v>456</v>
      </c>
      <c r="E29" s="500"/>
      <c r="F29" s="501"/>
      <c r="G29" s="154">
        <v>1062.0</v>
      </c>
      <c r="H29" s="154">
        <v>275.16</v>
      </c>
      <c r="I29" s="154">
        <v>287.55</v>
      </c>
      <c r="J29" s="153">
        <v>1.13</v>
      </c>
      <c r="K29" s="502"/>
      <c r="L29" s="121"/>
      <c r="M29" s="121"/>
      <c r="N29" s="248"/>
    </row>
    <row r="30">
      <c r="A30" s="54"/>
      <c r="B30" s="155">
        <v>44160.0</v>
      </c>
      <c r="C30" s="156"/>
      <c r="D30" s="499" t="s">
        <v>456</v>
      </c>
      <c r="E30" s="500"/>
      <c r="F30" s="501"/>
      <c r="G30" s="154">
        <v>1065.0</v>
      </c>
      <c r="H30" s="154">
        <v>482.5</v>
      </c>
      <c r="I30" s="154">
        <v>500.0</v>
      </c>
      <c r="J30" s="153">
        <v>1.59</v>
      </c>
      <c r="K30" s="502"/>
      <c r="L30" s="121"/>
      <c r="M30" s="504"/>
      <c r="N30" s="248"/>
    </row>
    <row r="31">
      <c r="A31" s="54"/>
      <c r="B31" s="155">
        <v>44162.0</v>
      </c>
      <c r="C31" s="156"/>
      <c r="D31" s="499" t="s">
        <v>456</v>
      </c>
      <c r="E31" s="500"/>
      <c r="F31" s="501"/>
      <c r="G31" s="154">
        <v>1044.0</v>
      </c>
      <c r="H31" s="154">
        <v>484.54</v>
      </c>
      <c r="I31" s="154">
        <v>500.0</v>
      </c>
      <c r="J31" s="153">
        <v>1.41</v>
      </c>
      <c r="K31" s="502"/>
      <c r="L31" s="121"/>
      <c r="M31" s="121"/>
      <c r="N31" s="248"/>
    </row>
    <row r="32">
      <c r="A32" s="54"/>
      <c r="B32" s="155">
        <v>44164.0</v>
      </c>
      <c r="C32" s="156"/>
      <c r="D32" s="499" t="s">
        <v>456</v>
      </c>
      <c r="E32" s="153">
        <v>262324.0</v>
      </c>
      <c r="F32" s="501">
        <f>E32-E28</f>
        <v>3877</v>
      </c>
      <c r="G32" s="154">
        <v>1048.0</v>
      </c>
      <c r="H32" s="154">
        <v>189.79</v>
      </c>
      <c r="I32" s="154">
        <v>200.0</v>
      </c>
      <c r="J32" s="153">
        <v>0.93</v>
      </c>
      <c r="K32" s="501" t="s">
        <v>454</v>
      </c>
      <c r="L32" s="121"/>
      <c r="M32" s="121"/>
      <c r="N32" s="248"/>
    </row>
    <row r="33">
      <c r="A33" s="66"/>
      <c r="B33" s="67" t="s">
        <v>98</v>
      </c>
      <c r="J33" s="66"/>
      <c r="K33" s="66"/>
      <c r="L33" s="66"/>
      <c r="M33" s="66"/>
      <c r="N33" s="66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</row>
    <row r="34">
      <c r="A34" s="54"/>
      <c r="B34" s="150">
        <v>44168.0</v>
      </c>
      <c r="C34" s="151"/>
      <c r="D34" s="499" t="s">
        <v>456</v>
      </c>
      <c r="E34" s="500"/>
      <c r="F34" s="501"/>
      <c r="G34" s="154">
        <v>1063.0</v>
      </c>
      <c r="H34" s="154">
        <v>483.28</v>
      </c>
      <c r="I34" s="154">
        <v>500.0</v>
      </c>
      <c r="J34" s="153">
        <v>1.52</v>
      </c>
      <c r="K34" s="502"/>
      <c r="L34" s="121"/>
      <c r="M34" s="121"/>
      <c r="N34" s="248"/>
    </row>
    <row r="35">
      <c r="A35" s="54"/>
      <c r="B35" s="150">
        <v>44171.0</v>
      </c>
      <c r="C35" s="151"/>
      <c r="D35" s="499" t="s">
        <v>456</v>
      </c>
      <c r="E35" s="500"/>
      <c r="F35" s="501"/>
      <c r="G35" s="154">
        <v>1070.0</v>
      </c>
      <c r="H35" s="154">
        <v>254.52</v>
      </c>
      <c r="I35" s="154">
        <v>260.06</v>
      </c>
      <c r="J35" s="153">
        <v>0.5</v>
      </c>
      <c r="K35" s="502"/>
      <c r="L35" s="121"/>
      <c r="M35" s="121"/>
      <c r="N35" s="58"/>
    </row>
    <row r="36">
      <c r="A36" s="54"/>
      <c r="B36" s="157">
        <v>44175.0</v>
      </c>
      <c r="C36" s="158"/>
      <c r="D36" s="499" t="s">
        <v>456</v>
      </c>
      <c r="E36" s="160">
        <v>265352.0</v>
      </c>
      <c r="F36" s="501">
        <f>E36-E32</f>
        <v>3028</v>
      </c>
      <c r="G36" s="160">
        <v>1000.0</v>
      </c>
      <c r="H36" s="160">
        <v>384.49</v>
      </c>
      <c r="I36" s="161">
        <v>400.0</v>
      </c>
      <c r="J36" s="153">
        <v>1.41</v>
      </c>
      <c r="K36" s="502"/>
      <c r="L36" s="121"/>
      <c r="M36" s="121"/>
      <c r="N36" s="58"/>
    </row>
    <row r="37">
      <c r="A37" s="54"/>
      <c r="B37" s="157">
        <v>44178.0</v>
      </c>
      <c r="C37" s="158"/>
      <c r="D37" s="499" t="s">
        <v>456</v>
      </c>
      <c r="E37" s="160">
        <v>266152.0</v>
      </c>
      <c r="F37" s="153">
        <v>800.0</v>
      </c>
      <c r="G37" s="160">
        <v>1056.0</v>
      </c>
      <c r="H37" s="160">
        <v>360.83</v>
      </c>
      <c r="I37" s="161">
        <v>381.36</v>
      </c>
      <c r="J37" s="153">
        <v>1.87</v>
      </c>
      <c r="K37" s="502"/>
      <c r="L37" s="121"/>
      <c r="M37" s="121"/>
      <c r="N37" s="58"/>
    </row>
    <row r="38">
      <c r="A38" s="54"/>
      <c r="B38" s="157">
        <v>44182.0</v>
      </c>
      <c r="C38" s="158"/>
      <c r="D38" s="499" t="s">
        <v>456</v>
      </c>
      <c r="E38" s="160">
        <v>267338.0</v>
      </c>
      <c r="F38" s="153">
        <v>1186.0</v>
      </c>
      <c r="G38" s="160">
        <v>982.0</v>
      </c>
      <c r="H38" s="160">
        <v>385.57</v>
      </c>
      <c r="I38" s="161">
        <v>400.0</v>
      </c>
      <c r="J38" s="153">
        <v>1.31</v>
      </c>
      <c r="K38" s="502"/>
      <c r="L38" s="121"/>
      <c r="M38" s="121"/>
      <c r="N38" s="58"/>
    </row>
    <row r="39">
      <c r="A39" s="54"/>
      <c r="B39" s="157">
        <v>44186.0</v>
      </c>
      <c r="C39" s="158"/>
      <c r="D39" s="499" t="s">
        <v>456</v>
      </c>
      <c r="E39" s="160">
        <v>268185.0</v>
      </c>
      <c r="F39" s="153">
        <v>847.0</v>
      </c>
      <c r="G39" s="160">
        <v>1032.0</v>
      </c>
      <c r="H39" s="160">
        <v>379.6</v>
      </c>
      <c r="I39" s="161">
        <v>400.0</v>
      </c>
      <c r="J39" s="153">
        <v>1.85</v>
      </c>
      <c r="K39" s="502"/>
      <c r="L39" s="121"/>
      <c r="M39" s="121"/>
      <c r="N39" s="58"/>
    </row>
    <row r="40">
      <c r="A40" s="54"/>
      <c r="B40" s="157">
        <v>44190.0</v>
      </c>
      <c r="C40" s="158"/>
      <c r="D40" s="499" t="s">
        <v>456</v>
      </c>
      <c r="E40" s="160">
        <v>269302.0</v>
      </c>
      <c r="F40" s="153">
        <v>1117.0</v>
      </c>
      <c r="G40" s="160">
        <v>1034.0</v>
      </c>
      <c r="H40" s="160">
        <v>464.86</v>
      </c>
      <c r="I40" s="161">
        <v>500.0</v>
      </c>
      <c r="J40" s="153">
        <v>3.19</v>
      </c>
      <c r="K40" s="502"/>
      <c r="L40" s="121"/>
      <c r="M40" s="121"/>
      <c r="N40" s="58"/>
    </row>
    <row r="41">
      <c r="A41" s="237"/>
      <c r="B41" s="505">
        <v>2021.0</v>
      </c>
      <c r="C41" s="506"/>
      <c r="D41" s="506"/>
      <c r="E41" s="506"/>
      <c r="F41" s="506"/>
      <c r="G41" s="506"/>
      <c r="H41" s="506"/>
      <c r="I41" s="506"/>
      <c r="J41" s="507"/>
      <c r="K41" s="508"/>
      <c r="L41" s="240"/>
      <c r="M41" s="240"/>
      <c r="N41" s="240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</row>
    <row r="42">
      <c r="A42" s="66"/>
      <c r="B42" s="67" t="s">
        <v>66</v>
      </c>
      <c r="J42" s="66"/>
      <c r="K42" s="66"/>
      <c r="L42" s="66"/>
      <c r="M42" s="66"/>
      <c r="N42" s="66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>
      <c r="A43" s="54"/>
      <c r="B43" s="162">
        <v>44199.0</v>
      </c>
      <c r="C43" s="163"/>
      <c r="D43" s="499" t="s">
        <v>456</v>
      </c>
      <c r="E43" s="160">
        <v>270175.0</v>
      </c>
      <c r="F43" s="153">
        <v>873.0</v>
      </c>
      <c r="G43" s="160">
        <v>1055.0</v>
      </c>
      <c r="H43" s="160">
        <v>338.58</v>
      </c>
      <c r="I43" s="161">
        <v>360.36</v>
      </c>
      <c r="J43" s="153">
        <v>1.98</v>
      </c>
      <c r="K43" s="509">
        <f t="shared" ref="K43:K50" si="3">I43/F43*100</f>
        <v>41.27835052</v>
      </c>
      <c r="L43" s="121"/>
      <c r="M43" s="121"/>
      <c r="N43" s="58"/>
    </row>
    <row r="44">
      <c r="A44" s="54"/>
      <c r="B44" s="162">
        <v>44206.0</v>
      </c>
      <c r="C44" s="163"/>
      <c r="D44" s="499" t="s">
        <v>456</v>
      </c>
      <c r="E44" s="160">
        <v>271313.0</v>
      </c>
      <c r="F44" s="153">
        <v>1137.0</v>
      </c>
      <c r="G44" s="160">
        <v>1054.0</v>
      </c>
      <c r="H44" s="160">
        <v>372.81</v>
      </c>
      <c r="I44" s="161">
        <v>372.81</v>
      </c>
      <c r="J44" s="153">
        <v>0.0</v>
      </c>
      <c r="K44" s="509">
        <f t="shared" si="3"/>
        <v>32.78891821</v>
      </c>
      <c r="L44" s="121"/>
      <c r="M44" s="121"/>
      <c r="N44" s="58"/>
    </row>
    <row r="45">
      <c r="A45" s="54"/>
      <c r="B45" s="162">
        <v>44210.0</v>
      </c>
      <c r="C45" s="163"/>
      <c r="D45" s="499" t="s">
        <v>456</v>
      </c>
      <c r="E45" s="160">
        <v>272355.0</v>
      </c>
      <c r="F45" s="153">
        <v>1042.0</v>
      </c>
      <c r="G45" s="160">
        <v>1047.0</v>
      </c>
      <c r="H45" s="160">
        <v>413.53</v>
      </c>
      <c r="I45" s="161">
        <v>445.4</v>
      </c>
      <c r="J45" s="153">
        <v>2.9</v>
      </c>
      <c r="K45" s="509">
        <f t="shared" si="3"/>
        <v>42.74472169</v>
      </c>
      <c r="L45" s="503"/>
      <c r="M45" s="503"/>
      <c r="N45" s="58"/>
    </row>
    <row r="46">
      <c r="A46" s="54"/>
      <c r="B46" s="162">
        <v>44214.0</v>
      </c>
      <c r="C46" s="163"/>
      <c r="D46" s="499" t="s">
        <v>456</v>
      </c>
      <c r="E46" s="160">
        <v>273214.0</v>
      </c>
      <c r="F46" s="153">
        <v>860.0</v>
      </c>
      <c r="G46" s="160">
        <v>1041.0</v>
      </c>
      <c r="H46" s="160">
        <v>371.8</v>
      </c>
      <c r="I46" s="161">
        <v>400.0</v>
      </c>
      <c r="J46" s="153">
        <v>2.56</v>
      </c>
      <c r="K46" s="509">
        <f t="shared" si="3"/>
        <v>46.51162791</v>
      </c>
      <c r="L46" s="503"/>
      <c r="M46" s="503"/>
      <c r="N46" s="58"/>
    </row>
    <row r="47">
      <c r="A47" s="54"/>
      <c r="B47" s="510">
        <v>44217.0</v>
      </c>
      <c r="C47" s="511"/>
      <c r="D47" s="499" t="s">
        <v>456</v>
      </c>
      <c r="E47" s="160">
        <v>274143.0</v>
      </c>
      <c r="F47" s="153">
        <v>929.0</v>
      </c>
      <c r="G47" s="160">
        <v>1050.0</v>
      </c>
      <c r="H47" s="160">
        <v>376.97</v>
      </c>
      <c r="I47" s="161">
        <v>400.0</v>
      </c>
      <c r="J47" s="153">
        <v>2.09</v>
      </c>
      <c r="K47" s="509">
        <f t="shared" si="3"/>
        <v>43.05705059</v>
      </c>
      <c r="L47" s="503"/>
      <c r="M47" s="503"/>
      <c r="N47" s="58"/>
    </row>
    <row r="48">
      <c r="A48" s="54"/>
      <c r="B48" s="510">
        <v>44222.0</v>
      </c>
      <c r="C48" s="511"/>
      <c r="D48" s="499" t="s">
        <v>456</v>
      </c>
      <c r="E48" s="160">
        <v>275131.0</v>
      </c>
      <c r="F48" s="153">
        <v>988.0</v>
      </c>
      <c r="G48" s="160">
        <v>1035.0</v>
      </c>
      <c r="H48" s="160">
        <v>378.38</v>
      </c>
      <c r="I48" s="161">
        <v>400.0</v>
      </c>
      <c r="J48" s="153">
        <v>1.97</v>
      </c>
      <c r="K48" s="509">
        <f t="shared" si="3"/>
        <v>40.48582996</v>
      </c>
      <c r="L48" s="503"/>
      <c r="M48" s="503"/>
      <c r="N48" s="58"/>
    </row>
    <row r="49">
      <c r="A49" s="54"/>
      <c r="B49" s="510">
        <v>44225.0</v>
      </c>
      <c r="C49" s="511"/>
      <c r="D49" s="499" t="s">
        <v>456</v>
      </c>
      <c r="E49" s="160">
        <v>276069.0</v>
      </c>
      <c r="F49" s="153">
        <v>938.0</v>
      </c>
      <c r="G49" s="160">
        <v>1029.0</v>
      </c>
      <c r="H49" s="160">
        <v>343.59</v>
      </c>
      <c r="I49" s="161">
        <v>371.42</v>
      </c>
      <c r="J49" s="153">
        <v>2.53</v>
      </c>
      <c r="K49" s="509">
        <f t="shared" si="3"/>
        <v>39.59701493</v>
      </c>
      <c r="L49" s="503"/>
      <c r="M49" s="503"/>
      <c r="N49" s="58"/>
    </row>
    <row r="50">
      <c r="A50" s="54"/>
      <c r="B50" s="510">
        <v>44227.0</v>
      </c>
      <c r="C50" s="511"/>
      <c r="D50" s="499" t="s">
        <v>456</v>
      </c>
      <c r="E50" s="160">
        <v>276867.0</v>
      </c>
      <c r="F50" s="153">
        <v>797.0</v>
      </c>
      <c r="G50" s="160">
        <v>1052.0</v>
      </c>
      <c r="H50" s="160">
        <v>323.8</v>
      </c>
      <c r="I50" s="161">
        <v>342.67</v>
      </c>
      <c r="J50" s="153">
        <v>1.72</v>
      </c>
      <c r="K50" s="509">
        <f t="shared" si="3"/>
        <v>42.99498118</v>
      </c>
      <c r="L50" s="503"/>
      <c r="M50" s="503"/>
      <c r="N50" s="58"/>
    </row>
    <row r="51">
      <c r="A51" s="66"/>
      <c r="B51" s="67" t="s">
        <v>68</v>
      </c>
      <c r="J51" s="66"/>
      <c r="K51" s="143"/>
      <c r="L51" s="66"/>
      <c r="M51" s="66"/>
      <c r="N51" s="66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>
      <c r="A52" s="54"/>
      <c r="B52" s="510">
        <v>44231.0</v>
      </c>
      <c r="C52" s="511"/>
      <c r="D52" s="499" t="s">
        <v>456</v>
      </c>
      <c r="E52" s="160">
        <v>278010.0</v>
      </c>
      <c r="F52" s="153">
        <v>1144.0</v>
      </c>
      <c r="G52" s="160">
        <v>993.0</v>
      </c>
      <c r="H52" s="160">
        <v>367.06</v>
      </c>
      <c r="I52" s="161">
        <v>400.0</v>
      </c>
      <c r="J52" s="153">
        <v>2.99</v>
      </c>
      <c r="K52" s="509">
        <f t="shared" ref="K52:K58" si="4">I52/F52*100</f>
        <v>34.96503497</v>
      </c>
      <c r="L52" s="503"/>
      <c r="M52" s="503"/>
      <c r="N52" s="58"/>
    </row>
    <row r="53">
      <c r="A53" s="54"/>
      <c r="B53" s="510">
        <v>44235.0</v>
      </c>
      <c r="C53" s="511"/>
      <c r="D53" s="499" t="s">
        <v>456</v>
      </c>
      <c r="E53" s="160">
        <v>278796.0</v>
      </c>
      <c r="F53" s="153">
        <v>786.0</v>
      </c>
      <c r="G53" s="160">
        <v>1016.0</v>
      </c>
      <c r="H53" s="160">
        <v>371.84</v>
      </c>
      <c r="I53" s="161">
        <v>400.0</v>
      </c>
      <c r="J53" s="153">
        <v>2.56</v>
      </c>
      <c r="K53" s="509">
        <f t="shared" si="4"/>
        <v>50.89058524</v>
      </c>
      <c r="L53" s="503"/>
      <c r="M53" s="503"/>
      <c r="N53" s="58"/>
    </row>
    <row r="54">
      <c r="A54" s="54"/>
      <c r="B54" s="510">
        <v>44237.0</v>
      </c>
      <c r="C54" s="511"/>
      <c r="D54" s="499" t="s">
        <v>456</v>
      </c>
      <c r="E54" s="160">
        <v>279356.0</v>
      </c>
      <c r="F54" s="153">
        <v>559.0</v>
      </c>
      <c r="G54" s="160">
        <v>1056.0</v>
      </c>
      <c r="H54" s="160">
        <v>286.57</v>
      </c>
      <c r="I54" s="161">
        <v>304.23</v>
      </c>
      <c r="J54" s="153">
        <v>1.61</v>
      </c>
      <c r="K54" s="509">
        <f t="shared" si="4"/>
        <v>54.42397138</v>
      </c>
      <c r="L54" s="503"/>
      <c r="M54" s="503"/>
      <c r="N54" s="58"/>
    </row>
    <row r="55">
      <c r="A55" s="54"/>
      <c r="B55" s="510">
        <v>44240.0</v>
      </c>
      <c r="C55" s="511"/>
      <c r="D55" s="499" t="s">
        <v>456</v>
      </c>
      <c r="E55" s="160">
        <v>280093.0</v>
      </c>
      <c r="F55" s="153">
        <v>737.0</v>
      </c>
      <c r="G55" s="160">
        <v>1013.0</v>
      </c>
      <c r="H55" s="160">
        <v>368.6</v>
      </c>
      <c r="I55" s="161">
        <v>400.0</v>
      </c>
      <c r="J55" s="153">
        <v>2.85</v>
      </c>
      <c r="K55" s="509">
        <f t="shared" si="4"/>
        <v>54.27408412</v>
      </c>
      <c r="L55" s="503"/>
      <c r="M55" s="503"/>
      <c r="N55" s="58"/>
    </row>
    <row r="56">
      <c r="A56" s="54"/>
      <c r="B56" s="510">
        <v>44244.0</v>
      </c>
      <c r="C56" s="511"/>
      <c r="D56" s="499" t="s">
        <v>456</v>
      </c>
      <c r="E56" s="160">
        <v>280743.0</v>
      </c>
      <c r="F56" s="153">
        <v>650.0</v>
      </c>
      <c r="G56" s="160">
        <v>1052.0</v>
      </c>
      <c r="H56" s="160">
        <v>375.77</v>
      </c>
      <c r="I56" s="161">
        <v>400.0</v>
      </c>
      <c r="J56" s="153">
        <v>2.2</v>
      </c>
      <c r="K56" s="509">
        <f t="shared" si="4"/>
        <v>61.53846154</v>
      </c>
      <c r="L56" s="503"/>
      <c r="M56" s="503"/>
      <c r="N56" s="58"/>
    </row>
    <row r="57">
      <c r="A57" s="54"/>
      <c r="B57" s="510">
        <v>44249.0</v>
      </c>
      <c r="C57" s="511"/>
      <c r="D57" s="499" t="s">
        <v>456</v>
      </c>
      <c r="E57" s="160">
        <v>281556.0</v>
      </c>
      <c r="F57" s="153">
        <v>814.0</v>
      </c>
      <c r="G57" s="160">
        <v>1020.0</v>
      </c>
      <c r="H57" s="160">
        <v>372.01</v>
      </c>
      <c r="I57" s="161">
        <v>400.0</v>
      </c>
      <c r="J57" s="153">
        <v>2.54</v>
      </c>
      <c r="K57" s="509">
        <f t="shared" si="4"/>
        <v>49.14004914</v>
      </c>
      <c r="L57" s="503"/>
      <c r="M57" s="503"/>
      <c r="N57" s="58"/>
    </row>
    <row r="58">
      <c r="A58" s="54"/>
      <c r="B58" s="510">
        <v>44254.0</v>
      </c>
      <c r="C58" s="511"/>
      <c r="D58" s="499" t="s">
        <v>456</v>
      </c>
      <c r="E58" s="160">
        <v>282613.0</v>
      </c>
      <c r="F58" s="153">
        <v>1057.0</v>
      </c>
      <c r="G58" s="160">
        <v>941.0</v>
      </c>
      <c r="H58" s="160">
        <v>416.09</v>
      </c>
      <c r="I58" s="161">
        <v>450.0</v>
      </c>
      <c r="J58" s="153">
        <v>3.08</v>
      </c>
      <c r="K58" s="509">
        <f t="shared" si="4"/>
        <v>42.57332072</v>
      </c>
      <c r="L58" s="503"/>
      <c r="M58" s="503"/>
      <c r="N58" s="58"/>
    </row>
    <row r="59">
      <c r="A59" s="66"/>
      <c r="B59" s="67" t="s">
        <v>72</v>
      </c>
      <c r="J59" s="66"/>
      <c r="K59" s="143"/>
      <c r="L59" s="66"/>
      <c r="M59" s="66"/>
      <c r="N59" s="66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</row>
    <row r="60">
      <c r="A60" s="54"/>
      <c r="B60" s="510">
        <v>44266.0</v>
      </c>
      <c r="C60" s="511"/>
      <c r="D60" s="499" t="s">
        <v>457</v>
      </c>
      <c r="E60" s="160">
        <v>283755.0</v>
      </c>
      <c r="F60" s="153">
        <v>1142.0</v>
      </c>
      <c r="G60" s="512">
        <v>796.0</v>
      </c>
      <c r="H60" s="160">
        <v>275.98</v>
      </c>
      <c r="I60" s="161">
        <v>300.0</v>
      </c>
      <c r="J60" s="153">
        <v>2.18</v>
      </c>
      <c r="K60" s="509">
        <f t="shared" ref="K60:K65" si="5">I60/F60*100</f>
        <v>26.26970228</v>
      </c>
      <c r="L60" s="503"/>
      <c r="M60" s="503"/>
      <c r="N60" s="58"/>
    </row>
    <row r="61">
      <c r="A61" s="54"/>
      <c r="B61" s="510">
        <v>44268.0</v>
      </c>
      <c r="C61" s="511"/>
      <c r="D61" s="499" t="s">
        <v>457</v>
      </c>
      <c r="E61" s="160">
        <v>284502.0</v>
      </c>
      <c r="F61" s="153">
        <v>747.0</v>
      </c>
      <c r="G61" s="160">
        <v>774.0</v>
      </c>
      <c r="H61" s="160">
        <v>232.63</v>
      </c>
      <c r="I61" s="161">
        <v>300.0</v>
      </c>
      <c r="J61" s="153">
        <v>6.12</v>
      </c>
      <c r="K61" s="509">
        <f t="shared" si="5"/>
        <v>40.16064257</v>
      </c>
      <c r="L61" s="503"/>
      <c r="M61" s="503"/>
      <c r="N61" s="58"/>
    </row>
    <row r="62">
      <c r="A62" s="54"/>
      <c r="B62" s="510">
        <v>44271.0</v>
      </c>
      <c r="C62" s="511"/>
      <c r="D62" s="499" t="s">
        <v>457</v>
      </c>
      <c r="E62" s="160">
        <v>285035.0</v>
      </c>
      <c r="F62" s="153">
        <v>533.0</v>
      </c>
      <c r="G62" s="160">
        <v>927.0</v>
      </c>
      <c r="H62" s="160">
        <v>335.32</v>
      </c>
      <c r="I62" s="161">
        <v>350.0</v>
      </c>
      <c r="J62" s="153">
        <v>1.33</v>
      </c>
      <c r="K62" s="509">
        <f t="shared" si="5"/>
        <v>65.66604128</v>
      </c>
      <c r="L62" s="503"/>
      <c r="M62" s="503"/>
      <c r="N62" s="58"/>
    </row>
    <row r="63">
      <c r="A63" s="54"/>
      <c r="B63" s="510">
        <v>44275.0</v>
      </c>
      <c r="C63" s="511"/>
      <c r="D63" s="499" t="s">
        <v>457</v>
      </c>
      <c r="E63" s="160">
        <v>285953.0</v>
      </c>
      <c r="F63" s="153">
        <v>918.0</v>
      </c>
      <c r="G63" s="160">
        <v>917.0</v>
      </c>
      <c r="H63" s="160">
        <v>331.09</v>
      </c>
      <c r="I63" s="161">
        <v>350.0</v>
      </c>
      <c r="J63" s="153">
        <v>1.72</v>
      </c>
      <c r="K63" s="509">
        <f t="shared" si="5"/>
        <v>38.12636166</v>
      </c>
      <c r="L63" s="503"/>
      <c r="M63" s="503"/>
      <c r="N63" s="58"/>
    </row>
    <row r="64">
      <c r="A64" s="54"/>
      <c r="B64" s="510">
        <v>44281.0</v>
      </c>
      <c r="C64" s="511"/>
      <c r="D64" s="499" t="s">
        <v>457</v>
      </c>
      <c r="E64" s="160">
        <v>287087.0</v>
      </c>
      <c r="F64" s="153">
        <v>1135.0</v>
      </c>
      <c r="G64" s="160">
        <v>864.0</v>
      </c>
      <c r="H64" s="160">
        <v>383.77</v>
      </c>
      <c r="I64" s="161">
        <v>400.0</v>
      </c>
      <c r="J64" s="153">
        <v>1.48</v>
      </c>
      <c r="K64" s="509">
        <f t="shared" si="5"/>
        <v>35.24229075</v>
      </c>
      <c r="L64" s="503"/>
      <c r="M64" s="503"/>
      <c r="N64" s="58"/>
    </row>
    <row r="65">
      <c r="A65" s="54"/>
      <c r="B65" s="510">
        <v>44286.0</v>
      </c>
      <c r="C65" s="511"/>
      <c r="D65" s="499" t="s">
        <v>457</v>
      </c>
      <c r="E65" s="160">
        <v>288433.0</v>
      </c>
      <c r="F65" s="153">
        <v>1346.0</v>
      </c>
      <c r="G65" s="160">
        <v>802.0</v>
      </c>
      <c r="H65" s="160">
        <v>383.58</v>
      </c>
      <c r="I65" s="161">
        <v>400.0</v>
      </c>
      <c r="J65" s="153">
        <v>1.49</v>
      </c>
      <c r="K65" s="509">
        <f t="shared" si="5"/>
        <v>29.71768202</v>
      </c>
      <c r="L65" s="503"/>
      <c r="M65" s="503"/>
      <c r="N65" s="58"/>
    </row>
    <row r="66">
      <c r="A66" s="66"/>
      <c r="B66" s="67" t="s">
        <v>74</v>
      </c>
      <c r="J66" s="66"/>
      <c r="K66" s="143"/>
      <c r="L66" s="66"/>
      <c r="M66" s="66"/>
      <c r="N66" s="66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</row>
    <row r="67">
      <c r="A67" s="54"/>
      <c r="B67" s="510">
        <v>44293.0</v>
      </c>
      <c r="C67" s="511"/>
      <c r="D67" s="499" t="s">
        <v>457</v>
      </c>
      <c r="E67" s="160">
        <v>289619.0</v>
      </c>
      <c r="F67" s="153">
        <v>1186.0</v>
      </c>
      <c r="G67" s="512">
        <v>793.0</v>
      </c>
      <c r="H67" s="160">
        <v>385.87</v>
      </c>
      <c r="I67" s="161">
        <v>400.0</v>
      </c>
      <c r="J67" s="153">
        <v>1.28</v>
      </c>
      <c r="K67" s="509">
        <f t="shared" ref="K67:K71" si="6">I67/F67*100</f>
        <v>33.72681282</v>
      </c>
      <c r="L67" s="503"/>
      <c r="M67" s="503"/>
      <c r="N67" s="58"/>
    </row>
    <row r="68">
      <c r="A68" s="54"/>
      <c r="B68" s="510">
        <v>44302.0</v>
      </c>
      <c r="C68" s="511"/>
      <c r="D68" s="513"/>
      <c r="E68" s="160">
        <v>290620.0</v>
      </c>
      <c r="F68" s="153">
        <v>1001.0</v>
      </c>
      <c r="G68" s="160">
        <v>628.0</v>
      </c>
      <c r="H68" s="160">
        <v>190.69</v>
      </c>
      <c r="I68" s="161">
        <v>200.0</v>
      </c>
      <c r="J68" s="153">
        <v>0.85</v>
      </c>
      <c r="K68" s="509">
        <f t="shared" si="6"/>
        <v>19.98001998</v>
      </c>
      <c r="L68" s="503"/>
      <c r="M68" s="503"/>
      <c r="N68" s="58"/>
    </row>
    <row r="69">
      <c r="A69" s="54"/>
      <c r="B69" s="510">
        <v>44305.0</v>
      </c>
      <c r="C69" s="511"/>
      <c r="D69" s="513"/>
      <c r="E69" s="160">
        <v>291597.0</v>
      </c>
      <c r="F69" s="153">
        <v>977.0</v>
      </c>
      <c r="G69" s="160">
        <v>546.0</v>
      </c>
      <c r="H69" s="160">
        <v>232.82</v>
      </c>
      <c r="I69" s="161">
        <v>300.0</v>
      </c>
      <c r="J69" s="153">
        <v>6.11</v>
      </c>
      <c r="K69" s="509">
        <f t="shared" si="6"/>
        <v>30.7062436</v>
      </c>
      <c r="L69" s="503"/>
      <c r="M69" s="503"/>
      <c r="N69" s="58"/>
    </row>
    <row r="70">
      <c r="A70" s="54"/>
      <c r="B70" s="510">
        <v>44306.0</v>
      </c>
      <c r="C70" s="511"/>
      <c r="D70" s="513"/>
      <c r="E70" s="160">
        <v>291891.0</v>
      </c>
      <c r="F70" s="153">
        <v>295.0</v>
      </c>
      <c r="G70" s="160">
        <v>682.0</v>
      </c>
      <c r="H70" s="160">
        <v>232.06</v>
      </c>
      <c r="I70" s="161">
        <v>300.0</v>
      </c>
      <c r="J70" s="153">
        <v>6.18</v>
      </c>
      <c r="K70" s="509">
        <f t="shared" si="6"/>
        <v>101.6949153</v>
      </c>
      <c r="L70" s="503"/>
      <c r="M70" s="503"/>
      <c r="N70" s="58"/>
    </row>
    <row r="71">
      <c r="A71" s="54"/>
      <c r="B71" s="510">
        <v>44312.0</v>
      </c>
      <c r="C71" s="511"/>
      <c r="D71" s="513"/>
      <c r="E71" s="160">
        <v>293231.0</v>
      </c>
      <c r="F71" s="153">
        <v>1340.0</v>
      </c>
      <c r="G71" s="160">
        <v>547.0</v>
      </c>
      <c r="H71" s="160">
        <v>285.64</v>
      </c>
      <c r="I71" s="161">
        <v>300.0</v>
      </c>
      <c r="J71" s="153">
        <v>1.31</v>
      </c>
      <c r="K71" s="509">
        <f t="shared" si="6"/>
        <v>22.3880597</v>
      </c>
      <c r="L71" s="503"/>
      <c r="M71" s="503"/>
      <c r="N71" s="58"/>
    </row>
    <row r="72">
      <c r="A72" s="66"/>
      <c r="B72" s="67" t="s">
        <v>75</v>
      </c>
      <c r="J72" s="66"/>
      <c r="K72" s="143"/>
      <c r="L72" s="66"/>
      <c r="M72" s="66"/>
      <c r="N72" s="66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>
      <c r="A73" s="54"/>
      <c r="B73" s="510">
        <v>44317.0</v>
      </c>
      <c r="C73" s="511"/>
      <c r="D73" s="513"/>
      <c r="E73" s="160">
        <v>294190.0</v>
      </c>
      <c r="F73" s="153">
        <v>959.0</v>
      </c>
      <c r="G73" s="160">
        <v>522.0</v>
      </c>
      <c r="H73" s="160">
        <v>285.13</v>
      </c>
      <c r="I73" s="161">
        <v>300.0</v>
      </c>
      <c r="J73" s="153">
        <v>1.35</v>
      </c>
      <c r="K73" s="509">
        <f t="shared" ref="K73:K81" si="7">I73/F73*100</f>
        <v>31.28258603</v>
      </c>
      <c r="L73" s="503"/>
      <c r="M73" s="503"/>
      <c r="N73" s="58"/>
    </row>
    <row r="74">
      <c r="A74" s="54"/>
      <c r="B74" s="510">
        <v>44319.0</v>
      </c>
      <c r="C74" s="511"/>
      <c r="D74" s="513"/>
      <c r="E74" s="160">
        <v>294630.0</v>
      </c>
      <c r="F74" s="153">
        <v>440.0</v>
      </c>
      <c r="G74" s="160">
        <v>563.0</v>
      </c>
      <c r="H74" s="160">
        <v>186.08</v>
      </c>
      <c r="I74" s="161">
        <v>300.0</v>
      </c>
      <c r="J74" s="153">
        <v>10.36</v>
      </c>
      <c r="K74" s="509">
        <f t="shared" si="7"/>
        <v>68.18181818</v>
      </c>
      <c r="L74" s="503"/>
      <c r="M74" s="503"/>
      <c r="N74" s="58"/>
    </row>
    <row r="75">
      <c r="A75" s="54"/>
      <c r="B75" s="510">
        <v>44322.0</v>
      </c>
      <c r="C75" s="511"/>
      <c r="D75" s="513"/>
      <c r="E75" s="160">
        <v>296268.0</v>
      </c>
      <c r="F75" s="153">
        <v>222.0</v>
      </c>
      <c r="G75" s="160">
        <v>309.0</v>
      </c>
      <c r="H75" s="160">
        <v>192.65</v>
      </c>
      <c r="I75" s="161">
        <v>201.0</v>
      </c>
      <c r="J75" s="153">
        <v>0.76</v>
      </c>
      <c r="K75" s="509">
        <f t="shared" si="7"/>
        <v>90.54054054</v>
      </c>
      <c r="L75" s="503"/>
      <c r="M75" s="503"/>
      <c r="N75" s="58"/>
    </row>
    <row r="76">
      <c r="A76" s="54"/>
      <c r="B76" s="510">
        <v>44322.0</v>
      </c>
      <c r="C76" s="511"/>
      <c r="D76" s="513"/>
      <c r="E76" s="160">
        <v>296693.0</v>
      </c>
      <c r="F76" s="153">
        <v>425.0</v>
      </c>
      <c r="G76" s="160">
        <v>348.0</v>
      </c>
      <c r="H76" s="160">
        <v>183.5</v>
      </c>
      <c r="I76" s="161">
        <v>299.0</v>
      </c>
      <c r="J76" s="153">
        <v>10.5</v>
      </c>
      <c r="K76" s="509">
        <f t="shared" si="7"/>
        <v>70.35294118</v>
      </c>
      <c r="L76" s="503"/>
      <c r="M76" s="503"/>
      <c r="N76" s="58"/>
    </row>
    <row r="77">
      <c r="A77" s="54"/>
      <c r="B77" s="510">
        <v>44332.0</v>
      </c>
      <c r="C77" s="511"/>
      <c r="D77" s="513"/>
      <c r="E77" s="160">
        <v>297283.0</v>
      </c>
      <c r="F77" s="153">
        <v>591.0</v>
      </c>
      <c r="G77" s="160">
        <v>450.0</v>
      </c>
      <c r="H77" s="160">
        <v>280.47</v>
      </c>
      <c r="I77" s="161">
        <v>300.0</v>
      </c>
      <c r="J77" s="153">
        <v>1.78</v>
      </c>
      <c r="K77" s="509">
        <f t="shared" si="7"/>
        <v>50.76142132</v>
      </c>
      <c r="L77" s="503"/>
      <c r="M77" s="503"/>
      <c r="N77" s="58"/>
    </row>
    <row r="78">
      <c r="A78" s="54"/>
      <c r="B78" s="510">
        <v>44335.0</v>
      </c>
      <c r="C78" s="511"/>
      <c r="D78" s="513"/>
      <c r="E78" s="160">
        <v>298007.0</v>
      </c>
      <c r="F78" s="153">
        <v>724.0</v>
      </c>
      <c r="G78" s="160">
        <v>351.0</v>
      </c>
      <c r="H78" s="160">
        <v>136.48</v>
      </c>
      <c r="I78" s="161">
        <v>300.0</v>
      </c>
      <c r="J78" s="153">
        <v>14.87</v>
      </c>
      <c r="K78" s="509">
        <f t="shared" si="7"/>
        <v>41.43646409</v>
      </c>
      <c r="L78" s="503"/>
      <c r="M78" s="503"/>
      <c r="N78" s="58"/>
    </row>
    <row r="79">
      <c r="A79" s="54"/>
      <c r="B79" s="510">
        <v>44337.0</v>
      </c>
      <c r="C79" s="511"/>
      <c r="D79" s="513"/>
      <c r="E79" s="160">
        <v>298527.0</v>
      </c>
      <c r="F79" s="153">
        <v>520.0</v>
      </c>
      <c r="G79" s="160">
        <v>402.0</v>
      </c>
      <c r="H79" s="160">
        <v>219.52</v>
      </c>
      <c r="I79" s="161">
        <v>300.0</v>
      </c>
      <c r="J79" s="153">
        <v>7.32</v>
      </c>
      <c r="K79" s="509">
        <f t="shared" si="7"/>
        <v>57.69230769</v>
      </c>
      <c r="L79" s="503"/>
      <c r="M79" s="503"/>
      <c r="N79" s="58"/>
    </row>
    <row r="80">
      <c r="A80" s="54"/>
      <c r="B80" s="510">
        <v>44343.0</v>
      </c>
      <c r="C80" s="511"/>
      <c r="D80" s="513"/>
      <c r="E80" s="160">
        <v>299293.0</v>
      </c>
      <c r="F80" s="153">
        <v>767.0</v>
      </c>
      <c r="G80" s="160">
        <v>323.0</v>
      </c>
      <c r="H80" s="160">
        <v>188.46</v>
      </c>
      <c r="I80" s="161">
        <v>200.0</v>
      </c>
      <c r="J80" s="153">
        <v>1.05</v>
      </c>
      <c r="K80" s="509">
        <f t="shared" si="7"/>
        <v>26.0756193</v>
      </c>
      <c r="L80" s="503"/>
      <c r="M80" s="503"/>
      <c r="N80" s="58"/>
    </row>
    <row r="81">
      <c r="A81" s="54"/>
      <c r="B81" s="510">
        <v>44347.0</v>
      </c>
      <c r="C81" s="511"/>
      <c r="D81" s="513"/>
      <c r="E81" s="160">
        <v>299775.0</v>
      </c>
      <c r="F81" s="153">
        <v>481.0</v>
      </c>
      <c r="G81" s="160">
        <v>439.0</v>
      </c>
      <c r="H81" s="160">
        <v>284.6</v>
      </c>
      <c r="I81" s="161">
        <v>300.0</v>
      </c>
      <c r="J81" s="153">
        <v>1.4</v>
      </c>
      <c r="K81" s="509">
        <f t="shared" si="7"/>
        <v>62.37006237</v>
      </c>
      <c r="L81" s="503"/>
      <c r="M81" s="503"/>
      <c r="N81" s="58"/>
    </row>
    <row r="82">
      <c r="A82" s="66"/>
      <c r="B82" s="67" t="s">
        <v>90</v>
      </c>
      <c r="J82" s="66"/>
      <c r="K82" s="143"/>
      <c r="L82" s="66"/>
      <c r="M82" s="66"/>
      <c r="N82" s="66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>
      <c r="A83" s="54"/>
      <c r="B83" s="510">
        <v>44349.0</v>
      </c>
      <c r="C83" s="511"/>
      <c r="D83" s="513"/>
      <c r="E83" s="514"/>
      <c r="F83" s="502"/>
      <c r="G83" s="515"/>
      <c r="H83" s="515"/>
      <c r="I83" s="161">
        <v>200.0</v>
      </c>
      <c r="J83" s="502"/>
      <c r="K83" s="509" t="str">
        <f t="shared" ref="K83:K98" si="8">I83/F83*100</f>
        <v>#DIV/0!</v>
      </c>
      <c r="L83" s="503"/>
      <c r="M83" s="503"/>
      <c r="N83" s="58"/>
    </row>
    <row r="84">
      <c r="A84" s="54"/>
      <c r="B84" s="510">
        <v>44351.0</v>
      </c>
      <c r="C84" s="511"/>
      <c r="D84" s="513"/>
      <c r="E84" s="160">
        <v>300670.0</v>
      </c>
      <c r="F84" s="153">
        <f>E84-E81</f>
        <v>895</v>
      </c>
      <c r="G84" s="160">
        <v>375.0</v>
      </c>
      <c r="H84" s="160">
        <v>237.07</v>
      </c>
      <c r="I84" s="161">
        <v>300.0</v>
      </c>
      <c r="J84" s="153">
        <v>5.72</v>
      </c>
      <c r="K84" s="509">
        <f t="shared" si="8"/>
        <v>33.51955307</v>
      </c>
      <c r="L84" s="503"/>
      <c r="M84" s="503"/>
      <c r="N84" s="58"/>
    </row>
    <row r="85">
      <c r="A85" s="54"/>
      <c r="B85" s="510">
        <v>44355.0</v>
      </c>
      <c r="C85" s="511"/>
      <c r="D85" s="513"/>
      <c r="E85" s="160">
        <v>301449.0</v>
      </c>
      <c r="F85" s="153">
        <v>780.0</v>
      </c>
      <c r="G85" s="160">
        <v>250.0</v>
      </c>
      <c r="H85" s="160">
        <v>135.82</v>
      </c>
      <c r="I85" s="161">
        <v>150.0</v>
      </c>
      <c r="J85" s="153">
        <v>1.29</v>
      </c>
      <c r="K85" s="509">
        <f t="shared" si="8"/>
        <v>19.23076923</v>
      </c>
      <c r="L85" s="503"/>
      <c r="M85" s="503"/>
      <c r="N85" s="58"/>
    </row>
    <row r="86">
      <c r="A86" s="54"/>
      <c r="B86" s="510">
        <v>44355.0</v>
      </c>
      <c r="C86" s="511"/>
      <c r="D86" s="513"/>
      <c r="E86" s="160">
        <v>301764.0</v>
      </c>
      <c r="F86" s="153">
        <v>315.0</v>
      </c>
      <c r="G86" s="160">
        <v>308.0</v>
      </c>
      <c r="H86" s="160">
        <v>140.75</v>
      </c>
      <c r="I86" s="161">
        <v>150.0</v>
      </c>
      <c r="J86" s="153">
        <v>0.84</v>
      </c>
      <c r="K86" s="509">
        <f t="shared" si="8"/>
        <v>47.61904762</v>
      </c>
      <c r="L86" s="503"/>
      <c r="M86" s="503"/>
      <c r="N86" s="58"/>
    </row>
    <row r="87">
      <c r="A87" s="54"/>
      <c r="B87" s="510">
        <v>44357.0</v>
      </c>
      <c r="C87" s="511"/>
      <c r="D87" s="513"/>
      <c r="E87" s="160">
        <v>302281.0</v>
      </c>
      <c r="F87" s="153">
        <v>517.0</v>
      </c>
      <c r="G87" s="160">
        <v>318.0</v>
      </c>
      <c r="H87" s="160">
        <v>190.61</v>
      </c>
      <c r="I87" s="161">
        <v>300.0</v>
      </c>
      <c r="J87" s="153">
        <v>9.94</v>
      </c>
      <c r="K87" s="509">
        <f t="shared" si="8"/>
        <v>58.0270793</v>
      </c>
      <c r="L87" s="503"/>
      <c r="M87" s="503"/>
      <c r="N87" s="58"/>
    </row>
    <row r="88">
      <c r="A88" s="54"/>
      <c r="B88" s="510">
        <v>44359.0</v>
      </c>
      <c r="C88" s="511"/>
      <c r="D88" s="513"/>
      <c r="E88" s="160">
        <v>302733.0</v>
      </c>
      <c r="F88" s="153">
        <v>452.0</v>
      </c>
      <c r="G88" s="160">
        <v>350.0</v>
      </c>
      <c r="H88" s="160">
        <v>189.95</v>
      </c>
      <c r="I88" s="161">
        <v>200.0</v>
      </c>
      <c r="J88" s="153">
        <v>0.91</v>
      </c>
      <c r="K88" s="509">
        <f t="shared" si="8"/>
        <v>44.24778761</v>
      </c>
      <c r="L88" s="503"/>
      <c r="M88" s="503"/>
      <c r="N88" s="58"/>
    </row>
    <row r="89">
      <c r="A89" s="54"/>
      <c r="B89" s="510">
        <v>44361.0</v>
      </c>
      <c r="C89" s="511"/>
      <c r="D89" s="513"/>
      <c r="E89" s="160">
        <v>303393.0</v>
      </c>
      <c r="F89" s="153">
        <v>660.0</v>
      </c>
      <c r="G89" s="160">
        <v>333.0</v>
      </c>
      <c r="H89" s="160">
        <v>190.33</v>
      </c>
      <c r="I89" s="161">
        <v>200.0</v>
      </c>
      <c r="J89" s="153">
        <v>0.88</v>
      </c>
      <c r="K89" s="509">
        <f t="shared" si="8"/>
        <v>30.3030303</v>
      </c>
      <c r="L89" s="503"/>
      <c r="M89" s="503"/>
      <c r="N89" s="58"/>
    </row>
    <row r="90">
      <c r="A90" s="54"/>
      <c r="B90" s="510">
        <v>44362.0</v>
      </c>
      <c r="C90" s="511"/>
      <c r="D90" s="513"/>
      <c r="E90" s="514"/>
      <c r="F90" s="502"/>
      <c r="G90" s="515"/>
      <c r="H90" s="515"/>
      <c r="I90" s="161">
        <v>50.0</v>
      </c>
      <c r="J90" s="502"/>
      <c r="K90" s="509" t="str">
        <f t="shared" si="8"/>
        <v>#DIV/0!</v>
      </c>
      <c r="L90" s="503"/>
      <c r="M90" s="503"/>
      <c r="N90" s="58"/>
    </row>
    <row r="91">
      <c r="A91" s="54"/>
      <c r="B91" s="510">
        <v>44363.0</v>
      </c>
      <c r="C91" s="511"/>
      <c r="D91" s="513"/>
      <c r="E91" s="160">
        <v>303919.0</v>
      </c>
      <c r="F91" s="153">
        <f>E91-E89</f>
        <v>526</v>
      </c>
      <c r="G91" s="160">
        <v>441.0</v>
      </c>
      <c r="H91" s="160">
        <v>286.18</v>
      </c>
      <c r="I91" s="161">
        <v>300.0</v>
      </c>
      <c r="J91" s="153">
        <v>1.26</v>
      </c>
      <c r="K91" s="509">
        <f t="shared" si="8"/>
        <v>57.03422053</v>
      </c>
      <c r="L91" s="503"/>
      <c r="M91" s="503"/>
      <c r="N91" s="58"/>
    </row>
    <row r="92">
      <c r="A92" s="54"/>
      <c r="B92" s="510">
        <v>44366.0</v>
      </c>
      <c r="C92" s="511"/>
      <c r="D92" s="513"/>
      <c r="E92" s="160">
        <v>304743.0</v>
      </c>
      <c r="F92" s="153">
        <v>824.0</v>
      </c>
      <c r="G92" s="160">
        <v>366.0</v>
      </c>
      <c r="H92" s="160">
        <v>188.44</v>
      </c>
      <c r="I92" s="161">
        <v>300.0</v>
      </c>
      <c r="J92" s="153">
        <v>10.14</v>
      </c>
      <c r="K92" s="509">
        <f t="shared" si="8"/>
        <v>36.40776699</v>
      </c>
      <c r="L92" s="503"/>
      <c r="M92" s="503"/>
      <c r="N92" s="58"/>
    </row>
    <row r="93">
      <c r="A93" s="54"/>
      <c r="B93" s="510">
        <v>44370.0</v>
      </c>
      <c r="C93" s="511"/>
      <c r="D93" s="513"/>
      <c r="E93" s="160">
        <v>305393.0</v>
      </c>
      <c r="F93" s="153">
        <v>650.0</v>
      </c>
      <c r="G93" s="160">
        <v>398.0</v>
      </c>
      <c r="H93" s="160">
        <v>236.26</v>
      </c>
      <c r="I93" s="161">
        <v>250.0</v>
      </c>
      <c r="J93" s="153">
        <v>1.25</v>
      </c>
      <c r="K93" s="509">
        <f t="shared" si="8"/>
        <v>38.46153846</v>
      </c>
      <c r="L93" s="503"/>
      <c r="M93" s="503"/>
      <c r="N93" s="58"/>
    </row>
    <row r="94">
      <c r="A94" s="54"/>
      <c r="B94" s="510">
        <v>44371.0</v>
      </c>
      <c r="C94" s="511"/>
      <c r="D94" s="513"/>
      <c r="E94" s="514"/>
      <c r="F94" s="502"/>
      <c r="G94" s="515"/>
      <c r="H94" s="515"/>
      <c r="I94" s="161">
        <v>50.0</v>
      </c>
      <c r="J94" s="502"/>
      <c r="K94" s="509" t="str">
        <f t="shared" si="8"/>
        <v>#DIV/0!</v>
      </c>
      <c r="L94" s="503"/>
      <c r="M94" s="503"/>
      <c r="N94" s="58"/>
    </row>
    <row r="95">
      <c r="A95" s="54"/>
      <c r="B95" s="510">
        <v>44372.0</v>
      </c>
      <c r="C95" s="511"/>
      <c r="D95" s="513"/>
      <c r="E95" s="160">
        <v>306092.0</v>
      </c>
      <c r="F95" s="153">
        <v>699.0</v>
      </c>
      <c r="G95" s="160">
        <v>260.0</v>
      </c>
      <c r="H95" s="160">
        <v>90.48</v>
      </c>
      <c r="I95" s="161">
        <v>100.0</v>
      </c>
      <c r="J95" s="153">
        <v>0.87</v>
      </c>
      <c r="K95" s="509">
        <f t="shared" si="8"/>
        <v>14.30615165</v>
      </c>
      <c r="L95" s="503"/>
      <c r="M95" s="503"/>
      <c r="N95" s="58"/>
    </row>
    <row r="96">
      <c r="A96" s="54"/>
      <c r="B96" s="510">
        <v>44373.0</v>
      </c>
      <c r="C96" s="511"/>
      <c r="D96" s="513"/>
      <c r="E96" s="160">
        <v>306279.0</v>
      </c>
      <c r="F96" s="153">
        <v>187.0</v>
      </c>
      <c r="G96" s="160">
        <v>487.0</v>
      </c>
      <c r="H96" s="160">
        <v>280.74</v>
      </c>
      <c r="I96" s="161">
        <v>300.0</v>
      </c>
      <c r="J96" s="153">
        <v>1.75</v>
      </c>
      <c r="K96" s="509">
        <f t="shared" si="8"/>
        <v>160.4278075</v>
      </c>
      <c r="L96" s="503"/>
      <c r="M96" s="503"/>
      <c r="N96" s="58"/>
    </row>
    <row r="97">
      <c r="A97" s="54"/>
      <c r="B97" s="510">
        <v>44376.0</v>
      </c>
      <c r="C97" s="511"/>
      <c r="D97" s="513"/>
      <c r="E97" s="514"/>
      <c r="F97" s="502"/>
      <c r="G97" s="515"/>
      <c r="H97" s="515"/>
      <c r="I97" s="161">
        <v>150.0</v>
      </c>
      <c r="J97" s="502"/>
      <c r="K97" s="509" t="str">
        <f t="shared" si="8"/>
        <v>#DIV/0!</v>
      </c>
      <c r="L97" s="503"/>
      <c r="M97" s="503"/>
      <c r="N97" s="58"/>
    </row>
    <row r="98">
      <c r="A98" s="54"/>
      <c r="B98" s="510">
        <v>44377.0</v>
      </c>
      <c r="C98" s="511"/>
      <c r="D98" s="513"/>
      <c r="E98" s="160">
        <v>307487.0</v>
      </c>
      <c r="F98" s="153">
        <v>1207.0</v>
      </c>
      <c r="G98" s="160">
        <v>341.0</v>
      </c>
      <c r="H98" s="160">
        <v>226.41</v>
      </c>
      <c r="I98" s="161">
        <v>300.0</v>
      </c>
      <c r="J98" s="153">
        <v>6.69</v>
      </c>
      <c r="K98" s="509">
        <f t="shared" si="8"/>
        <v>24.85501243</v>
      </c>
      <c r="L98" s="503"/>
      <c r="M98" s="503"/>
      <c r="N98" s="58"/>
    </row>
    <row r="99">
      <c r="A99" s="66"/>
      <c r="B99" s="67" t="s">
        <v>92</v>
      </c>
      <c r="J99" s="66"/>
      <c r="K99" s="143"/>
      <c r="L99" s="66"/>
      <c r="M99" s="66"/>
      <c r="N99" s="66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>
      <c r="A100" s="54"/>
      <c r="B100" s="510">
        <v>44379.0</v>
      </c>
      <c r="C100" s="511"/>
      <c r="D100" s="513"/>
      <c r="E100" s="160">
        <v>308054.0</v>
      </c>
      <c r="F100" s="153">
        <v>568.0</v>
      </c>
      <c r="G100" s="160">
        <v>421.0</v>
      </c>
      <c r="H100" s="160">
        <v>233.19</v>
      </c>
      <c r="I100" s="161">
        <v>300.0</v>
      </c>
      <c r="J100" s="153">
        <v>6.07</v>
      </c>
      <c r="K100" s="509">
        <f t="shared" ref="K100:K108" si="9">I100/F100*100</f>
        <v>52.81690141</v>
      </c>
      <c r="L100" s="503"/>
      <c r="M100" s="503"/>
      <c r="N100" s="58"/>
    </row>
    <row r="101">
      <c r="A101" s="54"/>
      <c r="B101" s="510">
        <v>44386.0</v>
      </c>
      <c r="C101" s="511"/>
      <c r="D101" s="513"/>
      <c r="E101" s="160">
        <v>309114.0</v>
      </c>
      <c r="F101" s="153">
        <v>1060.0</v>
      </c>
      <c r="G101" s="160">
        <v>380.0</v>
      </c>
      <c r="H101" s="160">
        <v>282.59</v>
      </c>
      <c r="I101" s="161">
        <v>300.0</v>
      </c>
      <c r="J101" s="153">
        <v>1.58</v>
      </c>
      <c r="K101" s="509">
        <f t="shared" si="9"/>
        <v>28.30188679</v>
      </c>
      <c r="L101" s="503"/>
      <c r="M101" s="503"/>
      <c r="N101" s="58"/>
    </row>
    <row r="102">
      <c r="A102" s="54"/>
      <c r="B102" s="510">
        <v>44386.0</v>
      </c>
      <c r="C102" s="511"/>
      <c r="D102" s="513"/>
      <c r="E102" s="160">
        <v>309236.0</v>
      </c>
      <c r="F102" s="153">
        <v>122.0</v>
      </c>
      <c r="G102" s="160">
        <v>692.0</v>
      </c>
      <c r="H102" s="160">
        <v>337.82</v>
      </c>
      <c r="I102" s="161">
        <v>360.0</v>
      </c>
      <c r="J102" s="153">
        <v>2.02</v>
      </c>
      <c r="K102" s="509">
        <f t="shared" si="9"/>
        <v>295.0819672</v>
      </c>
      <c r="L102" s="503"/>
      <c r="M102" s="503"/>
      <c r="N102" s="58"/>
    </row>
    <row r="103">
      <c r="A103" s="54"/>
      <c r="B103" s="510">
        <v>44392.0</v>
      </c>
      <c r="C103" s="511"/>
      <c r="D103" s="513"/>
      <c r="E103" s="514"/>
      <c r="F103" s="502"/>
      <c r="G103" s="515"/>
      <c r="H103" s="515"/>
      <c r="I103" s="161">
        <v>150.0</v>
      </c>
      <c r="J103" s="502"/>
      <c r="K103" s="509" t="str">
        <f t="shared" si="9"/>
        <v>#DIV/0!</v>
      </c>
      <c r="L103" s="503"/>
      <c r="M103" s="503"/>
      <c r="N103" s="58"/>
    </row>
    <row r="104">
      <c r="A104" s="54"/>
      <c r="B104" s="510">
        <v>44394.0</v>
      </c>
      <c r="C104" s="511"/>
      <c r="D104" s="513"/>
      <c r="E104" s="160">
        <v>310827.0</v>
      </c>
      <c r="F104" s="153">
        <v>1591.0</v>
      </c>
      <c r="G104" s="160">
        <v>410.0</v>
      </c>
      <c r="H104" s="160">
        <v>288.88</v>
      </c>
      <c r="I104" s="161">
        <v>300.0</v>
      </c>
      <c r="J104" s="153">
        <v>1.01</v>
      </c>
      <c r="K104" s="509">
        <f t="shared" si="9"/>
        <v>18.85606537</v>
      </c>
      <c r="L104" s="503"/>
      <c r="M104" s="503"/>
      <c r="N104" s="58"/>
    </row>
    <row r="105">
      <c r="A105" s="54"/>
      <c r="B105" s="510">
        <v>44397.0</v>
      </c>
      <c r="C105" s="511"/>
      <c r="D105" s="513"/>
      <c r="E105" s="160">
        <v>311694.0</v>
      </c>
      <c r="F105" s="153">
        <v>867.0</v>
      </c>
      <c r="G105" s="160">
        <v>406.0</v>
      </c>
      <c r="H105" s="160">
        <v>280.31</v>
      </c>
      <c r="I105" s="161">
        <v>300.0</v>
      </c>
      <c r="J105" s="153">
        <v>1.79</v>
      </c>
      <c r="K105" s="509">
        <f t="shared" si="9"/>
        <v>34.60207612</v>
      </c>
      <c r="L105" s="503"/>
      <c r="M105" s="503"/>
      <c r="N105" s="58"/>
    </row>
    <row r="106">
      <c r="A106" s="54"/>
      <c r="B106" s="510">
        <v>44400.0</v>
      </c>
      <c r="C106" s="511"/>
      <c r="D106" s="513"/>
      <c r="E106" s="160">
        <v>312495.0</v>
      </c>
      <c r="F106" s="153">
        <v>802.0</v>
      </c>
      <c r="G106" s="160">
        <v>408.0</v>
      </c>
      <c r="H106" s="160">
        <v>278.04</v>
      </c>
      <c r="I106" s="161">
        <v>300.0</v>
      </c>
      <c r="J106" s="153">
        <v>2.0</v>
      </c>
      <c r="K106" s="509">
        <f t="shared" si="9"/>
        <v>37.40648379</v>
      </c>
      <c r="L106" s="503"/>
      <c r="M106" s="503"/>
      <c r="N106" s="58"/>
    </row>
    <row r="107">
      <c r="A107" s="54"/>
      <c r="B107" s="510">
        <v>44401.0</v>
      </c>
      <c r="C107" s="511"/>
      <c r="D107" s="513"/>
      <c r="E107" s="160">
        <v>312724.0</v>
      </c>
      <c r="F107" s="153">
        <v>228.0</v>
      </c>
      <c r="G107" s="160">
        <v>662.0</v>
      </c>
      <c r="H107" s="160">
        <v>329.31</v>
      </c>
      <c r="I107" s="161">
        <v>350.0</v>
      </c>
      <c r="J107" s="153">
        <v>1.88</v>
      </c>
      <c r="K107" s="509">
        <f t="shared" si="9"/>
        <v>153.5087719</v>
      </c>
      <c r="L107" s="503"/>
      <c r="M107" s="503"/>
      <c r="N107" s="58"/>
    </row>
    <row r="108">
      <c r="A108" s="54"/>
      <c r="B108" s="510">
        <v>44406.0</v>
      </c>
      <c r="C108" s="511"/>
      <c r="D108" s="513"/>
      <c r="E108" s="160">
        <v>314453.0</v>
      </c>
      <c r="F108" s="153">
        <v>1729.0</v>
      </c>
      <c r="G108" s="160">
        <v>485.0</v>
      </c>
      <c r="H108" s="160">
        <v>349.44</v>
      </c>
      <c r="I108" s="161">
        <v>400.0</v>
      </c>
      <c r="J108" s="153">
        <v>4.6</v>
      </c>
      <c r="K108" s="509">
        <f t="shared" si="9"/>
        <v>23.13475998</v>
      </c>
      <c r="L108" s="503"/>
      <c r="M108" s="503"/>
      <c r="N108" s="58"/>
    </row>
    <row r="109">
      <c r="A109" s="66"/>
      <c r="B109" s="67" t="s">
        <v>95</v>
      </c>
      <c r="J109" s="66"/>
      <c r="K109" s="143"/>
      <c r="L109" s="66"/>
      <c r="M109" s="66"/>
      <c r="N109" s="66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>
      <c r="A110" s="54"/>
      <c r="B110" s="510">
        <v>44410.0</v>
      </c>
      <c r="C110" s="511"/>
      <c r="D110" s="513"/>
      <c r="E110" s="160">
        <v>315266.0</v>
      </c>
      <c r="F110" s="153">
        <v>813.0</v>
      </c>
      <c r="G110" s="160">
        <v>588.0</v>
      </c>
      <c r="H110" s="160">
        <v>353.3</v>
      </c>
      <c r="I110" s="161">
        <v>400.0</v>
      </c>
      <c r="J110" s="153">
        <v>4.25</v>
      </c>
      <c r="K110" s="509">
        <f t="shared" ref="K110:K116" si="10">I110/F110*100</f>
        <v>49.200492</v>
      </c>
      <c r="L110" s="503"/>
      <c r="M110" s="503"/>
      <c r="N110" s="58"/>
    </row>
    <row r="111">
      <c r="A111" s="54"/>
      <c r="B111" s="510">
        <v>44414.0</v>
      </c>
      <c r="C111" s="511"/>
      <c r="D111" s="513"/>
      <c r="E111" s="160">
        <v>316412.0</v>
      </c>
      <c r="F111" s="153">
        <v>1145.0</v>
      </c>
      <c r="G111" s="160">
        <v>615.0</v>
      </c>
      <c r="H111" s="160">
        <v>362.69</v>
      </c>
      <c r="I111" s="161">
        <v>550.0</v>
      </c>
      <c r="J111" s="153">
        <v>17.03</v>
      </c>
      <c r="K111" s="509">
        <f t="shared" si="10"/>
        <v>48.0349345</v>
      </c>
      <c r="L111" s="503"/>
      <c r="M111" s="503"/>
      <c r="N111" s="58"/>
    </row>
    <row r="112">
      <c r="A112" s="54"/>
      <c r="B112" s="510">
        <v>44418.0</v>
      </c>
      <c r="C112" s="511"/>
      <c r="D112" s="513"/>
      <c r="E112" s="160">
        <v>317711.0</v>
      </c>
      <c r="F112" s="153">
        <v>1299.0</v>
      </c>
      <c r="G112" s="160">
        <v>587.0</v>
      </c>
      <c r="H112" s="160">
        <v>378.42</v>
      </c>
      <c r="I112" s="161">
        <v>400.0</v>
      </c>
      <c r="J112" s="153">
        <v>1.96</v>
      </c>
      <c r="K112" s="509">
        <f t="shared" si="10"/>
        <v>30.79291763</v>
      </c>
      <c r="L112" s="503"/>
      <c r="M112" s="503"/>
      <c r="N112" s="58"/>
    </row>
    <row r="113">
      <c r="A113" s="54"/>
      <c r="B113" s="510">
        <v>44423.0</v>
      </c>
      <c r="C113" s="511"/>
      <c r="D113" s="513"/>
      <c r="E113" s="160">
        <v>318824.0</v>
      </c>
      <c r="F113" s="153">
        <v>1113.0</v>
      </c>
      <c r="G113" s="160">
        <v>724.0</v>
      </c>
      <c r="H113" s="160">
        <v>502.98</v>
      </c>
      <c r="I113" s="161">
        <v>537.23</v>
      </c>
      <c r="J113" s="153">
        <v>3.11</v>
      </c>
      <c r="K113" s="509">
        <f t="shared" si="10"/>
        <v>48.26864331</v>
      </c>
      <c r="L113" s="503"/>
      <c r="M113" s="503"/>
      <c r="N113" s="58"/>
    </row>
    <row r="114">
      <c r="A114" s="54"/>
      <c r="B114" s="510">
        <v>44427.0</v>
      </c>
      <c r="C114" s="511"/>
      <c r="D114" s="513"/>
      <c r="E114" s="160">
        <v>319852.0</v>
      </c>
      <c r="F114" s="153">
        <v>1029.0</v>
      </c>
      <c r="G114" s="160">
        <v>480.0</v>
      </c>
      <c r="H114" s="160">
        <v>164.5</v>
      </c>
      <c r="I114" s="161">
        <v>179.28</v>
      </c>
      <c r="J114" s="153">
        <v>1.34</v>
      </c>
      <c r="K114" s="509">
        <f t="shared" si="10"/>
        <v>17.42274052</v>
      </c>
      <c r="L114" s="503"/>
      <c r="M114" s="503"/>
      <c r="N114" s="58"/>
    </row>
    <row r="115">
      <c r="A115" s="54"/>
      <c r="B115" s="510">
        <v>44433.0</v>
      </c>
      <c r="C115" s="511"/>
      <c r="D115" s="513"/>
      <c r="E115" s="160">
        <v>320491.0</v>
      </c>
      <c r="F115" s="153">
        <v>639.0</v>
      </c>
      <c r="G115" s="160">
        <v>710.0</v>
      </c>
      <c r="H115" s="160">
        <v>493.35</v>
      </c>
      <c r="I115" s="161">
        <v>526.7</v>
      </c>
      <c r="J115" s="153">
        <v>3.03</v>
      </c>
      <c r="K115" s="509">
        <f t="shared" si="10"/>
        <v>82.4256651</v>
      </c>
      <c r="L115" s="503"/>
      <c r="M115" s="503"/>
      <c r="N115" s="58"/>
    </row>
    <row r="116">
      <c r="A116" s="54"/>
      <c r="B116" s="510">
        <v>44437.0</v>
      </c>
      <c r="C116" s="511"/>
      <c r="D116" s="513"/>
      <c r="E116" s="160">
        <v>321305.0</v>
      </c>
      <c r="F116" s="153">
        <v>814.0</v>
      </c>
      <c r="G116" s="160">
        <v>713.0</v>
      </c>
      <c r="H116" s="160">
        <v>330.33</v>
      </c>
      <c r="I116" s="161">
        <v>357.03</v>
      </c>
      <c r="J116" s="153">
        <v>2.43</v>
      </c>
      <c r="K116" s="509">
        <f t="shared" si="10"/>
        <v>43.86117936</v>
      </c>
      <c r="L116" s="503"/>
      <c r="M116" s="503"/>
      <c r="N116" s="58"/>
    </row>
    <row r="117">
      <c r="A117" s="66"/>
      <c r="B117" s="67" t="s">
        <v>104</v>
      </c>
      <c r="J117" s="66"/>
      <c r="K117" s="143"/>
      <c r="L117" s="66"/>
      <c r="M117" s="66"/>
      <c r="N117" s="66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</row>
    <row r="118">
      <c r="A118" s="54"/>
      <c r="B118" s="510">
        <v>44444.0</v>
      </c>
      <c r="C118" s="511"/>
      <c r="D118" s="513"/>
      <c r="E118" s="160">
        <v>322224.0</v>
      </c>
      <c r="F118" s="153">
        <v>920.0</v>
      </c>
      <c r="G118" s="160">
        <v>716.0</v>
      </c>
      <c r="H118" s="160">
        <v>419.05</v>
      </c>
      <c r="I118" s="161">
        <v>442.48</v>
      </c>
      <c r="J118" s="153">
        <v>2.13</v>
      </c>
      <c r="K118" s="509">
        <f t="shared" ref="K118:K122" si="11">I118/F118*100</f>
        <v>48.09565217</v>
      </c>
      <c r="L118" s="503"/>
      <c r="M118" s="503"/>
      <c r="N118" s="58"/>
    </row>
    <row r="119">
      <c r="A119" s="54"/>
      <c r="B119" s="510">
        <v>44450.0</v>
      </c>
      <c r="C119" s="511"/>
      <c r="D119" s="513"/>
      <c r="E119" s="160">
        <v>323392.0</v>
      </c>
      <c r="F119" s="153">
        <v>1168.0</v>
      </c>
      <c r="G119" s="160">
        <v>720.0</v>
      </c>
      <c r="H119" s="160">
        <v>515.32</v>
      </c>
      <c r="I119" s="161">
        <v>556.29</v>
      </c>
      <c r="J119" s="153">
        <v>3.72</v>
      </c>
      <c r="K119" s="509">
        <f t="shared" si="11"/>
        <v>47.62756849</v>
      </c>
      <c r="L119" s="503"/>
      <c r="M119" s="503"/>
      <c r="N119" s="58"/>
    </row>
    <row r="120">
      <c r="A120" s="54"/>
      <c r="B120" s="510">
        <v>44455.0</v>
      </c>
      <c r="C120" s="511"/>
      <c r="D120" s="513"/>
      <c r="E120" s="160">
        <v>324429.0</v>
      </c>
      <c r="F120" s="153">
        <v>1037.0</v>
      </c>
      <c r="G120" s="160">
        <v>451.0</v>
      </c>
      <c r="H120" s="160">
        <v>194.75</v>
      </c>
      <c r="I120" s="161">
        <v>200.0</v>
      </c>
      <c r="J120" s="153">
        <v>0.48</v>
      </c>
      <c r="K120" s="509">
        <f t="shared" si="11"/>
        <v>19.28640309</v>
      </c>
      <c r="L120" s="503"/>
      <c r="M120" s="503"/>
      <c r="N120" s="58"/>
    </row>
    <row r="121">
      <c r="A121" s="54"/>
      <c r="B121" s="510">
        <v>44459.0</v>
      </c>
      <c r="C121" s="511"/>
      <c r="D121" s="513"/>
      <c r="E121" s="160">
        <v>325091.0</v>
      </c>
      <c r="F121" s="153">
        <v>662.0</v>
      </c>
      <c r="G121" s="160">
        <v>706.0</v>
      </c>
      <c r="H121" s="160">
        <v>523.34</v>
      </c>
      <c r="I121" s="161">
        <v>568.0</v>
      </c>
      <c r="J121" s="153">
        <v>4.06</v>
      </c>
      <c r="K121" s="509">
        <f t="shared" si="11"/>
        <v>85.80060423</v>
      </c>
      <c r="L121" s="503"/>
      <c r="M121" s="503"/>
      <c r="N121" s="58"/>
    </row>
    <row r="122">
      <c r="A122" s="54"/>
      <c r="B122" s="510">
        <v>44466.0</v>
      </c>
      <c r="C122" s="511"/>
      <c r="D122" s="513"/>
      <c r="E122" s="160">
        <v>326194.0</v>
      </c>
      <c r="F122" s="153">
        <v>1103.0</v>
      </c>
      <c r="G122" s="160">
        <v>711.0</v>
      </c>
      <c r="H122" s="160">
        <v>534.6</v>
      </c>
      <c r="I122" s="161">
        <v>575.13</v>
      </c>
      <c r="J122" s="153">
        <v>3.68</v>
      </c>
      <c r="K122" s="509">
        <f t="shared" si="11"/>
        <v>52.14233908</v>
      </c>
      <c r="L122" s="503"/>
      <c r="M122" s="503"/>
      <c r="N122" s="140"/>
    </row>
    <row r="123">
      <c r="A123" s="66"/>
      <c r="B123" s="67" t="s">
        <v>96</v>
      </c>
      <c r="J123" s="66"/>
      <c r="K123" s="143"/>
      <c r="L123" s="66"/>
      <c r="M123" s="66"/>
      <c r="N123" s="66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</row>
    <row r="124">
      <c r="A124" s="54"/>
      <c r="B124" s="510">
        <v>44473.0</v>
      </c>
      <c r="C124" s="511"/>
      <c r="D124" s="513"/>
      <c r="E124" s="160">
        <v>327302.0</v>
      </c>
      <c r="F124" s="153">
        <v>1108.0</v>
      </c>
      <c r="G124" s="160">
        <v>720.0</v>
      </c>
      <c r="H124" s="160">
        <v>520.64</v>
      </c>
      <c r="I124" s="161">
        <v>557.16</v>
      </c>
      <c r="J124" s="153">
        <v>3.32</v>
      </c>
      <c r="K124" s="509">
        <f t="shared" ref="K124:K128" si="12">I124/F124*100</f>
        <v>50.28519856</v>
      </c>
      <c r="L124" s="503"/>
      <c r="M124" s="503"/>
      <c r="N124" s="58"/>
    </row>
    <row r="125">
      <c r="A125" s="54"/>
      <c r="B125" s="516">
        <v>44481.0</v>
      </c>
      <c r="C125" s="517"/>
      <c r="D125" s="513"/>
      <c r="E125" s="160">
        <v>328132.0</v>
      </c>
      <c r="F125" s="153">
        <v>830.0</v>
      </c>
      <c r="G125" s="160">
        <v>720.0</v>
      </c>
      <c r="H125" s="160">
        <v>478.91</v>
      </c>
      <c r="I125" s="161">
        <v>506.65</v>
      </c>
      <c r="J125" s="153">
        <v>2.52</v>
      </c>
      <c r="K125" s="509">
        <f t="shared" si="12"/>
        <v>61.04216867</v>
      </c>
      <c r="L125" s="503"/>
      <c r="M125" s="503"/>
      <c r="N125" s="58"/>
    </row>
    <row r="126">
      <c r="A126" s="54"/>
      <c r="B126" s="516">
        <v>44486.0</v>
      </c>
      <c r="C126" s="517"/>
      <c r="D126" s="513"/>
      <c r="E126" s="160">
        <v>328764.0</v>
      </c>
      <c r="F126" s="153">
        <v>632.0</v>
      </c>
      <c r="G126" s="160">
        <v>719.0</v>
      </c>
      <c r="H126" s="160">
        <v>339.67</v>
      </c>
      <c r="I126" s="161">
        <v>366.2</v>
      </c>
      <c r="J126" s="153">
        <v>2.41</v>
      </c>
      <c r="K126" s="509">
        <f t="shared" si="12"/>
        <v>57.94303797</v>
      </c>
      <c r="L126" s="503"/>
      <c r="M126" s="503"/>
      <c r="N126" s="58"/>
    </row>
    <row r="127">
      <c r="A127" s="54"/>
      <c r="B127" s="516">
        <v>44493.0</v>
      </c>
      <c r="C127" s="517"/>
      <c r="D127" s="513"/>
      <c r="E127" s="160">
        <v>329836.0</v>
      </c>
      <c r="F127" s="153">
        <v>1073.0</v>
      </c>
      <c r="G127" s="160">
        <v>719.0</v>
      </c>
      <c r="H127" s="160">
        <v>488.63</v>
      </c>
      <c r="I127" s="161">
        <v>520.09</v>
      </c>
      <c r="J127" s="153">
        <v>2.86</v>
      </c>
      <c r="K127" s="509">
        <f t="shared" si="12"/>
        <v>48.47064306</v>
      </c>
      <c r="L127" s="503"/>
      <c r="M127" s="503"/>
      <c r="N127" s="58"/>
    </row>
    <row r="128">
      <c r="A128" s="54"/>
      <c r="B128" s="516">
        <v>44499.0</v>
      </c>
      <c r="C128" s="517"/>
      <c r="D128" s="513"/>
      <c r="E128" s="160">
        <v>331129.0</v>
      </c>
      <c r="F128" s="153">
        <v>1293.0</v>
      </c>
      <c r="G128" s="160">
        <v>713.0</v>
      </c>
      <c r="H128" s="160">
        <v>553.57</v>
      </c>
      <c r="I128" s="161">
        <v>594.0</v>
      </c>
      <c r="J128" s="153">
        <v>3.68</v>
      </c>
      <c r="K128" s="509">
        <f t="shared" si="12"/>
        <v>45.93967517</v>
      </c>
      <c r="L128" s="503"/>
      <c r="M128" s="503"/>
      <c r="N128" s="58"/>
    </row>
    <row r="129">
      <c r="A129" s="66"/>
      <c r="B129" s="67" t="s">
        <v>97</v>
      </c>
      <c r="J129" s="66"/>
      <c r="K129" s="143"/>
      <c r="L129" s="66"/>
      <c r="M129" s="66"/>
      <c r="N129" s="66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54"/>
      <c r="B130" s="510">
        <v>44505.0</v>
      </c>
      <c r="C130" s="511"/>
      <c r="D130" s="513"/>
      <c r="E130" s="160">
        <v>332207.0</v>
      </c>
      <c r="F130" s="153">
        <v>1078.0</v>
      </c>
      <c r="G130" s="160">
        <v>709.0</v>
      </c>
      <c r="H130" s="160">
        <v>527.52</v>
      </c>
      <c r="I130" s="161">
        <v>570.0</v>
      </c>
      <c r="J130" s="153">
        <v>3.86</v>
      </c>
      <c r="K130" s="509">
        <f t="shared" ref="K130:K139" si="13">I130/F130*100</f>
        <v>52.87569573</v>
      </c>
      <c r="L130" s="503"/>
      <c r="M130" s="503"/>
      <c r="N130" s="58"/>
    </row>
    <row r="131">
      <c r="A131" s="54"/>
      <c r="B131" s="510">
        <v>44509.0</v>
      </c>
      <c r="C131" s="511"/>
      <c r="D131" s="513"/>
      <c r="E131" s="160">
        <v>333373.0</v>
      </c>
      <c r="F131" s="153">
        <v>1166.0</v>
      </c>
      <c r="G131" s="160">
        <v>456.0</v>
      </c>
      <c r="H131" s="160">
        <v>276.39</v>
      </c>
      <c r="I131" s="161">
        <v>300.0</v>
      </c>
      <c r="J131" s="153">
        <v>2.15</v>
      </c>
      <c r="K131" s="509">
        <f t="shared" si="13"/>
        <v>25.72898799</v>
      </c>
      <c r="L131" s="503"/>
      <c r="M131" s="503"/>
      <c r="N131" s="58"/>
    </row>
    <row r="132">
      <c r="A132" s="54"/>
      <c r="B132" s="516">
        <v>44510.0</v>
      </c>
      <c r="C132" s="517"/>
      <c r="D132" s="513"/>
      <c r="E132" s="160">
        <v>333952.0</v>
      </c>
      <c r="F132" s="153">
        <v>580.0</v>
      </c>
      <c r="G132" s="160">
        <v>720.0</v>
      </c>
      <c r="H132" s="160">
        <v>479.36</v>
      </c>
      <c r="I132" s="161">
        <v>514.88</v>
      </c>
      <c r="J132" s="153">
        <v>3.23</v>
      </c>
      <c r="K132" s="509">
        <f t="shared" si="13"/>
        <v>88.77241379</v>
      </c>
      <c r="L132" s="503"/>
      <c r="M132" s="503"/>
      <c r="N132" s="58"/>
    </row>
    <row r="133">
      <c r="A133" s="54"/>
      <c r="B133" s="516">
        <v>44511.0</v>
      </c>
      <c r="C133" s="517"/>
      <c r="D133" s="513"/>
      <c r="E133" s="160">
        <v>334621.0</v>
      </c>
      <c r="F133" s="153">
        <v>668.0</v>
      </c>
      <c r="G133" s="160">
        <v>720.0</v>
      </c>
      <c r="H133" s="160">
        <v>261.67</v>
      </c>
      <c r="I133" s="161">
        <v>274.53</v>
      </c>
      <c r="J133" s="153">
        <v>1.17</v>
      </c>
      <c r="K133" s="509">
        <f t="shared" si="13"/>
        <v>41.09730539</v>
      </c>
      <c r="L133" s="503"/>
      <c r="M133" s="503"/>
      <c r="N133" s="58"/>
    </row>
    <row r="134">
      <c r="A134" s="54"/>
      <c r="B134" s="516">
        <v>44513.0</v>
      </c>
      <c r="C134" s="517"/>
      <c r="D134" s="513"/>
      <c r="E134" s="160">
        <v>336057.0</v>
      </c>
      <c r="F134" s="153">
        <v>1436.0</v>
      </c>
      <c r="G134" s="160">
        <v>710.0</v>
      </c>
      <c r="H134" s="160">
        <v>482.34</v>
      </c>
      <c r="I134" s="161">
        <v>520.14</v>
      </c>
      <c r="J134" s="153">
        <v>3.44</v>
      </c>
      <c r="K134" s="509">
        <f t="shared" si="13"/>
        <v>36.22144847</v>
      </c>
      <c r="L134" s="503"/>
      <c r="M134" s="503"/>
      <c r="N134" s="58"/>
    </row>
    <row r="135">
      <c r="A135" s="54"/>
      <c r="B135" s="516">
        <v>44515.0</v>
      </c>
      <c r="C135" s="517"/>
      <c r="D135" s="513"/>
      <c r="E135" s="160">
        <v>336890.0</v>
      </c>
      <c r="F135" s="153">
        <v>833.0</v>
      </c>
      <c r="G135" s="160">
        <v>697.0</v>
      </c>
      <c r="H135" s="160">
        <v>362.38</v>
      </c>
      <c r="I135" s="161">
        <v>381.84</v>
      </c>
      <c r="J135" s="153">
        <v>1.77</v>
      </c>
      <c r="K135" s="509">
        <f t="shared" si="13"/>
        <v>45.83913565</v>
      </c>
      <c r="L135" s="503"/>
      <c r="M135" s="504"/>
      <c r="N135" s="503"/>
    </row>
    <row r="136">
      <c r="A136" s="54"/>
      <c r="B136" s="516">
        <v>44516.0</v>
      </c>
      <c r="C136" s="517"/>
      <c r="D136" s="513"/>
      <c r="E136" s="515"/>
      <c r="F136" s="502"/>
      <c r="G136" s="515"/>
      <c r="H136" s="515"/>
      <c r="I136" s="502"/>
      <c r="J136" s="502"/>
      <c r="K136" s="509" t="str">
        <f t="shared" si="13"/>
        <v>#DIV/0!</v>
      </c>
      <c r="L136" s="503"/>
      <c r="M136" s="504"/>
      <c r="N136" s="503"/>
    </row>
    <row r="137">
      <c r="A137" s="54"/>
      <c r="B137" s="516">
        <v>44517.0</v>
      </c>
      <c r="C137" s="517"/>
      <c r="D137" s="513"/>
      <c r="E137" s="515"/>
      <c r="F137" s="502"/>
      <c r="G137" s="515"/>
      <c r="H137" s="515"/>
      <c r="I137" s="502"/>
      <c r="J137" s="502"/>
      <c r="K137" s="509" t="str">
        <f t="shared" si="13"/>
        <v>#DIV/0!</v>
      </c>
      <c r="L137" s="503"/>
      <c r="M137" s="503"/>
      <c r="N137" s="58"/>
    </row>
    <row r="138">
      <c r="A138" s="54"/>
      <c r="B138" s="516">
        <v>44519.0</v>
      </c>
      <c r="C138" s="517"/>
      <c r="D138" s="513"/>
      <c r="E138" s="160">
        <v>337349.0</v>
      </c>
      <c r="F138" s="153">
        <v>460.0</v>
      </c>
      <c r="G138" s="160">
        <v>704.0</v>
      </c>
      <c r="H138" s="160">
        <v>282.83</v>
      </c>
      <c r="I138" s="161">
        <v>300.0</v>
      </c>
      <c r="J138" s="153">
        <v>1.56</v>
      </c>
      <c r="K138" s="509">
        <f t="shared" si="13"/>
        <v>65.2173913</v>
      </c>
      <c r="L138" s="503"/>
      <c r="M138" s="503"/>
      <c r="N138" s="58"/>
    </row>
    <row r="139">
      <c r="A139" s="54"/>
      <c r="B139" s="516">
        <v>44526.0</v>
      </c>
      <c r="C139" s="517"/>
      <c r="D139" s="513"/>
      <c r="E139" s="160">
        <v>338140.0</v>
      </c>
      <c r="F139" s="153">
        <v>790.0</v>
      </c>
      <c r="G139" s="160">
        <v>707.0</v>
      </c>
      <c r="H139" s="160">
        <v>461.35</v>
      </c>
      <c r="I139" s="161">
        <v>501.4</v>
      </c>
      <c r="J139" s="153">
        <v>3.64</v>
      </c>
      <c r="K139" s="509">
        <f t="shared" si="13"/>
        <v>63.46835443</v>
      </c>
      <c r="L139" s="503"/>
      <c r="M139" s="503"/>
      <c r="N139" s="58"/>
    </row>
    <row r="140">
      <c r="A140" s="66"/>
      <c r="B140" s="67" t="s">
        <v>98</v>
      </c>
      <c r="J140" s="66"/>
      <c r="K140" s="143"/>
      <c r="L140" s="66"/>
      <c r="M140" s="66"/>
      <c r="N140" s="66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</row>
    <row r="141">
      <c r="A141" s="54"/>
      <c r="B141" s="510">
        <v>44532.0</v>
      </c>
      <c r="C141" s="511"/>
      <c r="D141" s="513"/>
      <c r="E141" s="160">
        <v>338797.0</v>
      </c>
      <c r="F141" s="153">
        <v>657.0</v>
      </c>
      <c r="G141" s="160">
        <v>699.0</v>
      </c>
      <c r="H141" s="160">
        <v>457.95</v>
      </c>
      <c r="I141" s="161">
        <v>495.64</v>
      </c>
      <c r="J141" s="153">
        <v>3.43</v>
      </c>
      <c r="K141" s="509">
        <f t="shared" ref="K141:K150" si="14">I141/F141*100</f>
        <v>75.43987823</v>
      </c>
      <c r="L141" s="503"/>
      <c r="M141" s="503"/>
      <c r="N141" s="58"/>
    </row>
    <row r="142">
      <c r="A142" s="54"/>
      <c r="B142" s="510">
        <v>44537.0</v>
      </c>
      <c r="C142" s="511"/>
      <c r="D142" s="513"/>
      <c r="E142" s="160">
        <v>340065.0</v>
      </c>
      <c r="F142" s="153">
        <v>1269.0</v>
      </c>
      <c r="G142" s="160">
        <v>688.0</v>
      </c>
      <c r="H142" s="160">
        <v>624.84</v>
      </c>
      <c r="I142" s="161">
        <v>693.85</v>
      </c>
      <c r="J142" s="153">
        <v>6.27</v>
      </c>
      <c r="K142" s="509">
        <f t="shared" si="14"/>
        <v>54.67691095</v>
      </c>
      <c r="L142" s="503"/>
      <c r="M142" s="503"/>
      <c r="N142" s="58"/>
    </row>
    <row r="143">
      <c r="A143" s="54"/>
      <c r="B143" s="516">
        <v>44542.0</v>
      </c>
      <c r="C143" s="517"/>
      <c r="D143" s="513"/>
      <c r="E143" s="160">
        <v>340866.0</v>
      </c>
      <c r="F143" s="153">
        <v>801.0</v>
      </c>
      <c r="G143" s="160">
        <v>464.0</v>
      </c>
      <c r="H143" s="160">
        <v>260.17</v>
      </c>
      <c r="I143" s="161">
        <v>300.0</v>
      </c>
      <c r="J143" s="153">
        <v>3.62</v>
      </c>
      <c r="K143" s="509">
        <f t="shared" si="14"/>
        <v>37.45318352</v>
      </c>
      <c r="L143" s="503"/>
      <c r="M143" s="503"/>
      <c r="N143" s="58"/>
    </row>
    <row r="144">
      <c r="A144" s="54"/>
      <c r="B144" s="516">
        <v>44543.0</v>
      </c>
      <c r="C144" s="517"/>
      <c r="D144" s="513"/>
      <c r="E144" s="160">
        <v>341152.0</v>
      </c>
      <c r="F144" s="153">
        <v>286.0</v>
      </c>
      <c r="G144" s="160">
        <v>584.0</v>
      </c>
      <c r="H144" s="160">
        <v>257.5</v>
      </c>
      <c r="I144" s="161">
        <v>300.0</v>
      </c>
      <c r="J144" s="153">
        <v>3.86</v>
      </c>
      <c r="K144" s="509">
        <f t="shared" si="14"/>
        <v>104.8951049</v>
      </c>
      <c r="L144" s="503"/>
      <c r="M144" s="503"/>
      <c r="N144" s="58"/>
    </row>
    <row r="145">
      <c r="A145" s="54"/>
      <c r="B145" s="516">
        <v>44545.0</v>
      </c>
      <c r="C145" s="517"/>
      <c r="D145" s="513"/>
      <c r="E145" s="160">
        <v>341825.0</v>
      </c>
      <c r="F145" s="153">
        <v>673.0</v>
      </c>
      <c r="G145" s="160">
        <v>558.0</v>
      </c>
      <c r="H145" s="160">
        <v>265.5</v>
      </c>
      <c r="I145" s="161">
        <v>300.0</v>
      </c>
      <c r="J145" s="153">
        <v>3.14</v>
      </c>
      <c r="K145" s="509">
        <f t="shared" si="14"/>
        <v>44.57652303</v>
      </c>
      <c r="L145" s="503"/>
      <c r="M145" s="503"/>
      <c r="N145" s="58"/>
    </row>
    <row r="146">
      <c r="A146" s="54"/>
      <c r="B146" s="516">
        <v>44549.0</v>
      </c>
      <c r="C146" s="517"/>
      <c r="D146" s="513"/>
      <c r="E146" s="160">
        <v>342518.0</v>
      </c>
      <c r="F146" s="153">
        <v>693.0</v>
      </c>
      <c r="G146" s="160">
        <v>509.0</v>
      </c>
      <c r="H146" s="160">
        <v>271.8</v>
      </c>
      <c r="I146" s="161">
        <v>300.0</v>
      </c>
      <c r="J146" s="153">
        <v>2.56</v>
      </c>
      <c r="K146" s="509">
        <f t="shared" si="14"/>
        <v>43.29004329</v>
      </c>
      <c r="L146" s="503"/>
      <c r="M146" s="503"/>
      <c r="N146" s="58"/>
    </row>
    <row r="147">
      <c r="A147" s="54"/>
      <c r="B147" s="516">
        <v>44551.0</v>
      </c>
      <c r="C147" s="517"/>
      <c r="D147" s="513"/>
      <c r="E147" s="160">
        <v>343030.0</v>
      </c>
      <c r="F147" s="153">
        <v>512.0</v>
      </c>
      <c r="G147" s="160">
        <v>553.0</v>
      </c>
      <c r="H147" s="160">
        <v>267.08</v>
      </c>
      <c r="I147" s="161">
        <v>300.0</v>
      </c>
      <c r="J147" s="153">
        <v>2.99</v>
      </c>
      <c r="K147" s="509">
        <f t="shared" si="14"/>
        <v>58.59375</v>
      </c>
      <c r="L147" s="503"/>
      <c r="M147" s="503"/>
      <c r="N147" s="58"/>
    </row>
    <row r="148">
      <c r="A148" s="54"/>
      <c r="B148" s="516">
        <v>44555.0</v>
      </c>
      <c r="C148" s="517"/>
      <c r="D148" s="513"/>
      <c r="E148" s="160">
        <v>343448.0</v>
      </c>
      <c r="F148" s="153">
        <v>418.0</v>
      </c>
      <c r="G148" s="160">
        <v>470.0</v>
      </c>
      <c r="H148" s="160">
        <v>264.42</v>
      </c>
      <c r="I148" s="161">
        <v>300.0</v>
      </c>
      <c r="J148" s="153">
        <v>3.23</v>
      </c>
      <c r="K148" s="509">
        <f t="shared" si="14"/>
        <v>71.77033493</v>
      </c>
      <c r="L148" s="503"/>
      <c r="M148" s="503"/>
      <c r="N148" s="58"/>
    </row>
    <row r="149">
      <c r="A149" s="54"/>
      <c r="B149" s="516">
        <v>44556.0</v>
      </c>
      <c r="C149" s="517"/>
      <c r="D149" s="513"/>
      <c r="E149" s="160">
        <v>343842.0</v>
      </c>
      <c r="F149" s="153">
        <v>394.0</v>
      </c>
      <c r="G149" s="160">
        <v>537.0</v>
      </c>
      <c r="H149" s="160">
        <v>274.9</v>
      </c>
      <c r="I149" s="161">
        <v>300.0</v>
      </c>
      <c r="J149" s="153">
        <v>2.28</v>
      </c>
      <c r="K149" s="509">
        <f t="shared" si="14"/>
        <v>76.14213198</v>
      </c>
      <c r="L149" s="503"/>
      <c r="M149" s="503"/>
      <c r="N149" s="58"/>
    </row>
    <row r="150">
      <c r="A150" s="54"/>
      <c r="B150" s="516">
        <v>44558.0</v>
      </c>
      <c r="C150" s="517"/>
      <c r="D150" s="513"/>
      <c r="E150" s="160">
        <v>344318.0</v>
      </c>
      <c r="F150" s="153">
        <v>476.0</v>
      </c>
      <c r="G150" s="160">
        <v>568.0</v>
      </c>
      <c r="H150" s="160">
        <v>269.32</v>
      </c>
      <c r="I150" s="161">
        <v>300.0</v>
      </c>
      <c r="J150" s="153">
        <v>2.79</v>
      </c>
      <c r="K150" s="509">
        <f t="shared" si="14"/>
        <v>63.02521008</v>
      </c>
      <c r="L150" s="503"/>
      <c r="M150" s="503"/>
      <c r="N150" s="140"/>
    </row>
    <row r="151">
      <c r="A151" s="66"/>
      <c r="B151" s="67">
        <v>2022.0</v>
      </c>
      <c r="J151" s="142"/>
      <c r="K151" s="143"/>
      <c r="L151" s="144"/>
      <c r="M151" s="144"/>
      <c r="N151" s="142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</row>
    <row r="152">
      <c r="A152" s="66"/>
      <c r="B152" s="67" t="s">
        <v>66</v>
      </c>
      <c r="J152" s="66"/>
      <c r="K152" s="143"/>
      <c r="L152" s="66"/>
      <c r="M152" s="66"/>
      <c r="N152" s="66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</row>
    <row r="153">
      <c r="A153" s="54"/>
      <c r="B153" s="510">
        <v>44574.0</v>
      </c>
      <c r="C153" s="511"/>
      <c r="D153" s="513"/>
      <c r="E153" s="160">
        <v>344712.0</v>
      </c>
      <c r="F153" s="153">
        <v>394.0</v>
      </c>
      <c r="G153" s="160">
        <v>625.0</v>
      </c>
      <c r="H153" s="160">
        <v>273.53</v>
      </c>
      <c r="I153" s="153">
        <v>300.0</v>
      </c>
      <c r="J153" s="153">
        <v>2.41</v>
      </c>
      <c r="K153" s="509">
        <f t="shared" ref="K153:K157" si="15">I153/F153*100</f>
        <v>76.14213198</v>
      </c>
      <c r="L153" s="503"/>
      <c r="M153" s="504"/>
      <c r="N153" s="121"/>
    </row>
    <row r="154">
      <c r="A154" s="54"/>
      <c r="B154" s="510">
        <v>44578.0</v>
      </c>
      <c r="C154" s="511"/>
      <c r="D154" s="513"/>
      <c r="E154" s="160">
        <v>345343.0</v>
      </c>
      <c r="F154" s="153">
        <v>631.0</v>
      </c>
      <c r="G154" s="160">
        <v>593.0</v>
      </c>
      <c r="H154" s="160">
        <v>265.74</v>
      </c>
      <c r="I154" s="153">
        <v>300.0</v>
      </c>
      <c r="J154" s="153">
        <v>3.11</v>
      </c>
      <c r="K154" s="509">
        <f t="shared" si="15"/>
        <v>47.54358162</v>
      </c>
      <c r="L154" s="503"/>
      <c r="M154" s="503"/>
      <c r="N154" s="121"/>
    </row>
    <row r="155">
      <c r="A155" s="54"/>
      <c r="B155" s="510">
        <v>44582.0</v>
      </c>
      <c r="C155" s="511"/>
      <c r="D155" s="513"/>
      <c r="E155" s="160">
        <v>345817.0</v>
      </c>
      <c r="F155" s="153">
        <v>474.0</v>
      </c>
      <c r="G155" s="160">
        <v>575.0</v>
      </c>
      <c r="H155" s="160">
        <v>277.19</v>
      </c>
      <c r="I155" s="153">
        <v>300.0</v>
      </c>
      <c r="J155" s="153">
        <v>2.07</v>
      </c>
      <c r="K155" s="509">
        <f t="shared" si="15"/>
        <v>63.29113924</v>
      </c>
      <c r="L155" s="503"/>
      <c r="M155" s="503"/>
      <c r="N155" s="121"/>
    </row>
    <row r="156">
      <c r="A156" s="54"/>
      <c r="B156" s="510">
        <v>44585.0</v>
      </c>
      <c r="C156" s="511"/>
      <c r="D156" s="513"/>
      <c r="E156" s="160">
        <v>346130.0</v>
      </c>
      <c r="F156" s="153">
        <v>313.0</v>
      </c>
      <c r="G156" s="160">
        <v>626.0</v>
      </c>
      <c r="H156" s="160">
        <v>272.16</v>
      </c>
      <c r="I156" s="153">
        <v>300.0</v>
      </c>
      <c r="J156" s="153">
        <v>2.53</v>
      </c>
      <c r="K156" s="509">
        <f t="shared" si="15"/>
        <v>95.84664537</v>
      </c>
      <c r="L156" s="503"/>
      <c r="M156" s="503"/>
      <c r="N156" s="121"/>
    </row>
    <row r="157">
      <c r="A157" s="54"/>
      <c r="B157" s="510">
        <v>44588.0</v>
      </c>
      <c r="C157" s="511"/>
      <c r="D157" s="513"/>
      <c r="E157" s="160">
        <v>346670.0</v>
      </c>
      <c r="F157" s="153">
        <v>540.0</v>
      </c>
      <c r="G157" s="160">
        <v>606.0</v>
      </c>
      <c r="H157" s="160">
        <v>272.84</v>
      </c>
      <c r="I157" s="153">
        <v>300.0</v>
      </c>
      <c r="J157" s="153">
        <v>2.47</v>
      </c>
      <c r="K157" s="509">
        <f t="shared" si="15"/>
        <v>55.55555556</v>
      </c>
      <c r="L157" s="503"/>
      <c r="M157" s="503"/>
      <c r="N157" s="121"/>
    </row>
    <row r="158">
      <c r="A158" s="66"/>
      <c r="B158" s="67" t="s">
        <v>68</v>
      </c>
      <c r="J158" s="66"/>
      <c r="K158" s="143"/>
      <c r="L158" s="66"/>
      <c r="M158" s="66"/>
      <c r="N158" s="66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</row>
    <row r="159">
      <c r="A159" s="54"/>
      <c r="B159" s="510">
        <v>44593.0</v>
      </c>
      <c r="C159" s="511"/>
      <c r="D159" s="513"/>
      <c r="E159" s="160">
        <v>346955.0</v>
      </c>
      <c r="F159" s="153">
        <v>285.0</v>
      </c>
      <c r="G159" s="160">
        <v>674.0</v>
      </c>
      <c r="H159" s="160">
        <v>277.75</v>
      </c>
      <c r="I159" s="153">
        <v>300.0</v>
      </c>
      <c r="J159" s="153">
        <v>2.02</v>
      </c>
      <c r="K159" s="509">
        <f t="shared" ref="K159:K166" si="16">I159/F159*100</f>
        <v>105.2631579</v>
      </c>
      <c r="L159" s="503"/>
      <c r="M159" s="503"/>
      <c r="N159" s="121"/>
    </row>
    <row r="160">
      <c r="A160" s="54"/>
      <c r="B160" s="510">
        <v>44597.0</v>
      </c>
      <c r="C160" s="511"/>
      <c r="D160" s="513"/>
      <c r="E160" s="160">
        <v>347605.0</v>
      </c>
      <c r="F160" s="153">
        <v>650.0</v>
      </c>
      <c r="G160" s="160">
        <v>533.0</v>
      </c>
      <c r="H160" s="160">
        <v>274.39</v>
      </c>
      <c r="I160" s="153">
        <v>300.0</v>
      </c>
      <c r="J160" s="153">
        <v>2.33</v>
      </c>
      <c r="K160" s="509">
        <f t="shared" si="16"/>
        <v>46.15384615</v>
      </c>
      <c r="L160" s="503"/>
      <c r="M160" s="503"/>
      <c r="N160" s="121"/>
    </row>
    <row r="161">
      <c r="A161" s="54"/>
      <c r="B161" s="510">
        <v>44607.0</v>
      </c>
      <c r="C161" s="511"/>
      <c r="D161" s="513"/>
      <c r="E161" s="160">
        <v>348374.0</v>
      </c>
      <c r="F161" s="153">
        <v>768.0</v>
      </c>
      <c r="G161" s="160">
        <v>432.0</v>
      </c>
      <c r="H161" s="160">
        <v>267.5</v>
      </c>
      <c r="I161" s="153">
        <v>300.0</v>
      </c>
      <c r="J161" s="153">
        <v>2.95</v>
      </c>
      <c r="K161" s="509">
        <f t="shared" si="16"/>
        <v>39.0625</v>
      </c>
      <c r="L161" s="503"/>
      <c r="M161" s="503"/>
      <c r="N161" s="121"/>
    </row>
    <row r="162">
      <c r="A162" s="54"/>
      <c r="B162" s="510">
        <v>44607.0</v>
      </c>
      <c r="C162" s="511"/>
      <c r="D162" s="513"/>
      <c r="E162" s="160">
        <v>348530.0</v>
      </c>
      <c r="F162" s="153">
        <v>156.0</v>
      </c>
      <c r="G162" s="160">
        <v>697.0</v>
      </c>
      <c r="H162" s="160">
        <v>341.72</v>
      </c>
      <c r="I162" s="153">
        <v>360.88</v>
      </c>
      <c r="J162" s="153">
        <v>1.74</v>
      </c>
      <c r="K162" s="509">
        <f t="shared" si="16"/>
        <v>231.3333333</v>
      </c>
      <c r="L162" s="503"/>
      <c r="M162" s="503"/>
      <c r="N162" s="121"/>
    </row>
    <row r="163">
      <c r="A163" s="54"/>
      <c r="B163" s="510">
        <v>44608.0</v>
      </c>
      <c r="C163" s="511"/>
      <c r="D163" s="513"/>
      <c r="E163" s="160">
        <v>348625.0</v>
      </c>
      <c r="F163" s="153">
        <v>95.0</v>
      </c>
      <c r="G163" s="160">
        <v>921.0</v>
      </c>
      <c r="H163" s="160">
        <v>280.02</v>
      </c>
      <c r="I163" s="153">
        <v>300.0</v>
      </c>
      <c r="J163" s="153">
        <v>1.82</v>
      </c>
      <c r="K163" s="509">
        <f t="shared" si="16"/>
        <v>315.7894737</v>
      </c>
      <c r="L163" s="503"/>
      <c r="M163" s="503"/>
      <c r="N163" s="121"/>
    </row>
    <row r="164">
      <c r="A164" s="54"/>
      <c r="B164" s="510">
        <v>44614.0</v>
      </c>
      <c r="C164" s="511"/>
      <c r="D164" s="513"/>
      <c r="E164" s="160">
        <v>349538.0</v>
      </c>
      <c r="F164" s="153">
        <v>913.0</v>
      </c>
      <c r="G164" s="160">
        <v>788.0</v>
      </c>
      <c r="H164" s="160">
        <v>271.52</v>
      </c>
      <c r="I164" s="153">
        <v>300.0</v>
      </c>
      <c r="J164" s="153">
        <v>-28.48</v>
      </c>
      <c r="K164" s="509">
        <f t="shared" si="16"/>
        <v>32.85870756</v>
      </c>
      <c r="L164" s="503"/>
      <c r="M164" s="503"/>
      <c r="N164" s="121"/>
    </row>
    <row r="165">
      <c r="A165" s="54"/>
      <c r="B165" s="510">
        <v>44616.0</v>
      </c>
      <c r="C165" s="511"/>
      <c r="D165" s="513"/>
      <c r="E165" s="160">
        <v>349877.0</v>
      </c>
      <c r="F165" s="153">
        <v>339.0</v>
      </c>
      <c r="G165" s="160">
        <v>881.0</v>
      </c>
      <c r="H165" s="160">
        <v>273.82</v>
      </c>
      <c r="I165" s="153">
        <v>300.0</v>
      </c>
      <c r="J165" s="153">
        <v>-26.18</v>
      </c>
      <c r="K165" s="509">
        <f t="shared" si="16"/>
        <v>88.49557522</v>
      </c>
      <c r="L165" s="503"/>
      <c r="M165" s="503"/>
      <c r="N165" s="121"/>
    </row>
    <row r="166">
      <c r="A166" s="54"/>
      <c r="B166" s="510">
        <v>44618.0</v>
      </c>
      <c r="C166" s="511"/>
      <c r="D166" s="513"/>
      <c r="E166" s="160">
        <v>350779.0</v>
      </c>
      <c r="F166" s="153">
        <v>903.0</v>
      </c>
      <c r="G166" s="160">
        <v>1040.0</v>
      </c>
      <c r="H166" s="160">
        <v>555.93</v>
      </c>
      <c r="I166" s="153">
        <v>611.0</v>
      </c>
      <c r="J166" s="153">
        <v>-55.07</v>
      </c>
      <c r="K166" s="509">
        <f t="shared" si="16"/>
        <v>67.66334441</v>
      </c>
      <c r="L166" s="503"/>
      <c r="M166" s="503"/>
      <c r="N166" s="121"/>
    </row>
    <row r="167">
      <c r="A167" s="66"/>
      <c r="B167" s="67" t="s">
        <v>72</v>
      </c>
      <c r="J167" s="66"/>
      <c r="K167" s="143"/>
      <c r="L167" s="66"/>
      <c r="M167" s="66"/>
      <c r="N167" s="66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</row>
    <row r="168">
      <c r="A168" s="54"/>
      <c r="B168" s="510">
        <v>44623.0</v>
      </c>
      <c r="C168" s="511"/>
      <c r="D168" s="513"/>
      <c r="E168" s="160">
        <v>351463.0</v>
      </c>
      <c r="F168" s="153">
        <v>684.0</v>
      </c>
      <c r="G168" s="160">
        <v>942.0</v>
      </c>
      <c r="H168" s="160">
        <v>286.14</v>
      </c>
      <c r="I168" s="153">
        <v>300.0</v>
      </c>
      <c r="J168" s="153">
        <v>-13.86</v>
      </c>
      <c r="K168" s="509">
        <f t="shared" ref="K168:K178" si="17">I168/F168*100</f>
        <v>43.85964912</v>
      </c>
      <c r="L168" s="503"/>
      <c r="M168" s="503"/>
      <c r="N168" s="121"/>
    </row>
    <row r="169">
      <c r="A169" s="54"/>
      <c r="B169" s="510">
        <v>44626.0</v>
      </c>
      <c r="C169" s="511"/>
      <c r="D169" s="513"/>
      <c r="E169" s="160">
        <v>352072.0</v>
      </c>
      <c r="F169" s="153">
        <v>609.0</v>
      </c>
      <c r="G169" s="160">
        <v>922.0</v>
      </c>
      <c r="H169" s="160">
        <v>286.61</v>
      </c>
      <c r="I169" s="153">
        <v>300.0</v>
      </c>
      <c r="J169" s="153">
        <v>-13.39</v>
      </c>
      <c r="K169" s="509">
        <f t="shared" si="17"/>
        <v>49.26108374</v>
      </c>
      <c r="L169" s="503"/>
      <c r="M169" s="503"/>
      <c r="N169" s="121"/>
    </row>
    <row r="170">
      <c r="A170" s="54"/>
      <c r="B170" s="510">
        <v>44628.0</v>
      </c>
      <c r="C170" s="511"/>
      <c r="D170" s="513"/>
      <c r="E170" s="160">
        <v>352587.0</v>
      </c>
      <c r="F170" s="153">
        <v>515.0</v>
      </c>
      <c r="G170" s="160">
        <v>950.0</v>
      </c>
      <c r="H170" s="160">
        <v>291.95</v>
      </c>
      <c r="I170" s="153">
        <v>300.0</v>
      </c>
      <c r="J170" s="153">
        <v>-8.05</v>
      </c>
      <c r="K170" s="509">
        <f t="shared" si="17"/>
        <v>58.25242718</v>
      </c>
      <c r="L170" s="503"/>
      <c r="M170" s="503"/>
      <c r="N170" s="121"/>
    </row>
    <row r="171">
      <c r="A171" s="54"/>
      <c r="B171" s="510">
        <v>44631.0</v>
      </c>
      <c r="C171" s="511"/>
      <c r="D171" s="513"/>
      <c r="E171" s="160">
        <v>353144.0</v>
      </c>
      <c r="F171" s="153">
        <v>557.0</v>
      </c>
      <c r="G171" s="160">
        <v>881.0</v>
      </c>
      <c r="H171" s="160">
        <v>281.79</v>
      </c>
      <c r="I171" s="153">
        <v>300.0</v>
      </c>
      <c r="J171" s="153">
        <v>-18.21</v>
      </c>
      <c r="K171" s="509">
        <f t="shared" si="17"/>
        <v>53.85996409</v>
      </c>
      <c r="L171" s="503"/>
      <c r="M171" s="503"/>
      <c r="N171" s="121"/>
    </row>
    <row r="172">
      <c r="A172" s="54"/>
      <c r="B172" s="510">
        <v>44634.0</v>
      </c>
      <c r="C172" s="511"/>
      <c r="D172" s="513"/>
      <c r="E172" s="160">
        <v>353662.0</v>
      </c>
      <c r="F172" s="153">
        <v>518.0</v>
      </c>
      <c r="G172" s="160">
        <v>890.0</v>
      </c>
      <c r="H172" s="160">
        <v>286.43</v>
      </c>
      <c r="I172" s="153">
        <v>300.0</v>
      </c>
      <c r="J172" s="153">
        <v>-13.57</v>
      </c>
      <c r="K172" s="509">
        <f t="shared" si="17"/>
        <v>57.91505792</v>
      </c>
      <c r="L172" s="503"/>
      <c r="M172" s="503"/>
      <c r="N172" s="121"/>
    </row>
    <row r="173">
      <c r="A173" s="54"/>
      <c r="B173" s="510">
        <v>44636.0</v>
      </c>
      <c r="C173" s="511"/>
      <c r="D173" s="513"/>
      <c r="E173" s="160">
        <v>354234.0</v>
      </c>
      <c r="F173" s="153">
        <v>572.0</v>
      </c>
      <c r="G173" s="160">
        <v>881.0</v>
      </c>
      <c r="H173" s="160">
        <v>278.71</v>
      </c>
      <c r="I173" s="153">
        <v>300.0</v>
      </c>
      <c r="J173" s="153">
        <v>-21.29</v>
      </c>
      <c r="K173" s="509">
        <f t="shared" si="17"/>
        <v>52.44755245</v>
      </c>
      <c r="L173" s="503"/>
      <c r="M173" s="503"/>
      <c r="N173" s="121"/>
    </row>
    <row r="174">
      <c r="A174" s="54"/>
      <c r="B174" s="510">
        <v>44638.0</v>
      </c>
      <c r="C174" s="511"/>
      <c r="D174" s="513"/>
      <c r="E174" s="160">
        <v>354425.0</v>
      </c>
      <c r="F174" s="153">
        <v>191.0</v>
      </c>
      <c r="G174" s="160">
        <v>1021.0</v>
      </c>
      <c r="H174" s="160">
        <v>291.62</v>
      </c>
      <c r="I174" s="153">
        <v>300.0</v>
      </c>
      <c r="J174" s="153">
        <v>-8.38</v>
      </c>
      <c r="K174" s="509">
        <f t="shared" si="17"/>
        <v>157.0680628</v>
      </c>
      <c r="L174" s="503"/>
      <c r="M174" s="503"/>
      <c r="N174" s="121"/>
    </row>
    <row r="175">
      <c r="A175" s="54"/>
      <c r="B175" s="510">
        <v>44642.0</v>
      </c>
      <c r="C175" s="511"/>
      <c r="D175" s="513"/>
      <c r="E175" s="160">
        <v>355432.0</v>
      </c>
      <c r="F175" s="153">
        <v>1007.0</v>
      </c>
      <c r="G175" s="160">
        <v>882.0</v>
      </c>
      <c r="H175" s="160">
        <v>290.95</v>
      </c>
      <c r="I175" s="153">
        <v>300.0</v>
      </c>
      <c r="J175" s="153">
        <v>-9.05</v>
      </c>
      <c r="K175" s="509">
        <f t="shared" si="17"/>
        <v>29.79145978</v>
      </c>
      <c r="L175" s="503"/>
      <c r="M175" s="503"/>
      <c r="N175" s="121"/>
    </row>
    <row r="176">
      <c r="A176" s="54"/>
      <c r="B176" s="510">
        <v>44644.0</v>
      </c>
      <c r="C176" s="511"/>
      <c r="D176" s="513"/>
      <c r="E176" s="160">
        <v>355886.0</v>
      </c>
      <c r="F176" s="153">
        <v>454.0</v>
      </c>
      <c r="G176" s="160">
        <v>925.0</v>
      </c>
      <c r="H176" s="160">
        <v>291.75</v>
      </c>
      <c r="I176" s="153">
        <v>300.0</v>
      </c>
      <c r="J176" s="153">
        <v>-8.25</v>
      </c>
      <c r="K176" s="509">
        <f t="shared" si="17"/>
        <v>66.07929515</v>
      </c>
      <c r="L176" s="503"/>
      <c r="M176" s="503"/>
      <c r="N176" s="121"/>
    </row>
    <row r="177">
      <c r="A177" s="54"/>
      <c r="B177" s="510">
        <v>44646.0</v>
      </c>
      <c r="C177" s="511"/>
      <c r="D177" s="513"/>
      <c r="E177" s="160">
        <v>356347.0</v>
      </c>
      <c r="F177" s="153">
        <v>461.0</v>
      </c>
      <c r="G177" s="160">
        <v>996.0</v>
      </c>
      <c r="H177" s="160">
        <v>294.17</v>
      </c>
      <c r="I177" s="153">
        <v>300.0</v>
      </c>
      <c r="J177" s="153">
        <v>-5.83</v>
      </c>
      <c r="K177" s="509">
        <f t="shared" si="17"/>
        <v>65.07592191</v>
      </c>
      <c r="L177" s="503"/>
      <c r="M177" s="503"/>
      <c r="N177" s="121"/>
    </row>
    <row r="178">
      <c r="A178" s="54"/>
      <c r="B178" s="510">
        <v>44649.0</v>
      </c>
      <c r="C178" s="511"/>
      <c r="D178" s="513"/>
      <c r="E178" s="160">
        <v>357243.0</v>
      </c>
      <c r="F178" s="153">
        <v>896.0</v>
      </c>
      <c r="G178" s="160">
        <v>1072.0</v>
      </c>
      <c r="H178" s="160">
        <v>497.38</v>
      </c>
      <c r="I178" s="153">
        <v>490.01</v>
      </c>
      <c r="J178" s="153">
        <v>7.37</v>
      </c>
      <c r="K178" s="509">
        <f t="shared" si="17"/>
        <v>54.68861607</v>
      </c>
      <c r="L178" s="121"/>
      <c r="M178" s="121"/>
      <c r="N178" s="121"/>
    </row>
    <row r="179">
      <c r="A179" s="66"/>
      <c r="B179" s="67" t="s">
        <v>74</v>
      </c>
      <c r="J179" s="66"/>
      <c r="K179" s="143"/>
      <c r="L179" s="66"/>
      <c r="M179" s="66"/>
      <c r="N179" s="66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54"/>
      <c r="B180" s="510">
        <v>44652.0</v>
      </c>
      <c r="C180" s="511"/>
      <c r="D180" s="513"/>
      <c r="E180" s="160">
        <v>358064.0</v>
      </c>
      <c r="F180" s="153">
        <v>821.0</v>
      </c>
      <c r="G180" s="160">
        <v>1042.0</v>
      </c>
      <c r="H180" s="160">
        <v>401.12</v>
      </c>
      <c r="I180" s="153">
        <v>400.0</v>
      </c>
      <c r="J180" s="153">
        <v>1.12</v>
      </c>
      <c r="K180" s="509">
        <f t="shared" ref="K180:K186" si="18">I180/F180*100</f>
        <v>48.72107186</v>
      </c>
      <c r="L180" s="503"/>
      <c r="M180" s="503"/>
      <c r="N180" s="121"/>
    </row>
    <row r="181">
      <c r="A181" s="54"/>
      <c r="B181" s="510">
        <v>44654.0</v>
      </c>
      <c r="C181" s="511"/>
      <c r="D181" s="513"/>
      <c r="E181" s="160">
        <v>358477.0</v>
      </c>
      <c r="F181" s="153">
        <v>413.0</v>
      </c>
      <c r="G181" s="160">
        <v>1057.0</v>
      </c>
      <c r="H181" s="160">
        <v>235.9</v>
      </c>
      <c r="I181" s="153">
        <v>250.0</v>
      </c>
      <c r="J181" s="153">
        <v>-14.1</v>
      </c>
      <c r="K181" s="509">
        <f t="shared" si="18"/>
        <v>60.53268765</v>
      </c>
      <c r="L181" s="503"/>
      <c r="M181" s="503"/>
      <c r="N181" s="121"/>
    </row>
    <row r="182">
      <c r="A182" s="54"/>
      <c r="B182" s="510">
        <v>44656.0</v>
      </c>
      <c r="C182" s="511"/>
      <c r="D182" s="513"/>
      <c r="E182" s="160">
        <v>359778.0</v>
      </c>
      <c r="F182" s="153">
        <v>1301.0</v>
      </c>
      <c r="G182" s="160">
        <v>972.0</v>
      </c>
      <c r="H182" s="160">
        <v>376.34</v>
      </c>
      <c r="I182" s="153">
        <v>400.0</v>
      </c>
      <c r="J182" s="153">
        <v>-23.66</v>
      </c>
      <c r="K182" s="509">
        <f t="shared" si="18"/>
        <v>30.74558032</v>
      </c>
      <c r="L182" s="503"/>
      <c r="M182" s="503"/>
      <c r="N182" s="121"/>
    </row>
    <row r="183">
      <c r="A183" s="54"/>
      <c r="B183" s="510">
        <v>44660.0</v>
      </c>
      <c r="C183" s="511"/>
      <c r="D183" s="513"/>
      <c r="E183" s="160">
        <v>360402.0</v>
      </c>
      <c r="F183" s="153">
        <v>625.0</v>
      </c>
      <c r="G183" s="160">
        <v>1068.0</v>
      </c>
      <c r="H183" s="160">
        <v>449.42</v>
      </c>
      <c r="I183" s="153">
        <v>472.0</v>
      </c>
      <c r="J183" s="153">
        <v>-22.58</v>
      </c>
      <c r="K183" s="509">
        <f t="shared" si="18"/>
        <v>75.52</v>
      </c>
      <c r="L183" s="503"/>
      <c r="M183" s="518"/>
      <c r="N183" s="121"/>
    </row>
    <row r="184">
      <c r="A184" s="54"/>
      <c r="B184" s="510">
        <v>44665.0</v>
      </c>
      <c r="C184" s="511"/>
      <c r="D184" s="513"/>
      <c r="E184" s="160">
        <v>361331.0</v>
      </c>
      <c r="F184" s="153">
        <v>929.0</v>
      </c>
      <c r="G184" s="160">
        <v>1030.0</v>
      </c>
      <c r="H184" s="160">
        <v>551.43</v>
      </c>
      <c r="I184" s="153">
        <v>552.54</v>
      </c>
      <c r="J184" s="153">
        <v>-1.11</v>
      </c>
      <c r="K184" s="509">
        <f t="shared" si="18"/>
        <v>59.47685684</v>
      </c>
      <c r="L184" s="503"/>
      <c r="M184" s="503"/>
      <c r="N184" s="121"/>
    </row>
    <row r="185">
      <c r="A185" s="54"/>
      <c r="B185" s="510">
        <v>44673.0</v>
      </c>
      <c r="C185" s="511"/>
      <c r="D185" s="513"/>
      <c r="E185" s="160">
        <v>363033.0</v>
      </c>
      <c r="F185" s="153">
        <v>1701.0</v>
      </c>
      <c r="G185" s="160">
        <v>834.0</v>
      </c>
      <c r="H185" s="160">
        <v>611.89</v>
      </c>
      <c r="I185" s="153">
        <v>619.47</v>
      </c>
      <c r="J185" s="153">
        <v>-7.58</v>
      </c>
      <c r="K185" s="509">
        <f t="shared" si="18"/>
        <v>36.41798942</v>
      </c>
      <c r="L185" s="121"/>
      <c r="M185" s="121"/>
      <c r="N185" s="121"/>
    </row>
    <row r="186">
      <c r="A186" s="54"/>
      <c r="B186" s="510">
        <v>44678.0</v>
      </c>
      <c r="C186" s="511"/>
      <c r="D186" s="513"/>
      <c r="E186" s="160">
        <v>364061.0</v>
      </c>
      <c r="F186" s="153">
        <v>1028.0</v>
      </c>
      <c r="G186" s="160">
        <v>841.0</v>
      </c>
      <c r="H186" s="160">
        <v>562.16</v>
      </c>
      <c r="I186" s="153">
        <v>570.09</v>
      </c>
      <c r="J186" s="153">
        <v>-7.93</v>
      </c>
      <c r="K186" s="509">
        <f t="shared" si="18"/>
        <v>55.45622568</v>
      </c>
      <c r="L186" s="503"/>
      <c r="M186" s="503"/>
      <c r="N186" s="121"/>
    </row>
    <row r="187">
      <c r="A187" s="66"/>
      <c r="B187" s="67" t="s">
        <v>75</v>
      </c>
      <c r="J187" s="66"/>
      <c r="K187" s="66"/>
      <c r="L187" s="66"/>
      <c r="M187" s="66"/>
      <c r="N187" s="66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</row>
    <row r="188">
      <c r="A188" s="54"/>
      <c r="B188" s="510">
        <v>44683.0</v>
      </c>
      <c r="C188" s="511"/>
      <c r="D188" s="499" t="s">
        <v>112</v>
      </c>
      <c r="E188" s="160">
        <v>365047.0</v>
      </c>
      <c r="F188" s="153">
        <v>986.0</v>
      </c>
      <c r="G188" s="160">
        <v>845.0</v>
      </c>
      <c r="H188" s="160">
        <v>532.19</v>
      </c>
      <c r="I188" s="153">
        <v>535.54</v>
      </c>
      <c r="J188" s="153">
        <v>-3.35</v>
      </c>
      <c r="K188" s="153">
        <v>54.3</v>
      </c>
      <c r="L188" s="503"/>
      <c r="M188" s="503"/>
      <c r="N188" s="121"/>
    </row>
    <row r="189">
      <c r="A189" s="54"/>
      <c r="B189" s="510">
        <v>44687.0</v>
      </c>
      <c r="C189" s="511"/>
      <c r="D189" s="499" t="s">
        <v>112</v>
      </c>
      <c r="E189" s="160">
        <v>366176.0</v>
      </c>
      <c r="F189" s="160">
        <v>1129.0</v>
      </c>
      <c r="G189" s="160">
        <v>842.0</v>
      </c>
      <c r="H189" s="160">
        <v>515.71</v>
      </c>
      <c r="I189" s="153">
        <v>527.17</v>
      </c>
      <c r="J189" s="153">
        <v>-11.46</v>
      </c>
      <c r="K189" s="153">
        <v>46.71</v>
      </c>
      <c r="L189" s="503"/>
      <c r="M189" s="503"/>
      <c r="N189" s="121"/>
    </row>
    <row r="190">
      <c r="A190" s="54"/>
      <c r="B190" s="510">
        <v>44692.0</v>
      </c>
      <c r="C190" s="511"/>
      <c r="D190" s="499" t="s">
        <v>112</v>
      </c>
      <c r="E190" s="160">
        <v>367174.0</v>
      </c>
      <c r="F190" s="160">
        <v>998.0</v>
      </c>
      <c r="G190" s="160">
        <v>854.0</v>
      </c>
      <c r="H190" s="160">
        <v>516.12</v>
      </c>
      <c r="I190" s="153">
        <v>510.64</v>
      </c>
      <c r="J190" s="153">
        <v>5.12</v>
      </c>
      <c r="K190" s="153">
        <v>51.17</v>
      </c>
      <c r="L190" s="121"/>
      <c r="M190" s="503"/>
      <c r="N190" s="121"/>
    </row>
    <row r="191">
      <c r="A191" s="54"/>
      <c r="B191" s="510">
        <v>44698.0</v>
      </c>
      <c r="C191" s="511"/>
      <c r="D191" s="499" t="s">
        <v>112</v>
      </c>
      <c r="E191" s="160">
        <v>368392.0</v>
      </c>
      <c r="F191" s="160">
        <v>1219.0</v>
      </c>
      <c r="G191" s="160">
        <v>850.0</v>
      </c>
      <c r="H191" s="160">
        <v>527.13</v>
      </c>
      <c r="I191" s="153">
        <v>534.56</v>
      </c>
      <c r="J191" s="153">
        <v>-7.43</v>
      </c>
      <c r="K191" s="153">
        <v>43.86</v>
      </c>
      <c r="L191" s="503"/>
      <c r="M191" s="503"/>
      <c r="N191" s="121"/>
    </row>
    <row r="192">
      <c r="A192" s="54"/>
      <c r="B192" s="519">
        <v>44702.0</v>
      </c>
      <c r="C192" s="511"/>
      <c r="D192" s="499" t="s">
        <v>458</v>
      </c>
      <c r="E192" s="160">
        <v>369970.0</v>
      </c>
      <c r="F192" s="153">
        <v>1578.0</v>
      </c>
      <c r="G192" s="160">
        <v>827.0</v>
      </c>
      <c r="H192" s="160">
        <v>620.56</v>
      </c>
      <c r="I192" s="153">
        <v>631.26</v>
      </c>
      <c r="J192" s="153">
        <v>-10.7</v>
      </c>
      <c r="K192" s="153">
        <v>40.01</v>
      </c>
      <c r="L192" s="503"/>
      <c r="M192" s="503"/>
      <c r="N192" s="121"/>
    </row>
    <row r="193">
      <c r="A193" s="66"/>
      <c r="B193" s="67" t="s">
        <v>90</v>
      </c>
      <c r="J193" s="66"/>
      <c r="K193" s="66"/>
      <c r="L193" s="66"/>
      <c r="M193" s="66"/>
      <c r="N193" s="66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>
      <c r="A194" s="54"/>
      <c r="B194" s="510">
        <v>44713.0</v>
      </c>
      <c r="C194" s="511"/>
      <c r="D194" s="499" t="s">
        <v>458</v>
      </c>
      <c r="E194" s="160">
        <v>371174.0</v>
      </c>
      <c r="F194" s="153">
        <v>1204.0</v>
      </c>
      <c r="G194" s="160">
        <v>833.0</v>
      </c>
      <c r="H194" s="160">
        <v>598.31</v>
      </c>
      <c r="I194" s="153">
        <v>603.46</v>
      </c>
      <c r="J194" s="153">
        <v>-5.15</v>
      </c>
      <c r="K194" s="153">
        <v>50.13</v>
      </c>
      <c r="L194" s="503"/>
      <c r="M194" s="503"/>
      <c r="N194" s="121"/>
    </row>
    <row r="195">
      <c r="A195" s="54"/>
      <c r="B195" s="510">
        <v>44720.0</v>
      </c>
      <c r="C195" s="511"/>
      <c r="D195" s="499" t="s">
        <v>112</v>
      </c>
      <c r="E195" s="160">
        <v>372283.0</v>
      </c>
      <c r="F195" s="153">
        <v>1109.0</v>
      </c>
      <c r="G195" s="160">
        <v>851.0</v>
      </c>
      <c r="H195" s="160">
        <v>526.95</v>
      </c>
      <c r="I195" s="153">
        <v>532.93</v>
      </c>
      <c r="J195" s="153">
        <v>-5.98</v>
      </c>
      <c r="K195" s="153">
        <v>48.06</v>
      </c>
      <c r="L195" s="503"/>
      <c r="M195" s="503"/>
      <c r="N195" s="121"/>
    </row>
    <row r="196">
      <c r="A196" s="54"/>
      <c r="B196" s="510">
        <v>44725.0</v>
      </c>
      <c r="C196" s="511"/>
      <c r="D196" s="499" t="s">
        <v>112</v>
      </c>
      <c r="E196" s="160">
        <v>373413.0</v>
      </c>
      <c r="F196" s="153">
        <v>1130.0</v>
      </c>
      <c r="G196" s="160">
        <v>845.0</v>
      </c>
      <c r="H196" s="160">
        <v>502.81</v>
      </c>
      <c r="I196" s="153">
        <v>502.53</v>
      </c>
      <c r="J196" s="153">
        <v>0.28</v>
      </c>
      <c r="K196" s="153">
        <v>44.47</v>
      </c>
      <c r="L196" s="503"/>
      <c r="M196" s="503"/>
      <c r="N196" s="121"/>
    </row>
    <row r="197">
      <c r="A197" s="54"/>
      <c r="B197" s="510">
        <v>44731.0</v>
      </c>
      <c r="C197" s="511"/>
      <c r="D197" s="499" t="s">
        <v>458</v>
      </c>
      <c r="E197" s="160">
        <v>374629.0</v>
      </c>
      <c r="F197" s="153">
        <v>1216.0</v>
      </c>
      <c r="G197" s="160">
        <v>830.0</v>
      </c>
      <c r="H197" s="160">
        <v>540.19</v>
      </c>
      <c r="I197" s="153">
        <v>559.72</v>
      </c>
      <c r="J197" s="153">
        <v>-19.53</v>
      </c>
      <c r="K197" s="153">
        <v>46.03</v>
      </c>
      <c r="L197" s="503"/>
      <c r="M197" s="503"/>
      <c r="N197" s="121"/>
    </row>
    <row r="198">
      <c r="A198" s="54"/>
      <c r="B198" s="510">
        <v>44738.0</v>
      </c>
      <c r="C198" s="511"/>
      <c r="D198" s="499" t="s">
        <v>458</v>
      </c>
      <c r="E198" s="160">
        <v>375912.0</v>
      </c>
      <c r="F198" s="153">
        <v>1283.0</v>
      </c>
      <c r="G198" s="160">
        <v>838.0</v>
      </c>
      <c r="H198" s="160">
        <v>588.45</v>
      </c>
      <c r="I198" s="153">
        <v>595.0</v>
      </c>
      <c r="J198" s="153">
        <v>-6.55</v>
      </c>
      <c r="K198" s="153">
        <v>46.38</v>
      </c>
      <c r="L198" s="503"/>
      <c r="M198" s="503"/>
      <c r="N198" s="121"/>
    </row>
    <row r="199">
      <c r="A199" s="66"/>
      <c r="B199" s="67" t="s">
        <v>92</v>
      </c>
      <c r="J199" s="66"/>
      <c r="K199" s="66"/>
      <c r="L199" s="66"/>
      <c r="M199" s="66"/>
      <c r="N199" s="66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>
      <c r="A200" s="54"/>
      <c r="B200" s="510">
        <v>44744.0</v>
      </c>
      <c r="C200" s="511"/>
      <c r="D200" s="499" t="s">
        <v>112</v>
      </c>
      <c r="E200" s="160">
        <v>377379.0</v>
      </c>
      <c r="F200" s="153">
        <v>1467.0</v>
      </c>
      <c r="G200" s="160">
        <v>817.0</v>
      </c>
      <c r="H200" s="160">
        <v>593.32</v>
      </c>
      <c r="I200" s="153">
        <v>600.0</v>
      </c>
      <c r="J200" s="153">
        <v>-6.68</v>
      </c>
      <c r="K200" s="153">
        <v>40.9</v>
      </c>
      <c r="L200" s="503"/>
      <c r="M200" s="503"/>
      <c r="N200" s="121"/>
    </row>
    <row r="201">
      <c r="A201" s="54"/>
      <c r="B201" s="510">
        <v>44749.0</v>
      </c>
      <c r="C201" s="511"/>
      <c r="D201" s="499" t="s">
        <v>112</v>
      </c>
      <c r="E201" s="160">
        <v>378704.0</v>
      </c>
      <c r="F201" s="153">
        <v>1325.0</v>
      </c>
      <c r="G201" s="160">
        <v>842.0</v>
      </c>
      <c r="H201" s="160">
        <v>528.38</v>
      </c>
      <c r="I201" s="153">
        <v>532.21</v>
      </c>
      <c r="J201" s="153">
        <v>-3.83</v>
      </c>
      <c r="K201" s="153">
        <v>40.17</v>
      </c>
      <c r="L201" s="503"/>
      <c r="M201" s="503"/>
      <c r="N201" s="121"/>
    </row>
    <row r="202">
      <c r="A202" s="54"/>
      <c r="B202" s="510">
        <v>44755.0</v>
      </c>
      <c r="C202" s="511"/>
      <c r="D202" s="499" t="s">
        <v>112</v>
      </c>
      <c r="E202" s="160">
        <v>380034.0</v>
      </c>
      <c r="F202" s="153">
        <v>1330.0</v>
      </c>
      <c r="G202" s="160">
        <v>842.0</v>
      </c>
      <c r="H202" s="160">
        <v>525.01</v>
      </c>
      <c r="I202" s="153">
        <v>533.53</v>
      </c>
      <c r="J202" s="153">
        <v>-8.52</v>
      </c>
      <c r="K202" s="153">
        <v>40.12</v>
      </c>
      <c r="L202" s="503"/>
      <c r="M202" s="503"/>
      <c r="N202" s="121"/>
    </row>
    <row r="203">
      <c r="A203" s="54"/>
      <c r="B203" s="510">
        <v>44764.0</v>
      </c>
      <c r="C203" s="511"/>
      <c r="D203" s="499" t="s">
        <v>458</v>
      </c>
      <c r="E203" s="160">
        <v>381225.0</v>
      </c>
      <c r="F203" s="153">
        <v>1191.0</v>
      </c>
      <c r="G203" s="160">
        <v>845.0</v>
      </c>
      <c r="H203" s="160">
        <v>569.45</v>
      </c>
      <c r="I203" s="153">
        <v>586.96</v>
      </c>
      <c r="J203" s="153">
        <v>-17.51</v>
      </c>
      <c r="K203" s="153">
        <v>49.28</v>
      </c>
      <c r="L203" s="503"/>
      <c r="M203" s="503"/>
      <c r="N203" s="121"/>
    </row>
    <row r="204">
      <c r="A204" s="66"/>
      <c r="B204" s="67" t="s">
        <v>95</v>
      </c>
      <c r="J204" s="66"/>
      <c r="K204" s="66"/>
      <c r="L204" s="66"/>
      <c r="M204" s="66"/>
      <c r="N204" s="66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>
      <c r="A205" s="54"/>
      <c r="B205" s="510">
        <v>44782.0</v>
      </c>
      <c r="C205" s="511"/>
      <c r="D205" s="499" t="s">
        <v>112</v>
      </c>
      <c r="E205" s="160">
        <v>382169.0</v>
      </c>
      <c r="F205" s="153">
        <v>944.0</v>
      </c>
      <c r="G205" s="160">
        <v>841.0</v>
      </c>
      <c r="H205" s="160">
        <v>559.68</v>
      </c>
      <c r="I205" s="153">
        <v>564.48</v>
      </c>
      <c r="J205" s="153">
        <v>-4.8</v>
      </c>
      <c r="K205" s="153">
        <v>59.8</v>
      </c>
      <c r="L205" s="503"/>
      <c r="M205" s="503"/>
      <c r="N205" s="121"/>
    </row>
    <row r="206">
      <c r="A206" s="66"/>
      <c r="B206" s="67" t="s">
        <v>104</v>
      </c>
      <c r="J206" s="66"/>
      <c r="K206" s="66"/>
      <c r="L206" s="66"/>
      <c r="M206" s="66"/>
      <c r="N206" s="66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</row>
    <row r="207">
      <c r="A207" s="54"/>
      <c r="B207" s="510">
        <v>44814.0</v>
      </c>
      <c r="C207" s="511"/>
      <c r="D207" s="499" t="s">
        <v>112</v>
      </c>
      <c r="E207" s="160">
        <v>383197.0</v>
      </c>
      <c r="F207" s="153">
        <v>1028.0</v>
      </c>
      <c r="G207" s="160">
        <v>843.0</v>
      </c>
      <c r="H207" s="160">
        <v>579.16</v>
      </c>
      <c r="I207" s="153">
        <v>578.67</v>
      </c>
      <c r="J207" s="153">
        <v>0.49</v>
      </c>
      <c r="K207" s="153">
        <v>56.29</v>
      </c>
      <c r="L207" s="503"/>
      <c r="M207" s="503"/>
      <c r="N207" s="121"/>
    </row>
    <row r="208">
      <c r="A208" s="54"/>
      <c r="B208" s="510">
        <v>44826.0</v>
      </c>
      <c r="C208" s="511"/>
      <c r="D208" s="499" t="s">
        <v>112</v>
      </c>
      <c r="E208" s="160">
        <v>384423.0</v>
      </c>
      <c r="F208" s="153">
        <v>1226.0</v>
      </c>
      <c r="G208" s="160">
        <v>848.0</v>
      </c>
      <c r="H208" s="160">
        <v>619.72</v>
      </c>
      <c r="I208" s="153">
        <v>616.41</v>
      </c>
      <c r="J208" s="153">
        <v>3.31</v>
      </c>
      <c r="K208" s="153">
        <v>50.28</v>
      </c>
      <c r="L208" s="503"/>
      <c r="M208" s="503"/>
      <c r="N208" s="121"/>
    </row>
    <row r="209">
      <c r="A209" s="66"/>
      <c r="B209" s="67" t="s">
        <v>96</v>
      </c>
      <c r="J209" s="66"/>
      <c r="K209" s="66"/>
      <c r="L209" s="66"/>
      <c r="M209" s="66"/>
      <c r="N209" s="66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>
      <c r="A210" s="54"/>
      <c r="B210" s="510">
        <v>44836.0</v>
      </c>
      <c r="C210" s="511"/>
      <c r="D210" s="499" t="s">
        <v>112</v>
      </c>
      <c r="E210" s="160">
        <v>385619.0</v>
      </c>
      <c r="F210" s="153">
        <v>1196.0</v>
      </c>
      <c r="G210" s="160">
        <v>844.0</v>
      </c>
      <c r="H210" s="160">
        <v>609.63</v>
      </c>
      <c r="I210" s="153">
        <v>605.85</v>
      </c>
      <c r="J210" s="153">
        <v>3.78</v>
      </c>
      <c r="K210" s="153">
        <v>50.66</v>
      </c>
      <c r="L210" s="503"/>
      <c r="M210" s="503"/>
      <c r="N210" s="121"/>
    </row>
    <row r="211">
      <c r="A211" s="54"/>
      <c r="B211" s="516">
        <v>44846.0</v>
      </c>
      <c r="C211" s="517"/>
      <c r="D211" s="499" t="s">
        <v>112</v>
      </c>
      <c r="E211" s="160">
        <v>386746.0</v>
      </c>
      <c r="F211" s="153">
        <v>1127.0</v>
      </c>
      <c r="G211" s="160">
        <v>845.0</v>
      </c>
      <c r="H211" s="160">
        <v>614.52</v>
      </c>
      <c r="I211" s="153">
        <v>611.45</v>
      </c>
      <c r="J211" s="153">
        <v>3.07</v>
      </c>
      <c r="K211" s="153">
        <v>54.25</v>
      </c>
      <c r="L211" s="503"/>
      <c r="M211" s="503"/>
      <c r="N211" s="121"/>
    </row>
    <row r="212">
      <c r="A212" s="54"/>
      <c r="B212" s="516">
        <v>44860.0</v>
      </c>
      <c r="C212" s="517"/>
      <c r="D212" s="499" t="s">
        <v>112</v>
      </c>
      <c r="E212" s="160">
        <v>387526.0</v>
      </c>
      <c r="F212" s="153">
        <v>780.0</v>
      </c>
      <c r="G212" s="160">
        <v>848.0</v>
      </c>
      <c r="H212" s="160">
        <v>644.88</v>
      </c>
      <c r="I212" s="153">
        <v>637.31</v>
      </c>
      <c r="J212" s="153">
        <v>7.57</v>
      </c>
      <c r="K212" s="153">
        <v>81.71</v>
      </c>
      <c r="L212" s="503"/>
      <c r="M212" s="503"/>
      <c r="N212" s="121"/>
    </row>
    <row r="213">
      <c r="A213" s="66"/>
      <c r="B213" s="67" t="s">
        <v>97</v>
      </c>
      <c r="J213" s="66"/>
      <c r="K213" s="66"/>
      <c r="L213" s="66"/>
      <c r="M213" s="66"/>
      <c r="N213" s="66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</row>
    <row r="214">
      <c r="A214" s="54"/>
      <c r="B214" s="510">
        <v>44869.0</v>
      </c>
      <c r="C214" s="511"/>
      <c r="D214" s="499" t="s">
        <v>112</v>
      </c>
      <c r="E214" s="160">
        <v>388625.0</v>
      </c>
      <c r="F214" s="153">
        <v>1099.0</v>
      </c>
      <c r="G214" s="160">
        <v>848.0</v>
      </c>
      <c r="H214" s="160">
        <v>626.55</v>
      </c>
      <c r="I214" s="153">
        <v>625.5</v>
      </c>
      <c r="J214" s="153">
        <v>1.05</v>
      </c>
      <c r="K214" s="153">
        <v>56.92</v>
      </c>
      <c r="L214" s="503"/>
      <c r="M214" s="503"/>
      <c r="N214" s="121"/>
    </row>
    <row r="215">
      <c r="A215" s="54"/>
      <c r="B215" s="516">
        <v>44876.0</v>
      </c>
      <c r="C215" s="517"/>
      <c r="D215" s="499" t="s">
        <v>112</v>
      </c>
      <c r="E215" s="160">
        <v>390035.0</v>
      </c>
      <c r="F215" s="153">
        <v>1410.0</v>
      </c>
      <c r="G215" s="160">
        <v>849.0</v>
      </c>
      <c r="H215" s="160">
        <v>615.48</v>
      </c>
      <c r="I215" s="153">
        <v>610.79</v>
      </c>
      <c r="J215" s="153">
        <v>4.69</v>
      </c>
      <c r="K215" s="153">
        <v>43.32</v>
      </c>
      <c r="L215" s="503"/>
      <c r="M215" s="503"/>
      <c r="N215" s="121"/>
    </row>
    <row r="216">
      <c r="A216" s="54"/>
      <c r="B216" s="516">
        <v>44882.0</v>
      </c>
      <c r="C216" s="517"/>
      <c r="D216" s="499" t="s">
        <v>112</v>
      </c>
      <c r="E216" s="160">
        <v>391548.0</v>
      </c>
      <c r="F216" s="153">
        <v>1513.0</v>
      </c>
      <c r="G216" s="160">
        <v>845.0</v>
      </c>
      <c r="H216" s="160">
        <v>646.42</v>
      </c>
      <c r="I216" s="153">
        <v>639.99</v>
      </c>
      <c r="J216" s="153">
        <v>6.43</v>
      </c>
      <c r="K216" s="153">
        <v>42.3</v>
      </c>
      <c r="L216" s="503"/>
      <c r="M216" s="503"/>
      <c r="N216" s="121"/>
    </row>
    <row r="217">
      <c r="A217" s="54"/>
      <c r="B217" s="516">
        <v>44889.0</v>
      </c>
      <c r="C217" s="517"/>
      <c r="D217" s="499" t="s">
        <v>112</v>
      </c>
      <c r="E217" s="160">
        <v>392711.0</v>
      </c>
      <c r="F217" s="153">
        <v>1163.0</v>
      </c>
      <c r="G217" s="160">
        <v>834.0</v>
      </c>
      <c r="H217" s="160">
        <v>566.01</v>
      </c>
      <c r="I217" s="153">
        <v>578.49</v>
      </c>
      <c r="J217" s="153">
        <v>-12.48</v>
      </c>
      <c r="K217" s="153">
        <v>49.74</v>
      </c>
      <c r="L217" s="503"/>
      <c r="M217" s="503"/>
      <c r="N217" s="121"/>
    </row>
    <row r="218">
      <c r="A218" s="66"/>
      <c r="B218" s="67" t="s">
        <v>98</v>
      </c>
      <c r="J218" s="66"/>
      <c r="K218" s="66"/>
      <c r="L218" s="66"/>
      <c r="M218" s="66"/>
      <c r="N218" s="66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</row>
    <row r="219">
      <c r="A219" s="54"/>
      <c r="B219" s="510">
        <v>44900.0</v>
      </c>
      <c r="C219" s="511"/>
      <c r="D219" s="499" t="s">
        <v>112</v>
      </c>
      <c r="E219" s="160">
        <v>393735.0</v>
      </c>
      <c r="F219" s="153">
        <v>1024.0</v>
      </c>
      <c r="G219" s="160">
        <v>826.0</v>
      </c>
      <c r="H219" s="160">
        <v>568.98</v>
      </c>
      <c r="I219" s="153">
        <v>582.93</v>
      </c>
      <c r="J219" s="153">
        <v>-13.95</v>
      </c>
      <c r="K219" s="153">
        <v>56.93</v>
      </c>
      <c r="L219" s="503"/>
      <c r="M219" s="503"/>
      <c r="N219" s="121"/>
    </row>
    <row r="220">
      <c r="A220" s="54"/>
      <c r="B220" s="516">
        <v>44907.0</v>
      </c>
      <c r="C220" s="517"/>
      <c r="D220" s="499" t="s">
        <v>112</v>
      </c>
      <c r="E220" s="160">
        <v>394923.0</v>
      </c>
      <c r="F220" s="153">
        <v>1188.0</v>
      </c>
      <c r="G220" s="160">
        <v>823.0</v>
      </c>
      <c r="H220" s="160">
        <v>590.78</v>
      </c>
      <c r="I220" s="153">
        <v>612.06</v>
      </c>
      <c r="J220" s="153">
        <v>-21.28</v>
      </c>
      <c r="K220" s="153">
        <v>51.52</v>
      </c>
      <c r="L220" s="503"/>
      <c r="M220" s="503"/>
      <c r="N220" s="121"/>
    </row>
    <row r="221">
      <c r="A221" s="54"/>
      <c r="B221" s="516">
        <v>44916.0</v>
      </c>
      <c r="C221" s="517"/>
      <c r="D221" s="499" t="s">
        <v>112</v>
      </c>
      <c r="E221" s="160">
        <v>396144.0</v>
      </c>
      <c r="F221" s="153">
        <v>1221.0</v>
      </c>
      <c r="G221" s="160">
        <v>815.0</v>
      </c>
      <c r="H221" s="160">
        <v>619.33</v>
      </c>
      <c r="I221" s="153">
        <v>649.24</v>
      </c>
      <c r="J221" s="153">
        <v>-29.91</v>
      </c>
      <c r="K221" s="153">
        <v>53.17</v>
      </c>
      <c r="L221" s="503"/>
      <c r="M221" s="503"/>
      <c r="N221" s="121"/>
    </row>
    <row r="222">
      <c r="A222" s="66"/>
      <c r="B222" s="67">
        <v>2023.0</v>
      </c>
      <c r="J222" s="142"/>
      <c r="K222" s="142"/>
      <c r="L222" s="144"/>
      <c r="M222" s="144"/>
      <c r="N222" s="142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</row>
    <row r="223">
      <c r="A223" s="66"/>
      <c r="B223" s="67" t="s">
        <v>459</v>
      </c>
      <c r="J223" s="66"/>
      <c r="K223" s="66"/>
      <c r="L223" s="66"/>
      <c r="M223" s="66"/>
      <c r="N223" s="66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>
      <c r="A224" s="54"/>
      <c r="B224" s="510">
        <v>44944.0</v>
      </c>
      <c r="C224" s="511"/>
      <c r="D224" s="499" t="s">
        <v>112</v>
      </c>
      <c r="E224" s="160">
        <v>397350.0</v>
      </c>
      <c r="F224" s="153">
        <v>1206.0</v>
      </c>
      <c r="G224" s="160">
        <v>827.0</v>
      </c>
      <c r="H224" s="160">
        <v>661.06</v>
      </c>
      <c r="I224" s="153">
        <v>676.4</v>
      </c>
      <c r="J224" s="153">
        <v>-15.34</v>
      </c>
      <c r="K224" s="153">
        <v>56.09</v>
      </c>
      <c r="L224" s="503"/>
      <c r="M224" s="503"/>
      <c r="N224" s="121"/>
    </row>
    <row r="225">
      <c r="A225" s="54"/>
      <c r="B225" s="510">
        <v>44952.0</v>
      </c>
      <c r="C225" s="511"/>
      <c r="D225" s="499" t="s">
        <v>112</v>
      </c>
      <c r="E225" s="160">
        <v>398402.0</v>
      </c>
      <c r="F225" s="153">
        <v>1052.0</v>
      </c>
      <c r="G225" s="160">
        <v>818.0</v>
      </c>
      <c r="H225" s="160">
        <v>637.52</v>
      </c>
      <c r="I225" s="153">
        <v>648.4</v>
      </c>
      <c r="J225" s="153">
        <v>-10.88</v>
      </c>
      <c r="K225" s="153">
        <v>61.63</v>
      </c>
      <c r="L225" s="503"/>
      <c r="M225" s="503"/>
      <c r="N225" s="121"/>
    </row>
    <row r="226">
      <c r="A226" s="66"/>
      <c r="B226" s="67" t="s">
        <v>68</v>
      </c>
      <c r="J226" s="66"/>
      <c r="K226" s="66"/>
      <c r="L226" s="66"/>
      <c r="M226" s="66"/>
      <c r="N226" s="66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</row>
    <row r="227">
      <c r="A227" s="54"/>
      <c r="B227" s="510">
        <v>44960.0</v>
      </c>
      <c r="C227" s="511"/>
      <c r="D227" s="499" t="s">
        <v>112</v>
      </c>
      <c r="E227" s="160">
        <v>399848.0</v>
      </c>
      <c r="F227" s="153">
        <v>1446.0</v>
      </c>
      <c r="G227" s="160">
        <v>834.0</v>
      </c>
      <c r="H227" s="160">
        <v>645.56</v>
      </c>
      <c r="I227" s="153">
        <v>655.82</v>
      </c>
      <c r="J227" s="153">
        <v>-10.26</v>
      </c>
      <c r="K227" s="153">
        <v>45.35</v>
      </c>
      <c r="L227" s="503"/>
      <c r="M227" s="503"/>
      <c r="N227" s="121"/>
    </row>
    <row r="228">
      <c r="A228" s="66"/>
      <c r="B228" s="67" t="s">
        <v>72</v>
      </c>
      <c r="J228" s="66"/>
      <c r="K228" s="66"/>
      <c r="L228" s="66"/>
      <c r="M228" s="66"/>
      <c r="N228" s="66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</row>
    <row r="229">
      <c r="A229" s="54"/>
      <c r="B229" s="510">
        <v>44992.0</v>
      </c>
      <c r="C229" s="511"/>
      <c r="D229" s="499" t="s">
        <v>112</v>
      </c>
      <c r="E229" s="160">
        <v>401170.0</v>
      </c>
      <c r="F229" s="153">
        <v>1322.0</v>
      </c>
      <c r="G229" s="160">
        <v>817.0</v>
      </c>
      <c r="H229" s="160">
        <v>544.93</v>
      </c>
      <c r="I229" s="153">
        <v>563.75</v>
      </c>
      <c r="J229" s="153">
        <v>-18.82</v>
      </c>
      <c r="K229" s="153">
        <v>44.06</v>
      </c>
      <c r="L229" s="503"/>
      <c r="M229" s="503"/>
      <c r="N229" s="121"/>
    </row>
    <row r="230">
      <c r="A230" s="54"/>
      <c r="B230" s="510">
        <v>45003.0</v>
      </c>
      <c r="C230" s="511"/>
      <c r="D230" s="499" t="s">
        <v>112</v>
      </c>
      <c r="E230" s="160">
        <v>402387.0</v>
      </c>
      <c r="F230" s="153">
        <v>1217.0</v>
      </c>
      <c r="G230" s="160">
        <v>836.0</v>
      </c>
      <c r="H230" s="160">
        <v>556.22</v>
      </c>
      <c r="I230" s="153">
        <v>560.62</v>
      </c>
      <c r="J230" s="153">
        <v>-4.4</v>
      </c>
      <c r="K230" s="153">
        <v>44.28</v>
      </c>
      <c r="L230" s="503"/>
      <c r="M230" s="503"/>
      <c r="N230" s="121"/>
    </row>
    <row r="231">
      <c r="A231" s="54"/>
      <c r="B231" s="510">
        <v>45009.0</v>
      </c>
      <c r="C231" s="511"/>
      <c r="D231" s="499" t="s">
        <v>112</v>
      </c>
      <c r="E231" s="160">
        <v>404050.0</v>
      </c>
      <c r="F231" s="153">
        <v>1663.0</v>
      </c>
      <c r="G231" s="160">
        <v>849.0</v>
      </c>
      <c r="H231" s="160">
        <v>644.36</v>
      </c>
      <c r="I231" s="153">
        <v>639.28</v>
      </c>
      <c r="J231" s="153">
        <v>5.08</v>
      </c>
      <c r="K231" s="153">
        <v>38.44</v>
      </c>
      <c r="L231" s="503"/>
      <c r="M231" s="503"/>
      <c r="N231" s="121"/>
    </row>
    <row r="232">
      <c r="A232" s="54"/>
      <c r="B232" s="510">
        <v>45015.0</v>
      </c>
      <c r="C232" s="511"/>
      <c r="D232" s="499" t="s">
        <v>112</v>
      </c>
      <c r="E232" s="160">
        <v>405393.0</v>
      </c>
      <c r="F232" s="153">
        <v>1343.0</v>
      </c>
      <c r="G232" s="160">
        <v>842.0</v>
      </c>
      <c r="H232" s="160">
        <v>543.55</v>
      </c>
      <c r="I232" s="153">
        <v>540.23</v>
      </c>
      <c r="J232" s="153">
        <v>3.32</v>
      </c>
      <c r="K232" s="153">
        <v>39.24</v>
      </c>
      <c r="L232" s="503"/>
      <c r="M232" s="503"/>
      <c r="N232" s="121"/>
    </row>
    <row r="233">
      <c r="A233" s="66"/>
      <c r="B233" s="67" t="s">
        <v>74</v>
      </c>
      <c r="J233" s="66"/>
      <c r="K233" s="66"/>
      <c r="L233" s="66"/>
      <c r="M233" s="66"/>
      <c r="N233" s="66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54"/>
      <c r="B234" s="510">
        <v>45021.0</v>
      </c>
      <c r="C234" s="511"/>
      <c r="D234" s="499" t="s">
        <v>112</v>
      </c>
      <c r="E234" s="160">
        <v>406787.0</v>
      </c>
      <c r="F234" s="153">
        <v>1394.0</v>
      </c>
      <c r="G234" s="160">
        <v>842.0</v>
      </c>
      <c r="H234" s="160">
        <v>606.98</v>
      </c>
      <c r="I234" s="153">
        <v>603.96</v>
      </c>
      <c r="J234" s="153">
        <v>3.02</v>
      </c>
      <c r="K234" s="153">
        <v>43.33</v>
      </c>
      <c r="L234" s="503"/>
      <c r="M234" s="503"/>
      <c r="N234" s="121"/>
    </row>
    <row r="235">
      <c r="A235" s="54"/>
      <c r="B235" s="510">
        <v>45029.0</v>
      </c>
      <c r="C235" s="511"/>
      <c r="D235" s="499" t="s">
        <v>112</v>
      </c>
      <c r="E235" s="160">
        <v>408268.0</v>
      </c>
      <c r="F235" s="153">
        <v>1481.0</v>
      </c>
      <c r="G235" s="160">
        <v>846.0</v>
      </c>
      <c r="H235" s="160">
        <v>605.05</v>
      </c>
      <c r="I235" s="153">
        <v>609.05</v>
      </c>
      <c r="J235" s="153">
        <v>-4.0</v>
      </c>
      <c r="K235" s="153">
        <v>41.12</v>
      </c>
      <c r="L235" s="503"/>
      <c r="M235" s="503"/>
      <c r="N235" s="121"/>
    </row>
    <row r="236">
      <c r="A236" s="66"/>
      <c r="B236" s="67" t="s">
        <v>75</v>
      </c>
      <c r="J236" s="66"/>
      <c r="K236" s="66"/>
      <c r="L236" s="66"/>
      <c r="M236" s="66"/>
      <c r="N236" s="66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</row>
    <row r="237">
      <c r="A237" s="54"/>
      <c r="B237" s="510">
        <v>45048.0</v>
      </c>
      <c r="C237" s="511"/>
      <c r="D237" s="499" t="s">
        <v>112</v>
      </c>
      <c r="E237" s="160">
        <v>409613.0</v>
      </c>
      <c r="F237" s="153">
        <v>1345.0</v>
      </c>
      <c r="G237" s="160">
        <v>843.0</v>
      </c>
      <c r="H237" s="160">
        <v>535.12</v>
      </c>
      <c r="I237" s="153">
        <v>534.06</v>
      </c>
      <c r="J237" s="153">
        <v>1.06</v>
      </c>
      <c r="K237" s="153">
        <v>39.71</v>
      </c>
      <c r="L237" s="503"/>
      <c r="M237" s="503"/>
      <c r="N237" s="121"/>
    </row>
    <row r="238">
      <c r="A238" s="54"/>
      <c r="B238" s="510">
        <v>45058.0</v>
      </c>
      <c r="C238" s="511"/>
      <c r="D238" s="499" t="s">
        <v>112</v>
      </c>
      <c r="E238" s="160">
        <v>411141.0</v>
      </c>
      <c r="F238" s="153">
        <v>1528.0</v>
      </c>
      <c r="G238" s="160">
        <v>852.0</v>
      </c>
      <c r="H238" s="160">
        <v>629.61</v>
      </c>
      <c r="I238" s="153">
        <v>630.51</v>
      </c>
      <c r="J238" s="153">
        <v>-0.9</v>
      </c>
      <c r="K238" s="153">
        <v>41.26</v>
      </c>
      <c r="L238" s="503"/>
      <c r="M238" s="503"/>
      <c r="N238" s="121"/>
    </row>
    <row r="239">
      <c r="A239" s="66"/>
      <c r="B239" s="67" t="s">
        <v>90</v>
      </c>
      <c r="J239" s="66"/>
      <c r="K239" s="66"/>
      <c r="L239" s="66"/>
      <c r="M239" s="66"/>
      <c r="N239" s="66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</row>
    <row r="240">
      <c r="A240" s="54"/>
      <c r="B240" s="510">
        <v>45082.0</v>
      </c>
      <c r="C240" s="511"/>
      <c r="D240" s="499" t="s">
        <v>112</v>
      </c>
      <c r="E240" s="160">
        <v>412349.0</v>
      </c>
      <c r="F240" s="153">
        <v>1208.0</v>
      </c>
      <c r="G240" s="160">
        <v>847.0</v>
      </c>
      <c r="H240" s="160">
        <v>561.52</v>
      </c>
      <c r="I240" s="153">
        <v>562.34</v>
      </c>
      <c r="J240" s="153">
        <v>-0.82</v>
      </c>
      <c r="K240" s="153">
        <v>46.55</v>
      </c>
      <c r="L240" s="503"/>
      <c r="M240" s="503"/>
      <c r="N240" s="121"/>
    </row>
    <row r="241">
      <c r="A241" s="54"/>
      <c r="B241" s="510">
        <v>45091.0</v>
      </c>
      <c r="C241" s="511"/>
      <c r="D241" s="499" t="s">
        <v>112</v>
      </c>
      <c r="E241" s="160">
        <v>413786.0</v>
      </c>
      <c r="F241" s="153">
        <v>1437.0</v>
      </c>
      <c r="G241" s="160">
        <v>848.0</v>
      </c>
      <c r="H241" s="160">
        <v>580.89</v>
      </c>
      <c r="I241" s="153">
        <v>585.21</v>
      </c>
      <c r="J241" s="153">
        <v>-4.32</v>
      </c>
      <c r="K241" s="153">
        <v>40.72</v>
      </c>
      <c r="L241" s="503"/>
      <c r="M241" s="503"/>
      <c r="N241" s="121"/>
    </row>
    <row r="242">
      <c r="A242" s="66"/>
      <c r="B242" s="67" t="s">
        <v>92</v>
      </c>
      <c r="J242" s="66"/>
      <c r="K242" s="66"/>
      <c r="L242" s="66"/>
      <c r="M242" s="66"/>
      <c r="N242" s="66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>
      <c r="A243" s="54"/>
      <c r="B243" s="510">
        <v>45115.0</v>
      </c>
      <c r="C243" s="511"/>
      <c r="D243" s="499" t="s">
        <v>112</v>
      </c>
      <c r="E243" s="160">
        <v>415140.0</v>
      </c>
      <c r="F243" s="153">
        <v>1354.0</v>
      </c>
      <c r="G243" s="160">
        <v>848.0</v>
      </c>
      <c r="H243" s="160">
        <v>518.61</v>
      </c>
      <c r="I243" s="153">
        <v>520.75</v>
      </c>
      <c r="J243" s="153">
        <v>-2.14</v>
      </c>
      <c r="K243" s="153">
        <v>38.46</v>
      </c>
      <c r="L243" s="503"/>
      <c r="M243" s="503"/>
      <c r="N243" s="121"/>
    </row>
    <row r="244">
      <c r="A244" s="66"/>
      <c r="B244" s="67" t="s">
        <v>95</v>
      </c>
      <c r="J244" s="66"/>
      <c r="K244" s="66"/>
      <c r="L244" s="66"/>
      <c r="M244" s="66"/>
      <c r="N244" s="66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</row>
    <row r="245">
      <c r="A245" s="54"/>
      <c r="B245" s="510">
        <v>45142.0</v>
      </c>
      <c r="C245" s="511"/>
      <c r="D245" s="499" t="s">
        <v>112</v>
      </c>
      <c r="E245" s="160">
        <v>416494.0</v>
      </c>
      <c r="F245" s="153">
        <v>1354.0</v>
      </c>
      <c r="G245" s="160">
        <v>855.0</v>
      </c>
      <c r="H245" s="160">
        <v>543.09</v>
      </c>
      <c r="I245" s="153">
        <v>549.04</v>
      </c>
      <c r="J245" s="153">
        <v>-5.95</v>
      </c>
      <c r="K245" s="153">
        <v>40.55</v>
      </c>
      <c r="L245" s="503"/>
      <c r="M245" s="503"/>
      <c r="N245" s="121"/>
    </row>
    <row r="246">
      <c r="A246" s="54"/>
      <c r="B246" s="510">
        <v>45155.0</v>
      </c>
      <c r="C246" s="511"/>
      <c r="D246" s="499" t="s">
        <v>111</v>
      </c>
      <c r="E246" s="160">
        <v>417830.0</v>
      </c>
      <c r="F246" s="153">
        <v>1336.0</v>
      </c>
      <c r="G246" s="160">
        <v>862.0</v>
      </c>
      <c r="H246" s="160">
        <v>589.23</v>
      </c>
      <c r="I246" s="153">
        <v>586.31</v>
      </c>
      <c r="J246" s="153">
        <v>2.92</v>
      </c>
      <c r="K246" s="153">
        <v>43.89</v>
      </c>
      <c r="L246" s="503"/>
      <c r="M246" s="503"/>
      <c r="N246" s="121"/>
    </row>
    <row r="247">
      <c r="A247" s="66"/>
      <c r="B247" s="67" t="s">
        <v>104</v>
      </c>
      <c r="J247" s="66"/>
      <c r="K247" s="66"/>
      <c r="L247" s="66"/>
      <c r="M247" s="66"/>
      <c r="N247" s="66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</row>
    <row r="248">
      <c r="A248" s="54"/>
      <c r="B248" s="510">
        <v>45174.0</v>
      </c>
      <c r="C248" s="511"/>
      <c r="D248" s="499" t="s">
        <v>112</v>
      </c>
      <c r="E248" s="160">
        <v>419302.0</v>
      </c>
      <c r="F248" s="153">
        <v>1472.0</v>
      </c>
      <c r="G248" s="160">
        <v>846.0</v>
      </c>
      <c r="H248" s="160">
        <v>570.0</v>
      </c>
      <c r="I248" s="153">
        <v>576.08</v>
      </c>
      <c r="J248" s="153">
        <v>-6.08</v>
      </c>
      <c r="K248" s="153">
        <v>39.14</v>
      </c>
      <c r="L248" s="503"/>
      <c r="M248" s="503"/>
      <c r="N248" s="121"/>
    </row>
    <row r="249">
      <c r="A249" s="66"/>
      <c r="B249" s="67" t="s">
        <v>96</v>
      </c>
      <c r="J249" s="66"/>
      <c r="K249" s="66"/>
      <c r="L249" s="66"/>
      <c r="M249" s="66"/>
      <c r="N249" s="66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</row>
    <row r="250">
      <c r="A250" s="54"/>
      <c r="B250" s="510">
        <v>45200.0</v>
      </c>
      <c r="C250" s="511"/>
      <c r="D250" s="499" t="s">
        <v>112</v>
      </c>
      <c r="E250" s="160">
        <v>420788.0</v>
      </c>
      <c r="F250" s="153">
        <v>1486.0</v>
      </c>
      <c r="G250" s="160">
        <v>835.0</v>
      </c>
      <c r="H250" s="160">
        <v>579.0</v>
      </c>
      <c r="I250" s="153">
        <v>578.59</v>
      </c>
      <c r="J250" s="153">
        <v>0.41</v>
      </c>
      <c r="K250" s="153">
        <v>38.94</v>
      </c>
      <c r="L250" s="503"/>
      <c r="M250" s="503"/>
      <c r="N250" s="121"/>
    </row>
    <row r="251">
      <c r="A251" s="54"/>
      <c r="B251" s="510">
        <v>45206.0</v>
      </c>
      <c r="C251" s="511"/>
      <c r="D251" s="499" t="s">
        <v>112</v>
      </c>
      <c r="E251" s="160">
        <v>422193.0</v>
      </c>
      <c r="F251" s="153">
        <v>1405.0</v>
      </c>
      <c r="G251" s="160">
        <v>836.0</v>
      </c>
      <c r="H251" s="160">
        <v>542.0</v>
      </c>
      <c r="I251" s="153">
        <v>541.29</v>
      </c>
      <c r="J251" s="153">
        <v>0.71</v>
      </c>
      <c r="K251" s="153">
        <v>38.53</v>
      </c>
      <c r="L251" s="503"/>
      <c r="M251" s="503"/>
      <c r="N251" s="121"/>
    </row>
    <row r="252">
      <c r="A252" s="54"/>
      <c r="B252" s="516">
        <v>45211.0</v>
      </c>
      <c r="C252" s="517"/>
      <c r="D252" s="499" t="s">
        <v>112</v>
      </c>
      <c r="E252" s="160">
        <v>423433.0</v>
      </c>
      <c r="F252" s="153">
        <v>1240.0</v>
      </c>
      <c r="G252" s="160">
        <v>828.0</v>
      </c>
      <c r="H252" s="160">
        <v>517.0</v>
      </c>
      <c r="I252" s="153">
        <v>524.23</v>
      </c>
      <c r="J252" s="153">
        <v>-7.23</v>
      </c>
      <c r="K252" s="153">
        <v>42.28</v>
      </c>
      <c r="L252" s="503"/>
      <c r="M252" s="503"/>
      <c r="N252" s="121"/>
    </row>
    <row r="253">
      <c r="A253" s="54"/>
      <c r="B253" s="516">
        <v>45218.0</v>
      </c>
      <c r="C253" s="517"/>
      <c r="D253" s="499" t="s">
        <v>112</v>
      </c>
      <c r="E253" s="160">
        <v>424873.0</v>
      </c>
      <c r="F253" s="153">
        <v>1440.0</v>
      </c>
      <c r="G253" s="160">
        <v>841.0</v>
      </c>
      <c r="H253" s="160">
        <v>537.0</v>
      </c>
      <c r="I253" s="153">
        <v>535.96</v>
      </c>
      <c r="J253" s="153">
        <v>1.04</v>
      </c>
      <c r="K253" s="153">
        <v>37.22</v>
      </c>
      <c r="L253" s="503"/>
      <c r="M253" s="503"/>
      <c r="N253" s="121"/>
    </row>
    <row r="254">
      <c r="A254" s="66"/>
      <c r="B254" s="67" t="s">
        <v>97</v>
      </c>
      <c r="J254" s="66"/>
      <c r="K254" s="66"/>
      <c r="L254" s="66"/>
      <c r="M254" s="66"/>
      <c r="N254" s="66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>
      <c r="A255" s="54"/>
      <c r="B255" s="510">
        <v>45237.0</v>
      </c>
      <c r="C255" s="511"/>
      <c r="D255" s="499" t="s">
        <v>112</v>
      </c>
      <c r="E255" s="160">
        <v>425952.0</v>
      </c>
      <c r="F255" s="153">
        <v>1079.0</v>
      </c>
      <c r="G255" s="160">
        <v>850.0</v>
      </c>
      <c r="H255" s="160">
        <v>526.0</v>
      </c>
      <c r="I255" s="153">
        <v>522.25</v>
      </c>
      <c r="J255" s="153">
        <v>3.75</v>
      </c>
      <c r="K255" s="153">
        <v>48.4</v>
      </c>
      <c r="L255" s="503"/>
      <c r="M255" s="503"/>
      <c r="N255" s="121"/>
    </row>
    <row r="256">
      <c r="A256" s="54"/>
      <c r="B256" s="516">
        <v>45244.0</v>
      </c>
      <c r="C256" s="517"/>
      <c r="D256" s="499" t="s">
        <v>112</v>
      </c>
      <c r="E256" s="160">
        <v>427557.0</v>
      </c>
      <c r="F256" s="153">
        <v>1605.0</v>
      </c>
      <c r="G256" s="160">
        <v>849.0</v>
      </c>
      <c r="H256" s="160">
        <v>603.0</v>
      </c>
      <c r="I256" s="153">
        <v>602.62</v>
      </c>
      <c r="J256" s="153">
        <v>0.38</v>
      </c>
      <c r="K256" s="153">
        <v>37.55</v>
      </c>
      <c r="L256" s="503"/>
      <c r="M256" s="503"/>
      <c r="N256" s="121"/>
    </row>
    <row r="257">
      <c r="A257" s="54"/>
      <c r="B257" s="516">
        <v>45254.0</v>
      </c>
      <c r="C257" s="517"/>
      <c r="D257" s="499" t="s">
        <v>112</v>
      </c>
      <c r="E257" s="160">
        <v>428784.0</v>
      </c>
      <c r="F257" s="153">
        <v>1227.0</v>
      </c>
      <c r="G257" s="160">
        <v>838.0</v>
      </c>
      <c r="H257" s="160">
        <v>539.0</v>
      </c>
      <c r="I257" s="153">
        <v>545.15</v>
      </c>
      <c r="J257" s="153">
        <v>-6.15</v>
      </c>
      <c r="K257" s="153">
        <v>44.43</v>
      </c>
      <c r="L257" s="503"/>
      <c r="M257" s="503"/>
      <c r="N257" s="121"/>
    </row>
    <row r="258">
      <c r="A258" s="66"/>
      <c r="B258" s="67" t="s">
        <v>98</v>
      </c>
      <c r="J258" s="66"/>
      <c r="K258" s="66"/>
      <c r="L258" s="66"/>
      <c r="M258" s="66"/>
      <c r="N258" s="66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>
      <c r="A259" s="54"/>
      <c r="B259" s="510">
        <v>45261.0</v>
      </c>
      <c r="C259" s="511"/>
      <c r="D259" s="499" t="s">
        <v>112</v>
      </c>
      <c r="E259" s="160">
        <v>430249.0</v>
      </c>
      <c r="F259" s="153">
        <v>1465.0</v>
      </c>
      <c r="G259" s="160">
        <v>839.0</v>
      </c>
      <c r="H259" s="160">
        <v>641.0</v>
      </c>
      <c r="I259" s="153">
        <v>644.77</v>
      </c>
      <c r="J259" s="153">
        <v>-3.77</v>
      </c>
      <c r="K259" s="153">
        <v>44.01</v>
      </c>
      <c r="L259" s="503"/>
      <c r="M259" s="503"/>
      <c r="N259" s="121"/>
    </row>
    <row r="260">
      <c r="A260" s="54"/>
      <c r="B260" s="510">
        <v>45268.0</v>
      </c>
      <c r="C260" s="511"/>
      <c r="D260" s="499" t="s">
        <v>112</v>
      </c>
      <c r="E260" s="160">
        <v>431424.0</v>
      </c>
      <c r="F260" s="153">
        <v>1175.0</v>
      </c>
      <c r="G260" s="160">
        <v>820.0</v>
      </c>
      <c r="H260" s="160">
        <v>595.0</v>
      </c>
      <c r="I260" s="153">
        <v>606.42</v>
      </c>
      <c r="J260" s="153">
        <v>-11.42</v>
      </c>
      <c r="K260" s="153">
        <v>51.61</v>
      </c>
      <c r="L260" s="503"/>
      <c r="M260" s="503"/>
      <c r="N260" s="121"/>
    </row>
    <row r="261">
      <c r="A261" s="66"/>
      <c r="B261" s="239">
        <v>2024.0</v>
      </c>
      <c r="J261" s="142"/>
      <c r="K261" s="142"/>
      <c r="L261" s="144"/>
      <c r="M261" s="144"/>
      <c r="N261" s="142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</row>
    <row r="262">
      <c r="A262" s="66"/>
      <c r="B262" s="67" t="s">
        <v>66</v>
      </c>
      <c r="J262" s="66"/>
      <c r="K262" s="66"/>
      <c r="L262" s="66"/>
      <c r="M262" s="66"/>
      <c r="N262" s="66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</row>
    <row r="263">
      <c r="A263" s="54"/>
      <c r="B263" s="510">
        <v>45307.0</v>
      </c>
      <c r="C263" s="511"/>
      <c r="D263" s="499" t="s">
        <v>112</v>
      </c>
      <c r="E263" s="160">
        <v>432345.0</v>
      </c>
      <c r="F263" s="153">
        <v>921.0</v>
      </c>
      <c r="G263" s="160">
        <v>816.0</v>
      </c>
      <c r="H263" s="160">
        <v>650.0</v>
      </c>
      <c r="I263" s="153">
        <v>644.77</v>
      </c>
      <c r="J263" s="153">
        <v>5.23</v>
      </c>
      <c r="K263" s="153">
        <v>70.01</v>
      </c>
      <c r="L263" s="503"/>
      <c r="M263" s="503"/>
      <c r="N263" s="121"/>
    </row>
    <row r="264">
      <c r="A264" s="66"/>
      <c r="B264" s="67" t="s">
        <v>68</v>
      </c>
      <c r="J264" s="66"/>
      <c r="K264" s="66"/>
      <c r="L264" s="66"/>
      <c r="M264" s="66"/>
      <c r="N264" s="66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</row>
    <row r="265">
      <c r="A265" s="54"/>
      <c r="B265" s="510">
        <v>45335.0</v>
      </c>
      <c r="C265" s="511"/>
      <c r="D265" s="499" t="s">
        <v>112</v>
      </c>
      <c r="E265" s="160">
        <v>433349.0</v>
      </c>
      <c r="F265" s="153">
        <v>1004.0</v>
      </c>
      <c r="G265" s="160">
        <v>806.0</v>
      </c>
      <c r="H265" s="160">
        <v>591.0</v>
      </c>
      <c r="I265" s="153">
        <v>614.79</v>
      </c>
      <c r="J265" s="153">
        <v>-23.79</v>
      </c>
      <c r="K265" s="153">
        <v>61.23</v>
      </c>
      <c r="L265" s="503"/>
      <c r="M265" s="503"/>
      <c r="N265" s="121"/>
    </row>
    <row r="266">
      <c r="A266" s="66"/>
      <c r="B266" s="67" t="s">
        <v>72</v>
      </c>
      <c r="J266" s="66"/>
      <c r="K266" s="66"/>
      <c r="L266" s="66"/>
      <c r="M266" s="66"/>
      <c r="N266" s="66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</row>
    <row r="267">
      <c r="A267" s="54"/>
      <c r="B267" s="510">
        <v>45372.0</v>
      </c>
      <c r="C267" s="511"/>
      <c r="D267" s="499" t="s">
        <v>112</v>
      </c>
      <c r="E267" s="160">
        <v>434235.0</v>
      </c>
      <c r="F267" s="153">
        <v>886.0</v>
      </c>
      <c r="G267" s="160">
        <v>817.0</v>
      </c>
      <c r="H267" s="160">
        <v>537.0</v>
      </c>
      <c r="I267" s="153">
        <v>553.22</v>
      </c>
      <c r="J267" s="153">
        <v>-16.22</v>
      </c>
      <c r="K267" s="153">
        <v>62.44</v>
      </c>
      <c r="L267" s="503"/>
      <c r="M267" s="503"/>
      <c r="N267" s="121"/>
    </row>
    <row r="268">
      <c r="A268" s="54"/>
      <c r="B268" s="510">
        <v>45382.0</v>
      </c>
      <c r="C268" s="511"/>
      <c r="D268" s="499" t="s">
        <v>112</v>
      </c>
      <c r="E268" s="160">
        <v>435521.0</v>
      </c>
      <c r="F268" s="153">
        <v>1286.0</v>
      </c>
      <c r="G268" s="160">
        <v>831.0</v>
      </c>
      <c r="H268" s="160">
        <v>600.0</v>
      </c>
      <c r="I268" s="153">
        <v>608.91</v>
      </c>
      <c r="J268" s="153">
        <v>-8.91</v>
      </c>
      <c r="K268" s="153">
        <v>47.35</v>
      </c>
      <c r="L268" s="503"/>
      <c r="M268" s="503"/>
      <c r="N268" s="121"/>
    </row>
    <row r="269">
      <c r="A269" s="66"/>
      <c r="B269" s="67" t="s">
        <v>74</v>
      </c>
      <c r="J269" s="66"/>
      <c r="K269" s="66"/>
      <c r="L269" s="66"/>
      <c r="M269" s="66"/>
      <c r="N269" s="66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</row>
    <row r="270">
      <c r="A270" s="54"/>
      <c r="B270" s="164" t="s">
        <v>109</v>
      </c>
      <c r="C270" s="75"/>
      <c r="D270" s="75"/>
      <c r="E270" s="75"/>
      <c r="F270" s="75"/>
      <c r="G270" s="75"/>
      <c r="H270" s="75"/>
      <c r="I270" s="76"/>
      <c r="J270" s="54"/>
      <c r="K270" s="54"/>
      <c r="L270" s="54"/>
      <c r="M270" s="54"/>
      <c r="N270" s="54"/>
    </row>
    <row r="271">
      <c r="A271" s="66"/>
      <c r="B271" s="67" t="s">
        <v>75</v>
      </c>
      <c r="J271" s="66"/>
      <c r="K271" s="66"/>
      <c r="L271" s="66"/>
      <c r="M271" s="66"/>
      <c r="N271" s="66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>
      <c r="A272" s="54"/>
      <c r="B272" s="510">
        <v>45432.0</v>
      </c>
      <c r="C272" s="511"/>
      <c r="D272" s="499" t="s">
        <v>112</v>
      </c>
      <c r="E272" s="160">
        <v>436850.0</v>
      </c>
      <c r="F272" s="153">
        <v>1329.0</v>
      </c>
      <c r="G272" s="160">
        <v>856.0</v>
      </c>
      <c r="H272" s="160">
        <v>626.0</v>
      </c>
      <c r="I272" s="153">
        <v>627.16</v>
      </c>
      <c r="J272" s="153">
        <v>-1.16</v>
      </c>
      <c r="K272" s="153">
        <v>47.19</v>
      </c>
      <c r="L272" s="503"/>
      <c r="M272" s="503"/>
      <c r="N272" s="121"/>
    </row>
    <row r="273">
      <c r="A273" s="66"/>
      <c r="B273" s="67" t="s">
        <v>90</v>
      </c>
      <c r="J273" s="66"/>
      <c r="K273" s="66"/>
      <c r="L273" s="66"/>
      <c r="M273" s="66"/>
      <c r="N273" s="66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>
      <c r="A274" s="54"/>
      <c r="B274" s="520">
        <v>45463.0</v>
      </c>
      <c r="C274" s="521"/>
      <c r="D274" s="522" t="s">
        <v>117</v>
      </c>
      <c r="E274" s="523">
        <v>438179.0</v>
      </c>
      <c r="F274" s="524">
        <v>1329.0</v>
      </c>
      <c r="G274" s="523">
        <v>851.0</v>
      </c>
      <c r="H274" s="523">
        <v>627.0</v>
      </c>
      <c r="I274" s="524">
        <v>620.77</v>
      </c>
      <c r="J274" s="153">
        <v>6.23</v>
      </c>
      <c r="K274" s="153">
        <v>46.71</v>
      </c>
      <c r="L274" s="54"/>
      <c r="M274" s="54"/>
      <c r="N274" s="54"/>
    </row>
    <row r="275">
      <c r="A275" s="66"/>
      <c r="B275" s="67" t="s">
        <v>92</v>
      </c>
      <c r="J275" s="66"/>
      <c r="K275" s="66"/>
      <c r="L275" s="66"/>
      <c r="M275" s="66"/>
      <c r="N275" s="66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>
      <c r="A276" s="54"/>
      <c r="B276" s="185">
        <v>45499.0</v>
      </c>
      <c r="C276" s="185"/>
      <c r="D276" s="102"/>
      <c r="E276" s="188">
        <v>439459.0</v>
      </c>
      <c r="F276" s="102">
        <f>E276-E274</f>
        <v>1280</v>
      </c>
      <c r="G276" s="101">
        <v>735.0</v>
      </c>
      <c r="H276" s="101">
        <v>500.0</v>
      </c>
      <c r="I276" s="101">
        <v>502.44</v>
      </c>
      <c r="J276" s="177">
        <f t="shared" ref="J276:J278" si="19">H276-I276</f>
        <v>-2.44</v>
      </c>
      <c r="K276" s="103">
        <f t="shared" ref="K276:K278" si="20">I276/F276*100</f>
        <v>39.253125</v>
      </c>
      <c r="L276" s="54"/>
      <c r="M276" s="82" t="str">
        <f>"тотал"&amp;" "&amp;B275</f>
        <v>тотал ИЮЛЬ</v>
      </c>
      <c r="N276" s="75"/>
      <c r="O276" s="76"/>
    </row>
    <row r="277">
      <c r="A277" s="54"/>
      <c r="B277" s="185">
        <v>45501.0</v>
      </c>
      <c r="C277" s="185"/>
      <c r="D277" s="102"/>
      <c r="E277" s="188">
        <v>441242.0</v>
      </c>
      <c r="F277" s="102">
        <f t="shared" ref="F277:F278" si="21">E277-E276</f>
        <v>1783</v>
      </c>
      <c r="G277" s="101">
        <v>735.0</v>
      </c>
      <c r="H277" s="101">
        <v>563.0</v>
      </c>
      <c r="I277" s="101">
        <v>581.36</v>
      </c>
      <c r="J277" s="177">
        <f t="shared" si="19"/>
        <v>-18.36</v>
      </c>
      <c r="K277" s="103">
        <f t="shared" si="20"/>
        <v>32.6057207</v>
      </c>
      <c r="L277" s="54"/>
      <c r="M277" s="83" t="s">
        <v>70</v>
      </c>
      <c r="N277" s="83" t="s">
        <v>71</v>
      </c>
      <c r="O277" s="83" t="s">
        <v>27</v>
      </c>
    </row>
    <row r="278">
      <c r="A278" s="54"/>
      <c r="B278" s="185">
        <v>45503.0</v>
      </c>
      <c r="C278" s="185"/>
      <c r="D278" s="102"/>
      <c r="E278" s="525">
        <v>442978.0</v>
      </c>
      <c r="F278" s="102">
        <f t="shared" si="21"/>
        <v>1736</v>
      </c>
      <c r="G278" s="101">
        <v>725.0</v>
      </c>
      <c r="H278" s="101">
        <v>531.0</v>
      </c>
      <c r="I278" s="101">
        <v>552.96</v>
      </c>
      <c r="J278" s="177">
        <f t="shared" si="19"/>
        <v>-21.96</v>
      </c>
      <c r="K278" s="103">
        <f t="shared" si="20"/>
        <v>31.85253456</v>
      </c>
      <c r="L278" s="54"/>
      <c r="M278" s="84">
        <f>SUM(F276:F278)</f>
        <v>4799</v>
      </c>
      <c r="N278" s="84">
        <f>SUM(I276:I278)</f>
        <v>1636.76</v>
      </c>
      <c r="O278" s="85">
        <f>N278/M278*100</f>
        <v>34.10627214</v>
      </c>
    </row>
    <row r="279">
      <c r="A279" s="66"/>
      <c r="B279" s="67" t="s">
        <v>95</v>
      </c>
      <c r="J279" s="66"/>
      <c r="K279" s="66"/>
      <c r="L279" s="66"/>
      <c r="M279" s="66"/>
      <c r="N279" s="66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>
      <c r="A280" s="54"/>
      <c r="B280" s="164" t="s">
        <v>109</v>
      </c>
      <c r="C280" s="75"/>
      <c r="D280" s="75"/>
      <c r="E280" s="75"/>
      <c r="F280" s="75"/>
      <c r="G280" s="75"/>
      <c r="H280" s="75"/>
      <c r="I280" s="76"/>
      <c r="J280" s="54"/>
      <c r="K280" s="54"/>
      <c r="L280" s="54"/>
      <c r="M280" s="54"/>
      <c r="N280" s="54"/>
    </row>
    <row r="281">
      <c r="A281" s="66"/>
      <c r="B281" s="67" t="s">
        <v>104</v>
      </c>
      <c r="J281" s="66"/>
      <c r="K281" s="66"/>
      <c r="L281" s="66"/>
      <c r="M281" s="66"/>
      <c r="N281" s="66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>
      <c r="A282" s="54"/>
      <c r="B282" s="185">
        <v>45543.0</v>
      </c>
      <c r="C282" s="185"/>
      <c r="D282" s="102"/>
      <c r="E282" s="101"/>
      <c r="F282" s="101">
        <v>1626.33</v>
      </c>
      <c r="G282" s="101">
        <v>735.0</v>
      </c>
      <c r="H282" s="101">
        <v>498.0</v>
      </c>
      <c r="I282" s="101">
        <v>506.48</v>
      </c>
      <c r="J282" s="177">
        <f t="shared" ref="J282:J285" si="22">H282-I282</f>
        <v>-8.48</v>
      </c>
      <c r="K282" s="103">
        <f t="shared" ref="K282:K285" si="23">I282/F282*100</f>
        <v>31.14251105</v>
      </c>
      <c r="L282" s="54"/>
      <c r="M282" s="82" t="str">
        <f>"тотал"&amp;" "&amp;B281</f>
        <v>тотал СЕНТЯБРЬ</v>
      </c>
      <c r="N282" s="75"/>
      <c r="O282" s="76"/>
    </row>
    <row r="283">
      <c r="A283" s="54"/>
      <c r="B283" s="185">
        <v>45549.0</v>
      </c>
      <c r="C283" s="185"/>
      <c r="D283" s="102"/>
      <c r="E283" s="101"/>
      <c r="F283" s="101">
        <v>1626.33</v>
      </c>
      <c r="G283" s="101">
        <v>738.0</v>
      </c>
      <c r="H283" s="101">
        <v>532.0</v>
      </c>
      <c r="I283" s="101">
        <v>506.48</v>
      </c>
      <c r="J283" s="177">
        <f t="shared" si="22"/>
        <v>25.52</v>
      </c>
      <c r="K283" s="103">
        <f t="shared" si="23"/>
        <v>31.14251105</v>
      </c>
      <c r="L283" s="54"/>
      <c r="M283" s="83" t="s">
        <v>70</v>
      </c>
      <c r="N283" s="83" t="s">
        <v>71</v>
      </c>
      <c r="O283" s="83" t="s">
        <v>27</v>
      </c>
    </row>
    <row r="284">
      <c r="A284" s="54"/>
      <c r="B284" s="185">
        <v>45559.0</v>
      </c>
      <c r="C284" s="185"/>
      <c r="D284" s="102"/>
      <c r="E284" s="101">
        <v>447857.0</v>
      </c>
      <c r="F284" s="101">
        <v>1626.33</v>
      </c>
      <c r="G284" s="101">
        <v>731.0</v>
      </c>
      <c r="H284" s="101">
        <v>534.0</v>
      </c>
      <c r="I284" s="101">
        <v>537.39</v>
      </c>
      <c r="J284" s="177">
        <f t="shared" si="22"/>
        <v>-3.39</v>
      </c>
      <c r="K284" s="103">
        <f t="shared" si="23"/>
        <v>33.04310933</v>
      </c>
      <c r="L284" s="54"/>
      <c r="M284" s="84">
        <f>SUM(F282:F285)</f>
        <v>6023.99</v>
      </c>
      <c r="N284" s="84">
        <f>SUM(I282:I285)</f>
        <v>1973.94</v>
      </c>
      <c r="O284" s="85">
        <f>N284/M284*100</f>
        <v>32.76798268</v>
      </c>
    </row>
    <row r="285">
      <c r="A285" s="54"/>
      <c r="B285" s="185">
        <v>45565.0</v>
      </c>
      <c r="C285" s="185"/>
      <c r="D285" s="102"/>
      <c r="E285" s="101">
        <v>449002.0</v>
      </c>
      <c r="F285" s="102">
        <f>E285-E284</f>
        <v>1145</v>
      </c>
      <c r="G285" s="101">
        <v>737.0</v>
      </c>
      <c r="H285" s="101">
        <v>430.0</v>
      </c>
      <c r="I285" s="101">
        <v>423.59</v>
      </c>
      <c r="J285" s="177">
        <f t="shared" si="22"/>
        <v>6.41</v>
      </c>
      <c r="K285" s="103">
        <f t="shared" si="23"/>
        <v>36.99475983</v>
      </c>
      <c r="L285" s="54"/>
      <c r="M285" s="54"/>
      <c r="N285" s="54"/>
    </row>
    <row r="286">
      <c r="A286" s="66"/>
      <c r="B286" s="67" t="s">
        <v>96</v>
      </c>
      <c r="J286" s="66"/>
      <c r="K286" s="66"/>
      <c r="L286" s="66"/>
      <c r="M286" s="66"/>
      <c r="N286" s="66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>
      <c r="A287" s="54"/>
      <c r="B287" s="164" t="s">
        <v>460</v>
      </c>
      <c r="C287" s="75"/>
      <c r="D287" s="75"/>
      <c r="E287" s="75"/>
      <c r="F287" s="75"/>
      <c r="G287" s="75"/>
      <c r="H287" s="75"/>
      <c r="I287" s="76"/>
      <c r="J287" s="54"/>
      <c r="K287" s="54"/>
      <c r="L287" s="54"/>
      <c r="M287" s="54"/>
      <c r="N287" s="54"/>
    </row>
    <row r="288">
      <c r="A288" s="66"/>
      <c r="B288" s="67" t="s">
        <v>97</v>
      </c>
      <c r="J288" s="66"/>
      <c r="K288" s="66"/>
      <c r="L288" s="66"/>
      <c r="M288" s="66"/>
      <c r="N288" s="66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>
      <c r="A289" s="54"/>
      <c r="B289" s="526">
        <v>45611.0</v>
      </c>
      <c r="C289" s="526"/>
      <c r="D289" s="102"/>
      <c r="E289" s="101">
        <v>450049.0</v>
      </c>
      <c r="F289" s="102">
        <f>E289-E285</f>
        <v>1047</v>
      </c>
      <c r="G289" s="101">
        <v>707.0</v>
      </c>
      <c r="H289" s="101">
        <v>301.0</v>
      </c>
      <c r="I289" s="101">
        <v>300.0</v>
      </c>
      <c r="J289" s="177">
        <f t="shared" ref="J289:J294" si="24">H289-I289</f>
        <v>1</v>
      </c>
      <c r="K289" s="103">
        <f t="shared" ref="K289:K294" si="25">I289/F289*100</f>
        <v>28.65329513</v>
      </c>
      <c r="L289" s="54"/>
      <c r="M289" s="205" t="str">
        <f>"тотал"&amp;" "&amp;B288&amp;" "&amp;RIGHT(YEAR(B289),2)</f>
        <v>тотал НОЯБРЬ 24</v>
      </c>
      <c r="N289" s="75"/>
      <c r="O289" s="75"/>
      <c r="P289" s="75"/>
      <c r="Q289" s="76"/>
    </row>
    <row r="290">
      <c r="A290" s="54"/>
      <c r="B290" s="526">
        <v>45614.0</v>
      </c>
      <c r="C290" s="526"/>
      <c r="D290" s="101" t="s">
        <v>461</v>
      </c>
      <c r="E290" s="101">
        <v>451633.0</v>
      </c>
      <c r="F290" s="102">
        <f t="shared" ref="F290:F294" si="26">E290-E289</f>
        <v>1584</v>
      </c>
      <c r="G290" s="101">
        <v>738.0</v>
      </c>
      <c r="H290" s="101">
        <v>510.0</v>
      </c>
      <c r="I290" s="101">
        <v>504.87</v>
      </c>
      <c r="J290" s="177">
        <f t="shared" si="24"/>
        <v>5.13</v>
      </c>
      <c r="K290" s="103">
        <f t="shared" si="25"/>
        <v>31.87310606</v>
      </c>
      <c r="L290" s="54"/>
      <c r="M290" s="83" t="s">
        <v>70</v>
      </c>
      <c r="N290" s="83" t="s">
        <v>71</v>
      </c>
      <c r="O290" s="83" t="s">
        <v>27</v>
      </c>
      <c r="P290" s="83" t="s">
        <v>28</v>
      </c>
      <c r="Q290" s="321" t="s">
        <v>78</v>
      </c>
    </row>
    <row r="291">
      <c r="A291" s="54"/>
      <c r="B291" s="526">
        <v>45616.0</v>
      </c>
      <c r="C291" s="526"/>
      <c r="D291" s="101" t="s">
        <v>461</v>
      </c>
      <c r="E291" s="101">
        <v>453164.0</v>
      </c>
      <c r="F291" s="102">
        <f t="shared" si="26"/>
        <v>1531</v>
      </c>
      <c r="G291" s="101">
        <v>647.0</v>
      </c>
      <c r="H291" s="101">
        <v>391.0</v>
      </c>
      <c r="I291" s="101">
        <v>390.0</v>
      </c>
      <c r="J291" s="177">
        <f t="shared" si="24"/>
        <v>1</v>
      </c>
      <c r="K291" s="103">
        <f t="shared" si="25"/>
        <v>25.4735467</v>
      </c>
      <c r="L291" s="54"/>
      <c r="M291" s="84">
        <f>SUM(F289:F294)</f>
        <v>8950</v>
      </c>
      <c r="N291" s="84">
        <f>SUM(I289:I294)</f>
        <v>2735.24</v>
      </c>
      <c r="O291" s="85">
        <f>N291/M291*100</f>
        <v>30.56134078</v>
      </c>
      <c r="P291" s="84">
        <f>(M291/100)*(O291-Q291)</f>
        <v>229.24</v>
      </c>
      <c r="Q291" s="464">
        <v>28.0</v>
      </c>
    </row>
    <row r="292">
      <c r="A292" s="54"/>
      <c r="B292" s="526">
        <v>45621.0</v>
      </c>
      <c r="C292" s="526"/>
      <c r="D292" s="101" t="s">
        <v>280</v>
      </c>
      <c r="E292" s="101">
        <v>454760.0</v>
      </c>
      <c r="F292" s="102">
        <f t="shared" si="26"/>
        <v>1596</v>
      </c>
      <c r="G292" s="101">
        <v>716.0</v>
      </c>
      <c r="H292" s="101">
        <v>578.0</v>
      </c>
      <c r="I292" s="101">
        <v>590.41</v>
      </c>
      <c r="J292" s="177">
        <f t="shared" si="24"/>
        <v>-12.41</v>
      </c>
      <c r="K292" s="103">
        <f t="shared" si="25"/>
        <v>36.99310777</v>
      </c>
      <c r="L292" s="54"/>
      <c r="M292" s="54"/>
      <c r="N292" s="54"/>
    </row>
    <row r="293">
      <c r="A293" s="54"/>
      <c r="B293" s="526">
        <v>45623.0</v>
      </c>
      <c r="C293" s="526"/>
      <c r="D293" s="101" t="s">
        <v>280</v>
      </c>
      <c r="E293" s="101">
        <v>456344.0</v>
      </c>
      <c r="F293" s="102">
        <f t="shared" si="26"/>
        <v>1584</v>
      </c>
      <c r="G293" s="101">
        <v>712.0</v>
      </c>
      <c r="H293" s="101">
        <v>469.0</v>
      </c>
      <c r="I293" s="101">
        <v>475.43</v>
      </c>
      <c r="J293" s="177">
        <f t="shared" si="24"/>
        <v>-6.43</v>
      </c>
      <c r="K293" s="103">
        <f t="shared" si="25"/>
        <v>30.0145202</v>
      </c>
      <c r="L293" s="54"/>
      <c r="M293" s="54"/>
      <c r="N293" s="54"/>
    </row>
    <row r="294">
      <c r="A294" s="54"/>
      <c r="B294" s="526">
        <v>45625.0</v>
      </c>
      <c r="C294" s="526"/>
      <c r="D294" s="101" t="s">
        <v>280</v>
      </c>
      <c r="E294" s="101">
        <v>457952.0</v>
      </c>
      <c r="F294" s="102">
        <f t="shared" si="26"/>
        <v>1608</v>
      </c>
      <c r="G294" s="101">
        <v>714.0</v>
      </c>
      <c r="H294" s="101">
        <v>466.0</v>
      </c>
      <c r="I294" s="101">
        <v>474.53</v>
      </c>
      <c r="J294" s="177">
        <f t="shared" si="24"/>
        <v>-8.53</v>
      </c>
      <c r="K294" s="103">
        <f t="shared" si="25"/>
        <v>29.51057214</v>
      </c>
      <c r="L294" s="54"/>
      <c r="M294" s="54"/>
      <c r="N294" s="54"/>
    </row>
    <row r="295">
      <c r="A295" s="66"/>
      <c r="B295" s="67" t="s">
        <v>98</v>
      </c>
      <c r="J295" s="66"/>
      <c r="K295" s="66"/>
      <c r="L295" s="66"/>
      <c r="M295" s="66"/>
      <c r="N295" s="66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>
      <c r="A296" s="54"/>
      <c r="B296" s="526">
        <v>45627.0</v>
      </c>
      <c r="C296" s="526"/>
      <c r="D296" s="101" t="s">
        <v>280</v>
      </c>
      <c r="E296" s="101">
        <v>459476.0</v>
      </c>
      <c r="F296" s="102">
        <f>E296-E294</f>
        <v>1524</v>
      </c>
      <c r="G296" s="101">
        <v>705.0</v>
      </c>
      <c r="H296" s="101">
        <v>459.0</v>
      </c>
      <c r="I296" s="101">
        <v>472.07</v>
      </c>
      <c r="J296" s="177">
        <f t="shared" ref="J296:J304" si="27">H296-I296</f>
        <v>-13.07</v>
      </c>
      <c r="K296" s="103">
        <f t="shared" ref="K296:K304" si="28">I296/F296*100</f>
        <v>30.97572178</v>
      </c>
      <c r="L296" s="54"/>
      <c r="M296" s="205" t="str">
        <f>"тотал"&amp;" "&amp;B295&amp;" "&amp;RIGHT(YEAR(B296),2)</f>
        <v>тотал ДЕКАБРЬ 24</v>
      </c>
      <c r="N296" s="75"/>
      <c r="O296" s="75"/>
      <c r="P296" s="75"/>
      <c r="Q296" s="76"/>
    </row>
    <row r="297">
      <c r="A297" s="54"/>
      <c r="B297" s="526">
        <v>45629.0</v>
      </c>
      <c r="C297" s="526"/>
      <c r="D297" s="101" t="s">
        <v>280</v>
      </c>
      <c r="E297" s="101">
        <v>461001.0</v>
      </c>
      <c r="F297" s="102">
        <f t="shared" ref="F297:F304" si="29">E297-E296</f>
        <v>1525</v>
      </c>
      <c r="G297" s="101">
        <v>704.0</v>
      </c>
      <c r="H297" s="101">
        <v>457.0</v>
      </c>
      <c r="I297" s="101">
        <v>470.67</v>
      </c>
      <c r="J297" s="177">
        <f t="shared" si="27"/>
        <v>-13.67</v>
      </c>
      <c r="K297" s="103">
        <f t="shared" si="28"/>
        <v>30.86360656</v>
      </c>
      <c r="L297" s="54"/>
      <c r="M297" s="83" t="s">
        <v>70</v>
      </c>
      <c r="N297" s="83" t="s">
        <v>71</v>
      </c>
      <c r="O297" s="83" t="s">
        <v>27</v>
      </c>
      <c r="P297" s="83" t="s">
        <v>28</v>
      </c>
      <c r="Q297" s="321" t="s">
        <v>78</v>
      </c>
    </row>
    <row r="298">
      <c r="A298" s="54"/>
      <c r="B298" s="526">
        <v>45633.0</v>
      </c>
      <c r="C298" s="526"/>
      <c r="D298" s="101" t="s">
        <v>280</v>
      </c>
      <c r="E298" s="101">
        <v>462626.0</v>
      </c>
      <c r="F298" s="102">
        <f t="shared" si="29"/>
        <v>1625</v>
      </c>
      <c r="G298" s="101">
        <v>723.0</v>
      </c>
      <c r="H298" s="101">
        <v>491.0</v>
      </c>
      <c r="I298" s="101">
        <v>492.58</v>
      </c>
      <c r="J298" s="177">
        <f t="shared" si="27"/>
        <v>-1.58</v>
      </c>
      <c r="K298" s="103">
        <f t="shared" si="28"/>
        <v>30.31261538</v>
      </c>
      <c r="L298" s="54"/>
      <c r="M298" s="84">
        <f>SUM(F296:F304)</f>
        <v>12847</v>
      </c>
      <c r="N298" s="84">
        <f>SUM(I296:I304)</f>
        <v>4541.16</v>
      </c>
      <c r="O298" s="85">
        <f>N298/M298*100</f>
        <v>35.34801899</v>
      </c>
      <c r="P298" s="84">
        <f>(M298/100)*(O298-Q298)</f>
        <v>901.6049</v>
      </c>
      <c r="Q298" s="464">
        <v>28.33</v>
      </c>
    </row>
    <row r="299">
      <c r="A299" s="54"/>
      <c r="B299" s="526">
        <v>45636.0</v>
      </c>
      <c r="C299" s="526"/>
      <c r="D299" s="101" t="s">
        <v>280</v>
      </c>
      <c r="E299" s="101">
        <v>463684.0</v>
      </c>
      <c r="F299" s="102">
        <f t="shared" si="29"/>
        <v>1058</v>
      </c>
      <c r="G299" s="101">
        <v>685.0</v>
      </c>
      <c r="H299" s="101">
        <v>281.0</v>
      </c>
      <c r="I299" s="101">
        <v>286.42</v>
      </c>
      <c r="J299" s="177">
        <f t="shared" si="27"/>
        <v>-5.42</v>
      </c>
      <c r="K299" s="103">
        <f t="shared" si="28"/>
        <v>27.07183365</v>
      </c>
      <c r="L299" s="60"/>
      <c r="M299" s="60"/>
      <c r="N299" s="60"/>
    </row>
    <row r="300">
      <c r="A300" s="54"/>
      <c r="B300" s="526">
        <v>45639.0</v>
      </c>
      <c r="C300" s="526"/>
      <c r="D300" s="102"/>
      <c r="E300" s="101">
        <v>465107.0</v>
      </c>
      <c r="F300" s="102">
        <f t="shared" si="29"/>
        <v>1423</v>
      </c>
      <c r="G300" s="101">
        <v>703.0</v>
      </c>
      <c r="H300" s="101">
        <v>481.0</v>
      </c>
      <c r="I300" s="101">
        <v>492.6</v>
      </c>
      <c r="J300" s="177">
        <f t="shared" si="27"/>
        <v>-11.6</v>
      </c>
      <c r="K300" s="103">
        <f t="shared" si="28"/>
        <v>34.61700632</v>
      </c>
      <c r="L300" s="54"/>
      <c r="M300" s="60"/>
      <c r="N300" s="60"/>
    </row>
    <row r="301">
      <c r="A301" s="54"/>
      <c r="B301" s="526">
        <v>45640.0</v>
      </c>
      <c r="C301" s="526"/>
      <c r="D301" s="102"/>
      <c r="E301" s="101">
        <v>466588.0</v>
      </c>
      <c r="F301" s="102">
        <f t="shared" si="29"/>
        <v>1481</v>
      </c>
      <c r="G301" s="101">
        <v>720.0</v>
      </c>
      <c r="H301" s="101">
        <v>484.0</v>
      </c>
      <c r="I301" s="101">
        <v>494.62</v>
      </c>
      <c r="J301" s="177">
        <f t="shared" si="27"/>
        <v>-10.62</v>
      </c>
      <c r="K301" s="103">
        <f t="shared" si="28"/>
        <v>33.39770425</v>
      </c>
      <c r="L301" s="54"/>
      <c r="M301" s="54"/>
      <c r="N301" s="54"/>
    </row>
    <row r="302">
      <c r="A302" s="54"/>
      <c r="B302" s="526">
        <v>45642.0</v>
      </c>
      <c r="C302" s="526"/>
      <c r="D302" s="102"/>
      <c r="E302" s="101">
        <v>467909.0</v>
      </c>
      <c r="F302" s="102">
        <f t="shared" si="29"/>
        <v>1321</v>
      </c>
      <c r="G302" s="101">
        <v>717.0</v>
      </c>
      <c r="H302" s="101">
        <v>510.0</v>
      </c>
      <c r="I302" s="101">
        <v>522.2</v>
      </c>
      <c r="J302" s="177">
        <f t="shared" si="27"/>
        <v>-12.2</v>
      </c>
      <c r="K302" s="103">
        <f t="shared" si="28"/>
        <v>39.53065859</v>
      </c>
      <c r="L302" s="54"/>
      <c r="M302" s="54"/>
      <c r="N302" s="54"/>
    </row>
    <row r="303">
      <c r="A303" s="54"/>
      <c r="B303" s="526">
        <v>45646.0</v>
      </c>
      <c r="C303" s="526"/>
      <c r="D303" s="102"/>
      <c r="E303" s="101">
        <v>469283.0</v>
      </c>
      <c r="F303" s="102">
        <f t="shared" si="29"/>
        <v>1374</v>
      </c>
      <c r="G303" s="101">
        <v>940.0</v>
      </c>
      <c r="H303" s="101">
        <v>664.0</v>
      </c>
      <c r="I303" s="101">
        <v>800.0</v>
      </c>
      <c r="J303" s="177">
        <f t="shared" si="27"/>
        <v>-136</v>
      </c>
      <c r="K303" s="103">
        <f t="shared" si="28"/>
        <v>58.22416303</v>
      </c>
      <c r="L303" s="54"/>
      <c r="M303" s="54"/>
      <c r="N303" s="54"/>
    </row>
    <row r="304">
      <c r="A304" s="54"/>
      <c r="B304" s="526">
        <v>45649.0</v>
      </c>
      <c r="C304" s="526"/>
      <c r="D304" s="102"/>
      <c r="E304" s="101">
        <v>470799.0</v>
      </c>
      <c r="F304" s="102">
        <f t="shared" si="29"/>
        <v>1516</v>
      </c>
      <c r="G304" s="101">
        <v>947.0</v>
      </c>
      <c r="H304" s="101">
        <v>500.0</v>
      </c>
      <c r="I304" s="101">
        <v>510.0</v>
      </c>
      <c r="J304" s="177">
        <f t="shared" si="27"/>
        <v>-10</v>
      </c>
      <c r="K304" s="103">
        <f t="shared" si="28"/>
        <v>33.64116095</v>
      </c>
      <c r="L304" s="54"/>
      <c r="M304" s="54"/>
      <c r="N304" s="54"/>
    </row>
    <row r="305">
      <c r="A305" s="66"/>
      <c r="B305" s="191">
        <v>2025.0</v>
      </c>
      <c r="J305" s="66"/>
      <c r="K305" s="66"/>
      <c r="L305" s="66"/>
      <c r="M305" s="66"/>
      <c r="N305" s="66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>
      <c r="A306" s="89"/>
      <c r="B306" s="112" t="s">
        <v>66</v>
      </c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</row>
    <row r="307">
      <c r="A307" s="54"/>
      <c r="B307" s="526">
        <v>45661.0</v>
      </c>
      <c r="C307" s="526"/>
      <c r="D307" s="102"/>
      <c r="E307" s="101">
        <v>472172.0</v>
      </c>
      <c r="F307" s="102">
        <f>E307-E304</f>
        <v>1373</v>
      </c>
      <c r="G307" s="101">
        <v>947.0</v>
      </c>
      <c r="H307" s="101">
        <v>437.0</v>
      </c>
      <c r="I307" s="101">
        <v>442.93</v>
      </c>
      <c r="J307" s="177">
        <f t="shared" ref="J307:J318" si="30">H307-I307</f>
        <v>-5.93</v>
      </c>
      <c r="K307" s="103">
        <f t="shared" ref="K307:K318" si="31">I307/F307*100</f>
        <v>32.26001457</v>
      </c>
      <c r="L307" s="54"/>
      <c r="M307" s="205" t="str">
        <f>"тотал"&amp;" "&amp;B306&amp;" "&amp;RIGHT(YEAR(B307),2)</f>
        <v>тотал ЯНВАРЬ 25</v>
      </c>
      <c r="N307" s="75"/>
      <c r="O307" s="75"/>
      <c r="P307" s="75"/>
      <c r="Q307" s="76"/>
    </row>
    <row r="308">
      <c r="A308" s="54"/>
      <c r="B308" s="526">
        <v>45663.0</v>
      </c>
      <c r="C308" s="526"/>
      <c r="D308" s="102"/>
      <c r="E308" s="101">
        <v>473491.0</v>
      </c>
      <c r="F308" s="102">
        <f t="shared" ref="F308:F318" si="32">E308-E307</f>
        <v>1319</v>
      </c>
      <c r="G308" s="101">
        <v>935.0</v>
      </c>
      <c r="H308" s="101">
        <v>549.0</v>
      </c>
      <c r="I308" s="101">
        <v>561.8</v>
      </c>
      <c r="J308" s="177">
        <f t="shared" si="30"/>
        <v>-12.8</v>
      </c>
      <c r="K308" s="103">
        <f t="shared" si="31"/>
        <v>42.59287339</v>
      </c>
      <c r="L308" s="54"/>
      <c r="M308" s="83" t="s">
        <v>70</v>
      </c>
      <c r="N308" s="83" t="s">
        <v>71</v>
      </c>
      <c r="O308" s="83" t="s">
        <v>27</v>
      </c>
      <c r="P308" s="83" t="s">
        <v>28</v>
      </c>
      <c r="Q308" s="321" t="s">
        <v>78</v>
      </c>
    </row>
    <row r="309">
      <c r="A309" s="54"/>
      <c r="B309" s="526">
        <v>45665.0</v>
      </c>
      <c r="C309" s="526"/>
      <c r="D309" s="102"/>
      <c r="E309" s="101">
        <v>474707.0</v>
      </c>
      <c r="F309" s="102">
        <f t="shared" si="32"/>
        <v>1216</v>
      </c>
      <c r="G309" s="101">
        <v>959.0</v>
      </c>
      <c r="H309" s="101">
        <v>485.0</v>
      </c>
      <c r="I309" s="101">
        <v>481.47</v>
      </c>
      <c r="J309" s="177">
        <f t="shared" si="30"/>
        <v>3.53</v>
      </c>
      <c r="K309" s="103">
        <f t="shared" si="31"/>
        <v>39.59457237</v>
      </c>
      <c r="L309" s="54"/>
      <c r="M309" s="84">
        <f>SUM(F307:F321)</f>
        <v>16075</v>
      </c>
      <c r="N309" s="84">
        <f>SUM(I307:I321)</f>
        <v>6138.29</v>
      </c>
      <c r="O309" s="85">
        <f>N309/M309*100</f>
        <v>38.18531882</v>
      </c>
      <c r="P309" s="84">
        <f>(M309/100)*(O309-Q309)</f>
        <v>1597.1025</v>
      </c>
      <c r="Q309" s="464">
        <v>28.25</v>
      </c>
    </row>
    <row r="310">
      <c r="A310" s="54"/>
      <c r="B310" s="526">
        <v>45667.0</v>
      </c>
      <c r="C310" s="526"/>
      <c r="D310" s="102"/>
      <c r="E310" s="101">
        <v>475918.0</v>
      </c>
      <c r="F310" s="102">
        <f t="shared" si="32"/>
        <v>1211</v>
      </c>
      <c r="G310" s="101">
        <v>962.0</v>
      </c>
      <c r="H310" s="101">
        <v>403.0</v>
      </c>
      <c r="I310" s="101">
        <v>392.59</v>
      </c>
      <c r="J310" s="177">
        <f t="shared" si="30"/>
        <v>10.41</v>
      </c>
      <c r="K310" s="103">
        <f t="shared" si="31"/>
        <v>32.41866226</v>
      </c>
      <c r="L310" s="54"/>
      <c r="M310" s="54"/>
      <c r="N310" s="54"/>
    </row>
    <row r="311">
      <c r="A311" s="54"/>
      <c r="B311" s="526">
        <v>45668.0</v>
      </c>
      <c r="C311" s="526"/>
      <c r="D311" s="102"/>
      <c r="E311" s="101">
        <v>476798.0</v>
      </c>
      <c r="F311" s="102">
        <f t="shared" si="32"/>
        <v>880</v>
      </c>
      <c r="G311" s="101">
        <v>965.0</v>
      </c>
      <c r="H311" s="101">
        <v>311.0</v>
      </c>
      <c r="I311" s="101">
        <v>306.06</v>
      </c>
      <c r="J311" s="177">
        <f t="shared" si="30"/>
        <v>4.94</v>
      </c>
      <c r="K311" s="103">
        <f t="shared" si="31"/>
        <v>34.77954545</v>
      </c>
      <c r="L311" s="60"/>
      <c r="M311" s="60"/>
      <c r="N311" s="60"/>
    </row>
    <row r="312">
      <c r="A312" s="54"/>
      <c r="B312" s="526">
        <v>45669.0</v>
      </c>
      <c r="C312" s="526"/>
      <c r="D312" s="102"/>
      <c r="E312" s="101">
        <v>478159.0</v>
      </c>
      <c r="F312" s="102">
        <f t="shared" si="32"/>
        <v>1361</v>
      </c>
      <c r="G312" s="101">
        <v>945.0</v>
      </c>
      <c r="H312" s="101">
        <v>460.0</v>
      </c>
      <c r="I312" s="101">
        <v>466.95</v>
      </c>
      <c r="J312" s="177">
        <f t="shared" si="30"/>
        <v>-6.95</v>
      </c>
      <c r="K312" s="103">
        <f t="shared" si="31"/>
        <v>34.30933137</v>
      </c>
      <c r="L312" s="54"/>
      <c r="M312" s="60"/>
      <c r="N312" s="60"/>
    </row>
    <row r="313">
      <c r="A313" s="54"/>
      <c r="B313" s="526">
        <v>45671.0</v>
      </c>
      <c r="C313" s="526"/>
      <c r="D313" s="102"/>
      <c r="E313" s="101">
        <v>478848.0</v>
      </c>
      <c r="F313" s="102">
        <f t="shared" si="32"/>
        <v>689</v>
      </c>
      <c r="G313" s="101">
        <v>923.0</v>
      </c>
      <c r="H313" s="101">
        <v>291.0</v>
      </c>
      <c r="I313" s="101">
        <v>299.32</v>
      </c>
      <c r="J313" s="177">
        <f t="shared" si="30"/>
        <v>-8.32</v>
      </c>
      <c r="K313" s="103">
        <f t="shared" si="31"/>
        <v>43.44267054</v>
      </c>
      <c r="L313" s="54"/>
      <c r="M313" s="54"/>
      <c r="N313" s="54"/>
    </row>
    <row r="314">
      <c r="A314" s="54"/>
      <c r="B314" s="526">
        <v>45674.0</v>
      </c>
      <c r="C314" s="526"/>
      <c r="D314" s="102"/>
      <c r="E314" s="101">
        <v>479824.0</v>
      </c>
      <c r="F314" s="102">
        <f t="shared" si="32"/>
        <v>976</v>
      </c>
      <c r="G314" s="101">
        <v>927.0</v>
      </c>
      <c r="H314" s="101">
        <v>479.0</v>
      </c>
      <c r="I314" s="101">
        <v>500.0</v>
      </c>
      <c r="J314" s="177">
        <f t="shared" si="30"/>
        <v>-21</v>
      </c>
      <c r="K314" s="103">
        <f t="shared" si="31"/>
        <v>51.2295082</v>
      </c>
      <c r="L314" s="54"/>
      <c r="M314" s="54"/>
      <c r="N314" s="54"/>
    </row>
    <row r="315">
      <c r="A315" s="54"/>
      <c r="B315" s="526">
        <v>45680.0</v>
      </c>
      <c r="C315" s="526"/>
      <c r="D315" s="102"/>
      <c r="E315" s="101">
        <v>481237.0</v>
      </c>
      <c r="F315" s="102">
        <f t="shared" si="32"/>
        <v>1413</v>
      </c>
      <c r="G315" s="101">
        <v>880.0</v>
      </c>
      <c r="H315" s="101">
        <v>480.0</v>
      </c>
      <c r="I315" s="101">
        <v>499.6</v>
      </c>
      <c r="J315" s="177">
        <f t="shared" si="30"/>
        <v>-19.6</v>
      </c>
      <c r="K315" s="103">
        <f t="shared" si="31"/>
        <v>35.35739561</v>
      </c>
      <c r="L315" s="54"/>
      <c r="M315" s="54"/>
      <c r="N315" s="54"/>
    </row>
    <row r="316">
      <c r="A316" s="54"/>
      <c r="B316" s="526">
        <v>45684.0</v>
      </c>
      <c r="C316" s="526"/>
      <c r="D316" s="102"/>
      <c r="E316" s="101">
        <v>481810.0</v>
      </c>
      <c r="F316" s="102">
        <f t="shared" si="32"/>
        <v>573</v>
      </c>
      <c r="G316" s="101">
        <v>946.0</v>
      </c>
      <c r="H316" s="101">
        <v>398.0</v>
      </c>
      <c r="I316" s="101">
        <v>398.69</v>
      </c>
      <c r="J316" s="177">
        <f t="shared" si="30"/>
        <v>-0.69</v>
      </c>
      <c r="K316" s="103">
        <f t="shared" si="31"/>
        <v>69.57940663</v>
      </c>
      <c r="L316" s="54"/>
      <c r="M316" s="54"/>
      <c r="N316" s="54"/>
    </row>
    <row r="317">
      <c r="A317" s="54"/>
      <c r="B317" s="526">
        <v>45686.0</v>
      </c>
      <c r="C317" s="526"/>
      <c r="D317" s="102"/>
      <c r="E317" s="101">
        <v>482967.0</v>
      </c>
      <c r="F317" s="102">
        <f t="shared" si="32"/>
        <v>1157</v>
      </c>
      <c r="G317" s="101">
        <v>953.0</v>
      </c>
      <c r="H317" s="101">
        <v>424.0</v>
      </c>
      <c r="I317" s="101">
        <v>417.93</v>
      </c>
      <c r="J317" s="177">
        <f t="shared" si="30"/>
        <v>6.07</v>
      </c>
      <c r="K317" s="103">
        <f t="shared" si="31"/>
        <v>36.1218669</v>
      </c>
      <c r="L317" s="54"/>
      <c r="M317" s="54"/>
      <c r="N317" s="54"/>
    </row>
    <row r="318">
      <c r="A318" s="54"/>
      <c r="B318" s="526">
        <v>45688.0</v>
      </c>
      <c r="C318" s="526"/>
      <c r="D318" s="102"/>
      <c r="E318" s="101">
        <v>484129.0</v>
      </c>
      <c r="F318" s="102">
        <f t="shared" si="32"/>
        <v>1162</v>
      </c>
      <c r="G318" s="101">
        <v>957.0</v>
      </c>
      <c r="H318" s="101">
        <v>433.0</v>
      </c>
      <c r="I318" s="101">
        <v>425.48</v>
      </c>
      <c r="J318" s="177">
        <f t="shared" si="30"/>
        <v>7.52</v>
      </c>
      <c r="K318" s="103">
        <f t="shared" si="31"/>
        <v>36.616179</v>
      </c>
      <c r="L318" s="54"/>
      <c r="M318" s="54"/>
      <c r="N318" s="54"/>
    </row>
    <row r="319">
      <c r="A319" s="68"/>
      <c r="B319" s="203" t="str">
        <f>IF(L319=4,"АПРЕЛЬ",IF(L319=5,"МАЙ",IF(L319=1,"ЯНВАРЬ",IF(L319=2,"ФЕВРАЛЬ",IF(L319=3,"МАРТ",IF(L319=6,"ИЮНЬ",IF(L319=7,"ИЮЛЬ",IF(L319=8,"АВГУСТ",IF(L319=9,"СЕНТЯБРЬ",IF(L319=10,"ОКТЯБРЬ",IF(L319=11,"НОЯБРЬ",IF(L319=12,"ДЕКАБРЬ"))))))))))))</f>
        <v>ФЕВРАЛЬ</v>
      </c>
      <c r="J319" s="88"/>
      <c r="K319" s="204"/>
      <c r="L319" s="91">
        <f>MONTH(B320)</f>
        <v>2</v>
      </c>
      <c r="M319" s="66"/>
      <c r="N319" s="66"/>
      <c r="O319" s="66"/>
      <c r="P319" s="66"/>
      <c r="Q319" s="66"/>
    </row>
    <row r="320">
      <c r="A320" s="54"/>
      <c r="B320" s="526">
        <v>45690.0</v>
      </c>
      <c r="C320" s="526"/>
      <c r="D320" s="102"/>
      <c r="E320" s="101">
        <v>485424.0</v>
      </c>
      <c r="F320" s="102">
        <f>E320-E318</f>
        <v>1295</v>
      </c>
      <c r="G320" s="101">
        <v>954.0</v>
      </c>
      <c r="H320" s="101">
        <v>448.0</v>
      </c>
      <c r="I320" s="101">
        <v>445.68</v>
      </c>
      <c r="J320" s="177">
        <f t="shared" ref="J320:J327" si="33">H320-I320</f>
        <v>2.32</v>
      </c>
      <c r="K320" s="103">
        <f t="shared" ref="K320:K327" si="34">I320/F320*100</f>
        <v>34.41544402</v>
      </c>
      <c r="L320" s="54"/>
      <c r="M320" s="205" t="str">
        <f>"тотал"&amp;" "&amp;B319&amp;" "&amp;RIGHT(YEAR(B320),2)</f>
        <v>тотал ФЕВРАЛЬ 25</v>
      </c>
      <c r="N320" s="75"/>
      <c r="O320" s="75"/>
      <c r="P320" s="75"/>
      <c r="Q320" s="76"/>
    </row>
    <row r="321">
      <c r="A321" s="54"/>
      <c r="B321" s="526">
        <v>45695.0</v>
      </c>
      <c r="C321" s="526"/>
      <c r="D321" s="102"/>
      <c r="E321" s="101">
        <v>486874.0</v>
      </c>
      <c r="F321" s="102">
        <f t="shared" ref="F321:F327" si="35">E321-E320</f>
        <v>1450</v>
      </c>
      <c r="G321" s="101">
        <v>919.0</v>
      </c>
      <c r="H321" s="101">
        <v>494.0</v>
      </c>
      <c r="I321" s="101">
        <v>499.79</v>
      </c>
      <c r="J321" s="177">
        <f t="shared" si="33"/>
        <v>-5.79</v>
      </c>
      <c r="K321" s="103">
        <f t="shared" si="34"/>
        <v>34.46827586</v>
      </c>
      <c r="L321" s="54"/>
      <c r="M321" s="83" t="s">
        <v>70</v>
      </c>
      <c r="N321" s="83" t="s">
        <v>71</v>
      </c>
      <c r="O321" s="83" t="s">
        <v>27</v>
      </c>
      <c r="P321" s="83" t="s">
        <v>28</v>
      </c>
      <c r="Q321" s="321" t="s">
        <v>78</v>
      </c>
    </row>
    <row r="322">
      <c r="A322" s="54"/>
      <c r="B322" s="526">
        <v>45699.0</v>
      </c>
      <c r="C322" s="526"/>
      <c r="D322" s="102"/>
      <c r="E322" s="101">
        <v>488180.0</v>
      </c>
      <c r="F322" s="102">
        <f t="shared" si="35"/>
        <v>1306</v>
      </c>
      <c r="G322" s="101">
        <v>950.0</v>
      </c>
      <c r="H322" s="101">
        <v>478.0</v>
      </c>
      <c r="I322" s="101">
        <v>485.25</v>
      </c>
      <c r="J322" s="177">
        <f t="shared" si="33"/>
        <v>-7.25</v>
      </c>
      <c r="K322" s="103">
        <f t="shared" si="34"/>
        <v>37.15543645</v>
      </c>
      <c r="L322" s="54"/>
      <c r="M322" s="84">
        <f>SUM(F320:F327)</f>
        <v>10229</v>
      </c>
      <c r="N322" s="84">
        <f>SUM(I320:I327)</f>
        <v>3641.36</v>
      </c>
      <c r="O322" s="85">
        <f>N322/M322*100</f>
        <v>35.59839672</v>
      </c>
      <c r="P322" s="84">
        <f>(M322/100)*(O322-Q322)</f>
        <v>777.24</v>
      </c>
      <c r="Q322" s="464">
        <v>28.0</v>
      </c>
    </row>
    <row r="323">
      <c r="A323" s="54"/>
      <c r="B323" s="526">
        <v>45703.0</v>
      </c>
      <c r="C323" s="526"/>
      <c r="D323" s="102"/>
      <c r="E323" s="101">
        <v>489508.0</v>
      </c>
      <c r="F323" s="102">
        <f t="shared" si="35"/>
        <v>1328</v>
      </c>
      <c r="G323" s="101">
        <v>798.0</v>
      </c>
      <c r="H323" s="101">
        <v>390.0</v>
      </c>
      <c r="I323" s="101">
        <v>400.0</v>
      </c>
      <c r="J323" s="177">
        <f t="shared" si="33"/>
        <v>-10</v>
      </c>
      <c r="K323" s="103">
        <f t="shared" si="34"/>
        <v>30.12048193</v>
      </c>
      <c r="L323" s="54"/>
      <c r="M323" s="54"/>
      <c r="N323" s="54"/>
    </row>
    <row r="324">
      <c r="A324" s="54"/>
      <c r="B324" s="526">
        <v>45705.0</v>
      </c>
      <c r="C324" s="526"/>
      <c r="D324" s="102"/>
      <c r="E324" s="101">
        <v>490346.0</v>
      </c>
      <c r="F324" s="102">
        <f t="shared" si="35"/>
        <v>838</v>
      </c>
      <c r="G324" s="101">
        <v>938.0</v>
      </c>
      <c r="H324" s="101">
        <v>433.0</v>
      </c>
      <c r="I324" s="101">
        <v>437.78</v>
      </c>
      <c r="J324" s="177">
        <f t="shared" si="33"/>
        <v>-4.78</v>
      </c>
      <c r="K324" s="103">
        <f t="shared" si="34"/>
        <v>52.24105012</v>
      </c>
      <c r="L324" s="54"/>
      <c r="M324" s="54"/>
      <c r="N324" s="54"/>
    </row>
    <row r="325">
      <c r="A325" s="54"/>
      <c r="B325" s="526">
        <v>45709.0</v>
      </c>
      <c r="C325" s="526"/>
      <c r="D325" s="102"/>
      <c r="E325" s="101">
        <v>491836.0</v>
      </c>
      <c r="F325" s="102">
        <f t="shared" si="35"/>
        <v>1490</v>
      </c>
      <c r="G325" s="101">
        <v>942.0</v>
      </c>
      <c r="H325" s="101">
        <v>473.0</v>
      </c>
      <c r="I325" s="101">
        <v>475.74</v>
      </c>
      <c r="J325" s="177">
        <f t="shared" si="33"/>
        <v>-2.74</v>
      </c>
      <c r="K325" s="103">
        <f t="shared" si="34"/>
        <v>31.92885906</v>
      </c>
      <c r="L325" s="54"/>
      <c r="M325" s="54"/>
      <c r="N325" s="54"/>
    </row>
    <row r="326">
      <c r="A326" s="54"/>
      <c r="B326" s="526">
        <v>45713.0</v>
      </c>
      <c r="C326" s="526"/>
      <c r="D326" s="102"/>
      <c r="E326" s="101">
        <v>492934.0</v>
      </c>
      <c r="F326" s="102">
        <f t="shared" si="35"/>
        <v>1098</v>
      </c>
      <c r="G326" s="101">
        <v>946.0</v>
      </c>
      <c r="H326" s="101">
        <v>414.0</v>
      </c>
      <c r="I326" s="101">
        <v>418.4</v>
      </c>
      <c r="J326" s="177">
        <f t="shared" si="33"/>
        <v>-4.4</v>
      </c>
      <c r="K326" s="103">
        <f t="shared" si="34"/>
        <v>38.10564663</v>
      </c>
      <c r="L326" s="54"/>
      <c r="M326" s="54"/>
      <c r="N326" s="54"/>
    </row>
    <row r="327">
      <c r="A327" s="54"/>
      <c r="B327" s="526">
        <v>45715.0</v>
      </c>
      <c r="C327" s="526"/>
      <c r="D327" s="102"/>
      <c r="E327" s="101">
        <v>494358.0</v>
      </c>
      <c r="F327" s="102">
        <f t="shared" si="35"/>
        <v>1424</v>
      </c>
      <c r="G327" s="101">
        <v>956.0</v>
      </c>
      <c r="H327" s="101">
        <v>486.0</v>
      </c>
      <c r="I327" s="101">
        <v>478.72</v>
      </c>
      <c r="J327" s="177">
        <f t="shared" si="33"/>
        <v>7.28</v>
      </c>
      <c r="K327" s="103">
        <f t="shared" si="34"/>
        <v>33.61797753</v>
      </c>
      <c r="L327" s="54"/>
      <c r="M327" s="54"/>
      <c r="N327" s="54"/>
    </row>
    <row r="328">
      <c r="A328" s="68"/>
      <c r="B328" s="203" t="str">
        <f>IF(L328=4,"АПРЕЛЬ",IF(L328=5,"МАЙ",IF(L328=1,"ЯНВАРЬ",IF(L328=2,"ФЕВРАЛЬ",IF(L328=3,"МАРТ",IF(L328=6,"ИЮНЬ",IF(L328=7,"ИЮЛЬ",IF(L328=8,"АВГУСТ",IF(L328=9,"СЕНТЯБРЬ",IF(L328=10,"ОКТЯБРЬ",IF(L328=11,"НОЯБРЬ",IF(L328=12,"ДЕКАБРЬ"))))))))))))</f>
        <v>МАРТ</v>
      </c>
      <c r="J328" s="88"/>
      <c r="K328" s="204"/>
      <c r="L328" s="91">
        <f>MONTH(B329)</f>
        <v>3</v>
      </c>
      <c r="M328" s="66"/>
      <c r="N328" s="66"/>
      <c r="O328" s="66"/>
      <c r="P328" s="66"/>
      <c r="Q328" s="66"/>
    </row>
    <row r="329">
      <c r="A329" s="54"/>
      <c r="B329" s="526">
        <v>45717.0</v>
      </c>
      <c r="C329" s="526"/>
      <c r="D329" s="102"/>
      <c r="E329" s="101">
        <v>495752.0</v>
      </c>
      <c r="F329" s="102">
        <f>E329-E327</f>
        <v>1394</v>
      </c>
      <c r="G329" s="101">
        <v>910.0</v>
      </c>
      <c r="H329" s="101">
        <v>484.0</v>
      </c>
      <c r="I329" s="101">
        <v>500.0</v>
      </c>
      <c r="J329" s="177">
        <f t="shared" ref="J329:J337" si="36">H329-I329</f>
        <v>-16</v>
      </c>
      <c r="K329" s="103">
        <f t="shared" ref="K329:K337" si="37">I329/F329*100</f>
        <v>35.86800574</v>
      </c>
      <c r="L329" s="54"/>
      <c r="M329" s="205" t="str">
        <f>"тотал"&amp;" "&amp;B328&amp;" "&amp;RIGHT(YEAR(B329),2)</f>
        <v>тотал МАРТ 25</v>
      </c>
      <c r="N329" s="75"/>
      <c r="O329" s="75"/>
      <c r="P329" s="75"/>
      <c r="Q329" s="76"/>
    </row>
    <row r="330">
      <c r="A330" s="54"/>
      <c r="B330" s="526">
        <v>45718.0</v>
      </c>
      <c r="C330" s="526"/>
      <c r="D330" s="102"/>
      <c r="E330" s="101">
        <v>496805.0</v>
      </c>
      <c r="F330" s="102">
        <f t="shared" ref="F330:F337" si="38">E330-E329</f>
        <v>1053</v>
      </c>
      <c r="G330" s="101">
        <v>939.0</v>
      </c>
      <c r="H330" s="101">
        <v>433.0</v>
      </c>
      <c r="I330" s="101">
        <v>437.34</v>
      </c>
      <c r="J330" s="177">
        <f t="shared" si="36"/>
        <v>-4.34</v>
      </c>
      <c r="K330" s="103">
        <f t="shared" si="37"/>
        <v>41.53276353</v>
      </c>
      <c r="L330" s="54"/>
      <c r="M330" s="83" t="s">
        <v>70</v>
      </c>
      <c r="N330" s="83" t="s">
        <v>71</v>
      </c>
      <c r="O330" s="83" t="s">
        <v>27</v>
      </c>
      <c r="P330" s="83" t="s">
        <v>28</v>
      </c>
      <c r="Q330" s="321" t="s">
        <v>78</v>
      </c>
    </row>
    <row r="331">
      <c r="A331" s="54"/>
      <c r="B331" s="526">
        <v>45720.0</v>
      </c>
      <c r="C331" s="526"/>
      <c r="D331" s="102"/>
      <c r="E331" s="101">
        <v>498065.0</v>
      </c>
      <c r="F331" s="102">
        <f t="shared" si="38"/>
        <v>1260</v>
      </c>
      <c r="G331" s="101">
        <v>948.0</v>
      </c>
      <c r="H331" s="101">
        <v>419.0</v>
      </c>
      <c r="I331" s="101">
        <v>421.18</v>
      </c>
      <c r="J331" s="177">
        <f t="shared" si="36"/>
        <v>-2.18</v>
      </c>
      <c r="K331" s="103">
        <f t="shared" si="37"/>
        <v>33.42698413</v>
      </c>
      <c r="L331" s="54"/>
      <c r="M331" s="84">
        <f>SUM(F329:F337)</f>
        <v>11686</v>
      </c>
      <c r="N331" s="84">
        <f>SUM(I329:I337)</f>
        <v>4098.7</v>
      </c>
      <c r="O331" s="85">
        <f>N331/M331*100</f>
        <v>35.07359233</v>
      </c>
      <c r="P331" s="84">
        <f>(M331/100)*(O331-Q331)</f>
        <v>803.248</v>
      </c>
      <c r="Q331" s="464">
        <v>28.2</v>
      </c>
    </row>
    <row r="332">
      <c r="A332" s="54"/>
      <c r="B332" s="526">
        <v>45723.0</v>
      </c>
      <c r="C332" s="526"/>
      <c r="D332" s="102"/>
      <c r="E332" s="101">
        <v>499455.0</v>
      </c>
      <c r="F332" s="102">
        <f t="shared" si="38"/>
        <v>1390</v>
      </c>
      <c r="G332" s="101">
        <v>939.0</v>
      </c>
      <c r="H332" s="101">
        <v>445.0</v>
      </c>
      <c r="I332" s="101">
        <v>450.9</v>
      </c>
      <c r="J332" s="177">
        <f t="shared" si="36"/>
        <v>-5.9</v>
      </c>
      <c r="K332" s="103">
        <f t="shared" si="37"/>
        <v>32.43884892</v>
      </c>
      <c r="L332" s="54"/>
      <c r="M332" s="54"/>
      <c r="N332" s="54"/>
    </row>
    <row r="333">
      <c r="A333" s="54"/>
      <c r="B333" s="526">
        <v>45726.0</v>
      </c>
      <c r="C333" s="526"/>
      <c r="D333" s="102"/>
      <c r="E333" s="101">
        <v>500336.0</v>
      </c>
      <c r="F333" s="102">
        <f t="shared" si="38"/>
        <v>881</v>
      </c>
      <c r="G333" s="101">
        <v>946.0</v>
      </c>
      <c r="H333" s="101">
        <v>349.0</v>
      </c>
      <c r="I333" s="101">
        <v>351.1</v>
      </c>
      <c r="J333" s="177">
        <f t="shared" si="36"/>
        <v>-2.1</v>
      </c>
      <c r="K333" s="103">
        <f t="shared" si="37"/>
        <v>39.85244041</v>
      </c>
      <c r="L333" s="54"/>
      <c r="M333" s="54"/>
      <c r="N333" s="54"/>
    </row>
    <row r="334">
      <c r="A334" s="54"/>
      <c r="B334" s="526">
        <v>45730.0</v>
      </c>
      <c r="C334" s="526"/>
      <c r="D334" s="102"/>
      <c r="E334" s="101">
        <v>501832.0</v>
      </c>
      <c r="F334" s="102">
        <f t="shared" si="38"/>
        <v>1496</v>
      </c>
      <c r="G334" s="101">
        <v>947.0</v>
      </c>
      <c r="H334" s="101">
        <v>497.0</v>
      </c>
      <c r="I334" s="101">
        <v>500.0</v>
      </c>
      <c r="J334" s="177">
        <f t="shared" si="36"/>
        <v>-3</v>
      </c>
      <c r="K334" s="103">
        <f t="shared" si="37"/>
        <v>33.42245989</v>
      </c>
      <c r="L334" s="54"/>
      <c r="M334" s="54"/>
      <c r="N334" s="54"/>
    </row>
    <row r="335">
      <c r="A335" s="54"/>
      <c r="B335" s="526">
        <v>45732.0</v>
      </c>
      <c r="C335" s="526"/>
      <c r="D335" s="102"/>
      <c r="E335" s="101">
        <v>503132.0</v>
      </c>
      <c r="F335" s="102">
        <f t="shared" si="38"/>
        <v>1300</v>
      </c>
      <c r="G335" s="101">
        <v>942.0</v>
      </c>
      <c r="H335" s="101">
        <v>457.0</v>
      </c>
      <c r="I335" s="101">
        <v>457.26</v>
      </c>
      <c r="J335" s="177">
        <f t="shared" si="36"/>
        <v>-0.26</v>
      </c>
      <c r="K335" s="103">
        <f t="shared" si="37"/>
        <v>35.17384615</v>
      </c>
      <c r="L335" s="54"/>
      <c r="M335" s="54"/>
      <c r="N335" s="54"/>
    </row>
    <row r="336">
      <c r="A336" s="54"/>
      <c r="B336" s="526">
        <v>45736.0</v>
      </c>
      <c r="C336" s="526"/>
      <c r="D336" s="102"/>
      <c r="E336" s="101">
        <v>504498.0</v>
      </c>
      <c r="F336" s="102">
        <f t="shared" si="38"/>
        <v>1366</v>
      </c>
      <c r="G336" s="101">
        <v>953.0</v>
      </c>
      <c r="H336" s="101">
        <v>482.0</v>
      </c>
      <c r="I336" s="101">
        <v>481.71</v>
      </c>
      <c r="J336" s="177">
        <f t="shared" si="36"/>
        <v>0.29</v>
      </c>
      <c r="K336" s="103">
        <f t="shared" si="37"/>
        <v>35.26427526</v>
      </c>
      <c r="L336" s="54"/>
      <c r="M336" s="54"/>
      <c r="N336" s="54"/>
    </row>
    <row r="337">
      <c r="A337" s="54"/>
      <c r="B337" s="526">
        <v>45743.0</v>
      </c>
      <c r="C337" s="526"/>
      <c r="D337" s="102"/>
      <c r="E337" s="101">
        <v>506044.0</v>
      </c>
      <c r="F337" s="102">
        <f t="shared" si="38"/>
        <v>1546</v>
      </c>
      <c r="G337" s="101">
        <v>943.0</v>
      </c>
      <c r="H337" s="101">
        <v>496.0</v>
      </c>
      <c r="I337" s="101">
        <v>499.21</v>
      </c>
      <c r="J337" s="177">
        <f t="shared" si="36"/>
        <v>-3.21</v>
      </c>
      <c r="K337" s="103">
        <f t="shared" si="37"/>
        <v>32.29042691</v>
      </c>
      <c r="L337" s="54"/>
      <c r="M337" s="54"/>
      <c r="N337" s="54"/>
    </row>
    <row r="338">
      <c r="A338" s="68"/>
      <c r="B338" s="203" t="str">
        <f>IF(L338=4,"АПРЕЛЬ",IF(L338=5,"МАЙ",IF(L338=1,"ЯНВАРЬ",IF(L338=2,"ФЕВРАЛЬ",IF(L338=3,"МАРТ",IF(L338=6,"ИЮНЬ",IF(L338=7,"ИЮЛЬ",IF(L338=8,"АВГУСТ",IF(L338=9,"СЕНТЯБРЬ",IF(L338=10,"ОКТЯБРЬ",IF(L338=11,"НОЯБРЬ",IF(L338=12,"ДЕКАБРЬ"))))))))))))</f>
        <v>АПРЕЛЬ</v>
      </c>
      <c r="J338" s="88"/>
      <c r="K338" s="204"/>
      <c r="L338" s="91">
        <f>MONTH(B339)</f>
        <v>4</v>
      </c>
      <c r="M338" s="66"/>
      <c r="N338" s="66"/>
      <c r="O338" s="66"/>
      <c r="P338" s="66"/>
      <c r="Q338" s="66"/>
    </row>
    <row r="339">
      <c r="A339" s="54"/>
      <c r="B339" s="526">
        <v>45749.0</v>
      </c>
      <c r="C339" s="526"/>
      <c r="D339" s="102"/>
      <c r="E339" s="101">
        <v>507607.0</v>
      </c>
      <c r="F339" s="102">
        <f>E339-E337</f>
        <v>1563</v>
      </c>
      <c r="G339" s="101">
        <v>968.0</v>
      </c>
      <c r="H339" s="101">
        <v>492.0</v>
      </c>
      <c r="I339" s="101">
        <v>489.63</v>
      </c>
      <c r="J339" s="177">
        <f t="shared" ref="J339:J341" si="39">H339-I339</f>
        <v>2.37</v>
      </c>
      <c r="K339" s="103">
        <f t="shared" ref="K339:K341" si="40">I339/F339*100</f>
        <v>31.32629559</v>
      </c>
      <c r="L339" s="54"/>
      <c r="M339" s="205" t="str">
        <f>"тотал"&amp;" "&amp;B338&amp;" "&amp;RIGHT(YEAR(B339),2)</f>
        <v>тотал АПРЕЛЬ 25</v>
      </c>
      <c r="N339" s="75"/>
      <c r="O339" s="75"/>
      <c r="P339" s="75"/>
      <c r="Q339" s="76"/>
    </row>
    <row r="340">
      <c r="A340" s="54"/>
      <c r="B340" s="526">
        <v>45755.0</v>
      </c>
      <c r="C340" s="526"/>
      <c r="D340" s="102"/>
      <c r="E340" s="101">
        <v>509059.0</v>
      </c>
      <c r="F340" s="102">
        <f t="shared" ref="F340:F341" si="41">E340-E339</f>
        <v>1452</v>
      </c>
      <c r="G340" s="101">
        <v>953.0</v>
      </c>
      <c r="H340" s="101">
        <v>468.0</v>
      </c>
      <c r="I340" s="101">
        <v>462.88</v>
      </c>
      <c r="J340" s="177">
        <f t="shared" si="39"/>
        <v>5.12</v>
      </c>
      <c r="K340" s="103">
        <f t="shared" si="40"/>
        <v>31.87878788</v>
      </c>
      <c r="L340" s="54"/>
      <c r="M340" s="83" t="s">
        <v>70</v>
      </c>
      <c r="N340" s="83" t="s">
        <v>71</v>
      </c>
      <c r="O340" s="83" t="s">
        <v>27</v>
      </c>
      <c r="P340" s="83" t="s">
        <v>28</v>
      </c>
      <c r="Q340" s="321" t="s">
        <v>78</v>
      </c>
    </row>
    <row r="341">
      <c r="A341" s="54"/>
      <c r="B341" s="526">
        <v>45758.0</v>
      </c>
      <c r="C341" s="526"/>
      <c r="D341" s="102"/>
      <c r="E341" s="101">
        <v>510636.0</v>
      </c>
      <c r="F341" s="102">
        <f t="shared" si="41"/>
        <v>1577</v>
      </c>
      <c r="G341" s="101">
        <v>936.0</v>
      </c>
      <c r="H341" s="101">
        <v>501.0</v>
      </c>
      <c r="I341" s="101">
        <v>499.44</v>
      </c>
      <c r="J341" s="177">
        <f t="shared" si="39"/>
        <v>1.56</v>
      </c>
      <c r="K341" s="103">
        <f t="shared" si="40"/>
        <v>31.67025999</v>
      </c>
      <c r="L341" s="54"/>
      <c r="M341" s="84">
        <f>SUM(F339:F341)</f>
        <v>4592</v>
      </c>
      <c r="N341" s="84">
        <f>SUM(I339:I341)</f>
        <v>1451.95</v>
      </c>
      <c r="O341" s="85">
        <f>N341/M341*100</f>
        <v>31.61912021</v>
      </c>
      <c r="P341" s="84">
        <f>(M341/100)*(O341-Q341)</f>
        <v>28.43</v>
      </c>
      <c r="Q341" s="464">
        <v>31.0</v>
      </c>
    </row>
    <row r="342">
      <c r="A342" s="68"/>
      <c r="B342" s="203" t="str">
        <f>IF(L342=4,"АПРЕЛЬ",IF(L342=5,"МАЙ",IF(L342=1,"ЯНВАРЬ",IF(L342=2,"ФЕВРАЛЬ",IF(L342=3,"МАРТ",IF(L342=6,"ИЮНЬ",IF(L342=7,"ИЮЛЬ",IF(L342=8,"АВГУСТ",IF(L342=9,"СЕНТЯБРЬ",IF(L342=10,"ОКТЯБРЬ",IF(L342=11,"НОЯБРЬ",IF(L342=12,"ДЕКАБРЬ"))))))))))))</f>
        <v>МАЙ</v>
      </c>
      <c r="J342" s="88"/>
      <c r="K342" s="204"/>
      <c r="L342" s="91">
        <f>MONTH(B343)</f>
        <v>5</v>
      </c>
      <c r="M342" s="205" t="str">
        <f>"тотал"&amp;" "&amp;B342&amp;" "&amp;RIGHT(YEAR(B343),2)</f>
        <v>тотал МАЙ 25</v>
      </c>
      <c r="N342" s="75"/>
      <c r="O342" s="75"/>
      <c r="P342" s="75"/>
      <c r="Q342" s="76"/>
    </row>
    <row r="343">
      <c r="A343" s="54"/>
      <c r="B343" s="526">
        <v>45801.0</v>
      </c>
      <c r="C343" s="178" t="s">
        <v>142</v>
      </c>
      <c r="D343" s="101" t="s">
        <v>144</v>
      </c>
      <c r="E343" s="101">
        <v>511845.0</v>
      </c>
      <c r="F343" s="102">
        <f>E343-E341</f>
        <v>1209</v>
      </c>
      <c r="G343" s="101">
        <v>969.0</v>
      </c>
      <c r="H343" s="101">
        <v>441.0</v>
      </c>
      <c r="I343" s="101">
        <v>434.86</v>
      </c>
      <c r="J343" s="177">
        <f t="shared" ref="J343:J344" si="42">H343-I343</f>
        <v>6.14</v>
      </c>
      <c r="K343" s="103">
        <f t="shared" ref="K343:K344" si="43">I343/F343*100</f>
        <v>35.96856907</v>
      </c>
      <c r="L343" s="54"/>
      <c r="M343" s="84" t="s">
        <v>70</v>
      </c>
      <c r="N343" s="84" t="s">
        <v>71</v>
      </c>
      <c r="O343" s="84" t="s">
        <v>27</v>
      </c>
      <c r="P343" s="83" t="s">
        <v>28</v>
      </c>
      <c r="Q343" s="321" t="s">
        <v>78</v>
      </c>
    </row>
    <row r="344">
      <c r="A344" s="54"/>
      <c r="B344" s="526">
        <v>45803.0</v>
      </c>
      <c r="C344" s="178" t="s">
        <v>142</v>
      </c>
      <c r="D344" s="101" t="s">
        <v>144</v>
      </c>
      <c r="E344" s="101">
        <v>513748.0</v>
      </c>
      <c r="F344" s="102">
        <f>E344-E343</f>
        <v>1903</v>
      </c>
      <c r="G344" s="101">
        <v>960.0</v>
      </c>
      <c r="H344" s="101">
        <v>493.0</v>
      </c>
      <c r="I344" s="101">
        <v>499.18</v>
      </c>
      <c r="J344" s="177">
        <f t="shared" si="42"/>
        <v>-6.18</v>
      </c>
      <c r="K344" s="103">
        <f t="shared" si="43"/>
        <v>26.23121387</v>
      </c>
      <c r="L344" s="54"/>
      <c r="M344" s="84">
        <f>SUM(F343:F344)</f>
        <v>3112</v>
      </c>
      <c r="N344" s="84">
        <f>SUM(I343:I344)</f>
        <v>934.04</v>
      </c>
      <c r="O344" s="85">
        <f>N344/M344*100</f>
        <v>30.01413882</v>
      </c>
      <c r="P344" s="84">
        <f>(M344/100)*(O344-Q344)</f>
        <v>62.68</v>
      </c>
      <c r="Q344" s="464">
        <v>28.0</v>
      </c>
    </row>
    <row r="345">
      <c r="A345" s="68"/>
      <c r="B345" s="203" t="str">
        <f>IF(L345=4,"АПРЕЛЬ",IF(L345=5,"МАЙ",IF(L345=1,"ЯНВАРЬ",IF(L345=2,"ФЕВРАЛЬ",IF(L345=3,"МАРТ",IF(L345=6,"ИЮНЬ",IF(L345=7,"ИЮЛЬ",IF(L345=8,"АВГУСТ",IF(L345=9,"СЕНТЯБРЬ",IF(L345=10,"ОКТЯБРЬ",IF(L345=11,"НОЯБРЬ",IF(L345=12,"ДЕКАБРЬ"))))))))))))</f>
        <v>ИЮНЬ</v>
      </c>
      <c r="J345" s="88"/>
      <c r="K345" s="204"/>
      <c r="L345" s="91">
        <f>MONTH(B346)</f>
        <v>6</v>
      </c>
      <c r="M345" s="66"/>
      <c r="N345" s="66"/>
      <c r="O345" s="66"/>
      <c r="P345" s="66"/>
      <c r="Q345" s="66"/>
    </row>
    <row r="346">
      <c r="A346" s="54"/>
      <c r="B346" s="526">
        <v>45809.0</v>
      </c>
      <c r="C346" s="178" t="s">
        <v>142</v>
      </c>
      <c r="D346" s="101" t="s">
        <v>144</v>
      </c>
      <c r="E346" s="101">
        <v>516312.0</v>
      </c>
      <c r="F346" s="102">
        <f>E346-E344</f>
        <v>2564</v>
      </c>
      <c r="G346" s="101">
        <v>984.0</v>
      </c>
      <c r="H346" s="101">
        <v>463.0</v>
      </c>
      <c r="I346" s="102">
        <f>500-29.38</f>
        <v>470.62</v>
      </c>
      <c r="J346" s="177">
        <f t="shared" ref="J346:J355" si="44">H346-I346</f>
        <v>-7.62</v>
      </c>
      <c r="K346" s="103">
        <f t="shared" ref="K346:K355" si="45">I346/F346*100</f>
        <v>18.3549142</v>
      </c>
      <c r="L346" s="54"/>
      <c r="M346" s="205" t="str">
        <f>"тотал"&amp;" "&amp;B345&amp;" "&amp;RIGHT(YEAR(B346),2)</f>
        <v>тотал ИЮНЬ 25</v>
      </c>
      <c r="N346" s="75"/>
      <c r="O346" s="75"/>
      <c r="P346" s="75"/>
      <c r="Q346" s="76"/>
    </row>
    <row r="347">
      <c r="A347" s="54"/>
      <c r="B347" s="526">
        <v>45814.0</v>
      </c>
      <c r="C347" s="178" t="s">
        <v>142</v>
      </c>
      <c r="D347" s="101" t="s">
        <v>144</v>
      </c>
      <c r="E347" s="101">
        <v>517543.0</v>
      </c>
      <c r="F347" s="102">
        <f t="shared" ref="F347:F355" si="46">E347-E346</f>
        <v>1231</v>
      </c>
      <c r="G347" s="101">
        <v>975.0</v>
      </c>
      <c r="H347" s="101">
        <v>443.0</v>
      </c>
      <c r="I347" s="101">
        <v>442.98</v>
      </c>
      <c r="J347" s="177">
        <f t="shared" si="44"/>
        <v>0.02</v>
      </c>
      <c r="K347" s="103">
        <f t="shared" si="45"/>
        <v>35.98537774</v>
      </c>
      <c r="L347" s="54"/>
      <c r="M347" s="83" t="s">
        <v>70</v>
      </c>
      <c r="N347" s="83" t="s">
        <v>71</v>
      </c>
      <c r="O347" s="83" t="s">
        <v>27</v>
      </c>
      <c r="P347" s="83" t="s">
        <v>28</v>
      </c>
      <c r="Q347" s="321" t="s">
        <v>78</v>
      </c>
    </row>
    <row r="348">
      <c r="A348" s="54"/>
      <c r="B348" s="526">
        <v>45815.0</v>
      </c>
      <c r="C348" s="178" t="s">
        <v>142</v>
      </c>
      <c r="D348" s="101" t="s">
        <v>144</v>
      </c>
      <c r="E348" s="101">
        <v>518879.0</v>
      </c>
      <c r="F348" s="102">
        <f t="shared" si="46"/>
        <v>1336</v>
      </c>
      <c r="G348" s="101">
        <v>967.0</v>
      </c>
      <c r="H348" s="101">
        <v>451.0</v>
      </c>
      <c r="I348" s="102">
        <f>500-52.82</f>
        <v>447.18</v>
      </c>
      <c r="J348" s="177">
        <f t="shared" si="44"/>
        <v>3.82</v>
      </c>
      <c r="K348" s="103">
        <f t="shared" si="45"/>
        <v>33.47155689</v>
      </c>
      <c r="L348" s="54"/>
      <c r="M348" s="84">
        <f>SUM(F346:F355)</f>
        <v>13761</v>
      </c>
      <c r="N348" s="84">
        <f>SUM(I346:I355)</f>
        <v>4128.94</v>
      </c>
      <c r="O348" s="85">
        <f>N348/M348*100</f>
        <v>30.00465082</v>
      </c>
      <c r="P348" s="84">
        <f>(M348/100)*(O348-Q348)</f>
        <v>-412.19</v>
      </c>
      <c r="Q348" s="464">
        <v>33.0</v>
      </c>
    </row>
    <row r="349">
      <c r="A349" s="54"/>
      <c r="B349" s="526">
        <v>45823.0</v>
      </c>
      <c r="C349" s="178" t="s">
        <v>142</v>
      </c>
      <c r="D349" s="101" t="s">
        <v>144</v>
      </c>
      <c r="E349" s="101">
        <v>520534.0</v>
      </c>
      <c r="F349" s="102">
        <f t="shared" si="46"/>
        <v>1655</v>
      </c>
      <c r="G349" s="101">
        <v>941.0</v>
      </c>
      <c r="H349" s="101">
        <v>495.0</v>
      </c>
      <c r="I349" s="101">
        <v>500.0</v>
      </c>
      <c r="J349" s="177">
        <f t="shared" si="44"/>
        <v>-5</v>
      </c>
      <c r="K349" s="103">
        <f t="shared" si="45"/>
        <v>30.21148036</v>
      </c>
      <c r="L349" s="54"/>
      <c r="M349" s="54"/>
      <c r="N349" s="54"/>
    </row>
    <row r="350">
      <c r="A350" s="54"/>
      <c r="B350" s="526">
        <v>45826.0</v>
      </c>
      <c r="C350" s="178" t="s">
        <v>142</v>
      </c>
      <c r="D350" s="101" t="s">
        <v>144</v>
      </c>
      <c r="E350" s="101">
        <v>521654.0</v>
      </c>
      <c r="F350" s="102">
        <f t="shared" si="46"/>
        <v>1120</v>
      </c>
      <c r="G350" s="101">
        <v>851.0</v>
      </c>
      <c r="H350" s="101">
        <v>310.0</v>
      </c>
      <c r="I350" s="101">
        <v>316.13</v>
      </c>
      <c r="J350" s="177">
        <f t="shared" si="44"/>
        <v>-6.13</v>
      </c>
      <c r="K350" s="103">
        <f t="shared" si="45"/>
        <v>28.22589286</v>
      </c>
      <c r="L350" s="54"/>
      <c r="M350" s="54"/>
      <c r="N350" s="54"/>
    </row>
    <row r="351">
      <c r="A351" s="54"/>
      <c r="B351" s="526">
        <v>45827.0</v>
      </c>
      <c r="C351" s="178" t="s">
        <v>142</v>
      </c>
      <c r="D351" s="101" t="s">
        <v>144</v>
      </c>
      <c r="E351" s="101">
        <v>522669.0</v>
      </c>
      <c r="F351" s="102">
        <f t="shared" si="46"/>
        <v>1015</v>
      </c>
      <c r="G351" s="101">
        <v>708.0</v>
      </c>
      <c r="H351" s="101">
        <v>179.0</v>
      </c>
      <c r="I351" s="101">
        <v>183.0</v>
      </c>
      <c r="J351" s="177">
        <f t="shared" si="44"/>
        <v>-4</v>
      </c>
      <c r="K351" s="103">
        <f t="shared" si="45"/>
        <v>18.02955665</v>
      </c>
      <c r="L351" s="54"/>
      <c r="M351" s="54"/>
      <c r="N351" s="54"/>
    </row>
    <row r="352">
      <c r="A352" s="54"/>
      <c r="B352" s="526">
        <v>45829.0</v>
      </c>
      <c r="C352" s="178" t="s">
        <v>142</v>
      </c>
      <c r="D352" s="101" t="s">
        <v>144</v>
      </c>
      <c r="E352" s="101">
        <v>523391.0</v>
      </c>
      <c r="F352" s="102">
        <f t="shared" si="46"/>
        <v>722</v>
      </c>
      <c r="G352" s="101">
        <v>967.0</v>
      </c>
      <c r="H352" s="101">
        <v>489.0</v>
      </c>
      <c r="I352" s="101">
        <v>490.66</v>
      </c>
      <c r="J352" s="177">
        <f t="shared" si="44"/>
        <v>-1.66</v>
      </c>
      <c r="K352" s="103">
        <f t="shared" si="45"/>
        <v>67.95844875</v>
      </c>
      <c r="L352" s="54"/>
      <c r="M352" s="54"/>
      <c r="N352" s="54"/>
    </row>
    <row r="353">
      <c r="A353" s="54"/>
      <c r="B353" s="526">
        <v>45832.0</v>
      </c>
      <c r="C353" s="178" t="s">
        <v>142</v>
      </c>
      <c r="D353" s="101" t="s">
        <v>144</v>
      </c>
      <c r="E353" s="101">
        <v>524799.0</v>
      </c>
      <c r="F353" s="102">
        <f t="shared" si="46"/>
        <v>1408</v>
      </c>
      <c r="G353" s="101">
        <v>980.0</v>
      </c>
      <c r="H353" s="101">
        <v>433.0</v>
      </c>
      <c r="I353" s="101">
        <v>449.85</v>
      </c>
      <c r="J353" s="177">
        <f t="shared" si="44"/>
        <v>-16.85</v>
      </c>
      <c r="K353" s="103">
        <f t="shared" si="45"/>
        <v>31.94957386</v>
      </c>
      <c r="L353" s="54"/>
      <c r="M353" s="54"/>
      <c r="N353" s="54"/>
    </row>
    <row r="354">
      <c r="A354" s="54"/>
      <c r="B354" s="526">
        <v>45836.0</v>
      </c>
      <c r="C354" s="178" t="s">
        <v>142</v>
      </c>
      <c r="D354" s="101" t="s">
        <v>144</v>
      </c>
      <c r="E354" s="101">
        <v>526211.0</v>
      </c>
      <c r="F354" s="102">
        <f t="shared" si="46"/>
        <v>1412</v>
      </c>
      <c r="G354" s="101">
        <v>964.0</v>
      </c>
      <c r="H354" s="101">
        <v>434.0</v>
      </c>
      <c r="I354" s="101">
        <v>428.52</v>
      </c>
      <c r="J354" s="177">
        <f t="shared" si="44"/>
        <v>5.48</v>
      </c>
      <c r="K354" s="103">
        <f t="shared" si="45"/>
        <v>30.34844193</v>
      </c>
      <c r="L354" s="54"/>
      <c r="M354" s="54"/>
      <c r="N354" s="54"/>
    </row>
    <row r="355">
      <c r="A355" s="54"/>
      <c r="B355" s="526">
        <v>45837.0</v>
      </c>
      <c r="C355" s="178" t="s">
        <v>142</v>
      </c>
      <c r="D355" s="101" t="s">
        <v>144</v>
      </c>
      <c r="E355" s="101">
        <v>527509.0</v>
      </c>
      <c r="F355" s="102">
        <f t="shared" si="46"/>
        <v>1298</v>
      </c>
      <c r="G355" s="101">
        <v>916.0</v>
      </c>
      <c r="H355" s="101">
        <v>387.0</v>
      </c>
      <c r="I355" s="101">
        <v>400.0</v>
      </c>
      <c r="J355" s="177">
        <f t="shared" si="44"/>
        <v>-13</v>
      </c>
      <c r="K355" s="103">
        <f t="shared" si="45"/>
        <v>30.81664099</v>
      </c>
      <c r="L355" s="54"/>
      <c r="M355" s="54"/>
      <c r="N355" s="54"/>
    </row>
    <row r="356">
      <c r="A356" s="68"/>
      <c r="B356" s="203" t="str">
        <f>IF(L356=4,"АПРЕЛЬ",IF(L356=5,"МАЙ",IF(L356=1,"ЯНВАРЬ",IF(L356=2,"ФЕВРАЛЬ",IF(L356=3,"МАРТ",IF(L356=6,"ИЮНЬ",IF(L356=7,"ИЮЛЬ",IF(L356=8,"АВГУСТ",IF(L356=9,"СЕНТЯБРЬ",IF(L356=10,"ОКТЯБРЬ",IF(L356=11,"НОЯБРЬ",IF(L356=12,"ДЕКАБРЬ"))))))))))))</f>
        <v>ИЮЛЬ</v>
      </c>
      <c r="J356" s="88"/>
      <c r="K356" s="204"/>
      <c r="L356" s="91">
        <f>MONTH(B357)</f>
        <v>7</v>
      </c>
      <c r="M356" s="66"/>
      <c r="N356" s="66"/>
      <c r="O356" s="66"/>
      <c r="P356" s="66"/>
      <c r="Q356" s="66"/>
    </row>
    <row r="357">
      <c r="A357" s="54"/>
      <c r="B357" s="526">
        <v>45841.0</v>
      </c>
      <c r="C357" s="178" t="s">
        <v>142</v>
      </c>
      <c r="D357" s="101" t="s">
        <v>144</v>
      </c>
      <c r="E357" s="101">
        <v>528705.0</v>
      </c>
      <c r="F357" s="102">
        <f>E357-E355</f>
        <v>1196</v>
      </c>
      <c r="G357" s="101">
        <v>950.0</v>
      </c>
      <c r="H357" s="101">
        <v>489.0</v>
      </c>
      <c r="I357" s="101">
        <v>498.14</v>
      </c>
      <c r="J357" s="177">
        <f t="shared" ref="J357:J362" si="47">H357-I357</f>
        <v>-9.14</v>
      </c>
      <c r="K357" s="103">
        <f t="shared" ref="K357:K362" si="48">I357/F357*100</f>
        <v>41.65050167</v>
      </c>
      <c r="L357" s="54"/>
      <c r="M357" s="205" t="str">
        <f>"тотал"&amp;" "&amp;B356&amp;" "&amp;RIGHT(YEAR(B357),2)</f>
        <v>тотал ИЮЛЬ 25</v>
      </c>
      <c r="N357" s="75"/>
      <c r="O357" s="75"/>
      <c r="P357" s="75"/>
      <c r="Q357" s="76"/>
    </row>
    <row r="358">
      <c r="A358" s="54"/>
      <c r="B358" s="526">
        <v>45847.0</v>
      </c>
      <c r="C358" s="178" t="s">
        <v>142</v>
      </c>
      <c r="D358" s="101" t="s">
        <v>144</v>
      </c>
      <c r="E358" s="101">
        <v>529982.0</v>
      </c>
      <c r="F358" s="102">
        <f t="shared" ref="F358:F362" si="49">E358-E357</f>
        <v>1277</v>
      </c>
      <c r="G358" s="101">
        <v>928.0</v>
      </c>
      <c r="H358" s="101">
        <v>423.0</v>
      </c>
      <c r="I358" s="101">
        <v>427.93</v>
      </c>
      <c r="J358" s="177">
        <f t="shared" si="47"/>
        <v>-4.93</v>
      </c>
      <c r="K358" s="103">
        <f t="shared" si="48"/>
        <v>33.51057165</v>
      </c>
      <c r="L358" s="54"/>
      <c r="M358" s="83" t="s">
        <v>70</v>
      </c>
      <c r="N358" s="83" t="s">
        <v>71</v>
      </c>
      <c r="O358" s="83" t="s">
        <v>27</v>
      </c>
      <c r="P358" s="83" t="s">
        <v>28</v>
      </c>
      <c r="Q358" s="321" t="s">
        <v>78</v>
      </c>
    </row>
    <row r="359">
      <c r="A359" s="54"/>
      <c r="B359" s="526">
        <v>45850.0</v>
      </c>
      <c r="C359" s="178" t="s">
        <v>142</v>
      </c>
      <c r="D359" s="101" t="s">
        <v>144</v>
      </c>
      <c r="E359" s="101">
        <v>531366.0</v>
      </c>
      <c r="F359" s="102">
        <f t="shared" si="49"/>
        <v>1384</v>
      </c>
      <c r="G359" s="101">
        <v>919.0</v>
      </c>
      <c r="H359" s="101">
        <v>490.0</v>
      </c>
      <c r="I359" s="101">
        <v>500.0</v>
      </c>
      <c r="J359" s="177">
        <f t="shared" si="47"/>
        <v>-10</v>
      </c>
      <c r="K359" s="103">
        <f t="shared" si="48"/>
        <v>36.12716763</v>
      </c>
      <c r="L359" s="54"/>
      <c r="M359" s="84">
        <f>SUM(F357:F362)</f>
        <v>8102</v>
      </c>
      <c r="N359" s="84">
        <f>SUM(I357:I362)</f>
        <v>2862.81</v>
      </c>
      <c r="O359" s="85">
        <f>N359/M359*100</f>
        <v>35.33460874</v>
      </c>
      <c r="P359" s="84">
        <f>(M359/100)*(O359-Q359)</f>
        <v>189.15</v>
      </c>
      <c r="Q359" s="464">
        <v>33.0</v>
      </c>
    </row>
    <row r="360">
      <c r="A360" s="54"/>
      <c r="B360" s="526">
        <v>45854.0</v>
      </c>
      <c r="C360" s="178" t="s">
        <v>142</v>
      </c>
      <c r="D360" s="101" t="s">
        <v>144</v>
      </c>
      <c r="E360" s="101">
        <v>532700.0</v>
      </c>
      <c r="F360" s="102">
        <f t="shared" si="49"/>
        <v>1334</v>
      </c>
      <c r="G360" s="101">
        <v>973.0</v>
      </c>
      <c r="H360" s="101">
        <v>489.0</v>
      </c>
      <c r="I360" s="101">
        <v>490.76</v>
      </c>
      <c r="J360" s="177">
        <f t="shared" si="47"/>
        <v>-1.76</v>
      </c>
      <c r="K360" s="103">
        <f t="shared" si="48"/>
        <v>36.7886057</v>
      </c>
      <c r="L360" s="54"/>
      <c r="M360" s="54"/>
      <c r="N360" s="54"/>
    </row>
    <row r="361">
      <c r="A361" s="54"/>
      <c r="B361" s="526">
        <v>45858.0</v>
      </c>
      <c r="C361" s="178" t="s">
        <v>142</v>
      </c>
      <c r="D361" s="101" t="s">
        <v>144</v>
      </c>
      <c r="E361" s="101">
        <v>534022.0</v>
      </c>
      <c r="F361" s="102">
        <f t="shared" si="49"/>
        <v>1322</v>
      </c>
      <c r="G361" s="101">
        <v>979.0</v>
      </c>
      <c r="H361" s="101">
        <v>443.0</v>
      </c>
      <c r="I361" s="101">
        <v>446.24</v>
      </c>
      <c r="J361" s="177">
        <f t="shared" si="47"/>
        <v>-3.24</v>
      </c>
      <c r="K361" s="103">
        <f t="shared" si="48"/>
        <v>33.75491679</v>
      </c>
      <c r="L361" s="54"/>
      <c r="M361" s="54"/>
      <c r="N361" s="54"/>
    </row>
    <row r="362">
      <c r="A362" s="54"/>
      <c r="B362" s="526">
        <v>45868.0</v>
      </c>
      <c r="C362" s="178" t="s">
        <v>142</v>
      </c>
      <c r="D362" s="101" t="s">
        <v>144</v>
      </c>
      <c r="E362" s="101">
        <v>535611.0</v>
      </c>
      <c r="F362" s="102">
        <f t="shared" si="49"/>
        <v>1589</v>
      </c>
      <c r="G362" s="101">
        <v>940.0</v>
      </c>
      <c r="H362" s="101">
        <v>491.0</v>
      </c>
      <c r="I362" s="101">
        <v>499.74</v>
      </c>
      <c r="J362" s="177">
        <f t="shared" si="47"/>
        <v>-8.74</v>
      </c>
      <c r="K362" s="103">
        <f t="shared" si="48"/>
        <v>31.44996853</v>
      </c>
      <c r="L362" s="54"/>
      <c r="M362" s="54"/>
      <c r="N362" s="54"/>
    </row>
    <row r="363">
      <c r="A363" s="68"/>
      <c r="B363" s="203" t="str">
        <f>IF(L363=4,"АПРЕЛЬ",IF(L363=5,"МАЙ",IF(L363=1,"ЯНВАРЬ",IF(L363=2,"ФЕВРАЛЬ",IF(L363=3,"МАРТ",IF(L363=6,"ИЮНЬ",IF(L363=7,"ИЮЛЬ",IF(L363=8,"АВГУСТ",IF(L363=9,"СЕНТЯБРЬ",IF(L363=10,"ОКТЯБРЬ",IF(L363=11,"НОЯБРЬ",IF(L363=12,"ДЕКАБРЬ"))))))))))))</f>
        <v>АВГУСТ</v>
      </c>
      <c r="J363" s="88"/>
      <c r="K363" s="204"/>
      <c r="L363" s="91">
        <f>MONTH(B364)</f>
        <v>8</v>
      </c>
      <c r="M363" s="66"/>
      <c r="N363" s="66"/>
      <c r="O363" s="66"/>
      <c r="P363" s="66"/>
      <c r="Q363" s="66"/>
    </row>
    <row r="364">
      <c r="A364" s="54"/>
      <c r="B364" s="526">
        <v>45871.0</v>
      </c>
      <c r="C364" s="178" t="s">
        <v>142</v>
      </c>
      <c r="D364" s="101" t="s">
        <v>144</v>
      </c>
      <c r="E364" s="101">
        <v>536967.0</v>
      </c>
      <c r="F364" s="102">
        <f>E364-E362</f>
        <v>1356</v>
      </c>
      <c r="G364" s="101">
        <v>976.0</v>
      </c>
      <c r="H364" s="101">
        <v>449.0</v>
      </c>
      <c r="I364" s="101">
        <v>450.48</v>
      </c>
      <c r="J364" s="177">
        <f t="shared" ref="J364:J373" si="50">H364-I364</f>
        <v>-1.48</v>
      </c>
      <c r="K364" s="103">
        <f t="shared" ref="K364:K373" si="51">I364/F364*100</f>
        <v>33.22123894</v>
      </c>
      <c r="L364" s="54"/>
      <c r="M364" s="205" t="str">
        <f>"тотал"&amp;" "&amp;B363&amp;" "&amp;RIGHT(YEAR(B364),2)</f>
        <v>тотал АВГУСТ 25</v>
      </c>
      <c r="N364" s="75"/>
      <c r="O364" s="75"/>
      <c r="P364" s="75"/>
      <c r="Q364" s="76"/>
    </row>
    <row r="365">
      <c r="A365" s="54"/>
      <c r="B365" s="526">
        <v>45875.0</v>
      </c>
      <c r="C365" s="178" t="s">
        <v>142</v>
      </c>
      <c r="D365" s="101" t="s">
        <v>144</v>
      </c>
      <c r="E365" s="101">
        <v>538310.0</v>
      </c>
      <c r="F365" s="102">
        <f t="shared" ref="F365:F373" si="52">E365-E364</f>
        <v>1343</v>
      </c>
      <c r="G365" s="101">
        <v>979.0</v>
      </c>
      <c r="H365" s="101">
        <v>456.0</v>
      </c>
      <c r="I365" s="101">
        <v>453.85</v>
      </c>
      <c r="J365" s="177">
        <f t="shared" si="50"/>
        <v>2.15</v>
      </c>
      <c r="K365" s="103">
        <f t="shared" si="51"/>
        <v>33.79374535</v>
      </c>
      <c r="L365" s="54"/>
      <c r="M365" s="83" t="s">
        <v>70</v>
      </c>
      <c r="N365" s="83" t="s">
        <v>71</v>
      </c>
      <c r="O365" s="83" t="s">
        <v>27</v>
      </c>
      <c r="P365" s="83" t="s">
        <v>28</v>
      </c>
      <c r="Q365" s="321" t="s">
        <v>78</v>
      </c>
    </row>
    <row r="366">
      <c r="A366" s="54"/>
      <c r="B366" s="526">
        <v>45879.0</v>
      </c>
      <c r="C366" s="178" t="s">
        <v>142</v>
      </c>
      <c r="D366" s="101" t="s">
        <v>144</v>
      </c>
      <c r="E366" s="101">
        <v>540354.0</v>
      </c>
      <c r="F366" s="102">
        <f t="shared" si="52"/>
        <v>2044</v>
      </c>
      <c r="G366" s="101">
        <v>727.0</v>
      </c>
      <c r="H366" s="101">
        <v>395.0</v>
      </c>
      <c r="I366" s="101">
        <v>400.0</v>
      </c>
      <c r="J366" s="177">
        <f t="shared" si="50"/>
        <v>-5</v>
      </c>
      <c r="K366" s="103">
        <f t="shared" si="51"/>
        <v>19.56947162</v>
      </c>
      <c r="L366" s="54"/>
      <c r="M366" s="84">
        <f>SUM(F364:F373)</f>
        <v>12329</v>
      </c>
      <c r="N366" s="84">
        <f>SUM(I364:I373)</f>
        <v>4019.15</v>
      </c>
      <c r="O366" s="85">
        <f>N366/M366*100</f>
        <v>32.59915646</v>
      </c>
      <c r="P366" s="84">
        <f>(M366/100)*(O366-Q366)</f>
        <v>-49.42</v>
      </c>
      <c r="Q366" s="464">
        <v>33.0</v>
      </c>
    </row>
    <row r="367">
      <c r="A367" s="54"/>
      <c r="B367" s="526">
        <v>45882.0</v>
      </c>
      <c r="C367" s="178" t="s">
        <v>142</v>
      </c>
      <c r="D367" s="101" t="s">
        <v>144</v>
      </c>
      <c r="E367" s="101">
        <v>541647.0</v>
      </c>
      <c r="F367" s="102">
        <f t="shared" si="52"/>
        <v>1293</v>
      </c>
      <c r="G367" s="101">
        <v>671.0</v>
      </c>
      <c r="H367" s="101">
        <v>403.0</v>
      </c>
      <c r="I367" s="101">
        <v>399.24</v>
      </c>
      <c r="J367" s="177">
        <f t="shared" si="50"/>
        <v>3.76</v>
      </c>
      <c r="K367" s="103">
        <f t="shared" si="51"/>
        <v>30.87703016</v>
      </c>
      <c r="L367" s="54"/>
      <c r="M367" s="54"/>
      <c r="N367" s="54"/>
    </row>
    <row r="368">
      <c r="A368" s="54"/>
      <c r="B368" s="526">
        <v>45885.0</v>
      </c>
      <c r="C368" s="178" t="s">
        <v>142</v>
      </c>
      <c r="D368" s="101" t="s">
        <v>144</v>
      </c>
      <c r="E368" s="101">
        <v>542269.0</v>
      </c>
      <c r="F368" s="102">
        <f t="shared" si="52"/>
        <v>622</v>
      </c>
      <c r="G368" s="101">
        <v>963.0</v>
      </c>
      <c r="H368" s="101">
        <v>489.0</v>
      </c>
      <c r="I368" s="101">
        <v>498.71</v>
      </c>
      <c r="J368" s="177">
        <f t="shared" si="50"/>
        <v>-9.71</v>
      </c>
      <c r="K368" s="103">
        <f t="shared" si="51"/>
        <v>80.17845659</v>
      </c>
      <c r="L368" s="54"/>
      <c r="M368" s="77" t="s">
        <v>70</v>
      </c>
      <c r="N368" s="77" t="s">
        <v>119</v>
      </c>
      <c r="O368" s="78" t="s">
        <v>27</v>
      </c>
      <c r="P368" s="78" t="s">
        <v>28</v>
      </c>
      <c r="Q368" s="78" t="s">
        <v>78</v>
      </c>
    </row>
    <row r="369">
      <c r="A369" s="54"/>
      <c r="B369" s="526">
        <v>45887.0</v>
      </c>
      <c r="C369" s="178" t="s">
        <v>142</v>
      </c>
      <c r="D369" s="101" t="s">
        <v>144</v>
      </c>
      <c r="E369" s="101">
        <v>543311.0</v>
      </c>
      <c r="F369" s="102">
        <f t="shared" si="52"/>
        <v>1042</v>
      </c>
      <c r="G369" s="101">
        <v>959.0</v>
      </c>
      <c r="H369" s="101">
        <v>344.0</v>
      </c>
      <c r="I369" s="101">
        <v>358.86</v>
      </c>
      <c r="J369" s="177">
        <f t="shared" si="50"/>
        <v>-14.86</v>
      </c>
      <c r="K369" s="103">
        <f t="shared" si="51"/>
        <v>34.43953935</v>
      </c>
      <c r="L369" s="60" t="s">
        <v>144</v>
      </c>
      <c r="M369" s="77">
        <f>SUM(F364:F369)</f>
        <v>7700</v>
      </c>
      <c r="N369" s="77">
        <f>SUM(I364:I369)</f>
        <v>2561.14</v>
      </c>
      <c r="O369" s="81">
        <f t="shared" ref="O369:O370" si="53">N369/M369*100</f>
        <v>33.26155844</v>
      </c>
      <c r="P369" s="80">
        <f t="shared" ref="P369:P370" si="54">(M369/100)*(O369-Q369)</f>
        <v>20.14</v>
      </c>
      <c r="Q369" s="78">
        <v>33.0</v>
      </c>
    </row>
    <row r="370">
      <c r="A370" s="54"/>
      <c r="B370" s="526">
        <v>45890.0</v>
      </c>
      <c r="C370" s="178" t="s">
        <v>142</v>
      </c>
      <c r="D370" s="101" t="s">
        <v>292</v>
      </c>
      <c r="E370" s="101">
        <v>544709.0</v>
      </c>
      <c r="F370" s="102">
        <f t="shared" si="52"/>
        <v>1398</v>
      </c>
      <c r="G370" s="101">
        <v>967.0</v>
      </c>
      <c r="H370" s="101">
        <v>470.0</v>
      </c>
      <c r="I370" s="101">
        <v>462.46</v>
      </c>
      <c r="J370" s="177">
        <f t="shared" si="50"/>
        <v>7.54</v>
      </c>
      <c r="K370" s="103">
        <f t="shared" si="51"/>
        <v>33.08011445</v>
      </c>
      <c r="L370" s="60" t="s">
        <v>292</v>
      </c>
      <c r="M370" s="77">
        <f>SUM(F370:F373)</f>
        <v>4629</v>
      </c>
      <c r="N370" s="77">
        <f>SUM(I370:I373)</f>
        <v>1458.01</v>
      </c>
      <c r="O370" s="81">
        <f t="shared" si="53"/>
        <v>31.49729963</v>
      </c>
      <c r="P370" s="80">
        <f t="shared" si="54"/>
        <v>-69.56</v>
      </c>
      <c r="Q370" s="78">
        <v>33.0</v>
      </c>
    </row>
    <row r="371">
      <c r="A371" s="54"/>
      <c r="B371" s="526">
        <v>45892.0</v>
      </c>
      <c r="C371" s="178" t="s">
        <v>142</v>
      </c>
      <c r="D371" s="101" t="s">
        <v>292</v>
      </c>
      <c r="E371" s="101">
        <v>545720.0</v>
      </c>
      <c r="F371" s="102">
        <f t="shared" si="52"/>
        <v>1011</v>
      </c>
      <c r="G371" s="101">
        <v>967.0</v>
      </c>
      <c r="H371" s="101">
        <v>317.0</v>
      </c>
      <c r="I371" s="101">
        <v>310.1</v>
      </c>
      <c r="J371" s="177">
        <f t="shared" si="50"/>
        <v>6.9</v>
      </c>
      <c r="K371" s="103">
        <f t="shared" si="51"/>
        <v>30.67260138</v>
      </c>
      <c r="L371" s="54"/>
      <c r="M371" s="54"/>
      <c r="N371" s="54"/>
    </row>
    <row r="372">
      <c r="A372" s="54"/>
      <c r="B372" s="526">
        <v>45896.0</v>
      </c>
      <c r="C372" s="178" t="s">
        <v>126</v>
      </c>
      <c r="D372" s="101" t="s">
        <v>292</v>
      </c>
      <c r="E372" s="101">
        <v>547216.0</v>
      </c>
      <c r="F372" s="102">
        <f t="shared" si="52"/>
        <v>1496</v>
      </c>
      <c r="G372" s="101">
        <v>930.0</v>
      </c>
      <c r="H372" s="101">
        <v>423.0</v>
      </c>
      <c r="I372" s="102">
        <f>140--140--140</f>
        <v>420</v>
      </c>
      <c r="J372" s="177">
        <f t="shared" si="50"/>
        <v>3</v>
      </c>
      <c r="K372" s="103">
        <f t="shared" si="51"/>
        <v>28.07486631</v>
      </c>
      <c r="L372" s="54"/>
      <c r="M372" s="54"/>
      <c r="N372" s="54"/>
    </row>
    <row r="373">
      <c r="A373" s="54"/>
      <c r="B373" s="526">
        <v>45898.0</v>
      </c>
      <c r="C373" s="178" t="s">
        <v>142</v>
      </c>
      <c r="D373" s="101" t="s">
        <v>292</v>
      </c>
      <c r="E373" s="101">
        <v>547940.0</v>
      </c>
      <c r="F373" s="102">
        <f t="shared" si="52"/>
        <v>724</v>
      </c>
      <c r="G373" s="101">
        <v>967.0</v>
      </c>
      <c r="H373" s="101">
        <v>273.0</v>
      </c>
      <c r="I373" s="101">
        <v>265.45</v>
      </c>
      <c r="J373" s="177">
        <f t="shared" si="50"/>
        <v>7.55</v>
      </c>
      <c r="K373" s="103">
        <f t="shared" si="51"/>
        <v>36.66436464</v>
      </c>
      <c r="L373" s="54"/>
      <c r="M373" s="54"/>
      <c r="N373" s="54"/>
    </row>
    <row r="374">
      <c r="A374" s="68"/>
      <c r="B374" s="203" t="str">
        <f>IF(L374=4,"АПРЕЛЬ",IF(L374=5,"МАЙ",IF(L374=1,"ЯНВАРЬ",IF(L374=2,"ФЕВРАЛЬ",IF(L374=3,"МАРТ",IF(L374=6,"ИЮНЬ",IF(L374=7,"ИЮЛЬ",IF(L374=8,"АВГУСТ",IF(L374=9,"СЕНТЯБРЬ",IF(L374=10,"ОКТЯБРЬ",IF(L374=11,"НОЯБРЬ",IF(L374=12,"ДЕКАБРЬ"))))))))))))</f>
        <v>СЕНТЯБРЬ</v>
      </c>
      <c r="J374" s="88"/>
      <c r="K374" s="204"/>
      <c r="L374" s="91">
        <f>MONTH(B375)</f>
        <v>9</v>
      </c>
      <c r="M374" s="66"/>
      <c r="N374" s="66"/>
      <c r="O374" s="66"/>
      <c r="P374" s="66"/>
      <c r="Q374" s="66"/>
    </row>
    <row r="375">
      <c r="A375" s="54"/>
      <c r="B375" s="526">
        <v>45902.0</v>
      </c>
      <c r="C375" s="178" t="s">
        <v>142</v>
      </c>
      <c r="D375" s="101" t="s">
        <v>292</v>
      </c>
      <c r="E375" s="101">
        <v>549468.0</v>
      </c>
      <c r="F375" s="102">
        <f>E375-E373</f>
        <v>1528</v>
      </c>
      <c r="G375" s="101">
        <v>983.0</v>
      </c>
      <c r="H375" s="101">
        <v>461.0</v>
      </c>
      <c r="I375" s="101">
        <v>458.19</v>
      </c>
      <c r="J375" s="177">
        <f t="shared" ref="J375:J381" si="55">H375-I375</f>
        <v>2.81</v>
      </c>
      <c r="K375" s="103">
        <f t="shared" ref="K375:K381" si="56">I375/F375*100</f>
        <v>29.98625654</v>
      </c>
      <c r="L375" s="54"/>
      <c r="M375" s="205" t="str">
        <f>"тотал"&amp;" "&amp;B374&amp;" "&amp;RIGHT(YEAR(B375),2)</f>
        <v>тотал СЕНТЯБРЬ 25</v>
      </c>
      <c r="N375" s="75"/>
      <c r="O375" s="75"/>
      <c r="P375" s="75"/>
      <c r="Q375" s="76"/>
    </row>
    <row r="376">
      <c r="A376" s="54"/>
      <c r="B376" s="526">
        <v>45905.0</v>
      </c>
      <c r="C376" s="178" t="s">
        <v>142</v>
      </c>
      <c r="D376" s="101" t="s">
        <v>292</v>
      </c>
      <c r="E376" s="101">
        <v>551100.0</v>
      </c>
      <c r="F376" s="102">
        <f t="shared" ref="F376:F381" si="57">E376-E375</f>
        <v>1632</v>
      </c>
      <c r="G376" s="101">
        <v>958.0</v>
      </c>
      <c r="H376" s="101">
        <v>498.0</v>
      </c>
      <c r="I376" s="101">
        <v>500.0</v>
      </c>
      <c r="J376" s="177">
        <f t="shared" si="55"/>
        <v>-2</v>
      </c>
      <c r="K376" s="103">
        <f t="shared" si="56"/>
        <v>30.6372549</v>
      </c>
      <c r="L376" s="54"/>
      <c r="M376" s="83" t="s">
        <v>70</v>
      </c>
      <c r="N376" s="83" t="s">
        <v>71</v>
      </c>
      <c r="O376" s="83" t="s">
        <v>27</v>
      </c>
      <c r="P376" s="83" t="s">
        <v>28</v>
      </c>
      <c r="Q376" s="321" t="s">
        <v>78</v>
      </c>
    </row>
    <row r="377">
      <c r="A377" s="54"/>
      <c r="B377" s="526">
        <v>45913.0</v>
      </c>
      <c r="C377" s="178" t="s">
        <v>142</v>
      </c>
      <c r="D377" s="101" t="s">
        <v>144</v>
      </c>
      <c r="E377" s="101">
        <v>552776.0</v>
      </c>
      <c r="F377" s="102">
        <f t="shared" si="57"/>
        <v>1676</v>
      </c>
      <c r="G377" s="101">
        <v>962.0</v>
      </c>
      <c r="H377" s="101">
        <v>500.0</v>
      </c>
      <c r="I377" s="101">
        <v>499.75</v>
      </c>
      <c r="J377" s="177">
        <f t="shared" si="55"/>
        <v>0.25</v>
      </c>
      <c r="K377" s="103">
        <f t="shared" si="56"/>
        <v>29.81801909</v>
      </c>
      <c r="L377" s="54"/>
      <c r="M377" s="84">
        <f>SUM(F375:F381)</f>
        <v>10435</v>
      </c>
      <c r="N377" s="84">
        <f>SUM(I375:I381)</f>
        <v>3257.1</v>
      </c>
      <c r="O377" s="85">
        <f>N377/M377*100</f>
        <v>31.21322472</v>
      </c>
      <c r="P377" s="84">
        <f>(M377/100)*(O377-Q377)</f>
        <v>126.6</v>
      </c>
      <c r="Q377" s="464">
        <v>30.0</v>
      </c>
    </row>
    <row r="378">
      <c r="A378" s="54"/>
      <c r="B378" s="526">
        <v>45918.0</v>
      </c>
      <c r="C378" s="178" t="s">
        <v>142</v>
      </c>
      <c r="D378" s="101" t="s">
        <v>144</v>
      </c>
      <c r="E378" s="101">
        <v>554276.0</v>
      </c>
      <c r="F378" s="102">
        <f t="shared" si="57"/>
        <v>1500</v>
      </c>
      <c r="G378" s="101">
        <v>741.0</v>
      </c>
      <c r="H378" s="101">
        <v>481.0</v>
      </c>
      <c r="I378" s="101">
        <v>477.4</v>
      </c>
      <c r="J378" s="177">
        <f t="shared" si="55"/>
        <v>3.6</v>
      </c>
      <c r="K378" s="103">
        <f t="shared" si="56"/>
        <v>31.82666667</v>
      </c>
      <c r="L378" s="54"/>
      <c r="M378" s="54"/>
      <c r="N378" s="54"/>
    </row>
    <row r="379">
      <c r="A379" s="54"/>
      <c r="B379" s="526">
        <v>45920.0</v>
      </c>
      <c r="C379" s="178" t="s">
        <v>142</v>
      </c>
      <c r="D379" s="101" t="s">
        <v>144</v>
      </c>
      <c r="E379" s="101">
        <v>555570.0</v>
      </c>
      <c r="F379" s="102">
        <f t="shared" si="57"/>
        <v>1294</v>
      </c>
      <c r="G379" s="101">
        <v>739.0</v>
      </c>
      <c r="H379" s="101">
        <v>368.0</v>
      </c>
      <c r="I379" s="101">
        <v>362.11</v>
      </c>
      <c r="J379" s="177">
        <f t="shared" si="55"/>
        <v>5.89</v>
      </c>
      <c r="K379" s="103">
        <f t="shared" si="56"/>
        <v>27.98377125</v>
      </c>
      <c r="L379" s="54"/>
      <c r="M379" s="54"/>
      <c r="N379" s="54"/>
    </row>
    <row r="380">
      <c r="A380" s="54"/>
      <c r="B380" s="526">
        <v>45924.0</v>
      </c>
      <c r="C380" s="178" t="s">
        <v>142</v>
      </c>
      <c r="D380" s="101" t="s">
        <v>144</v>
      </c>
      <c r="E380" s="101">
        <v>557136.0</v>
      </c>
      <c r="F380" s="102">
        <f t="shared" si="57"/>
        <v>1566</v>
      </c>
      <c r="G380" s="101">
        <v>724.0</v>
      </c>
      <c r="H380" s="101">
        <v>502.0</v>
      </c>
      <c r="I380" s="101">
        <v>500.0</v>
      </c>
      <c r="J380" s="177">
        <f t="shared" si="55"/>
        <v>2</v>
      </c>
      <c r="K380" s="103">
        <f t="shared" si="56"/>
        <v>31.9284802</v>
      </c>
      <c r="L380" s="54"/>
      <c r="M380" s="54"/>
      <c r="N380" s="54"/>
    </row>
    <row r="381">
      <c r="A381" s="54"/>
      <c r="B381" s="526">
        <v>45927.0</v>
      </c>
      <c r="C381" s="178" t="s">
        <v>142</v>
      </c>
      <c r="D381" s="101" t="s">
        <v>144</v>
      </c>
      <c r="E381" s="101">
        <v>558375.0</v>
      </c>
      <c r="F381" s="102">
        <f t="shared" si="57"/>
        <v>1239</v>
      </c>
      <c r="G381" s="101">
        <v>729.0</v>
      </c>
      <c r="H381" s="101">
        <v>458.0</v>
      </c>
      <c r="I381" s="101">
        <v>459.65</v>
      </c>
      <c r="J381" s="177">
        <f t="shared" si="55"/>
        <v>-1.65</v>
      </c>
      <c r="K381" s="103">
        <f t="shared" si="56"/>
        <v>37.09846651</v>
      </c>
      <c r="L381" s="54"/>
      <c r="M381" s="54"/>
      <c r="N381" s="54"/>
    </row>
    <row r="382">
      <c r="A382" s="68"/>
      <c r="B382" s="203" t="str">
        <f>IF(L382=4,"АПРЕЛЬ",IF(L382=5,"МАЙ",IF(L382=1,"ЯНВАРЬ",IF(L382=2,"ФЕВРАЛЬ",IF(L382=3,"МАРТ",IF(L382=6,"ИЮНЬ",IF(L382=7,"ИЮЛЬ",IF(L382=8,"АВГУСТ",IF(L382=9,"СЕНТЯБРЬ",IF(L382=10,"ОКТЯБРЬ",IF(L382=11,"НОЯБРЬ",IF(L382=12,"ДЕКАБРЬ"))))))))))))</f>
        <v>ОКТЯБРЬ</v>
      </c>
      <c r="J382" s="88"/>
      <c r="K382" s="204"/>
      <c r="L382" s="91">
        <f>MONTH(B383)</f>
        <v>10</v>
      </c>
      <c r="M382" s="66"/>
      <c r="N382" s="66"/>
      <c r="O382" s="66"/>
      <c r="P382" s="66"/>
      <c r="Q382" s="66"/>
    </row>
    <row r="383">
      <c r="A383" s="54"/>
      <c r="B383" s="526">
        <v>45934.0</v>
      </c>
      <c r="C383" s="178" t="s">
        <v>142</v>
      </c>
      <c r="D383" s="101" t="s">
        <v>144</v>
      </c>
      <c r="E383" s="101">
        <v>559806.0</v>
      </c>
      <c r="F383" s="102">
        <f>E383-E381</f>
        <v>1431</v>
      </c>
      <c r="G383" s="101">
        <v>713.0</v>
      </c>
      <c r="H383" s="101">
        <v>430.0</v>
      </c>
      <c r="I383" s="102">
        <f>100--331.51</f>
        <v>431.51</v>
      </c>
      <c r="J383" s="177">
        <f t="shared" ref="J383:J385" si="58">H383-I383</f>
        <v>-1.51</v>
      </c>
      <c r="K383" s="103">
        <f t="shared" ref="K383:K385" si="59">I383/F383*100</f>
        <v>30.15443746</v>
      </c>
      <c r="L383" s="54"/>
      <c r="M383" s="205" t="str">
        <f>"тотал"&amp;" "&amp;B382&amp;" "&amp;RIGHT(YEAR(B383),2)</f>
        <v>тотал ОКТЯБРЬ 25</v>
      </c>
      <c r="N383" s="75"/>
      <c r="O383" s="75"/>
      <c r="P383" s="75"/>
      <c r="Q383" s="76"/>
    </row>
    <row r="384">
      <c r="A384" s="54"/>
      <c r="B384" s="526">
        <v>45938.0</v>
      </c>
      <c r="C384" s="178" t="s">
        <v>142</v>
      </c>
      <c r="D384" s="101" t="s">
        <v>144</v>
      </c>
      <c r="E384" s="101">
        <v>561217.0</v>
      </c>
      <c r="F384" s="102">
        <f t="shared" ref="F384:F385" si="60">E384-E383</f>
        <v>1411</v>
      </c>
      <c r="G384" s="101">
        <v>730.0</v>
      </c>
      <c r="H384" s="101">
        <v>503.0</v>
      </c>
      <c r="I384" s="101">
        <v>499.47</v>
      </c>
      <c r="J384" s="177">
        <f t="shared" si="58"/>
        <v>3.53</v>
      </c>
      <c r="K384" s="103">
        <f t="shared" si="59"/>
        <v>35.39829908</v>
      </c>
      <c r="L384" s="54"/>
      <c r="M384" s="83" t="s">
        <v>70</v>
      </c>
      <c r="N384" s="83" t="s">
        <v>71</v>
      </c>
      <c r="O384" s="83" t="s">
        <v>27</v>
      </c>
      <c r="P384" s="83" t="s">
        <v>28</v>
      </c>
      <c r="Q384" s="321" t="s">
        <v>78</v>
      </c>
    </row>
    <row r="385">
      <c r="A385" s="54"/>
      <c r="B385" s="526">
        <v>45941.0</v>
      </c>
      <c r="C385" s="178" t="s">
        <v>142</v>
      </c>
      <c r="D385" s="101" t="s">
        <v>144</v>
      </c>
      <c r="E385" s="101">
        <v>562718.0</v>
      </c>
      <c r="F385" s="102">
        <f t="shared" si="60"/>
        <v>1501</v>
      </c>
      <c r="G385" s="101">
        <v>700.0</v>
      </c>
      <c r="H385" s="101">
        <v>497.0</v>
      </c>
      <c r="I385" s="101">
        <v>499.53</v>
      </c>
      <c r="J385" s="177">
        <f t="shared" si="58"/>
        <v>-2.53</v>
      </c>
      <c r="K385" s="103">
        <f t="shared" si="59"/>
        <v>33.27981346</v>
      </c>
      <c r="L385" s="54"/>
      <c r="M385" s="84">
        <f>SUM(F383:F389)</f>
        <v>4343</v>
      </c>
      <c r="N385" s="84">
        <f>SUM(I383:I389)</f>
        <v>1430.51</v>
      </c>
      <c r="O385" s="85">
        <f>N385/M385*100</f>
        <v>32.9382915</v>
      </c>
      <c r="P385" s="84">
        <f>(M385/100)*(O385-Q385)</f>
        <v>127.61</v>
      </c>
      <c r="Q385" s="464">
        <v>30.0</v>
      </c>
    </row>
    <row r="386">
      <c r="A386" s="54"/>
      <c r="B386" s="350"/>
      <c r="C386" s="350"/>
      <c r="D386" s="102"/>
      <c r="E386" s="102"/>
      <c r="F386" s="102"/>
      <c r="G386" s="102"/>
      <c r="H386" s="102"/>
      <c r="I386" s="102"/>
      <c r="J386" s="177"/>
      <c r="K386" s="102"/>
      <c r="L386" s="54"/>
      <c r="M386" s="54"/>
      <c r="N386" s="54"/>
    </row>
    <row r="387">
      <c r="A387" s="54"/>
      <c r="B387" s="350"/>
      <c r="C387" s="350"/>
      <c r="D387" s="102"/>
      <c r="E387" s="102"/>
      <c r="F387" s="102"/>
      <c r="G387" s="102"/>
      <c r="H387" s="102"/>
      <c r="I387" s="102"/>
      <c r="J387" s="177"/>
      <c r="K387" s="102"/>
      <c r="L387" s="54"/>
      <c r="M387" s="54"/>
      <c r="N387" s="54"/>
    </row>
    <row r="388">
      <c r="A388" s="54"/>
      <c r="B388" s="350"/>
      <c r="C388" s="350"/>
      <c r="D388" s="102"/>
      <c r="E388" s="102"/>
      <c r="F388" s="102"/>
      <c r="G388" s="102"/>
      <c r="H388" s="102"/>
      <c r="I388" s="102"/>
      <c r="J388" s="177"/>
      <c r="K388" s="102"/>
      <c r="L388" s="54"/>
      <c r="M388" s="54"/>
      <c r="N388" s="54"/>
    </row>
    <row r="389">
      <c r="A389" s="54"/>
      <c r="B389" s="350"/>
      <c r="C389" s="350"/>
      <c r="D389" s="102"/>
      <c r="E389" s="102"/>
      <c r="F389" s="102"/>
      <c r="G389" s="102"/>
      <c r="H389" s="102"/>
      <c r="I389" s="102"/>
      <c r="J389" s="177"/>
      <c r="K389" s="102"/>
      <c r="L389" s="54"/>
      <c r="M389" s="54"/>
      <c r="N389" s="54"/>
    </row>
    <row r="390">
      <c r="A390" s="54"/>
      <c r="B390" s="350"/>
      <c r="C390" s="350"/>
      <c r="D390" s="102"/>
      <c r="E390" s="102"/>
      <c r="F390" s="102"/>
      <c r="G390" s="102"/>
      <c r="H390" s="102"/>
      <c r="I390" s="102"/>
      <c r="J390" s="177"/>
      <c r="K390" s="102"/>
      <c r="L390" s="54"/>
      <c r="M390" s="54"/>
      <c r="N390" s="54"/>
    </row>
    <row r="391">
      <c r="A391" s="54"/>
      <c r="B391" s="350"/>
      <c r="C391" s="350"/>
      <c r="D391" s="102"/>
      <c r="E391" s="102"/>
      <c r="F391" s="102"/>
      <c r="G391" s="102"/>
      <c r="H391" s="102"/>
      <c r="I391" s="102"/>
      <c r="J391" s="177"/>
      <c r="K391" s="102"/>
      <c r="L391" s="54"/>
      <c r="M391" s="54"/>
      <c r="N391" s="54"/>
    </row>
    <row r="392">
      <c r="A392" s="54"/>
      <c r="B392" s="350"/>
      <c r="C392" s="350"/>
      <c r="D392" s="102"/>
      <c r="E392" s="102"/>
      <c r="F392" s="102"/>
      <c r="G392" s="102"/>
      <c r="H392" s="102"/>
      <c r="I392" s="102"/>
      <c r="J392" s="177"/>
      <c r="K392" s="102"/>
      <c r="L392" s="54"/>
      <c r="M392" s="54"/>
      <c r="N392" s="54"/>
    </row>
    <row r="393">
      <c r="A393" s="54"/>
      <c r="B393" s="350"/>
      <c r="C393" s="350"/>
      <c r="D393" s="102"/>
      <c r="E393" s="102"/>
      <c r="F393" s="102"/>
      <c r="G393" s="102"/>
      <c r="H393" s="102"/>
      <c r="I393" s="102"/>
      <c r="J393" s="177"/>
      <c r="K393" s="102"/>
      <c r="L393" s="54"/>
      <c r="M393" s="54"/>
      <c r="N393" s="54"/>
    </row>
    <row r="394">
      <c r="A394" s="54"/>
      <c r="B394" s="350"/>
      <c r="C394" s="350"/>
      <c r="D394" s="102"/>
      <c r="E394" s="102"/>
      <c r="F394" s="102"/>
      <c r="G394" s="102"/>
      <c r="H394" s="102"/>
      <c r="I394" s="102"/>
      <c r="J394" s="177"/>
      <c r="K394" s="102"/>
      <c r="L394" s="54"/>
      <c r="M394" s="54"/>
      <c r="N394" s="54"/>
    </row>
    <row r="395">
      <c r="A395" s="54"/>
      <c r="B395" s="350"/>
      <c r="C395" s="350"/>
      <c r="D395" s="102"/>
      <c r="E395" s="102"/>
      <c r="F395" s="102"/>
      <c r="G395" s="102"/>
      <c r="H395" s="102"/>
      <c r="I395" s="102"/>
      <c r="J395" s="177"/>
      <c r="K395" s="102"/>
      <c r="L395" s="54"/>
      <c r="M395" s="54"/>
      <c r="N395" s="54"/>
    </row>
    <row r="396">
      <c r="A396" s="54"/>
      <c r="B396" s="350"/>
      <c r="C396" s="350"/>
      <c r="D396" s="102"/>
      <c r="E396" s="102"/>
      <c r="F396" s="102"/>
      <c r="G396" s="102"/>
      <c r="H396" s="102"/>
      <c r="I396" s="102"/>
      <c r="J396" s="177"/>
      <c r="K396" s="102"/>
      <c r="L396" s="54"/>
      <c r="M396" s="54"/>
      <c r="N396" s="54"/>
    </row>
    <row r="397">
      <c r="A397" s="54"/>
      <c r="B397" s="350"/>
      <c r="C397" s="350"/>
      <c r="D397" s="102"/>
      <c r="E397" s="102"/>
      <c r="F397" s="102"/>
      <c r="G397" s="102"/>
      <c r="H397" s="102"/>
      <c r="I397" s="102"/>
      <c r="J397" s="177"/>
      <c r="K397" s="102"/>
      <c r="L397" s="54"/>
      <c r="M397" s="54"/>
      <c r="N397" s="54"/>
    </row>
    <row r="398">
      <c r="A398" s="54"/>
      <c r="B398" s="350"/>
      <c r="C398" s="350"/>
      <c r="D398" s="102"/>
      <c r="E398" s="102"/>
      <c r="F398" s="102"/>
      <c r="G398" s="102"/>
      <c r="H398" s="102"/>
      <c r="I398" s="102"/>
      <c r="J398" s="177"/>
      <c r="K398" s="102"/>
      <c r="L398" s="54"/>
      <c r="M398" s="54"/>
      <c r="N398" s="54"/>
    </row>
    <row r="399">
      <c r="A399" s="54"/>
      <c r="B399" s="350"/>
      <c r="C399" s="350"/>
      <c r="D399" s="102"/>
      <c r="E399" s="102"/>
      <c r="F399" s="102"/>
      <c r="G399" s="102"/>
      <c r="H399" s="102"/>
      <c r="I399" s="102"/>
      <c r="J399" s="177"/>
      <c r="K399" s="102"/>
      <c r="L399" s="54"/>
      <c r="M399" s="54"/>
      <c r="N399" s="54"/>
    </row>
    <row r="400">
      <c r="A400" s="54"/>
      <c r="B400" s="350"/>
      <c r="C400" s="350"/>
      <c r="D400" s="102"/>
      <c r="E400" s="102"/>
      <c r="F400" s="102"/>
      <c r="G400" s="102"/>
      <c r="H400" s="102"/>
      <c r="I400" s="102"/>
      <c r="J400" s="177"/>
      <c r="K400" s="102"/>
      <c r="L400" s="54"/>
      <c r="M400" s="54"/>
      <c r="N400" s="54"/>
    </row>
    <row r="401">
      <c r="A401" s="54"/>
      <c r="B401" s="350"/>
      <c r="C401" s="350"/>
      <c r="D401" s="102"/>
      <c r="E401" s="102"/>
      <c r="F401" s="102"/>
      <c r="G401" s="102"/>
      <c r="H401" s="102"/>
      <c r="I401" s="102"/>
      <c r="J401" s="177"/>
      <c r="K401" s="102"/>
      <c r="L401" s="54"/>
      <c r="M401" s="54"/>
      <c r="N401" s="54"/>
    </row>
    <row r="402">
      <c r="A402" s="54"/>
      <c r="B402" s="350"/>
      <c r="C402" s="350"/>
      <c r="D402" s="102"/>
      <c r="E402" s="102"/>
      <c r="F402" s="102"/>
      <c r="G402" s="102"/>
      <c r="H402" s="102"/>
      <c r="I402" s="102"/>
      <c r="J402" s="177"/>
      <c r="K402" s="102"/>
      <c r="L402" s="54"/>
      <c r="M402" s="54"/>
      <c r="N402" s="54"/>
    </row>
    <row r="403">
      <c r="A403" s="54"/>
      <c r="B403" s="350"/>
      <c r="C403" s="350"/>
      <c r="D403" s="102"/>
      <c r="E403" s="102"/>
      <c r="F403" s="102"/>
      <c r="G403" s="102"/>
      <c r="H403" s="102"/>
      <c r="I403" s="102"/>
      <c r="J403" s="177"/>
      <c r="K403" s="102"/>
      <c r="L403" s="54"/>
      <c r="M403" s="54"/>
      <c r="N403" s="54"/>
    </row>
    <row r="404">
      <c r="A404" s="54"/>
      <c r="B404" s="350"/>
      <c r="C404" s="350"/>
      <c r="D404" s="102"/>
      <c r="E404" s="102"/>
      <c r="F404" s="102"/>
      <c r="G404" s="102"/>
      <c r="H404" s="102"/>
      <c r="I404" s="102"/>
      <c r="J404" s="177"/>
      <c r="K404" s="102"/>
      <c r="L404" s="54"/>
      <c r="M404" s="54"/>
      <c r="N404" s="54"/>
    </row>
    <row r="405">
      <c r="A405" s="54"/>
      <c r="B405" s="350"/>
      <c r="C405" s="350"/>
      <c r="D405" s="102"/>
      <c r="E405" s="102"/>
      <c r="F405" s="102"/>
      <c r="G405" s="102"/>
      <c r="H405" s="102"/>
      <c r="I405" s="102"/>
      <c r="J405" s="177"/>
      <c r="K405" s="102"/>
      <c r="L405" s="54"/>
      <c r="M405" s="54"/>
      <c r="N405" s="54"/>
    </row>
    <row r="406">
      <c r="A406" s="54"/>
      <c r="B406" s="350"/>
      <c r="C406" s="350"/>
      <c r="D406" s="102"/>
      <c r="E406" s="102"/>
      <c r="F406" s="102"/>
      <c r="G406" s="102"/>
      <c r="H406" s="102"/>
      <c r="I406" s="102"/>
      <c r="J406" s="177"/>
      <c r="K406" s="102"/>
      <c r="L406" s="54"/>
      <c r="M406" s="54"/>
      <c r="N406" s="54"/>
    </row>
    <row r="407">
      <c r="A407" s="54"/>
      <c r="B407" s="350"/>
      <c r="C407" s="350"/>
      <c r="D407" s="102"/>
      <c r="E407" s="102"/>
      <c r="F407" s="102"/>
      <c r="G407" s="102"/>
      <c r="H407" s="102"/>
      <c r="I407" s="102"/>
      <c r="J407" s="177"/>
      <c r="K407" s="102"/>
      <c r="L407" s="54"/>
      <c r="M407" s="54"/>
      <c r="N407" s="54"/>
    </row>
    <row r="408">
      <c r="A408" s="54"/>
      <c r="B408" s="350"/>
      <c r="C408" s="350"/>
      <c r="D408" s="102"/>
      <c r="E408" s="102"/>
      <c r="F408" s="102"/>
      <c r="G408" s="102"/>
      <c r="H408" s="102"/>
      <c r="I408" s="102"/>
      <c r="J408" s="177"/>
      <c r="K408" s="102"/>
      <c r="L408" s="54"/>
      <c r="M408" s="54"/>
      <c r="N408" s="54"/>
    </row>
    <row r="409">
      <c r="A409" s="54"/>
      <c r="B409" s="350"/>
      <c r="C409" s="350"/>
      <c r="D409" s="102"/>
      <c r="E409" s="102"/>
      <c r="F409" s="102"/>
      <c r="G409" s="102"/>
      <c r="H409" s="102"/>
      <c r="I409" s="102"/>
      <c r="J409" s="177"/>
      <c r="K409" s="102"/>
      <c r="L409" s="54"/>
      <c r="M409" s="54"/>
      <c r="N409" s="54"/>
    </row>
    <row r="410">
      <c r="A410" s="54"/>
      <c r="B410" s="350"/>
      <c r="C410" s="350"/>
      <c r="D410" s="102"/>
      <c r="E410" s="102"/>
      <c r="F410" s="102"/>
      <c r="G410" s="102"/>
      <c r="H410" s="102"/>
      <c r="I410" s="102"/>
      <c r="J410" s="177"/>
      <c r="K410" s="102"/>
      <c r="L410" s="54"/>
      <c r="M410" s="54"/>
      <c r="N410" s="54"/>
    </row>
    <row r="411">
      <c r="A411" s="54"/>
      <c r="B411" s="350"/>
      <c r="C411" s="350"/>
      <c r="D411" s="102"/>
      <c r="E411" s="102"/>
      <c r="F411" s="102"/>
      <c r="G411" s="102"/>
      <c r="H411" s="102"/>
      <c r="I411" s="102"/>
      <c r="J411" s="177"/>
      <c r="K411" s="102"/>
      <c r="L411" s="54"/>
      <c r="M411" s="54"/>
      <c r="N411" s="54"/>
    </row>
    <row r="412">
      <c r="A412" s="54"/>
      <c r="B412" s="350"/>
      <c r="C412" s="350"/>
      <c r="D412" s="102"/>
      <c r="E412" s="102"/>
      <c r="F412" s="102"/>
      <c r="G412" s="102"/>
      <c r="H412" s="102"/>
      <c r="I412" s="102"/>
      <c r="J412" s="177"/>
      <c r="K412" s="102"/>
      <c r="L412" s="54"/>
      <c r="M412" s="54"/>
      <c r="N412" s="54"/>
    </row>
    <row r="413">
      <c r="A413" s="54"/>
      <c r="B413" s="350"/>
      <c r="C413" s="350"/>
      <c r="D413" s="102"/>
      <c r="E413" s="102"/>
      <c r="F413" s="102"/>
      <c r="G413" s="102"/>
      <c r="H413" s="102"/>
      <c r="I413" s="102"/>
      <c r="J413" s="177"/>
      <c r="K413" s="102"/>
      <c r="L413" s="54"/>
      <c r="M413" s="54"/>
      <c r="N413" s="54"/>
    </row>
    <row r="414">
      <c r="A414" s="54"/>
      <c r="B414" s="350"/>
      <c r="C414" s="350"/>
      <c r="D414" s="102"/>
      <c r="E414" s="102"/>
      <c r="F414" s="102"/>
      <c r="G414" s="102"/>
      <c r="H414" s="102"/>
      <c r="I414" s="102"/>
      <c r="J414" s="177"/>
      <c r="K414" s="102"/>
      <c r="L414" s="54"/>
      <c r="M414" s="54"/>
      <c r="N414" s="54"/>
    </row>
    <row r="415">
      <c r="A415" s="54"/>
      <c r="B415" s="350"/>
      <c r="C415" s="350"/>
      <c r="D415" s="102"/>
      <c r="E415" s="102"/>
      <c r="F415" s="102"/>
      <c r="G415" s="102"/>
      <c r="H415" s="102"/>
      <c r="I415" s="102"/>
      <c r="J415" s="177"/>
      <c r="K415" s="102"/>
      <c r="L415" s="54"/>
      <c r="M415" s="54"/>
      <c r="N415" s="54"/>
    </row>
    <row r="416">
      <c r="A416" s="54"/>
      <c r="B416" s="350"/>
      <c r="C416" s="350"/>
      <c r="D416" s="102"/>
      <c r="E416" s="102"/>
      <c r="F416" s="102"/>
      <c r="G416" s="102"/>
      <c r="H416" s="102"/>
      <c r="I416" s="102"/>
      <c r="J416" s="177"/>
      <c r="K416" s="102"/>
      <c r="L416" s="54"/>
      <c r="M416" s="54"/>
      <c r="N416" s="54"/>
    </row>
    <row r="417">
      <c r="A417" s="54"/>
      <c r="B417" s="350"/>
      <c r="C417" s="350"/>
      <c r="D417" s="102"/>
      <c r="E417" s="102"/>
      <c r="F417" s="102"/>
      <c r="G417" s="102"/>
      <c r="H417" s="102"/>
      <c r="I417" s="102"/>
      <c r="J417" s="177"/>
      <c r="K417" s="102"/>
      <c r="L417" s="54"/>
      <c r="M417" s="54"/>
      <c r="N417" s="54"/>
    </row>
    <row r="418">
      <c r="A418" s="54"/>
      <c r="B418" s="350"/>
      <c r="C418" s="350"/>
      <c r="D418" s="102"/>
      <c r="E418" s="102"/>
      <c r="F418" s="102"/>
      <c r="G418" s="102"/>
      <c r="H418" s="102"/>
      <c r="I418" s="102"/>
      <c r="J418" s="177"/>
      <c r="K418" s="102"/>
      <c r="L418" s="54"/>
      <c r="M418" s="54"/>
      <c r="N418" s="54"/>
    </row>
    <row r="419">
      <c r="A419" s="54"/>
      <c r="B419" s="350"/>
      <c r="C419" s="350"/>
      <c r="D419" s="102"/>
      <c r="E419" s="102"/>
      <c r="F419" s="102"/>
      <c r="G419" s="102"/>
      <c r="H419" s="102"/>
      <c r="I419" s="102"/>
      <c r="J419" s="177"/>
      <c r="K419" s="102"/>
      <c r="L419" s="54"/>
      <c r="M419" s="54"/>
      <c r="N419" s="54"/>
    </row>
    <row r="420">
      <c r="A420" s="54"/>
      <c r="B420" s="350"/>
      <c r="C420" s="350"/>
      <c r="D420" s="102"/>
      <c r="E420" s="102"/>
      <c r="F420" s="102"/>
      <c r="G420" s="102"/>
      <c r="H420" s="102"/>
      <c r="I420" s="102"/>
      <c r="J420" s="177"/>
      <c r="K420" s="102"/>
      <c r="L420" s="54"/>
      <c r="M420" s="54"/>
      <c r="N420" s="54"/>
    </row>
    <row r="421">
      <c r="A421" s="54"/>
      <c r="B421" s="350"/>
      <c r="C421" s="350"/>
      <c r="D421" s="102"/>
      <c r="E421" s="102"/>
      <c r="F421" s="102"/>
      <c r="G421" s="102"/>
      <c r="H421" s="102"/>
      <c r="I421" s="102"/>
      <c r="J421" s="177"/>
      <c r="K421" s="102"/>
      <c r="L421" s="54"/>
      <c r="M421" s="54"/>
      <c r="N421" s="54"/>
    </row>
    <row r="422">
      <c r="A422" s="54"/>
      <c r="B422" s="350"/>
      <c r="C422" s="350"/>
      <c r="D422" s="102"/>
      <c r="E422" s="102"/>
      <c r="F422" s="102"/>
      <c r="G422" s="102"/>
      <c r="H422" s="102"/>
      <c r="I422" s="102"/>
      <c r="J422" s="177"/>
      <c r="K422" s="102"/>
      <c r="L422" s="54"/>
      <c r="M422" s="54"/>
      <c r="N422" s="54"/>
    </row>
    <row r="423">
      <c r="A423" s="54"/>
      <c r="B423" s="350"/>
      <c r="C423" s="350"/>
      <c r="D423" s="102"/>
      <c r="E423" s="102"/>
      <c r="F423" s="102"/>
      <c r="G423" s="102"/>
      <c r="H423" s="102"/>
      <c r="I423" s="102"/>
      <c r="J423" s="177"/>
      <c r="K423" s="102"/>
      <c r="L423" s="54"/>
      <c r="M423" s="54"/>
      <c r="N423" s="54"/>
    </row>
    <row r="424">
      <c r="A424" s="54"/>
      <c r="B424" s="350"/>
      <c r="C424" s="350"/>
      <c r="D424" s="102"/>
      <c r="E424" s="102"/>
      <c r="F424" s="102"/>
      <c r="G424" s="102"/>
      <c r="H424" s="102"/>
      <c r="I424" s="102"/>
      <c r="J424" s="177"/>
      <c r="K424" s="102"/>
      <c r="L424" s="54"/>
      <c r="M424" s="54"/>
      <c r="N424" s="54"/>
    </row>
    <row r="425">
      <c r="A425" s="54"/>
      <c r="B425" s="350"/>
      <c r="C425" s="350"/>
      <c r="D425" s="102"/>
      <c r="E425" s="102"/>
      <c r="F425" s="102"/>
      <c r="G425" s="102"/>
      <c r="H425" s="102"/>
      <c r="I425" s="102"/>
      <c r="J425" s="177"/>
      <c r="K425" s="102"/>
      <c r="L425" s="54"/>
      <c r="M425" s="54"/>
      <c r="N425" s="54"/>
    </row>
    <row r="426">
      <c r="A426" s="54"/>
      <c r="B426" s="350"/>
      <c r="C426" s="350"/>
      <c r="D426" s="102"/>
      <c r="E426" s="102"/>
      <c r="F426" s="102"/>
      <c r="G426" s="102"/>
      <c r="H426" s="102"/>
      <c r="I426" s="102"/>
      <c r="J426" s="177"/>
      <c r="K426" s="102"/>
      <c r="L426" s="54"/>
      <c r="M426" s="54"/>
      <c r="N426" s="54"/>
    </row>
    <row r="427">
      <c r="A427" s="54"/>
      <c r="B427" s="350"/>
      <c r="C427" s="350"/>
      <c r="D427" s="102"/>
      <c r="E427" s="102"/>
      <c r="F427" s="102"/>
      <c r="G427" s="102"/>
      <c r="H427" s="102"/>
      <c r="I427" s="102"/>
      <c r="J427" s="177"/>
      <c r="K427" s="102"/>
      <c r="L427" s="54"/>
      <c r="M427" s="54"/>
      <c r="N427" s="54"/>
    </row>
    <row r="428">
      <c r="A428" s="54"/>
      <c r="B428" s="350"/>
      <c r="C428" s="350"/>
      <c r="D428" s="102"/>
      <c r="E428" s="102"/>
      <c r="F428" s="102"/>
      <c r="G428" s="102"/>
      <c r="H428" s="102"/>
      <c r="I428" s="102"/>
      <c r="J428" s="177"/>
      <c r="K428" s="102"/>
      <c r="L428" s="54"/>
      <c r="M428" s="54"/>
      <c r="N428" s="54"/>
    </row>
    <row r="429">
      <c r="A429" s="54"/>
      <c r="B429" s="350"/>
      <c r="C429" s="350"/>
      <c r="D429" s="102"/>
      <c r="E429" s="102"/>
      <c r="F429" s="102"/>
      <c r="G429" s="102"/>
      <c r="H429" s="102"/>
      <c r="I429" s="102"/>
      <c r="J429" s="177"/>
      <c r="K429" s="102"/>
      <c r="L429" s="54"/>
      <c r="M429" s="54"/>
      <c r="N429" s="54"/>
    </row>
    <row r="430">
      <c r="A430" s="54"/>
      <c r="B430" s="350"/>
      <c r="C430" s="350"/>
      <c r="D430" s="102"/>
      <c r="E430" s="102"/>
      <c r="F430" s="102"/>
      <c r="G430" s="102"/>
      <c r="H430" s="102"/>
      <c r="I430" s="102"/>
      <c r="J430" s="177"/>
      <c r="K430" s="102"/>
      <c r="L430" s="54"/>
      <c r="M430" s="54"/>
      <c r="N430" s="54"/>
    </row>
    <row r="431">
      <c r="A431" s="54"/>
      <c r="B431" s="350"/>
      <c r="C431" s="350"/>
      <c r="D431" s="102"/>
      <c r="E431" s="102"/>
      <c r="F431" s="102"/>
      <c r="G431" s="102"/>
      <c r="H431" s="102"/>
      <c r="I431" s="102"/>
      <c r="J431" s="177"/>
      <c r="K431" s="102"/>
      <c r="L431" s="54"/>
      <c r="M431" s="54"/>
      <c r="N431" s="54"/>
    </row>
    <row r="432">
      <c r="A432" s="54"/>
      <c r="B432" s="350"/>
      <c r="C432" s="350"/>
      <c r="D432" s="102"/>
      <c r="E432" s="102"/>
      <c r="F432" s="102"/>
      <c r="G432" s="102"/>
      <c r="H432" s="102"/>
      <c r="I432" s="102"/>
      <c r="J432" s="177"/>
      <c r="K432" s="102"/>
      <c r="L432" s="54"/>
      <c r="M432" s="54"/>
      <c r="N432" s="54"/>
    </row>
    <row r="433">
      <c r="A433" s="54"/>
      <c r="B433" s="350"/>
      <c r="C433" s="350"/>
      <c r="D433" s="102"/>
      <c r="E433" s="102"/>
      <c r="F433" s="102"/>
      <c r="G433" s="102"/>
      <c r="H433" s="102"/>
      <c r="I433" s="102"/>
      <c r="J433" s="177"/>
      <c r="K433" s="102"/>
      <c r="L433" s="54"/>
      <c r="M433" s="54"/>
      <c r="N433" s="54"/>
    </row>
    <row r="434">
      <c r="A434" s="54"/>
      <c r="B434" s="350"/>
      <c r="C434" s="350"/>
      <c r="D434" s="102"/>
      <c r="E434" s="102"/>
      <c r="F434" s="102"/>
      <c r="G434" s="102"/>
      <c r="H434" s="102"/>
      <c r="I434" s="102"/>
      <c r="J434" s="177"/>
      <c r="K434" s="102"/>
      <c r="L434" s="54"/>
      <c r="M434" s="54"/>
      <c r="N434" s="54"/>
    </row>
    <row r="435">
      <c r="A435" s="54"/>
      <c r="B435" s="350"/>
      <c r="C435" s="350"/>
      <c r="D435" s="102"/>
      <c r="E435" s="102"/>
      <c r="F435" s="102"/>
      <c r="G435" s="102"/>
      <c r="H435" s="102"/>
      <c r="I435" s="102"/>
      <c r="J435" s="177"/>
      <c r="K435" s="102"/>
      <c r="L435" s="54"/>
      <c r="M435" s="54"/>
      <c r="N435" s="54"/>
    </row>
    <row r="436">
      <c r="A436" s="54"/>
      <c r="B436" s="350"/>
      <c r="C436" s="350"/>
      <c r="D436" s="102"/>
      <c r="E436" s="102"/>
      <c r="F436" s="102"/>
      <c r="G436" s="102"/>
      <c r="H436" s="102"/>
      <c r="I436" s="102"/>
      <c r="J436" s="177"/>
      <c r="K436" s="102"/>
      <c r="L436" s="54"/>
      <c r="M436" s="54"/>
      <c r="N436" s="54"/>
    </row>
    <row r="437">
      <c r="A437" s="54"/>
      <c r="B437" s="350"/>
      <c r="C437" s="350"/>
      <c r="D437" s="102"/>
      <c r="E437" s="102"/>
      <c r="F437" s="102"/>
      <c r="G437" s="102"/>
      <c r="H437" s="102"/>
      <c r="I437" s="102"/>
      <c r="J437" s="177"/>
      <c r="K437" s="102"/>
      <c r="L437" s="54"/>
      <c r="M437" s="54"/>
      <c r="N437" s="54"/>
    </row>
    <row r="438">
      <c r="A438" s="54"/>
      <c r="B438" s="350"/>
      <c r="C438" s="350"/>
      <c r="D438" s="102"/>
      <c r="E438" s="102"/>
      <c r="F438" s="102"/>
      <c r="G438" s="102"/>
      <c r="H438" s="102"/>
      <c r="I438" s="102"/>
      <c r="J438" s="177"/>
      <c r="K438" s="102"/>
      <c r="L438" s="54"/>
      <c r="M438" s="54"/>
      <c r="N438" s="54"/>
    </row>
    <row r="439">
      <c r="A439" s="54"/>
      <c r="B439" s="350"/>
      <c r="C439" s="350"/>
      <c r="D439" s="102"/>
      <c r="E439" s="102"/>
      <c r="F439" s="102"/>
      <c r="G439" s="102"/>
      <c r="H439" s="102"/>
      <c r="I439" s="102"/>
      <c r="J439" s="177"/>
      <c r="K439" s="102"/>
      <c r="L439" s="54"/>
      <c r="M439" s="54"/>
      <c r="N439" s="54"/>
    </row>
    <row r="440">
      <c r="A440" s="54"/>
      <c r="B440" s="350"/>
      <c r="C440" s="350"/>
      <c r="D440" s="102"/>
      <c r="E440" s="102"/>
      <c r="F440" s="102"/>
      <c r="G440" s="102"/>
      <c r="H440" s="102"/>
      <c r="I440" s="102"/>
      <c r="J440" s="177"/>
      <c r="K440" s="102"/>
      <c r="L440" s="54"/>
      <c r="M440" s="54"/>
      <c r="N440" s="54"/>
    </row>
    <row r="441">
      <c r="A441" s="54"/>
      <c r="B441" s="350"/>
      <c r="C441" s="350"/>
      <c r="D441" s="102"/>
      <c r="E441" s="102"/>
      <c r="F441" s="102"/>
      <c r="G441" s="102"/>
      <c r="H441" s="102"/>
      <c r="I441" s="102"/>
      <c r="J441" s="177"/>
      <c r="K441" s="102"/>
      <c r="L441" s="54"/>
      <c r="M441" s="54"/>
      <c r="N441" s="54"/>
    </row>
    <row r="442">
      <c r="A442" s="54"/>
      <c r="B442" s="350"/>
      <c r="C442" s="350"/>
      <c r="D442" s="102"/>
      <c r="E442" s="102"/>
      <c r="F442" s="102"/>
      <c r="G442" s="102"/>
      <c r="H442" s="102"/>
      <c r="I442" s="102"/>
      <c r="J442" s="177"/>
      <c r="K442" s="102"/>
      <c r="L442" s="54"/>
      <c r="M442" s="54"/>
      <c r="N442" s="54"/>
    </row>
    <row r="443">
      <c r="A443" s="54"/>
      <c r="B443" s="350"/>
      <c r="C443" s="350"/>
      <c r="D443" s="102"/>
      <c r="E443" s="102"/>
      <c r="F443" s="102"/>
      <c r="G443" s="102"/>
      <c r="H443" s="102"/>
      <c r="I443" s="102"/>
      <c r="J443" s="177"/>
      <c r="K443" s="102"/>
      <c r="L443" s="54"/>
      <c r="M443" s="54"/>
      <c r="N443" s="54"/>
    </row>
    <row r="444">
      <c r="A444" s="54"/>
      <c r="B444" s="350"/>
      <c r="C444" s="350"/>
      <c r="D444" s="102"/>
      <c r="E444" s="102"/>
      <c r="F444" s="102"/>
      <c r="G444" s="102"/>
      <c r="H444" s="102"/>
      <c r="I444" s="102"/>
      <c r="J444" s="177"/>
      <c r="K444" s="102"/>
      <c r="L444" s="54"/>
      <c r="M444" s="54"/>
      <c r="N444" s="54"/>
    </row>
    <row r="445">
      <c r="A445" s="54"/>
      <c r="B445" s="350"/>
      <c r="C445" s="350"/>
      <c r="D445" s="102"/>
      <c r="E445" s="102"/>
      <c r="F445" s="102"/>
      <c r="G445" s="102"/>
      <c r="H445" s="102"/>
      <c r="I445" s="102"/>
      <c r="J445" s="177"/>
      <c r="K445" s="102"/>
      <c r="L445" s="54"/>
      <c r="M445" s="54"/>
      <c r="N445" s="54"/>
    </row>
    <row r="446">
      <c r="A446" s="54"/>
      <c r="B446" s="350"/>
      <c r="C446" s="350"/>
      <c r="D446" s="102"/>
      <c r="E446" s="102"/>
      <c r="F446" s="102"/>
      <c r="G446" s="102"/>
      <c r="H446" s="102"/>
      <c r="I446" s="102"/>
      <c r="J446" s="177"/>
      <c r="K446" s="102"/>
      <c r="L446" s="54"/>
      <c r="M446" s="54"/>
      <c r="N446" s="54"/>
    </row>
    <row r="447">
      <c r="A447" s="54"/>
      <c r="B447" s="350"/>
      <c r="C447" s="350"/>
      <c r="D447" s="102"/>
      <c r="E447" s="102"/>
      <c r="F447" s="102"/>
      <c r="G447" s="102"/>
      <c r="H447" s="102"/>
      <c r="I447" s="102"/>
      <c r="J447" s="177"/>
      <c r="K447" s="102"/>
      <c r="L447" s="54"/>
      <c r="M447" s="54"/>
      <c r="N447" s="54"/>
    </row>
    <row r="448">
      <c r="A448" s="54"/>
      <c r="B448" s="350"/>
      <c r="C448" s="350"/>
      <c r="D448" s="102"/>
      <c r="E448" s="102"/>
      <c r="F448" s="102"/>
      <c r="G448" s="102"/>
      <c r="H448" s="102"/>
      <c r="I448" s="102"/>
      <c r="J448" s="177"/>
      <c r="K448" s="102"/>
      <c r="L448" s="54"/>
      <c r="M448" s="54"/>
      <c r="N448" s="54"/>
    </row>
    <row r="449">
      <c r="A449" s="54"/>
      <c r="B449" s="350"/>
      <c r="C449" s="350"/>
      <c r="D449" s="102"/>
      <c r="E449" s="102"/>
      <c r="F449" s="102"/>
      <c r="G449" s="102"/>
      <c r="H449" s="102"/>
      <c r="I449" s="102"/>
      <c r="J449" s="177"/>
      <c r="K449" s="102"/>
      <c r="L449" s="54"/>
      <c r="M449" s="54"/>
      <c r="N449" s="54"/>
    </row>
    <row r="450">
      <c r="A450" s="54"/>
      <c r="B450" s="350"/>
      <c r="C450" s="350"/>
      <c r="D450" s="102"/>
      <c r="E450" s="102"/>
      <c r="F450" s="102"/>
      <c r="G450" s="102"/>
      <c r="H450" s="102"/>
      <c r="I450" s="102"/>
      <c r="J450" s="177"/>
      <c r="K450" s="102"/>
      <c r="L450" s="54"/>
      <c r="M450" s="54"/>
      <c r="N450" s="54"/>
    </row>
    <row r="451">
      <c r="A451" s="54"/>
      <c r="B451" s="350"/>
      <c r="C451" s="350"/>
      <c r="D451" s="102"/>
      <c r="E451" s="102"/>
      <c r="F451" s="102"/>
      <c r="G451" s="102"/>
      <c r="H451" s="102"/>
      <c r="I451" s="102"/>
      <c r="J451" s="177"/>
      <c r="K451" s="102"/>
      <c r="L451" s="54"/>
      <c r="M451" s="54"/>
      <c r="N451" s="54"/>
    </row>
    <row r="452">
      <c r="A452" s="54"/>
      <c r="B452" s="350"/>
      <c r="C452" s="350"/>
      <c r="D452" s="102"/>
      <c r="E452" s="102"/>
      <c r="F452" s="102"/>
      <c r="G452" s="102"/>
      <c r="H452" s="102"/>
      <c r="I452" s="102"/>
      <c r="J452" s="177"/>
      <c r="K452" s="102"/>
      <c r="L452" s="54"/>
      <c r="M452" s="54"/>
      <c r="N452" s="54"/>
    </row>
    <row r="453">
      <c r="A453" s="54"/>
      <c r="B453" s="350"/>
      <c r="C453" s="350"/>
      <c r="D453" s="102"/>
      <c r="E453" s="102"/>
      <c r="F453" s="102"/>
      <c r="G453" s="102"/>
      <c r="H453" s="102"/>
      <c r="I453" s="102"/>
      <c r="J453" s="177"/>
      <c r="K453" s="102"/>
      <c r="L453" s="54"/>
      <c r="M453" s="54"/>
      <c r="N453" s="54"/>
    </row>
    <row r="454">
      <c r="A454" s="54"/>
      <c r="B454" s="350"/>
      <c r="C454" s="350"/>
      <c r="D454" s="102"/>
      <c r="E454" s="102"/>
      <c r="F454" s="102"/>
      <c r="G454" s="102"/>
      <c r="H454" s="102"/>
      <c r="I454" s="102"/>
      <c r="J454" s="177"/>
      <c r="K454" s="102"/>
      <c r="L454" s="54"/>
      <c r="M454" s="54"/>
      <c r="N454" s="54"/>
    </row>
    <row r="455">
      <c r="A455" s="54"/>
      <c r="B455" s="350"/>
      <c r="C455" s="350"/>
      <c r="D455" s="102"/>
      <c r="E455" s="102"/>
      <c r="F455" s="102"/>
      <c r="G455" s="102"/>
      <c r="H455" s="102"/>
      <c r="I455" s="102"/>
      <c r="J455" s="177"/>
      <c r="K455" s="102"/>
      <c r="L455" s="54"/>
      <c r="M455" s="54"/>
      <c r="N455" s="54"/>
    </row>
    <row r="456">
      <c r="A456" s="54"/>
      <c r="B456" s="350"/>
      <c r="C456" s="350"/>
      <c r="D456" s="102"/>
      <c r="E456" s="102"/>
      <c r="F456" s="102"/>
      <c r="G456" s="102"/>
      <c r="H456" s="102"/>
      <c r="I456" s="102"/>
      <c r="J456" s="177"/>
      <c r="K456" s="102"/>
      <c r="L456" s="54"/>
      <c r="M456" s="54"/>
      <c r="N456" s="54"/>
    </row>
    <row r="457">
      <c r="A457" s="54"/>
      <c r="B457" s="350"/>
      <c r="C457" s="350"/>
      <c r="D457" s="102"/>
      <c r="E457" s="102"/>
      <c r="F457" s="102"/>
      <c r="G457" s="102"/>
      <c r="H457" s="102"/>
      <c r="I457" s="102"/>
      <c r="J457" s="177"/>
      <c r="K457" s="102"/>
      <c r="L457" s="54"/>
      <c r="M457" s="54"/>
      <c r="N457" s="54"/>
    </row>
    <row r="458">
      <c r="A458" s="54"/>
      <c r="B458" s="350"/>
      <c r="C458" s="350"/>
      <c r="D458" s="102"/>
      <c r="E458" s="102"/>
      <c r="F458" s="102"/>
      <c r="G458" s="102"/>
      <c r="H458" s="102"/>
      <c r="I458" s="102"/>
      <c r="J458" s="177"/>
      <c r="K458" s="102"/>
      <c r="L458" s="54"/>
      <c r="M458" s="54"/>
      <c r="N458" s="54"/>
    </row>
    <row r="459">
      <c r="A459" s="54"/>
      <c r="B459" s="350"/>
      <c r="C459" s="350"/>
      <c r="D459" s="102"/>
      <c r="E459" s="102"/>
      <c r="F459" s="102"/>
      <c r="G459" s="102"/>
      <c r="H459" s="102"/>
      <c r="I459" s="102"/>
      <c r="J459" s="177"/>
      <c r="K459" s="102"/>
      <c r="L459" s="54"/>
      <c r="M459" s="54"/>
      <c r="N459" s="54"/>
    </row>
    <row r="460">
      <c r="A460" s="54"/>
      <c r="B460" s="350"/>
      <c r="C460" s="350"/>
      <c r="D460" s="102"/>
      <c r="E460" s="102"/>
      <c r="F460" s="102"/>
      <c r="G460" s="102"/>
      <c r="H460" s="102"/>
      <c r="I460" s="102"/>
      <c r="J460" s="177"/>
      <c r="K460" s="102"/>
      <c r="L460" s="54"/>
      <c r="M460" s="54"/>
      <c r="N460" s="54"/>
    </row>
    <row r="461">
      <c r="A461" s="54"/>
      <c r="B461" s="350"/>
      <c r="C461" s="350"/>
      <c r="D461" s="102"/>
      <c r="E461" s="102"/>
      <c r="F461" s="102"/>
      <c r="G461" s="102"/>
      <c r="H461" s="102"/>
      <c r="I461" s="102"/>
      <c r="J461" s="177"/>
      <c r="K461" s="102"/>
      <c r="L461" s="54"/>
      <c r="M461" s="54"/>
      <c r="N461" s="54"/>
    </row>
    <row r="462">
      <c r="A462" s="54"/>
      <c r="B462" s="350"/>
      <c r="C462" s="350"/>
      <c r="D462" s="102"/>
      <c r="E462" s="102"/>
      <c r="F462" s="102"/>
      <c r="G462" s="102"/>
      <c r="H462" s="102"/>
      <c r="I462" s="102"/>
      <c r="J462" s="177"/>
      <c r="K462" s="102"/>
      <c r="L462" s="54"/>
      <c r="M462" s="54"/>
      <c r="N462" s="54"/>
    </row>
    <row r="463">
      <c r="A463" s="54"/>
      <c r="B463" s="350"/>
      <c r="C463" s="350"/>
      <c r="D463" s="102"/>
      <c r="E463" s="102"/>
      <c r="F463" s="102"/>
      <c r="G463" s="102"/>
      <c r="H463" s="102"/>
      <c r="I463" s="102"/>
      <c r="J463" s="177"/>
      <c r="K463" s="102"/>
      <c r="L463" s="54"/>
      <c r="M463" s="54"/>
      <c r="N463" s="54"/>
    </row>
    <row r="464">
      <c r="A464" s="54"/>
      <c r="B464" s="350"/>
      <c r="C464" s="350"/>
      <c r="D464" s="102"/>
      <c r="E464" s="102"/>
      <c r="F464" s="102"/>
      <c r="G464" s="102"/>
      <c r="H464" s="102"/>
      <c r="I464" s="102"/>
      <c r="J464" s="177"/>
      <c r="K464" s="102"/>
      <c r="L464" s="54"/>
      <c r="M464" s="54"/>
      <c r="N464" s="54"/>
    </row>
    <row r="465">
      <c r="A465" s="54"/>
      <c r="B465" s="350"/>
      <c r="C465" s="350"/>
      <c r="D465" s="102"/>
      <c r="E465" s="102"/>
      <c r="F465" s="102"/>
      <c r="G465" s="102"/>
      <c r="H465" s="102"/>
      <c r="I465" s="102"/>
      <c r="J465" s="177"/>
      <c r="K465" s="102"/>
      <c r="L465" s="54"/>
      <c r="M465" s="54"/>
      <c r="N465" s="54"/>
    </row>
    <row r="466">
      <c r="A466" s="54"/>
      <c r="B466" s="350"/>
      <c r="C466" s="350"/>
      <c r="D466" s="102"/>
      <c r="E466" s="102"/>
      <c r="F466" s="102"/>
      <c r="G466" s="102"/>
      <c r="H466" s="102"/>
      <c r="I466" s="102"/>
      <c r="J466" s="177"/>
      <c r="K466" s="102"/>
      <c r="L466" s="54"/>
      <c r="M466" s="54"/>
      <c r="N466" s="54"/>
    </row>
    <row r="467">
      <c r="A467" s="54"/>
      <c r="B467" s="350"/>
      <c r="C467" s="350"/>
      <c r="D467" s="102"/>
      <c r="E467" s="102"/>
      <c r="F467" s="102"/>
      <c r="G467" s="102"/>
      <c r="H467" s="102"/>
      <c r="I467" s="102"/>
      <c r="J467" s="177"/>
      <c r="K467" s="102"/>
      <c r="L467" s="54"/>
      <c r="M467" s="54"/>
      <c r="N467" s="54"/>
    </row>
    <row r="468">
      <c r="A468" s="54"/>
      <c r="B468" s="350"/>
      <c r="C468" s="350"/>
      <c r="D468" s="102"/>
      <c r="E468" s="102"/>
      <c r="F468" s="102"/>
      <c r="G468" s="102"/>
      <c r="H468" s="102"/>
      <c r="I468" s="102"/>
      <c r="J468" s="177"/>
      <c r="K468" s="102"/>
      <c r="L468" s="54"/>
      <c r="M468" s="54"/>
      <c r="N468" s="54"/>
    </row>
    <row r="469">
      <c r="A469" s="54"/>
      <c r="B469" s="350"/>
      <c r="C469" s="350"/>
      <c r="D469" s="102"/>
      <c r="E469" s="102"/>
      <c r="F469" s="102"/>
      <c r="G469" s="102"/>
      <c r="H469" s="102"/>
      <c r="I469" s="102"/>
      <c r="J469" s="177"/>
      <c r="K469" s="102"/>
      <c r="L469" s="54"/>
      <c r="M469" s="54"/>
      <c r="N469" s="54"/>
    </row>
    <row r="470">
      <c r="A470" s="54"/>
      <c r="B470" s="350"/>
      <c r="C470" s="350"/>
      <c r="D470" s="102"/>
      <c r="E470" s="102"/>
      <c r="F470" s="102"/>
      <c r="G470" s="102"/>
      <c r="H470" s="102"/>
      <c r="I470" s="102"/>
      <c r="J470" s="177"/>
      <c r="K470" s="102"/>
      <c r="L470" s="54"/>
      <c r="M470" s="54"/>
      <c r="N470" s="54"/>
    </row>
    <row r="471">
      <c r="A471" s="54"/>
      <c r="B471" s="350"/>
      <c r="C471" s="350"/>
      <c r="D471" s="102"/>
      <c r="E471" s="102"/>
      <c r="F471" s="102"/>
      <c r="G471" s="102"/>
      <c r="H471" s="102"/>
      <c r="I471" s="102"/>
      <c r="J471" s="177"/>
      <c r="K471" s="102"/>
      <c r="L471" s="54"/>
      <c r="M471" s="54"/>
      <c r="N471" s="54"/>
    </row>
    <row r="472">
      <c r="A472" s="54"/>
      <c r="B472" s="350"/>
      <c r="C472" s="350"/>
      <c r="D472" s="102"/>
      <c r="E472" s="102"/>
      <c r="F472" s="102"/>
      <c r="G472" s="102"/>
      <c r="H472" s="102"/>
      <c r="I472" s="102"/>
      <c r="J472" s="177"/>
      <c r="K472" s="102"/>
      <c r="L472" s="54"/>
      <c r="M472" s="54"/>
      <c r="N472" s="54"/>
    </row>
    <row r="473">
      <c r="A473" s="54"/>
      <c r="B473" s="350"/>
      <c r="C473" s="350"/>
      <c r="D473" s="102"/>
      <c r="E473" s="102"/>
      <c r="F473" s="102"/>
      <c r="G473" s="102"/>
      <c r="H473" s="102"/>
      <c r="I473" s="102"/>
      <c r="J473" s="177"/>
      <c r="K473" s="102"/>
      <c r="L473" s="54"/>
      <c r="M473" s="54"/>
      <c r="N473" s="54"/>
    </row>
    <row r="474">
      <c r="A474" s="54"/>
      <c r="B474" s="350"/>
      <c r="C474" s="350"/>
      <c r="D474" s="102"/>
      <c r="E474" s="102"/>
      <c r="F474" s="102"/>
      <c r="G474" s="102"/>
      <c r="H474" s="102"/>
      <c r="I474" s="102"/>
      <c r="J474" s="177"/>
      <c r="K474" s="102"/>
      <c r="L474" s="54"/>
      <c r="M474" s="54"/>
      <c r="N474" s="54"/>
    </row>
    <row r="475">
      <c r="A475" s="54"/>
      <c r="B475" s="350"/>
      <c r="C475" s="350"/>
      <c r="D475" s="102"/>
      <c r="E475" s="102"/>
      <c r="F475" s="102"/>
      <c r="G475" s="102"/>
      <c r="H475" s="102"/>
      <c r="I475" s="102"/>
      <c r="J475" s="177"/>
      <c r="K475" s="102"/>
      <c r="L475" s="54"/>
      <c r="M475" s="54"/>
      <c r="N475" s="54"/>
    </row>
    <row r="476">
      <c r="A476" s="54"/>
      <c r="B476" s="350"/>
      <c r="C476" s="350"/>
      <c r="D476" s="102"/>
      <c r="E476" s="102"/>
      <c r="F476" s="102"/>
      <c r="G476" s="102"/>
      <c r="H476" s="102"/>
      <c r="I476" s="102"/>
      <c r="J476" s="177"/>
      <c r="K476" s="102"/>
      <c r="L476" s="54"/>
      <c r="M476" s="54"/>
      <c r="N476" s="54"/>
    </row>
    <row r="477">
      <c r="A477" s="54"/>
      <c r="B477" s="350"/>
      <c r="C477" s="350"/>
      <c r="D477" s="102"/>
      <c r="E477" s="102"/>
      <c r="F477" s="102"/>
      <c r="G477" s="102"/>
      <c r="H477" s="102"/>
      <c r="I477" s="102"/>
      <c r="J477" s="177"/>
      <c r="K477" s="102"/>
      <c r="L477" s="54"/>
      <c r="M477" s="54"/>
      <c r="N477" s="54"/>
    </row>
    <row r="478">
      <c r="A478" s="54"/>
      <c r="B478" s="350"/>
      <c r="C478" s="350"/>
      <c r="D478" s="102"/>
      <c r="E478" s="102"/>
      <c r="F478" s="102"/>
      <c r="G478" s="102"/>
      <c r="H478" s="102"/>
      <c r="I478" s="102"/>
      <c r="J478" s="177"/>
      <c r="K478" s="102"/>
      <c r="L478" s="54"/>
      <c r="M478" s="54"/>
      <c r="N478" s="54"/>
    </row>
    <row r="479">
      <c r="A479" s="54"/>
      <c r="B479" s="350"/>
      <c r="C479" s="350"/>
      <c r="D479" s="102"/>
      <c r="E479" s="102"/>
      <c r="F479" s="102"/>
      <c r="G479" s="102"/>
      <c r="H479" s="102"/>
      <c r="I479" s="102"/>
      <c r="J479" s="177"/>
      <c r="K479" s="102"/>
      <c r="L479" s="54"/>
      <c r="M479" s="54"/>
      <c r="N479" s="54"/>
    </row>
    <row r="480">
      <c r="A480" s="54"/>
      <c r="B480" s="350"/>
      <c r="C480" s="350"/>
      <c r="D480" s="102"/>
      <c r="E480" s="102"/>
      <c r="F480" s="102"/>
      <c r="G480" s="102"/>
      <c r="H480" s="102"/>
      <c r="I480" s="102"/>
      <c r="J480" s="177"/>
      <c r="K480" s="102"/>
      <c r="L480" s="54"/>
      <c r="M480" s="54"/>
      <c r="N480" s="54"/>
    </row>
    <row r="481">
      <c r="A481" s="54"/>
      <c r="B481" s="350"/>
      <c r="C481" s="350"/>
      <c r="D481" s="102"/>
      <c r="E481" s="102"/>
      <c r="F481" s="102"/>
      <c r="G481" s="102"/>
      <c r="H481" s="102"/>
      <c r="I481" s="102"/>
      <c r="J481" s="177"/>
      <c r="K481" s="102"/>
      <c r="L481" s="54"/>
      <c r="M481" s="54"/>
      <c r="N481" s="54"/>
    </row>
    <row r="482">
      <c r="A482" s="54"/>
      <c r="B482" s="350"/>
      <c r="C482" s="350"/>
      <c r="D482" s="102"/>
      <c r="E482" s="102"/>
      <c r="F482" s="102"/>
      <c r="G482" s="102"/>
      <c r="H482" s="102"/>
      <c r="I482" s="102"/>
      <c r="J482" s="177"/>
      <c r="K482" s="102"/>
      <c r="L482" s="54"/>
      <c r="M482" s="54"/>
      <c r="N482" s="54"/>
    </row>
    <row r="483">
      <c r="A483" s="54"/>
      <c r="B483" s="350"/>
      <c r="C483" s="350"/>
      <c r="D483" s="102"/>
      <c r="E483" s="102"/>
      <c r="F483" s="102"/>
      <c r="G483" s="102"/>
      <c r="H483" s="102"/>
      <c r="I483" s="102"/>
      <c r="J483" s="177"/>
      <c r="K483" s="102"/>
      <c r="L483" s="54"/>
      <c r="M483" s="54"/>
      <c r="N483" s="54"/>
    </row>
    <row r="484">
      <c r="A484" s="54"/>
      <c r="B484" s="350"/>
      <c r="C484" s="350"/>
      <c r="D484" s="102"/>
      <c r="E484" s="102"/>
      <c r="F484" s="102"/>
      <c r="G484" s="102"/>
      <c r="H484" s="102"/>
      <c r="I484" s="102"/>
      <c r="J484" s="177"/>
      <c r="K484" s="102"/>
      <c r="L484" s="54"/>
      <c r="M484" s="54"/>
      <c r="N484" s="54"/>
    </row>
    <row r="485">
      <c r="A485" s="54"/>
      <c r="B485" s="350"/>
      <c r="C485" s="350"/>
      <c r="D485" s="102"/>
      <c r="E485" s="102"/>
      <c r="F485" s="102"/>
      <c r="G485" s="102"/>
      <c r="H485" s="102"/>
      <c r="I485" s="102"/>
      <c r="J485" s="177"/>
      <c r="K485" s="102"/>
      <c r="L485" s="54"/>
      <c r="M485" s="54"/>
      <c r="N485" s="54"/>
    </row>
    <row r="486">
      <c r="A486" s="54"/>
      <c r="B486" s="350"/>
      <c r="C486" s="350"/>
      <c r="D486" s="102"/>
      <c r="E486" s="102"/>
      <c r="F486" s="102"/>
      <c r="G486" s="102"/>
      <c r="H486" s="102"/>
      <c r="I486" s="102"/>
      <c r="J486" s="177"/>
      <c r="K486" s="102"/>
      <c r="L486" s="54"/>
      <c r="M486" s="54"/>
      <c r="N486" s="54"/>
    </row>
    <row r="487">
      <c r="A487" s="54"/>
      <c r="B487" s="350"/>
      <c r="C487" s="350"/>
      <c r="D487" s="102"/>
      <c r="E487" s="102"/>
      <c r="F487" s="102"/>
      <c r="G487" s="102"/>
      <c r="H487" s="102"/>
      <c r="I487" s="102"/>
      <c r="J487" s="177"/>
      <c r="K487" s="102"/>
      <c r="L487" s="54"/>
      <c r="M487" s="54"/>
      <c r="N487" s="54"/>
    </row>
    <row r="488">
      <c r="A488" s="54"/>
      <c r="B488" s="350"/>
      <c r="C488" s="350"/>
      <c r="D488" s="102"/>
      <c r="E488" s="102"/>
      <c r="F488" s="102"/>
      <c r="G488" s="102"/>
      <c r="H488" s="102"/>
      <c r="I488" s="102"/>
      <c r="J488" s="177"/>
      <c r="K488" s="102"/>
      <c r="L488" s="54"/>
      <c r="M488" s="54"/>
      <c r="N488" s="54"/>
    </row>
    <row r="489">
      <c r="A489" s="54"/>
      <c r="B489" s="350"/>
      <c r="C489" s="350"/>
      <c r="D489" s="102"/>
      <c r="E489" s="102"/>
      <c r="F489" s="102"/>
      <c r="G489" s="102"/>
      <c r="H489" s="102"/>
      <c r="I489" s="102"/>
      <c r="J489" s="177"/>
      <c r="K489" s="102"/>
      <c r="L489" s="54"/>
      <c r="M489" s="54"/>
      <c r="N489" s="54"/>
    </row>
    <row r="490">
      <c r="A490" s="54"/>
      <c r="B490" s="350"/>
      <c r="C490" s="350"/>
      <c r="D490" s="102"/>
      <c r="E490" s="102"/>
      <c r="F490" s="102"/>
      <c r="G490" s="102"/>
      <c r="H490" s="102"/>
      <c r="I490" s="102"/>
      <c r="J490" s="177"/>
      <c r="K490" s="102"/>
      <c r="L490" s="54"/>
      <c r="M490" s="54"/>
      <c r="N490" s="54"/>
    </row>
    <row r="491">
      <c r="A491" s="54"/>
      <c r="B491" s="350"/>
      <c r="C491" s="350"/>
      <c r="D491" s="102"/>
      <c r="E491" s="102"/>
      <c r="F491" s="102"/>
      <c r="G491" s="102"/>
      <c r="H491" s="102"/>
      <c r="I491" s="102"/>
      <c r="J491" s="177"/>
      <c r="K491" s="102"/>
      <c r="L491" s="54"/>
      <c r="M491" s="54"/>
      <c r="N491" s="54"/>
    </row>
    <row r="492">
      <c r="A492" s="54"/>
      <c r="B492" s="350"/>
      <c r="C492" s="350"/>
      <c r="D492" s="102"/>
      <c r="E492" s="102"/>
      <c r="F492" s="102"/>
      <c r="G492" s="102"/>
      <c r="H492" s="102"/>
      <c r="I492" s="102"/>
      <c r="J492" s="177"/>
      <c r="K492" s="102"/>
      <c r="L492" s="54"/>
      <c r="M492" s="54"/>
      <c r="N492" s="54"/>
    </row>
    <row r="493">
      <c r="A493" s="54"/>
      <c r="B493" s="350"/>
      <c r="C493" s="350"/>
      <c r="D493" s="102"/>
      <c r="E493" s="102"/>
      <c r="F493" s="102"/>
      <c r="G493" s="102"/>
      <c r="H493" s="102"/>
      <c r="I493" s="102"/>
      <c r="J493" s="177"/>
      <c r="K493" s="102"/>
      <c r="L493" s="54"/>
      <c r="M493" s="54"/>
      <c r="N493" s="54"/>
    </row>
    <row r="494">
      <c r="A494" s="54"/>
      <c r="B494" s="350"/>
      <c r="C494" s="350"/>
      <c r="D494" s="102"/>
      <c r="E494" s="102"/>
      <c r="F494" s="102"/>
      <c r="G494" s="102"/>
      <c r="H494" s="102"/>
      <c r="I494" s="102"/>
      <c r="J494" s="177"/>
      <c r="K494" s="102"/>
      <c r="L494" s="54"/>
      <c r="M494" s="54"/>
      <c r="N494" s="54"/>
    </row>
    <row r="495">
      <c r="A495" s="54"/>
      <c r="B495" s="350"/>
      <c r="C495" s="350"/>
      <c r="D495" s="102"/>
      <c r="E495" s="102"/>
      <c r="F495" s="102"/>
      <c r="G495" s="102"/>
      <c r="H495" s="102"/>
      <c r="I495" s="102"/>
      <c r="J495" s="177"/>
      <c r="K495" s="102"/>
      <c r="L495" s="54"/>
      <c r="M495" s="54"/>
      <c r="N495" s="54"/>
    </row>
    <row r="496">
      <c r="A496" s="54"/>
      <c r="B496" s="350"/>
      <c r="C496" s="350"/>
      <c r="D496" s="102"/>
      <c r="E496" s="102"/>
      <c r="F496" s="102"/>
      <c r="G496" s="102"/>
      <c r="H496" s="102"/>
      <c r="I496" s="102"/>
      <c r="J496" s="177"/>
      <c r="K496" s="102"/>
      <c r="L496" s="54"/>
      <c r="M496" s="54"/>
      <c r="N496" s="54"/>
    </row>
    <row r="497">
      <c r="A497" s="54"/>
      <c r="B497" s="350"/>
      <c r="C497" s="350"/>
      <c r="D497" s="102"/>
      <c r="E497" s="102"/>
      <c r="F497" s="102"/>
      <c r="G497" s="102"/>
      <c r="H497" s="102"/>
      <c r="I497" s="102"/>
      <c r="J497" s="177"/>
      <c r="K497" s="102"/>
      <c r="L497" s="54"/>
      <c r="M497" s="54"/>
      <c r="N497" s="54"/>
    </row>
    <row r="498">
      <c r="A498" s="54"/>
      <c r="B498" s="350"/>
      <c r="C498" s="350"/>
      <c r="D498" s="102"/>
      <c r="E498" s="102"/>
      <c r="F498" s="102"/>
      <c r="G498" s="102"/>
      <c r="H498" s="102"/>
      <c r="I498" s="102"/>
      <c r="J498" s="177"/>
      <c r="K498" s="102"/>
      <c r="L498" s="54"/>
      <c r="M498" s="54"/>
      <c r="N498" s="54"/>
    </row>
    <row r="499">
      <c r="A499" s="54"/>
      <c r="B499" s="350"/>
      <c r="C499" s="350"/>
      <c r="D499" s="102"/>
      <c r="E499" s="102"/>
      <c r="F499" s="102"/>
      <c r="G499" s="102"/>
      <c r="H499" s="102"/>
      <c r="I499" s="102"/>
      <c r="J499" s="177"/>
      <c r="K499" s="102"/>
      <c r="L499" s="54"/>
      <c r="M499" s="54"/>
      <c r="N499" s="54"/>
    </row>
    <row r="500">
      <c r="A500" s="54"/>
      <c r="B500" s="350"/>
      <c r="C500" s="350"/>
      <c r="D500" s="102"/>
      <c r="E500" s="102"/>
      <c r="F500" s="102"/>
      <c r="G500" s="102"/>
      <c r="H500" s="102"/>
      <c r="I500" s="102"/>
      <c r="J500" s="177"/>
      <c r="K500" s="102"/>
      <c r="L500" s="54"/>
      <c r="M500" s="54"/>
      <c r="N500" s="54"/>
    </row>
    <row r="501">
      <c r="A501" s="54"/>
      <c r="B501" s="350"/>
      <c r="C501" s="350"/>
      <c r="D501" s="102"/>
      <c r="E501" s="102"/>
      <c r="F501" s="102"/>
      <c r="G501" s="102"/>
      <c r="H501" s="102"/>
      <c r="I501" s="102"/>
      <c r="J501" s="177"/>
      <c r="K501" s="102"/>
      <c r="L501" s="54"/>
      <c r="M501" s="54"/>
      <c r="N501" s="54"/>
    </row>
    <row r="502">
      <c r="A502" s="54"/>
      <c r="B502" s="350"/>
      <c r="C502" s="350"/>
      <c r="D502" s="102"/>
      <c r="E502" s="102"/>
      <c r="F502" s="102"/>
      <c r="G502" s="102"/>
      <c r="H502" s="102"/>
      <c r="I502" s="102"/>
      <c r="J502" s="177"/>
      <c r="K502" s="102"/>
      <c r="L502" s="54"/>
      <c r="M502" s="54"/>
      <c r="N502" s="54"/>
    </row>
    <row r="503">
      <c r="A503" s="54"/>
      <c r="B503" s="350"/>
      <c r="C503" s="350"/>
      <c r="D503" s="102"/>
      <c r="E503" s="102"/>
      <c r="F503" s="102"/>
      <c r="G503" s="102"/>
      <c r="H503" s="102"/>
      <c r="I503" s="102"/>
      <c r="J503" s="177"/>
      <c r="K503" s="102"/>
      <c r="L503" s="54"/>
      <c r="M503" s="54"/>
      <c r="N503" s="54"/>
    </row>
    <row r="504">
      <c r="A504" s="54"/>
      <c r="B504" s="350"/>
      <c r="C504" s="350"/>
      <c r="D504" s="102"/>
      <c r="E504" s="102"/>
      <c r="F504" s="102"/>
      <c r="G504" s="102"/>
      <c r="H504" s="102"/>
      <c r="I504" s="102"/>
      <c r="J504" s="177"/>
      <c r="K504" s="102"/>
      <c r="L504" s="54"/>
      <c r="M504" s="54"/>
      <c r="N504" s="54"/>
    </row>
    <row r="505">
      <c r="A505" s="54"/>
      <c r="B505" s="350"/>
      <c r="C505" s="350"/>
      <c r="D505" s="102"/>
      <c r="E505" s="102"/>
      <c r="F505" s="102"/>
      <c r="G505" s="102"/>
      <c r="H505" s="102"/>
      <c r="I505" s="102"/>
      <c r="J505" s="177"/>
      <c r="K505" s="102"/>
      <c r="L505" s="54"/>
      <c r="M505" s="54"/>
      <c r="N505" s="54"/>
    </row>
    <row r="506">
      <c r="A506" s="54"/>
      <c r="B506" s="350"/>
      <c r="C506" s="350"/>
      <c r="D506" s="102"/>
      <c r="E506" s="102"/>
      <c r="F506" s="102"/>
      <c r="G506" s="102"/>
      <c r="H506" s="102"/>
      <c r="I506" s="102"/>
      <c r="J506" s="177"/>
      <c r="K506" s="102"/>
      <c r="L506" s="54"/>
      <c r="M506" s="54"/>
      <c r="N506" s="54"/>
    </row>
    <row r="507">
      <c r="A507" s="54"/>
      <c r="B507" s="350"/>
      <c r="C507" s="350"/>
      <c r="D507" s="102"/>
      <c r="E507" s="102"/>
      <c r="F507" s="102"/>
      <c r="G507" s="102"/>
      <c r="H507" s="102"/>
      <c r="I507" s="102"/>
      <c r="J507" s="177"/>
      <c r="K507" s="102"/>
      <c r="L507" s="54"/>
      <c r="M507" s="54"/>
      <c r="N507" s="54"/>
    </row>
    <row r="508">
      <c r="A508" s="54"/>
      <c r="B508" s="350"/>
      <c r="C508" s="350"/>
      <c r="D508" s="102"/>
      <c r="E508" s="102"/>
      <c r="F508" s="102"/>
      <c r="G508" s="102"/>
      <c r="H508" s="102"/>
      <c r="I508" s="102"/>
      <c r="J508" s="177"/>
      <c r="K508" s="102"/>
      <c r="L508" s="54"/>
      <c r="M508" s="54"/>
      <c r="N508" s="54"/>
    </row>
    <row r="509">
      <c r="A509" s="54"/>
      <c r="B509" s="350"/>
      <c r="C509" s="350"/>
      <c r="D509" s="102"/>
      <c r="E509" s="102"/>
      <c r="F509" s="102"/>
      <c r="G509" s="102"/>
      <c r="H509" s="102"/>
      <c r="I509" s="102"/>
      <c r="J509" s="177"/>
      <c r="K509" s="102"/>
      <c r="L509" s="54"/>
      <c r="M509" s="54"/>
      <c r="N509" s="54"/>
    </row>
    <row r="510">
      <c r="A510" s="54"/>
      <c r="B510" s="350"/>
      <c r="C510" s="350"/>
      <c r="D510" s="102"/>
      <c r="E510" s="102"/>
      <c r="F510" s="102"/>
      <c r="G510" s="102"/>
      <c r="H510" s="102"/>
      <c r="I510" s="102"/>
      <c r="J510" s="177"/>
      <c r="K510" s="102"/>
      <c r="L510" s="54"/>
      <c r="M510" s="54"/>
      <c r="N510" s="54"/>
    </row>
    <row r="511">
      <c r="A511" s="54"/>
      <c r="B511" s="350"/>
      <c r="C511" s="350"/>
      <c r="D511" s="102"/>
      <c r="E511" s="102"/>
      <c r="F511" s="102"/>
      <c r="G511" s="102"/>
      <c r="H511" s="102"/>
      <c r="I511" s="102"/>
      <c r="J511" s="177"/>
      <c r="K511" s="102"/>
      <c r="L511" s="54"/>
      <c r="M511" s="54"/>
      <c r="N511" s="54"/>
    </row>
    <row r="512">
      <c r="A512" s="54"/>
      <c r="B512" s="350"/>
      <c r="C512" s="350"/>
      <c r="D512" s="102"/>
      <c r="E512" s="102"/>
      <c r="F512" s="102"/>
      <c r="G512" s="102"/>
      <c r="H512" s="102"/>
      <c r="I512" s="102"/>
      <c r="J512" s="177"/>
      <c r="K512" s="102"/>
      <c r="L512" s="54"/>
      <c r="M512" s="54"/>
      <c r="N512" s="54"/>
    </row>
    <row r="513">
      <c r="A513" s="54"/>
      <c r="B513" s="350"/>
      <c r="C513" s="350"/>
      <c r="D513" s="102"/>
      <c r="E513" s="102"/>
      <c r="F513" s="102"/>
      <c r="G513" s="102"/>
      <c r="H513" s="102"/>
      <c r="I513" s="102"/>
      <c r="J513" s="177"/>
      <c r="K513" s="102"/>
      <c r="L513" s="54"/>
      <c r="M513" s="54"/>
      <c r="N513" s="54"/>
    </row>
    <row r="514">
      <c r="A514" s="54"/>
      <c r="B514" s="350"/>
      <c r="C514" s="350"/>
      <c r="D514" s="102"/>
      <c r="E514" s="102"/>
      <c r="F514" s="102"/>
      <c r="G514" s="102"/>
      <c r="H514" s="102"/>
      <c r="I514" s="102"/>
      <c r="J514" s="177"/>
      <c r="K514" s="102"/>
      <c r="L514" s="54"/>
      <c r="M514" s="54"/>
      <c r="N514" s="54"/>
    </row>
    <row r="515">
      <c r="A515" s="54"/>
      <c r="B515" s="350"/>
      <c r="C515" s="350"/>
      <c r="D515" s="102"/>
      <c r="E515" s="102"/>
      <c r="F515" s="102"/>
      <c r="G515" s="102"/>
      <c r="H515" s="102"/>
      <c r="I515" s="102"/>
      <c r="J515" s="177"/>
      <c r="K515" s="102"/>
      <c r="L515" s="54"/>
      <c r="M515" s="54"/>
      <c r="N515" s="54"/>
    </row>
    <row r="516">
      <c r="A516" s="54"/>
      <c r="B516" s="350"/>
      <c r="C516" s="350"/>
      <c r="D516" s="102"/>
      <c r="E516" s="102"/>
      <c r="F516" s="102"/>
      <c r="G516" s="102"/>
      <c r="H516" s="102"/>
      <c r="I516" s="102"/>
      <c r="J516" s="177"/>
      <c r="K516" s="102"/>
      <c r="L516" s="54"/>
      <c r="M516" s="54"/>
      <c r="N516" s="54"/>
    </row>
    <row r="517">
      <c r="A517" s="54"/>
      <c r="B517" s="350"/>
      <c r="C517" s="350"/>
      <c r="D517" s="102"/>
      <c r="E517" s="102"/>
      <c r="F517" s="102"/>
      <c r="G517" s="102"/>
      <c r="H517" s="102"/>
      <c r="I517" s="102"/>
      <c r="J517" s="177"/>
      <c r="K517" s="102"/>
      <c r="L517" s="54"/>
      <c r="M517" s="54"/>
      <c r="N517" s="54"/>
    </row>
    <row r="518">
      <c r="A518" s="54"/>
      <c r="B518" s="350"/>
      <c r="C518" s="350"/>
      <c r="D518" s="102"/>
      <c r="E518" s="102"/>
      <c r="F518" s="102"/>
      <c r="G518" s="102"/>
      <c r="H518" s="102"/>
      <c r="I518" s="102"/>
      <c r="J518" s="177"/>
      <c r="K518" s="102"/>
      <c r="L518" s="54"/>
      <c r="M518" s="54"/>
      <c r="N518" s="54"/>
    </row>
    <row r="519">
      <c r="A519" s="54"/>
      <c r="B519" s="350"/>
      <c r="C519" s="350"/>
      <c r="D519" s="102"/>
      <c r="E519" s="102"/>
      <c r="F519" s="102"/>
      <c r="G519" s="102"/>
      <c r="H519" s="102"/>
      <c r="I519" s="102"/>
      <c r="J519" s="177"/>
      <c r="K519" s="102"/>
      <c r="L519" s="54"/>
      <c r="M519" s="54"/>
      <c r="N519" s="54"/>
    </row>
    <row r="520">
      <c r="A520" s="54"/>
      <c r="B520" s="350"/>
      <c r="C520" s="350"/>
      <c r="D520" s="102"/>
      <c r="E520" s="102"/>
      <c r="F520" s="102"/>
      <c r="G520" s="102"/>
      <c r="H520" s="102"/>
      <c r="I520" s="102"/>
      <c r="J520" s="177"/>
      <c r="K520" s="102"/>
      <c r="L520" s="54"/>
      <c r="M520" s="54"/>
      <c r="N520" s="54"/>
    </row>
    <row r="521">
      <c r="A521" s="54"/>
      <c r="B521" s="350"/>
      <c r="C521" s="350"/>
      <c r="D521" s="102"/>
      <c r="E521" s="102"/>
      <c r="F521" s="102"/>
      <c r="G521" s="102"/>
      <c r="H521" s="102"/>
      <c r="I521" s="102"/>
      <c r="J521" s="177"/>
      <c r="K521" s="102"/>
      <c r="L521" s="54"/>
      <c r="M521" s="54"/>
      <c r="N521" s="54"/>
    </row>
    <row r="522">
      <c r="A522" s="54"/>
      <c r="B522" s="350"/>
      <c r="C522" s="350"/>
      <c r="D522" s="102"/>
      <c r="E522" s="102"/>
      <c r="F522" s="102"/>
      <c r="G522" s="102"/>
      <c r="H522" s="102"/>
      <c r="I522" s="102"/>
      <c r="J522" s="177"/>
      <c r="K522" s="102"/>
      <c r="L522" s="54"/>
      <c r="M522" s="54"/>
      <c r="N522" s="54"/>
    </row>
    <row r="523">
      <c r="A523" s="54"/>
      <c r="B523" s="350"/>
      <c r="C523" s="350"/>
      <c r="D523" s="102"/>
      <c r="E523" s="102"/>
      <c r="F523" s="102"/>
      <c r="G523" s="102"/>
      <c r="H523" s="102"/>
      <c r="I523" s="102"/>
      <c r="J523" s="177"/>
      <c r="K523" s="102"/>
      <c r="L523" s="54"/>
      <c r="M523" s="54"/>
      <c r="N523" s="54"/>
    </row>
    <row r="524">
      <c r="A524" s="54"/>
      <c r="B524" s="350"/>
      <c r="C524" s="350"/>
      <c r="D524" s="102"/>
      <c r="E524" s="102"/>
      <c r="F524" s="102"/>
      <c r="G524" s="102"/>
      <c r="H524" s="102"/>
      <c r="I524" s="102"/>
      <c r="J524" s="177"/>
      <c r="K524" s="102"/>
      <c r="L524" s="54"/>
      <c r="M524" s="54"/>
      <c r="N524" s="54"/>
    </row>
    <row r="525">
      <c r="A525" s="54"/>
      <c r="B525" s="350"/>
      <c r="C525" s="350"/>
      <c r="D525" s="102"/>
      <c r="E525" s="102"/>
      <c r="F525" s="102"/>
      <c r="G525" s="102"/>
      <c r="H525" s="102"/>
      <c r="I525" s="102"/>
      <c r="J525" s="177"/>
      <c r="K525" s="102"/>
      <c r="L525" s="54"/>
      <c r="M525" s="54"/>
      <c r="N525" s="54"/>
    </row>
    <row r="526">
      <c r="A526" s="54"/>
      <c r="B526" s="350"/>
      <c r="C526" s="350"/>
      <c r="D526" s="102"/>
      <c r="E526" s="102"/>
      <c r="F526" s="102"/>
      <c r="G526" s="102"/>
      <c r="H526" s="102"/>
      <c r="I526" s="102"/>
      <c r="J526" s="177"/>
      <c r="K526" s="102"/>
      <c r="L526" s="54"/>
      <c r="M526" s="54"/>
      <c r="N526" s="54"/>
    </row>
    <row r="527">
      <c r="A527" s="54"/>
      <c r="B527" s="350"/>
      <c r="C527" s="350"/>
      <c r="D527" s="102"/>
      <c r="E527" s="102"/>
      <c r="F527" s="102"/>
      <c r="G527" s="102"/>
      <c r="H527" s="102"/>
      <c r="I527" s="102"/>
      <c r="J527" s="177"/>
      <c r="K527" s="102"/>
      <c r="L527" s="54"/>
      <c r="M527" s="54"/>
      <c r="N527" s="54"/>
    </row>
    <row r="528">
      <c r="A528" s="54"/>
      <c r="B528" s="350"/>
      <c r="C528" s="350"/>
      <c r="D528" s="102"/>
      <c r="E528" s="102"/>
      <c r="F528" s="102"/>
      <c r="G528" s="102"/>
      <c r="H528" s="102"/>
      <c r="I528" s="102"/>
      <c r="J528" s="177"/>
      <c r="K528" s="102"/>
      <c r="L528" s="54"/>
      <c r="M528" s="54"/>
      <c r="N528" s="54"/>
    </row>
    <row r="529">
      <c r="A529" s="54"/>
      <c r="B529" s="350"/>
      <c r="C529" s="350"/>
      <c r="D529" s="102"/>
      <c r="E529" s="102"/>
      <c r="F529" s="102"/>
      <c r="G529" s="102"/>
      <c r="H529" s="102"/>
      <c r="I529" s="102"/>
      <c r="J529" s="177"/>
      <c r="K529" s="102"/>
      <c r="L529" s="54"/>
      <c r="M529" s="54"/>
      <c r="N529" s="54"/>
    </row>
    <row r="530">
      <c r="A530" s="54"/>
      <c r="B530" s="350"/>
      <c r="C530" s="350"/>
      <c r="D530" s="102"/>
      <c r="E530" s="102"/>
      <c r="F530" s="102"/>
      <c r="G530" s="102"/>
      <c r="H530" s="102"/>
      <c r="I530" s="102"/>
      <c r="J530" s="177"/>
      <c r="K530" s="102"/>
      <c r="L530" s="54"/>
      <c r="M530" s="54"/>
      <c r="N530" s="54"/>
    </row>
    <row r="531">
      <c r="A531" s="54"/>
      <c r="B531" s="350"/>
      <c r="C531" s="350"/>
      <c r="D531" s="102"/>
      <c r="E531" s="102"/>
      <c r="F531" s="102"/>
      <c r="G531" s="102"/>
      <c r="H531" s="102"/>
      <c r="I531" s="102"/>
      <c r="J531" s="177"/>
      <c r="K531" s="102"/>
      <c r="L531" s="54"/>
      <c r="M531" s="54"/>
      <c r="N531" s="54"/>
    </row>
    <row r="532">
      <c r="A532" s="54"/>
      <c r="B532" s="350"/>
      <c r="C532" s="350"/>
      <c r="D532" s="102"/>
      <c r="E532" s="102"/>
      <c r="F532" s="102"/>
      <c r="G532" s="102"/>
      <c r="H532" s="102"/>
      <c r="I532" s="102"/>
      <c r="J532" s="177"/>
      <c r="K532" s="102"/>
      <c r="L532" s="54"/>
      <c r="M532" s="54"/>
      <c r="N532" s="54"/>
    </row>
    <row r="533">
      <c r="A533" s="54"/>
      <c r="B533" s="350"/>
      <c r="C533" s="350"/>
      <c r="D533" s="102"/>
      <c r="E533" s="102"/>
      <c r="F533" s="102"/>
      <c r="G533" s="102"/>
      <c r="H533" s="102"/>
      <c r="I533" s="102"/>
      <c r="J533" s="177"/>
      <c r="K533" s="102"/>
      <c r="L533" s="54"/>
      <c r="M533" s="54"/>
      <c r="N533" s="54"/>
    </row>
    <row r="534">
      <c r="A534" s="54"/>
      <c r="B534" s="350"/>
      <c r="C534" s="350"/>
      <c r="D534" s="102"/>
      <c r="E534" s="102"/>
      <c r="F534" s="102"/>
      <c r="G534" s="102"/>
      <c r="H534" s="102"/>
      <c r="I534" s="102"/>
      <c r="J534" s="177"/>
      <c r="K534" s="102"/>
      <c r="L534" s="54"/>
      <c r="M534" s="54"/>
      <c r="N534" s="54"/>
    </row>
    <row r="535">
      <c r="A535" s="54"/>
      <c r="B535" s="350"/>
      <c r="C535" s="350"/>
      <c r="D535" s="102"/>
      <c r="E535" s="102"/>
      <c r="F535" s="102"/>
      <c r="G535" s="102"/>
      <c r="H535" s="102"/>
      <c r="I535" s="102"/>
      <c r="J535" s="177"/>
      <c r="K535" s="102"/>
      <c r="L535" s="54"/>
      <c r="M535" s="54"/>
      <c r="N535" s="54"/>
    </row>
    <row r="536">
      <c r="A536" s="54"/>
      <c r="B536" s="350"/>
      <c r="C536" s="350"/>
      <c r="D536" s="102"/>
      <c r="E536" s="102"/>
      <c r="F536" s="102"/>
      <c r="G536" s="102"/>
      <c r="H536" s="102"/>
      <c r="I536" s="102"/>
      <c r="J536" s="177"/>
      <c r="K536" s="102"/>
      <c r="L536" s="54"/>
      <c r="M536" s="54"/>
      <c r="N536" s="54"/>
    </row>
    <row r="537">
      <c r="A537" s="54"/>
      <c r="B537" s="350"/>
      <c r="C537" s="350"/>
      <c r="D537" s="102"/>
      <c r="E537" s="102"/>
      <c r="F537" s="102"/>
      <c r="G537" s="102"/>
      <c r="H537" s="102"/>
      <c r="I537" s="102"/>
      <c r="J537" s="177"/>
      <c r="K537" s="102"/>
      <c r="L537" s="54"/>
      <c r="M537" s="54"/>
      <c r="N537" s="54"/>
    </row>
    <row r="538">
      <c r="A538" s="54"/>
      <c r="B538" s="350"/>
      <c r="C538" s="350"/>
      <c r="D538" s="102"/>
      <c r="E538" s="102"/>
      <c r="F538" s="102"/>
      <c r="G538" s="102"/>
      <c r="H538" s="102"/>
      <c r="I538" s="102"/>
      <c r="J538" s="177"/>
      <c r="K538" s="102"/>
      <c r="L538" s="54"/>
      <c r="M538" s="54"/>
      <c r="N538" s="54"/>
    </row>
    <row r="539">
      <c r="A539" s="54"/>
      <c r="B539" s="350"/>
      <c r="C539" s="350"/>
      <c r="D539" s="102"/>
      <c r="E539" s="102"/>
      <c r="F539" s="102"/>
      <c r="G539" s="102"/>
      <c r="H539" s="102"/>
      <c r="I539" s="102"/>
      <c r="J539" s="177"/>
      <c r="K539" s="102"/>
      <c r="L539" s="54"/>
      <c r="M539" s="54"/>
      <c r="N539" s="54"/>
    </row>
    <row r="540">
      <c r="A540" s="54"/>
      <c r="B540" s="350"/>
      <c r="C540" s="350"/>
      <c r="D540" s="102"/>
      <c r="E540" s="102"/>
      <c r="F540" s="102"/>
      <c r="G540" s="102"/>
      <c r="H540" s="102"/>
      <c r="I540" s="102"/>
      <c r="J540" s="177"/>
      <c r="K540" s="102"/>
      <c r="L540" s="54"/>
      <c r="M540" s="54"/>
      <c r="N540" s="54"/>
    </row>
    <row r="541">
      <c r="A541" s="54"/>
      <c r="B541" s="350"/>
      <c r="C541" s="350"/>
      <c r="D541" s="102"/>
      <c r="E541" s="102"/>
      <c r="F541" s="102"/>
      <c r="G541" s="102"/>
      <c r="H541" s="102"/>
      <c r="I541" s="102"/>
      <c r="J541" s="177"/>
      <c r="K541" s="102"/>
      <c r="L541" s="54"/>
      <c r="M541" s="54"/>
      <c r="N541" s="54"/>
    </row>
    <row r="542">
      <c r="A542" s="54"/>
      <c r="B542" s="350"/>
      <c r="C542" s="350"/>
      <c r="D542" s="102"/>
      <c r="E542" s="102"/>
      <c r="F542" s="102"/>
      <c r="G542" s="102"/>
      <c r="H542" s="102"/>
      <c r="I542" s="102"/>
      <c r="J542" s="177"/>
      <c r="K542" s="102"/>
      <c r="L542" s="54"/>
      <c r="M542" s="54"/>
      <c r="N542" s="54"/>
    </row>
    <row r="543">
      <c r="A543" s="54"/>
      <c r="B543" s="350"/>
      <c r="C543" s="350"/>
      <c r="D543" s="102"/>
      <c r="E543" s="102"/>
      <c r="F543" s="102"/>
      <c r="G543" s="102"/>
      <c r="H543" s="102"/>
      <c r="I543" s="102"/>
      <c r="J543" s="177"/>
      <c r="K543" s="102"/>
      <c r="L543" s="54"/>
      <c r="M543" s="54"/>
      <c r="N543" s="54"/>
    </row>
    <row r="544">
      <c r="A544" s="54"/>
      <c r="B544" s="350"/>
      <c r="C544" s="350"/>
      <c r="D544" s="102"/>
      <c r="E544" s="102"/>
      <c r="F544" s="102"/>
      <c r="G544" s="102"/>
      <c r="H544" s="102"/>
      <c r="I544" s="102"/>
      <c r="J544" s="177"/>
      <c r="K544" s="102"/>
      <c r="L544" s="54"/>
      <c r="M544" s="54"/>
      <c r="N544" s="54"/>
    </row>
    <row r="545">
      <c r="A545" s="54"/>
      <c r="B545" s="350"/>
      <c r="C545" s="350"/>
      <c r="D545" s="102"/>
      <c r="E545" s="102"/>
      <c r="F545" s="102"/>
      <c r="G545" s="102"/>
      <c r="H545" s="102"/>
      <c r="I545" s="102"/>
      <c r="J545" s="177"/>
      <c r="K545" s="102"/>
      <c r="L545" s="54"/>
      <c r="M545" s="54"/>
      <c r="N545" s="54"/>
    </row>
    <row r="546">
      <c r="A546" s="54"/>
      <c r="B546" s="350"/>
      <c r="C546" s="350"/>
      <c r="D546" s="102"/>
      <c r="E546" s="102"/>
      <c r="F546" s="102"/>
      <c r="G546" s="102"/>
      <c r="H546" s="102"/>
      <c r="I546" s="102"/>
      <c r="J546" s="177"/>
      <c r="K546" s="102"/>
      <c r="L546" s="54"/>
      <c r="M546" s="54"/>
      <c r="N546" s="54"/>
    </row>
    <row r="547">
      <c r="A547" s="54"/>
      <c r="B547" s="350"/>
      <c r="C547" s="350"/>
      <c r="D547" s="102"/>
      <c r="E547" s="102"/>
      <c r="F547" s="102"/>
      <c r="G547" s="102"/>
      <c r="H547" s="102"/>
      <c r="I547" s="102"/>
      <c r="J547" s="177"/>
      <c r="K547" s="102"/>
      <c r="L547" s="54"/>
      <c r="M547" s="54"/>
      <c r="N547" s="54"/>
    </row>
    <row r="548">
      <c r="A548" s="54"/>
      <c r="B548" s="350"/>
      <c r="C548" s="350"/>
      <c r="D548" s="102"/>
      <c r="E548" s="102"/>
      <c r="F548" s="102"/>
      <c r="G548" s="102"/>
      <c r="H548" s="102"/>
      <c r="I548" s="102"/>
      <c r="J548" s="177"/>
      <c r="K548" s="102"/>
      <c r="L548" s="54"/>
      <c r="M548" s="54"/>
      <c r="N548" s="54"/>
    </row>
    <row r="549">
      <c r="A549" s="54"/>
      <c r="B549" s="350"/>
      <c r="C549" s="350"/>
      <c r="D549" s="102"/>
      <c r="E549" s="102"/>
      <c r="F549" s="102"/>
      <c r="G549" s="102"/>
      <c r="H549" s="102"/>
      <c r="I549" s="102"/>
      <c r="J549" s="177"/>
      <c r="K549" s="102"/>
      <c r="L549" s="54"/>
      <c r="M549" s="54"/>
      <c r="N549" s="54"/>
    </row>
    <row r="550">
      <c r="A550" s="54"/>
      <c r="B550" s="350"/>
      <c r="C550" s="350"/>
      <c r="D550" s="102"/>
      <c r="E550" s="102"/>
      <c r="F550" s="102"/>
      <c r="G550" s="102"/>
      <c r="H550" s="102"/>
      <c r="I550" s="102"/>
      <c r="J550" s="177"/>
      <c r="K550" s="102"/>
      <c r="L550" s="54"/>
      <c r="M550" s="54"/>
      <c r="N550" s="54"/>
    </row>
    <row r="551">
      <c r="A551" s="54"/>
      <c r="B551" s="350"/>
      <c r="C551" s="350"/>
      <c r="D551" s="102"/>
      <c r="E551" s="102"/>
      <c r="F551" s="102"/>
      <c r="G551" s="102"/>
      <c r="H551" s="102"/>
      <c r="I551" s="102"/>
      <c r="J551" s="177"/>
      <c r="K551" s="102"/>
      <c r="L551" s="54"/>
      <c r="M551" s="54"/>
      <c r="N551" s="54"/>
    </row>
    <row r="552">
      <c r="A552" s="54"/>
      <c r="B552" s="350"/>
      <c r="C552" s="350"/>
      <c r="D552" s="102"/>
      <c r="E552" s="102"/>
      <c r="F552" s="102"/>
      <c r="G552" s="102"/>
      <c r="H552" s="102"/>
      <c r="I552" s="102"/>
      <c r="J552" s="177"/>
      <c r="K552" s="102"/>
      <c r="L552" s="54"/>
      <c r="M552" s="54"/>
      <c r="N552" s="54"/>
    </row>
    <row r="553">
      <c r="A553" s="54"/>
      <c r="B553" s="350"/>
      <c r="C553" s="350"/>
      <c r="D553" s="102"/>
      <c r="E553" s="102"/>
      <c r="F553" s="102"/>
      <c r="G553" s="102"/>
      <c r="H553" s="102"/>
      <c r="I553" s="102"/>
      <c r="J553" s="177"/>
      <c r="K553" s="102"/>
      <c r="L553" s="54"/>
      <c r="M553" s="54"/>
      <c r="N553" s="54"/>
    </row>
    <row r="554">
      <c r="A554" s="54"/>
      <c r="B554" s="350"/>
      <c r="C554" s="350"/>
      <c r="D554" s="102"/>
      <c r="E554" s="102"/>
      <c r="F554" s="102"/>
      <c r="G554" s="102"/>
      <c r="H554" s="102"/>
      <c r="I554" s="102"/>
      <c r="J554" s="177"/>
      <c r="K554" s="102"/>
      <c r="L554" s="54"/>
      <c r="M554" s="54"/>
      <c r="N554" s="54"/>
    </row>
    <row r="555">
      <c r="A555" s="54"/>
      <c r="B555" s="350"/>
      <c r="C555" s="350"/>
      <c r="D555" s="102"/>
      <c r="E555" s="102"/>
      <c r="F555" s="102"/>
      <c r="G555" s="102"/>
      <c r="H555" s="102"/>
      <c r="I555" s="102"/>
      <c r="J555" s="177"/>
      <c r="K555" s="102"/>
      <c r="L555" s="54"/>
      <c r="M555" s="54"/>
      <c r="N555" s="54"/>
    </row>
    <row r="556">
      <c r="A556" s="54"/>
      <c r="B556" s="350"/>
      <c r="C556" s="350"/>
      <c r="D556" s="102"/>
      <c r="E556" s="102"/>
      <c r="F556" s="102"/>
      <c r="G556" s="102"/>
      <c r="H556" s="102"/>
      <c r="I556" s="102"/>
      <c r="J556" s="177"/>
      <c r="K556" s="102"/>
      <c r="L556" s="54"/>
      <c r="M556" s="54"/>
      <c r="N556" s="54"/>
    </row>
    <row r="557">
      <c r="A557" s="54"/>
      <c r="B557" s="350"/>
      <c r="C557" s="350"/>
      <c r="D557" s="102"/>
      <c r="E557" s="102"/>
      <c r="F557" s="102"/>
      <c r="G557" s="102"/>
      <c r="H557" s="102"/>
      <c r="I557" s="102"/>
      <c r="J557" s="177"/>
      <c r="K557" s="102"/>
      <c r="L557" s="54"/>
      <c r="M557" s="54"/>
      <c r="N557" s="54"/>
    </row>
    <row r="558">
      <c r="A558" s="54"/>
      <c r="B558" s="350"/>
      <c r="C558" s="350"/>
      <c r="D558" s="102"/>
      <c r="E558" s="102"/>
      <c r="F558" s="102"/>
      <c r="G558" s="102"/>
      <c r="H558" s="102"/>
      <c r="I558" s="102"/>
      <c r="J558" s="177"/>
      <c r="K558" s="102"/>
      <c r="L558" s="54"/>
      <c r="M558" s="54"/>
      <c r="N558" s="54"/>
    </row>
    <row r="559">
      <c r="A559" s="54"/>
      <c r="B559" s="350"/>
      <c r="C559" s="350"/>
      <c r="D559" s="102"/>
      <c r="E559" s="102"/>
      <c r="F559" s="102"/>
      <c r="G559" s="102"/>
      <c r="H559" s="102"/>
      <c r="I559" s="102"/>
      <c r="J559" s="177"/>
      <c r="K559" s="102"/>
      <c r="L559" s="54"/>
      <c r="M559" s="54"/>
      <c r="N559" s="54"/>
    </row>
    <row r="560">
      <c r="A560" s="54"/>
      <c r="B560" s="350"/>
      <c r="C560" s="350"/>
      <c r="D560" s="102"/>
      <c r="E560" s="102"/>
      <c r="F560" s="102"/>
      <c r="G560" s="102"/>
      <c r="H560" s="102"/>
      <c r="I560" s="102"/>
      <c r="J560" s="177"/>
      <c r="K560" s="102"/>
      <c r="L560" s="54"/>
      <c r="M560" s="54"/>
      <c r="N560" s="54"/>
    </row>
    <row r="561">
      <c r="A561" s="54"/>
      <c r="B561" s="350"/>
      <c r="C561" s="350"/>
      <c r="D561" s="102"/>
      <c r="E561" s="102"/>
      <c r="F561" s="102"/>
      <c r="G561" s="102"/>
      <c r="H561" s="102"/>
      <c r="I561" s="102"/>
      <c r="J561" s="177"/>
      <c r="K561" s="102"/>
      <c r="L561" s="54"/>
      <c r="M561" s="54"/>
      <c r="N561" s="54"/>
    </row>
    <row r="562">
      <c r="A562" s="54"/>
      <c r="B562" s="350"/>
      <c r="C562" s="350"/>
      <c r="D562" s="102"/>
      <c r="E562" s="102"/>
      <c r="F562" s="102"/>
      <c r="G562" s="102"/>
      <c r="H562" s="102"/>
      <c r="I562" s="102"/>
      <c r="J562" s="177"/>
      <c r="K562" s="102"/>
      <c r="L562" s="54"/>
      <c r="M562" s="54"/>
      <c r="N562" s="54"/>
    </row>
    <row r="563">
      <c r="A563" s="54"/>
      <c r="B563" s="350"/>
      <c r="C563" s="350"/>
      <c r="D563" s="102"/>
      <c r="E563" s="102"/>
      <c r="F563" s="102"/>
      <c r="G563" s="102"/>
      <c r="H563" s="102"/>
      <c r="I563" s="102"/>
      <c r="J563" s="177"/>
      <c r="K563" s="102"/>
      <c r="L563" s="54"/>
      <c r="M563" s="54"/>
      <c r="N563" s="54"/>
    </row>
    <row r="564">
      <c r="A564" s="54"/>
      <c r="B564" s="350"/>
      <c r="C564" s="350"/>
      <c r="D564" s="102"/>
      <c r="E564" s="102"/>
      <c r="F564" s="102"/>
      <c r="G564" s="102"/>
      <c r="H564" s="102"/>
      <c r="I564" s="102"/>
      <c r="J564" s="177"/>
      <c r="K564" s="102"/>
      <c r="L564" s="54"/>
      <c r="M564" s="54"/>
      <c r="N564" s="54"/>
    </row>
    <row r="565">
      <c r="A565" s="54"/>
      <c r="B565" s="350"/>
      <c r="C565" s="350"/>
      <c r="D565" s="102"/>
      <c r="E565" s="102"/>
      <c r="F565" s="102"/>
      <c r="G565" s="102"/>
      <c r="H565" s="102"/>
      <c r="I565" s="102"/>
      <c r="J565" s="177"/>
      <c r="K565" s="102"/>
      <c r="L565" s="54"/>
      <c r="M565" s="54"/>
      <c r="N565" s="54"/>
    </row>
    <row r="566">
      <c r="A566" s="54"/>
      <c r="B566" s="350"/>
      <c r="C566" s="350"/>
      <c r="D566" s="102"/>
      <c r="E566" s="102"/>
      <c r="F566" s="102"/>
      <c r="G566" s="102"/>
      <c r="H566" s="102"/>
      <c r="I566" s="102"/>
      <c r="J566" s="177"/>
      <c r="K566" s="102"/>
      <c r="L566" s="54"/>
      <c r="M566" s="54"/>
      <c r="N566" s="54"/>
    </row>
    <row r="567">
      <c r="A567" s="54"/>
      <c r="B567" s="350"/>
      <c r="C567" s="350"/>
      <c r="D567" s="102"/>
      <c r="E567" s="102"/>
      <c r="F567" s="102"/>
      <c r="G567" s="102"/>
      <c r="H567" s="102"/>
      <c r="I567" s="102"/>
      <c r="J567" s="177"/>
      <c r="K567" s="102"/>
      <c r="L567" s="54"/>
      <c r="M567" s="54"/>
      <c r="N567" s="54"/>
    </row>
    <row r="568">
      <c r="A568" s="54"/>
      <c r="B568" s="350"/>
      <c r="C568" s="350"/>
      <c r="D568" s="102"/>
      <c r="E568" s="102"/>
      <c r="F568" s="102"/>
      <c r="G568" s="102"/>
      <c r="H568" s="102"/>
      <c r="I568" s="102"/>
      <c r="J568" s="177"/>
      <c r="K568" s="102"/>
      <c r="L568" s="54"/>
      <c r="M568" s="54"/>
      <c r="N568" s="54"/>
    </row>
    <row r="569">
      <c r="A569" s="54"/>
      <c r="B569" s="350"/>
      <c r="C569" s="350"/>
      <c r="D569" s="102"/>
      <c r="E569" s="102"/>
      <c r="F569" s="102"/>
      <c r="G569" s="102"/>
      <c r="H569" s="102"/>
      <c r="I569" s="102"/>
      <c r="J569" s="177"/>
      <c r="K569" s="102"/>
      <c r="L569" s="54"/>
      <c r="M569" s="54"/>
      <c r="N569" s="54"/>
    </row>
    <row r="570">
      <c r="A570" s="54"/>
      <c r="B570" s="350"/>
      <c r="C570" s="350"/>
      <c r="D570" s="102"/>
      <c r="E570" s="102"/>
      <c r="F570" s="102"/>
      <c r="G570" s="102"/>
      <c r="H570" s="102"/>
      <c r="I570" s="102"/>
      <c r="J570" s="177"/>
      <c r="K570" s="102"/>
      <c r="L570" s="54"/>
      <c r="M570" s="54"/>
      <c r="N570" s="54"/>
    </row>
    <row r="571">
      <c r="A571" s="54"/>
      <c r="B571" s="350"/>
      <c r="C571" s="350"/>
      <c r="D571" s="102"/>
      <c r="E571" s="102"/>
      <c r="F571" s="102"/>
      <c r="G571" s="102"/>
      <c r="H571" s="102"/>
      <c r="I571" s="102"/>
      <c r="J571" s="177"/>
      <c r="K571" s="102"/>
      <c r="L571" s="54"/>
      <c r="M571" s="54"/>
      <c r="N571" s="54"/>
    </row>
    <row r="572">
      <c r="A572" s="54"/>
      <c r="B572" s="350"/>
      <c r="C572" s="350"/>
      <c r="D572" s="102"/>
      <c r="E572" s="102"/>
      <c r="F572" s="102"/>
      <c r="G572" s="102"/>
      <c r="H572" s="102"/>
      <c r="I572" s="102"/>
      <c r="J572" s="177"/>
      <c r="K572" s="102"/>
      <c r="L572" s="54"/>
      <c r="M572" s="54"/>
      <c r="N572" s="54"/>
    </row>
    <row r="573">
      <c r="A573" s="54"/>
      <c r="B573" s="350"/>
      <c r="C573" s="350"/>
      <c r="D573" s="102"/>
      <c r="E573" s="102"/>
      <c r="F573" s="102"/>
      <c r="G573" s="102"/>
      <c r="H573" s="102"/>
      <c r="I573" s="102"/>
      <c r="J573" s="177"/>
      <c r="K573" s="102"/>
      <c r="L573" s="54"/>
      <c r="M573" s="54"/>
      <c r="N573" s="54"/>
    </row>
    <row r="574">
      <c r="A574" s="54"/>
      <c r="B574" s="350"/>
      <c r="C574" s="350"/>
      <c r="D574" s="102"/>
      <c r="E574" s="102"/>
      <c r="F574" s="102"/>
      <c r="G574" s="102"/>
      <c r="H574" s="102"/>
      <c r="I574" s="102"/>
      <c r="J574" s="177"/>
      <c r="K574" s="102"/>
      <c r="L574" s="54"/>
      <c r="M574" s="54"/>
      <c r="N574" s="54"/>
    </row>
    <row r="575">
      <c r="A575" s="54"/>
      <c r="B575" s="350"/>
      <c r="C575" s="350"/>
      <c r="D575" s="102"/>
      <c r="E575" s="102"/>
      <c r="F575" s="102"/>
      <c r="G575" s="102"/>
      <c r="H575" s="102"/>
      <c r="I575" s="102"/>
      <c r="J575" s="177"/>
      <c r="K575" s="102"/>
      <c r="L575" s="54"/>
      <c r="M575" s="54"/>
      <c r="N575" s="54"/>
    </row>
    <row r="576">
      <c r="A576" s="54"/>
      <c r="B576" s="350"/>
      <c r="C576" s="350"/>
      <c r="D576" s="102"/>
      <c r="E576" s="102"/>
      <c r="F576" s="102"/>
      <c r="G576" s="102"/>
      <c r="H576" s="102"/>
      <c r="I576" s="102"/>
      <c r="J576" s="177"/>
      <c r="K576" s="102"/>
      <c r="L576" s="54"/>
      <c r="M576" s="54"/>
      <c r="N576" s="54"/>
    </row>
    <row r="577">
      <c r="A577" s="54"/>
      <c r="B577" s="350"/>
      <c r="C577" s="350"/>
      <c r="D577" s="102"/>
      <c r="E577" s="102"/>
      <c r="F577" s="102"/>
      <c r="G577" s="102"/>
      <c r="H577" s="102"/>
      <c r="I577" s="102"/>
      <c r="J577" s="177"/>
      <c r="K577" s="102"/>
      <c r="L577" s="54"/>
      <c r="M577" s="54"/>
      <c r="N577" s="54"/>
    </row>
    <row r="578">
      <c r="A578" s="54"/>
      <c r="B578" s="350"/>
      <c r="C578" s="350"/>
      <c r="D578" s="102"/>
      <c r="E578" s="102"/>
      <c r="F578" s="102"/>
      <c r="G578" s="102"/>
      <c r="H578" s="102"/>
      <c r="I578" s="102"/>
      <c r="J578" s="177"/>
      <c r="K578" s="102"/>
      <c r="L578" s="54"/>
      <c r="M578" s="54"/>
      <c r="N578" s="54"/>
    </row>
    <row r="579">
      <c r="A579" s="54"/>
      <c r="B579" s="350"/>
      <c r="C579" s="350"/>
      <c r="D579" s="102"/>
      <c r="E579" s="102"/>
      <c r="F579" s="102"/>
      <c r="G579" s="102"/>
      <c r="H579" s="102"/>
      <c r="I579" s="102"/>
      <c r="J579" s="177"/>
      <c r="K579" s="102"/>
      <c r="L579" s="54"/>
      <c r="M579" s="54"/>
      <c r="N579" s="54"/>
    </row>
    <row r="580">
      <c r="A580" s="54"/>
      <c r="B580" s="350"/>
      <c r="C580" s="350"/>
      <c r="D580" s="102"/>
      <c r="E580" s="102"/>
      <c r="F580" s="102"/>
      <c r="G580" s="102"/>
      <c r="H580" s="102"/>
      <c r="I580" s="102"/>
      <c r="J580" s="177"/>
      <c r="K580" s="102"/>
      <c r="L580" s="54"/>
      <c r="M580" s="54"/>
      <c r="N580" s="54"/>
    </row>
    <row r="581">
      <c r="A581" s="54"/>
      <c r="B581" s="350"/>
      <c r="C581" s="350"/>
      <c r="D581" s="102"/>
      <c r="E581" s="102"/>
      <c r="F581" s="102"/>
      <c r="G581" s="102"/>
      <c r="H581" s="102"/>
      <c r="I581" s="102"/>
      <c r="J581" s="177"/>
      <c r="K581" s="102"/>
      <c r="L581" s="54"/>
      <c r="M581" s="54"/>
      <c r="N581" s="54"/>
    </row>
    <row r="582">
      <c r="A582" s="54"/>
      <c r="B582" s="350"/>
      <c r="C582" s="350"/>
      <c r="D582" s="102"/>
      <c r="E582" s="102"/>
      <c r="F582" s="102"/>
      <c r="G582" s="102"/>
      <c r="H582" s="102"/>
      <c r="I582" s="102"/>
      <c r="J582" s="177"/>
      <c r="K582" s="102"/>
      <c r="L582" s="54"/>
      <c r="M582" s="54"/>
      <c r="N582" s="54"/>
    </row>
    <row r="583">
      <c r="A583" s="54"/>
      <c r="B583" s="350"/>
      <c r="C583" s="350"/>
      <c r="D583" s="102"/>
      <c r="E583" s="102"/>
      <c r="F583" s="102"/>
      <c r="G583" s="102"/>
      <c r="H583" s="102"/>
      <c r="I583" s="102"/>
      <c r="J583" s="177"/>
      <c r="K583" s="102"/>
      <c r="L583" s="54"/>
      <c r="M583" s="54"/>
      <c r="N583" s="54"/>
    </row>
    <row r="584">
      <c r="A584" s="54"/>
      <c r="B584" s="350"/>
      <c r="C584" s="350"/>
      <c r="D584" s="102"/>
      <c r="E584" s="102"/>
      <c r="F584" s="102"/>
      <c r="G584" s="102"/>
      <c r="H584" s="102"/>
      <c r="I584" s="102"/>
      <c r="J584" s="177"/>
      <c r="K584" s="102"/>
      <c r="L584" s="54"/>
      <c r="M584" s="54"/>
      <c r="N584" s="54"/>
    </row>
    <row r="585">
      <c r="A585" s="54"/>
      <c r="B585" s="350"/>
      <c r="C585" s="350"/>
      <c r="D585" s="102"/>
      <c r="E585" s="102"/>
      <c r="F585" s="102"/>
      <c r="G585" s="102"/>
      <c r="H585" s="102"/>
      <c r="I585" s="102"/>
      <c r="J585" s="177"/>
      <c r="K585" s="102"/>
      <c r="L585" s="54"/>
      <c r="M585" s="54"/>
      <c r="N585" s="54"/>
    </row>
    <row r="586">
      <c r="A586" s="54"/>
      <c r="B586" s="350"/>
      <c r="C586" s="350"/>
      <c r="D586" s="102"/>
      <c r="E586" s="102"/>
      <c r="F586" s="102"/>
      <c r="G586" s="102"/>
      <c r="H586" s="102"/>
      <c r="I586" s="102"/>
      <c r="J586" s="177"/>
      <c r="K586" s="102"/>
      <c r="L586" s="54"/>
      <c r="M586" s="54"/>
      <c r="N586" s="54"/>
    </row>
    <row r="587">
      <c r="A587" s="54"/>
      <c r="B587" s="350"/>
      <c r="C587" s="350"/>
      <c r="D587" s="102"/>
      <c r="E587" s="102"/>
      <c r="F587" s="102"/>
      <c r="G587" s="102"/>
      <c r="H587" s="102"/>
      <c r="I587" s="102"/>
      <c r="J587" s="177"/>
      <c r="K587" s="102"/>
      <c r="L587" s="54"/>
      <c r="M587" s="54"/>
      <c r="N587" s="54"/>
    </row>
    <row r="588">
      <c r="A588" s="54"/>
      <c r="B588" s="350"/>
      <c r="C588" s="350"/>
      <c r="D588" s="102"/>
      <c r="E588" s="102"/>
      <c r="F588" s="102"/>
      <c r="G588" s="102"/>
      <c r="H588" s="102"/>
      <c r="I588" s="102"/>
      <c r="J588" s="177"/>
      <c r="K588" s="102"/>
      <c r="L588" s="54"/>
      <c r="M588" s="54"/>
      <c r="N588" s="54"/>
    </row>
    <row r="589">
      <c r="A589" s="54"/>
      <c r="B589" s="350"/>
      <c r="C589" s="350"/>
      <c r="D589" s="102"/>
      <c r="E589" s="102"/>
      <c r="F589" s="102"/>
      <c r="G589" s="102"/>
      <c r="H589" s="102"/>
      <c r="I589" s="102"/>
      <c r="J589" s="177"/>
      <c r="K589" s="102"/>
      <c r="L589" s="54"/>
      <c r="M589" s="54"/>
      <c r="N589" s="54"/>
    </row>
    <row r="590">
      <c r="A590" s="54"/>
      <c r="B590" s="350"/>
      <c r="C590" s="350"/>
      <c r="D590" s="102"/>
      <c r="E590" s="102"/>
      <c r="F590" s="102"/>
      <c r="G590" s="102"/>
      <c r="H590" s="102"/>
      <c r="I590" s="102"/>
      <c r="J590" s="177"/>
      <c r="K590" s="102"/>
      <c r="L590" s="54"/>
      <c r="M590" s="54"/>
      <c r="N590" s="54"/>
    </row>
    <row r="591">
      <c r="A591" s="54"/>
      <c r="B591" s="350"/>
      <c r="C591" s="350"/>
      <c r="D591" s="102"/>
      <c r="E591" s="102"/>
      <c r="F591" s="102"/>
      <c r="G591" s="102"/>
      <c r="H591" s="102"/>
      <c r="I591" s="102"/>
      <c r="J591" s="177"/>
      <c r="K591" s="102"/>
      <c r="L591" s="54"/>
      <c r="M591" s="54"/>
      <c r="N591" s="54"/>
    </row>
    <row r="592">
      <c r="A592" s="54"/>
      <c r="B592" s="350"/>
      <c r="C592" s="350"/>
      <c r="D592" s="102"/>
      <c r="E592" s="102"/>
      <c r="F592" s="102"/>
      <c r="G592" s="102"/>
      <c r="H592" s="102"/>
      <c r="I592" s="102"/>
      <c r="J592" s="177"/>
      <c r="K592" s="102"/>
      <c r="L592" s="54"/>
      <c r="M592" s="54"/>
      <c r="N592" s="54"/>
    </row>
    <row r="593">
      <c r="A593" s="54"/>
      <c r="B593" s="350"/>
      <c r="C593" s="350"/>
      <c r="D593" s="102"/>
      <c r="E593" s="102"/>
      <c r="F593" s="102"/>
      <c r="G593" s="102"/>
      <c r="H593" s="102"/>
      <c r="I593" s="102"/>
      <c r="J593" s="177"/>
      <c r="K593" s="102"/>
      <c r="L593" s="54"/>
      <c r="M593" s="54"/>
      <c r="N593" s="54"/>
    </row>
    <row r="594">
      <c r="A594" s="54"/>
      <c r="B594" s="350"/>
      <c r="C594" s="350"/>
      <c r="D594" s="102"/>
      <c r="E594" s="102"/>
      <c r="F594" s="102"/>
      <c r="G594" s="102"/>
      <c r="H594" s="102"/>
      <c r="I594" s="102"/>
      <c r="J594" s="177"/>
      <c r="K594" s="102"/>
      <c r="L594" s="54"/>
      <c r="M594" s="54"/>
      <c r="N594" s="54"/>
    </row>
    <row r="595">
      <c r="A595" s="54"/>
      <c r="B595" s="350"/>
      <c r="C595" s="350"/>
      <c r="D595" s="102"/>
      <c r="E595" s="102"/>
      <c r="F595" s="102"/>
      <c r="G595" s="102"/>
      <c r="H595" s="102"/>
      <c r="I595" s="102"/>
      <c r="J595" s="177"/>
      <c r="K595" s="102"/>
      <c r="L595" s="54"/>
      <c r="M595" s="54"/>
      <c r="N595" s="54"/>
    </row>
    <row r="596">
      <c r="A596" s="54"/>
      <c r="B596" s="350"/>
      <c r="C596" s="350"/>
      <c r="D596" s="102"/>
      <c r="E596" s="102"/>
      <c r="F596" s="102"/>
      <c r="G596" s="102"/>
      <c r="H596" s="102"/>
      <c r="I596" s="102"/>
      <c r="J596" s="177"/>
      <c r="K596" s="102"/>
      <c r="L596" s="54"/>
      <c r="M596" s="54"/>
      <c r="N596" s="54"/>
    </row>
    <row r="597">
      <c r="A597" s="54"/>
      <c r="B597" s="350"/>
      <c r="C597" s="350"/>
      <c r="D597" s="102"/>
      <c r="E597" s="102"/>
      <c r="F597" s="102"/>
      <c r="G597" s="102"/>
      <c r="H597" s="102"/>
      <c r="I597" s="102"/>
      <c r="J597" s="177"/>
      <c r="K597" s="102"/>
      <c r="L597" s="54"/>
      <c r="M597" s="54"/>
      <c r="N597" s="54"/>
    </row>
    <row r="598">
      <c r="A598" s="54"/>
      <c r="B598" s="350"/>
      <c r="C598" s="350"/>
      <c r="D598" s="102"/>
      <c r="E598" s="102"/>
      <c r="F598" s="102"/>
      <c r="G598" s="102"/>
      <c r="H598" s="102"/>
      <c r="I598" s="102"/>
      <c r="J598" s="177"/>
      <c r="K598" s="102"/>
      <c r="L598" s="54"/>
      <c r="M598" s="54"/>
      <c r="N598" s="54"/>
    </row>
    <row r="599">
      <c r="A599" s="54"/>
      <c r="B599" s="350"/>
      <c r="C599" s="350"/>
      <c r="D599" s="102"/>
      <c r="E599" s="102"/>
      <c r="F599" s="102"/>
      <c r="G599" s="102"/>
      <c r="H599" s="102"/>
      <c r="I599" s="102"/>
      <c r="J599" s="177"/>
      <c r="K599" s="102"/>
      <c r="L599" s="54"/>
      <c r="M599" s="54"/>
      <c r="N599" s="54"/>
    </row>
    <row r="600">
      <c r="A600" s="54"/>
      <c r="B600" s="350"/>
      <c r="C600" s="350"/>
      <c r="D600" s="102"/>
      <c r="E600" s="102"/>
      <c r="F600" s="102"/>
      <c r="G600" s="102"/>
      <c r="H600" s="102"/>
      <c r="I600" s="102"/>
      <c r="J600" s="177"/>
      <c r="K600" s="102"/>
      <c r="L600" s="54"/>
      <c r="M600" s="54"/>
      <c r="N600" s="54"/>
    </row>
    <row r="601">
      <c r="A601" s="54"/>
      <c r="B601" s="350"/>
      <c r="C601" s="350"/>
      <c r="D601" s="102"/>
      <c r="E601" s="102"/>
      <c r="F601" s="102"/>
      <c r="G601" s="102"/>
      <c r="H601" s="102"/>
      <c r="I601" s="102"/>
      <c r="J601" s="177"/>
      <c r="K601" s="102"/>
      <c r="L601" s="54"/>
      <c r="M601" s="54"/>
      <c r="N601" s="54"/>
    </row>
    <row r="602">
      <c r="A602" s="54"/>
      <c r="B602" s="350"/>
      <c r="C602" s="350"/>
      <c r="D602" s="102"/>
      <c r="E602" s="102"/>
      <c r="F602" s="102"/>
      <c r="G602" s="102"/>
      <c r="H602" s="102"/>
      <c r="I602" s="102"/>
      <c r="J602" s="177"/>
      <c r="K602" s="102"/>
      <c r="L602" s="54"/>
      <c r="M602" s="54"/>
      <c r="N602" s="54"/>
    </row>
    <row r="603">
      <c r="A603" s="54"/>
      <c r="B603" s="350"/>
      <c r="C603" s="350"/>
      <c r="D603" s="102"/>
      <c r="E603" s="102"/>
      <c r="F603" s="102"/>
      <c r="G603" s="102"/>
      <c r="H603" s="102"/>
      <c r="I603" s="102"/>
      <c r="J603" s="177"/>
      <c r="K603" s="102"/>
      <c r="L603" s="54"/>
      <c r="M603" s="54"/>
      <c r="N603" s="54"/>
    </row>
    <row r="604">
      <c r="A604" s="54"/>
      <c r="B604" s="350"/>
      <c r="C604" s="350"/>
      <c r="D604" s="102"/>
      <c r="E604" s="102"/>
      <c r="F604" s="102"/>
      <c r="G604" s="102"/>
      <c r="H604" s="102"/>
      <c r="I604" s="102"/>
      <c r="J604" s="177"/>
      <c r="K604" s="102"/>
      <c r="L604" s="54"/>
      <c r="M604" s="54"/>
      <c r="N604" s="54"/>
    </row>
    <row r="605">
      <c r="A605" s="54"/>
      <c r="B605" s="350"/>
      <c r="C605" s="350"/>
      <c r="D605" s="102"/>
      <c r="E605" s="102"/>
      <c r="F605" s="102"/>
      <c r="G605" s="102"/>
      <c r="H605" s="102"/>
      <c r="I605" s="102"/>
      <c r="J605" s="177"/>
      <c r="K605" s="102"/>
      <c r="L605" s="54"/>
      <c r="M605" s="54"/>
      <c r="N605" s="54"/>
    </row>
    <row r="606">
      <c r="A606" s="54"/>
      <c r="B606" s="350"/>
      <c r="C606" s="350"/>
      <c r="D606" s="102"/>
      <c r="E606" s="102"/>
      <c r="F606" s="102"/>
      <c r="G606" s="102"/>
      <c r="H606" s="102"/>
      <c r="I606" s="102"/>
      <c r="J606" s="177"/>
      <c r="K606" s="102"/>
      <c r="L606" s="54"/>
      <c r="M606" s="54"/>
      <c r="N606" s="54"/>
    </row>
    <row r="607">
      <c r="A607" s="54"/>
      <c r="B607" s="350"/>
      <c r="C607" s="350"/>
      <c r="D607" s="102"/>
      <c r="E607" s="102"/>
      <c r="F607" s="102"/>
      <c r="G607" s="102"/>
      <c r="H607" s="102"/>
      <c r="I607" s="102"/>
      <c r="J607" s="177"/>
      <c r="K607" s="102"/>
      <c r="L607" s="54"/>
      <c r="M607" s="54"/>
      <c r="N607" s="54"/>
    </row>
    <row r="608">
      <c r="A608" s="54"/>
      <c r="B608" s="350"/>
      <c r="C608" s="350"/>
      <c r="D608" s="102"/>
      <c r="E608" s="102"/>
      <c r="F608" s="102"/>
      <c r="G608" s="102"/>
      <c r="H608" s="102"/>
      <c r="I608" s="102"/>
      <c r="J608" s="177"/>
      <c r="K608" s="102"/>
      <c r="L608" s="54"/>
      <c r="M608" s="54"/>
      <c r="N608" s="54"/>
    </row>
    <row r="609">
      <c r="A609" s="54"/>
      <c r="B609" s="350"/>
      <c r="C609" s="350"/>
      <c r="D609" s="102"/>
      <c r="E609" s="102"/>
      <c r="F609" s="102"/>
      <c r="G609" s="102"/>
      <c r="H609" s="102"/>
      <c r="I609" s="102"/>
      <c r="J609" s="177"/>
      <c r="K609" s="102"/>
      <c r="L609" s="54"/>
      <c r="M609" s="54"/>
      <c r="N609" s="54"/>
    </row>
    <row r="610">
      <c r="A610" s="54"/>
      <c r="B610" s="350"/>
      <c r="C610" s="350"/>
      <c r="D610" s="102"/>
      <c r="E610" s="102"/>
      <c r="F610" s="102"/>
      <c r="G610" s="102"/>
      <c r="H610" s="102"/>
      <c r="I610" s="102"/>
      <c r="J610" s="177"/>
      <c r="K610" s="102"/>
      <c r="L610" s="54"/>
      <c r="M610" s="54"/>
      <c r="N610" s="54"/>
    </row>
    <row r="611">
      <c r="A611" s="54"/>
      <c r="B611" s="350"/>
      <c r="C611" s="350"/>
      <c r="D611" s="102"/>
      <c r="E611" s="102"/>
      <c r="F611" s="102"/>
      <c r="G611" s="102"/>
      <c r="H611" s="102"/>
      <c r="I611" s="102"/>
      <c r="J611" s="177"/>
      <c r="K611" s="102"/>
      <c r="L611" s="54"/>
      <c r="M611" s="54"/>
      <c r="N611" s="54"/>
    </row>
    <row r="612">
      <c r="A612" s="54"/>
      <c r="B612" s="350"/>
      <c r="C612" s="350"/>
      <c r="D612" s="102"/>
      <c r="E612" s="102"/>
      <c r="F612" s="102"/>
      <c r="G612" s="102"/>
      <c r="H612" s="102"/>
      <c r="I612" s="102"/>
      <c r="J612" s="177"/>
      <c r="K612" s="102"/>
      <c r="L612" s="54"/>
      <c r="M612" s="54"/>
      <c r="N612" s="54"/>
    </row>
    <row r="613">
      <c r="A613" s="54"/>
      <c r="B613" s="350"/>
      <c r="C613" s="350"/>
      <c r="D613" s="102"/>
      <c r="E613" s="102"/>
      <c r="F613" s="102"/>
      <c r="G613" s="102"/>
      <c r="H613" s="102"/>
      <c r="I613" s="102"/>
      <c r="J613" s="177"/>
      <c r="K613" s="102"/>
      <c r="L613" s="54"/>
      <c r="M613" s="54"/>
      <c r="N613" s="54"/>
    </row>
    <row r="614">
      <c r="A614" s="54"/>
      <c r="B614" s="350"/>
      <c r="C614" s="350"/>
      <c r="D614" s="102"/>
      <c r="E614" s="102"/>
      <c r="F614" s="102"/>
      <c r="G614" s="102"/>
      <c r="H614" s="102"/>
      <c r="I614" s="102"/>
      <c r="J614" s="177"/>
      <c r="K614" s="102"/>
      <c r="L614" s="54"/>
      <c r="M614" s="54"/>
      <c r="N614" s="54"/>
    </row>
    <row r="615">
      <c r="A615" s="54"/>
      <c r="B615" s="350"/>
      <c r="C615" s="350"/>
      <c r="D615" s="102"/>
      <c r="E615" s="102"/>
      <c r="F615" s="102"/>
      <c r="G615" s="102"/>
      <c r="H615" s="102"/>
      <c r="I615" s="102"/>
      <c r="J615" s="177"/>
      <c r="K615" s="102"/>
      <c r="L615" s="54"/>
      <c r="M615" s="54"/>
      <c r="N615" s="54"/>
    </row>
    <row r="616">
      <c r="A616" s="54"/>
      <c r="B616" s="350"/>
      <c r="C616" s="350"/>
      <c r="D616" s="102"/>
      <c r="E616" s="102"/>
      <c r="F616" s="102"/>
      <c r="G616" s="102"/>
      <c r="H616" s="102"/>
      <c r="I616" s="102"/>
      <c r="J616" s="177"/>
      <c r="K616" s="102"/>
      <c r="L616" s="54"/>
      <c r="M616" s="54"/>
      <c r="N616" s="54"/>
    </row>
    <row r="617">
      <c r="A617" s="54"/>
      <c r="B617" s="350"/>
      <c r="C617" s="350"/>
      <c r="D617" s="102"/>
      <c r="E617" s="102"/>
      <c r="F617" s="102"/>
      <c r="G617" s="102"/>
      <c r="H617" s="102"/>
      <c r="I617" s="102"/>
      <c r="J617" s="177"/>
      <c r="K617" s="102"/>
      <c r="L617" s="54"/>
      <c r="M617" s="54"/>
      <c r="N617" s="54"/>
    </row>
    <row r="618">
      <c r="A618" s="54"/>
      <c r="B618" s="350"/>
      <c r="C618" s="350"/>
      <c r="D618" s="102"/>
      <c r="E618" s="102"/>
      <c r="F618" s="102"/>
      <c r="G618" s="102"/>
      <c r="H618" s="102"/>
      <c r="I618" s="102"/>
      <c r="J618" s="177"/>
      <c r="K618" s="102"/>
      <c r="L618" s="54"/>
      <c r="M618" s="54"/>
      <c r="N618" s="54"/>
    </row>
    <row r="619">
      <c r="A619" s="54"/>
      <c r="B619" s="350"/>
      <c r="C619" s="350"/>
      <c r="D619" s="102"/>
      <c r="E619" s="102"/>
      <c r="F619" s="102"/>
      <c r="G619" s="102"/>
      <c r="H619" s="102"/>
      <c r="I619" s="102"/>
      <c r="J619" s="177"/>
      <c r="K619" s="102"/>
      <c r="L619" s="54"/>
      <c r="M619" s="54"/>
      <c r="N619" s="54"/>
    </row>
    <row r="620">
      <c r="A620" s="54"/>
      <c r="B620" s="350"/>
      <c r="C620" s="350"/>
      <c r="D620" s="102"/>
      <c r="E620" s="102"/>
      <c r="F620" s="102"/>
      <c r="G620" s="102"/>
      <c r="H620" s="102"/>
      <c r="I620" s="102"/>
      <c r="J620" s="177"/>
      <c r="K620" s="102"/>
      <c r="L620" s="54"/>
      <c r="M620" s="54"/>
      <c r="N620" s="54"/>
    </row>
    <row r="621">
      <c r="A621" s="54"/>
      <c r="B621" s="350"/>
      <c r="C621" s="350"/>
      <c r="D621" s="102"/>
      <c r="E621" s="102"/>
      <c r="F621" s="102"/>
      <c r="G621" s="102"/>
      <c r="H621" s="102"/>
      <c r="I621" s="102"/>
      <c r="J621" s="177"/>
      <c r="K621" s="102"/>
      <c r="L621" s="54"/>
      <c r="M621" s="54"/>
      <c r="N621" s="54"/>
    </row>
    <row r="622">
      <c r="A622" s="54"/>
      <c r="B622" s="350"/>
      <c r="C622" s="350"/>
      <c r="D622" s="102"/>
      <c r="E622" s="102"/>
      <c r="F622" s="102"/>
      <c r="G622" s="102"/>
      <c r="H622" s="102"/>
      <c r="I622" s="102"/>
      <c r="J622" s="177"/>
      <c r="K622" s="102"/>
      <c r="L622" s="54"/>
      <c r="M622" s="54"/>
      <c r="N622" s="54"/>
    </row>
    <row r="623">
      <c r="A623" s="54"/>
      <c r="B623" s="350"/>
      <c r="C623" s="350"/>
      <c r="D623" s="102"/>
      <c r="E623" s="102"/>
      <c r="F623" s="102"/>
      <c r="G623" s="102"/>
      <c r="H623" s="102"/>
      <c r="I623" s="102"/>
      <c r="J623" s="177"/>
      <c r="K623" s="102"/>
      <c r="L623" s="54"/>
      <c r="M623" s="54"/>
      <c r="N623" s="54"/>
    </row>
    <row r="624">
      <c r="A624" s="54"/>
      <c r="B624" s="350"/>
      <c r="C624" s="350"/>
      <c r="D624" s="102"/>
      <c r="E624" s="102"/>
      <c r="F624" s="102"/>
      <c r="G624" s="102"/>
      <c r="H624" s="102"/>
      <c r="I624" s="102"/>
      <c r="J624" s="177"/>
      <c r="K624" s="102"/>
      <c r="L624" s="54"/>
      <c r="M624" s="54"/>
      <c r="N624" s="54"/>
    </row>
    <row r="625">
      <c r="A625" s="54"/>
      <c r="B625" s="350"/>
      <c r="C625" s="350"/>
      <c r="D625" s="102"/>
      <c r="E625" s="102"/>
      <c r="F625" s="102"/>
      <c r="G625" s="102"/>
      <c r="H625" s="102"/>
      <c r="I625" s="102"/>
      <c r="J625" s="177"/>
      <c r="K625" s="102"/>
      <c r="L625" s="54"/>
      <c r="M625" s="54"/>
      <c r="N625" s="54"/>
    </row>
    <row r="626">
      <c r="A626" s="54"/>
      <c r="B626" s="350"/>
      <c r="C626" s="350"/>
      <c r="D626" s="102"/>
      <c r="E626" s="102"/>
      <c r="F626" s="102"/>
      <c r="G626" s="102"/>
      <c r="H626" s="102"/>
      <c r="I626" s="102"/>
      <c r="J626" s="177"/>
      <c r="K626" s="102"/>
      <c r="L626" s="54"/>
      <c r="M626" s="54"/>
      <c r="N626" s="54"/>
    </row>
    <row r="627">
      <c r="A627" s="54"/>
      <c r="B627" s="350"/>
      <c r="C627" s="350"/>
      <c r="D627" s="102"/>
      <c r="E627" s="102"/>
      <c r="F627" s="102"/>
      <c r="G627" s="102"/>
      <c r="H627" s="102"/>
      <c r="I627" s="102"/>
      <c r="J627" s="177"/>
      <c r="K627" s="102"/>
      <c r="L627" s="54"/>
      <c r="M627" s="54"/>
      <c r="N627" s="54"/>
    </row>
    <row r="628">
      <c r="A628" s="54"/>
      <c r="B628" s="350"/>
      <c r="C628" s="350"/>
      <c r="D628" s="102"/>
      <c r="E628" s="102"/>
      <c r="F628" s="102"/>
      <c r="G628" s="102"/>
      <c r="H628" s="102"/>
      <c r="I628" s="102"/>
      <c r="J628" s="177"/>
      <c r="K628" s="102"/>
      <c r="L628" s="54"/>
      <c r="M628" s="54"/>
      <c r="N628" s="54"/>
    </row>
    <row r="629">
      <c r="A629" s="54"/>
      <c r="B629" s="350"/>
      <c r="C629" s="350"/>
      <c r="D629" s="102"/>
      <c r="E629" s="102"/>
      <c r="F629" s="102"/>
      <c r="G629" s="102"/>
      <c r="H629" s="102"/>
      <c r="I629" s="102"/>
      <c r="J629" s="177"/>
      <c r="K629" s="102"/>
      <c r="L629" s="54"/>
      <c r="M629" s="54"/>
      <c r="N629" s="54"/>
    </row>
    <row r="630">
      <c r="A630" s="54"/>
      <c r="B630" s="350"/>
      <c r="C630" s="350"/>
      <c r="D630" s="102"/>
      <c r="E630" s="102"/>
      <c r="F630" s="102"/>
      <c r="G630" s="102"/>
      <c r="H630" s="102"/>
      <c r="I630" s="102"/>
      <c r="J630" s="177"/>
      <c r="K630" s="102"/>
      <c r="L630" s="54"/>
      <c r="M630" s="54"/>
      <c r="N630" s="54"/>
    </row>
    <row r="631">
      <c r="A631" s="54"/>
      <c r="B631" s="350"/>
      <c r="C631" s="350"/>
      <c r="D631" s="102"/>
      <c r="E631" s="102"/>
      <c r="F631" s="102"/>
      <c r="G631" s="102"/>
      <c r="H631" s="102"/>
      <c r="I631" s="102"/>
      <c r="J631" s="177"/>
      <c r="K631" s="102"/>
      <c r="L631" s="54"/>
      <c r="M631" s="54"/>
      <c r="N631" s="54"/>
    </row>
    <row r="632">
      <c r="A632" s="54"/>
      <c r="B632" s="350"/>
      <c r="C632" s="350"/>
      <c r="D632" s="102"/>
      <c r="E632" s="102"/>
      <c r="F632" s="102"/>
      <c r="G632" s="102"/>
      <c r="H632" s="102"/>
      <c r="I632" s="102"/>
      <c r="J632" s="177"/>
      <c r="K632" s="102"/>
      <c r="L632" s="54"/>
      <c r="M632" s="54"/>
      <c r="N632" s="54"/>
    </row>
    <row r="633">
      <c r="A633" s="54"/>
      <c r="B633" s="350"/>
      <c r="C633" s="350"/>
      <c r="D633" s="102"/>
      <c r="E633" s="102"/>
      <c r="F633" s="102"/>
      <c r="G633" s="102"/>
      <c r="H633" s="102"/>
      <c r="I633" s="102"/>
      <c r="J633" s="177"/>
      <c r="K633" s="102"/>
      <c r="L633" s="54"/>
      <c r="M633" s="54"/>
      <c r="N633" s="54"/>
    </row>
    <row r="634">
      <c r="A634" s="54"/>
      <c r="B634" s="350"/>
      <c r="C634" s="350"/>
      <c r="D634" s="102"/>
      <c r="E634" s="102"/>
      <c r="F634" s="102"/>
      <c r="G634" s="102"/>
      <c r="H634" s="102"/>
      <c r="I634" s="102"/>
      <c r="J634" s="177"/>
      <c r="K634" s="102"/>
      <c r="L634" s="54"/>
      <c r="M634" s="54"/>
      <c r="N634" s="54"/>
    </row>
    <row r="635">
      <c r="A635" s="54"/>
      <c r="B635" s="350"/>
      <c r="C635" s="350"/>
      <c r="D635" s="102"/>
      <c r="E635" s="102"/>
      <c r="F635" s="102"/>
      <c r="G635" s="102"/>
      <c r="H635" s="102"/>
      <c r="I635" s="102"/>
      <c r="J635" s="177"/>
      <c r="K635" s="102"/>
      <c r="L635" s="54"/>
      <c r="M635" s="54"/>
      <c r="N635" s="54"/>
    </row>
    <row r="636">
      <c r="A636" s="54"/>
      <c r="B636" s="350"/>
      <c r="C636" s="350"/>
      <c r="D636" s="102"/>
      <c r="E636" s="102"/>
      <c r="F636" s="102"/>
      <c r="G636" s="102"/>
      <c r="H636" s="102"/>
      <c r="I636" s="102"/>
      <c r="J636" s="177"/>
      <c r="K636" s="102"/>
      <c r="L636" s="54"/>
      <c r="M636" s="54"/>
      <c r="N636" s="54"/>
    </row>
    <row r="637">
      <c r="A637" s="54"/>
      <c r="B637" s="350"/>
      <c r="C637" s="350"/>
      <c r="D637" s="102"/>
      <c r="E637" s="102"/>
      <c r="F637" s="102"/>
      <c r="G637" s="102"/>
      <c r="H637" s="102"/>
      <c r="I637" s="102"/>
      <c r="J637" s="177"/>
      <c r="K637" s="102"/>
      <c r="L637" s="54"/>
      <c r="M637" s="54"/>
      <c r="N637" s="54"/>
    </row>
    <row r="638">
      <c r="A638" s="54"/>
      <c r="B638" s="350"/>
      <c r="C638" s="350"/>
      <c r="D638" s="102"/>
      <c r="E638" s="102"/>
      <c r="F638" s="102"/>
      <c r="G638" s="102"/>
      <c r="H638" s="102"/>
      <c r="I638" s="102"/>
      <c r="J638" s="177"/>
      <c r="K638" s="102"/>
      <c r="L638" s="54"/>
      <c r="M638" s="54"/>
      <c r="N638" s="54"/>
    </row>
    <row r="639">
      <c r="A639" s="54"/>
      <c r="B639" s="350"/>
      <c r="C639" s="350"/>
      <c r="D639" s="102"/>
      <c r="E639" s="102"/>
      <c r="F639" s="102"/>
      <c r="G639" s="102"/>
      <c r="H639" s="102"/>
      <c r="I639" s="102"/>
      <c r="J639" s="177"/>
      <c r="K639" s="102"/>
      <c r="L639" s="54"/>
      <c r="M639" s="54"/>
      <c r="N639" s="54"/>
    </row>
    <row r="640">
      <c r="A640" s="54"/>
      <c r="B640" s="350"/>
      <c r="C640" s="350"/>
      <c r="D640" s="102"/>
      <c r="E640" s="102"/>
      <c r="F640" s="102"/>
      <c r="G640" s="102"/>
      <c r="H640" s="102"/>
      <c r="I640" s="102"/>
      <c r="J640" s="177"/>
      <c r="K640" s="102"/>
      <c r="L640" s="54"/>
      <c r="M640" s="54"/>
      <c r="N640" s="54"/>
    </row>
    <row r="641">
      <c r="A641" s="54"/>
      <c r="B641" s="350"/>
      <c r="C641" s="350"/>
      <c r="D641" s="102"/>
      <c r="E641" s="102"/>
      <c r="F641" s="102"/>
      <c r="G641" s="102"/>
      <c r="H641" s="102"/>
      <c r="I641" s="102"/>
      <c r="J641" s="177"/>
      <c r="K641" s="102"/>
      <c r="L641" s="54"/>
      <c r="M641" s="54"/>
      <c r="N641" s="54"/>
    </row>
    <row r="642">
      <c r="A642" s="54"/>
      <c r="B642" s="350"/>
      <c r="C642" s="350"/>
      <c r="D642" s="102"/>
      <c r="E642" s="102"/>
      <c r="F642" s="102"/>
      <c r="G642" s="102"/>
      <c r="H642" s="102"/>
      <c r="I642" s="102"/>
      <c r="J642" s="177"/>
      <c r="K642" s="102"/>
      <c r="L642" s="54"/>
      <c r="M642" s="54"/>
      <c r="N642" s="54"/>
    </row>
    <row r="643">
      <c r="A643" s="54"/>
      <c r="B643" s="350"/>
      <c r="C643" s="350"/>
      <c r="D643" s="102"/>
      <c r="E643" s="102"/>
      <c r="F643" s="102"/>
      <c r="G643" s="102"/>
      <c r="H643" s="102"/>
      <c r="I643" s="102"/>
      <c r="J643" s="177"/>
      <c r="K643" s="102"/>
      <c r="L643" s="54"/>
      <c r="M643" s="54"/>
      <c r="N643" s="54"/>
    </row>
    <row r="644">
      <c r="A644" s="54"/>
      <c r="B644" s="350"/>
      <c r="C644" s="350"/>
      <c r="D644" s="102"/>
      <c r="E644" s="102"/>
      <c r="F644" s="102"/>
      <c r="G644" s="102"/>
      <c r="H644" s="102"/>
      <c r="I644" s="102"/>
      <c r="J644" s="177"/>
      <c r="K644" s="102"/>
      <c r="L644" s="54"/>
      <c r="M644" s="54"/>
      <c r="N644" s="54"/>
    </row>
    <row r="645">
      <c r="A645" s="54"/>
      <c r="B645" s="350"/>
      <c r="C645" s="350"/>
      <c r="D645" s="102"/>
      <c r="E645" s="102"/>
      <c r="F645" s="102"/>
      <c r="G645" s="102"/>
      <c r="H645" s="102"/>
      <c r="I645" s="102"/>
      <c r="J645" s="177"/>
      <c r="K645" s="102"/>
      <c r="L645" s="54"/>
      <c r="M645" s="54"/>
      <c r="N645" s="54"/>
    </row>
    <row r="646">
      <c r="A646" s="54"/>
      <c r="B646" s="350"/>
      <c r="C646" s="350"/>
      <c r="D646" s="102"/>
      <c r="E646" s="102"/>
      <c r="F646" s="102"/>
      <c r="G646" s="102"/>
      <c r="H646" s="102"/>
      <c r="I646" s="102"/>
      <c r="J646" s="177"/>
      <c r="K646" s="102"/>
      <c r="L646" s="54"/>
      <c r="M646" s="54"/>
      <c r="N646" s="54"/>
    </row>
    <row r="647">
      <c r="A647" s="54"/>
      <c r="B647" s="350"/>
      <c r="C647" s="350"/>
      <c r="D647" s="102"/>
      <c r="E647" s="102"/>
      <c r="F647" s="102"/>
      <c r="G647" s="102"/>
      <c r="H647" s="102"/>
      <c r="I647" s="102"/>
      <c r="J647" s="177"/>
      <c r="K647" s="102"/>
      <c r="L647" s="54"/>
      <c r="M647" s="54"/>
      <c r="N647" s="54"/>
    </row>
    <row r="648">
      <c r="A648" s="54"/>
      <c r="B648" s="350"/>
      <c r="C648" s="350"/>
      <c r="D648" s="102"/>
      <c r="E648" s="102"/>
      <c r="F648" s="102"/>
      <c r="G648" s="102"/>
      <c r="H648" s="102"/>
      <c r="I648" s="102"/>
      <c r="J648" s="177"/>
      <c r="K648" s="102"/>
      <c r="L648" s="54"/>
      <c r="M648" s="54"/>
      <c r="N648" s="54"/>
    </row>
    <row r="649">
      <c r="A649" s="54"/>
      <c r="B649" s="350"/>
      <c r="C649" s="350"/>
      <c r="D649" s="102"/>
      <c r="E649" s="102"/>
      <c r="F649" s="102"/>
      <c r="G649" s="102"/>
      <c r="H649" s="102"/>
      <c r="I649" s="102"/>
      <c r="J649" s="177"/>
      <c r="K649" s="102"/>
      <c r="L649" s="54"/>
      <c r="M649" s="54"/>
      <c r="N649" s="54"/>
    </row>
    <row r="650">
      <c r="A650" s="54"/>
      <c r="B650" s="350"/>
      <c r="C650" s="350"/>
      <c r="D650" s="102"/>
      <c r="E650" s="102"/>
      <c r="F650" s="102"/>
      <c r="G650" s="102"/>
      <c r="H650" s="102"/>
      <c r="I650" s="102"/>
      <c r="J650" s="177"/>
      <c r="K650" s="102"/>
      <c r="L650" s="54"/>
      <c r="M650" s="54"/>
      <c r="N650" s="54"/>
    </row>
    <row r="651">
      <c r="A651" s="54"/>
      <c r="B651" s="350"/>
      <c r="C651" s="350"/>
      <c r="D651" s="102"/>
      <c r="E651" s="102"/>
      <c r="F651" s="102"/>
      <c r="G651" s="102"/>
      <c r="H651" s="102"/>
      <c r="I651" s="102"/>
      <c r="J651" s="177"/>
      <c r="K651" s="102"/>
      <c r="L651" s="54"/>
      <c r="M651" s="54"/>
      <c r="N651" s="54"/>
    </row>
    <row r="652">
      <c r="A652" s="54"/>
      <c r="B652" s="350"/>
      <c r="C652" s="350"/>
      <c r="D652" s="102"/>
      <c r="E652" s="102"/>
      <c r="F652" s="102"/>
      <c r="G652" s="102"/>
      <c r="H652" s="102"/>
      <c r="I652" s="102"/>
      <c r="J652" s="177"/>
      <c r="K652" s="102"/>
      <c r="L652" s="54"/>
      <c r="M652" s="54"/>
      <c r="N652" s="54"/>
    </row>
    <row r="653">
      <c r="A653" s="54"/>
      <c r="B653" s="350"/>
      <c r="C653" s="350"/>
      <c r="D653" s="102"/>
      <c r="E653" s="102"/>
      <c r="F653" s="102"/>
      <c r="G653" s="102"/>
      <c r="H653" s="102"/>
      <c r="I653" s="102"/>
      <c r="J653" s="177"/>
      <c r="K653" s="102"/>
      <c r="L653" s="54"/>
      <c r="M653" s="54"/>
      <c r="N653" s="54"/>
    </row>
    <row r="654">
      <c r="A654" s="54"/>
      <c r="B654" s="350"/>
      <c r="C654" s="350"/>
      <c r="D654" s="102"/>
      <c r="E654" s="102"/>
      <c r="F654" s="102"/>
      <c r="G654" s="102"/>
      <c r="H654" s="102"/>
      <c r="I654" s="102"/>
      <c r="J654" s="177"/>
      <c r="K654" s="102"/>
      <c r="L654" s="54"/>
      <c r="M654" s="54"/>
      <c r="N654" s="54"/>
    </row>
    <row r="655">
      <c r="A655" s="54"/>
      <c r="B655" s="350"/>
      <c r="C655" s="350"/>
      <c r="D655" s="102"/>
      <c r="E655" s="102"/>
      <c r="F655" s="102"/>
      <c r="G655" s="102"/>
      <c r="H655" s="102"/>
      <c r="I655" s="102"/>
      <c r="J655" s="177"/>
      <c r="K655" s="102"/>
      <c r="L655" s="54"/>
      <c r="M655" s="54"/>
      <c r="N655" s="54"/>
    </row>
    <row r="656">
      <c r="A656" s="54"/>
      <c r="B656" s="350"/>
      <c r="C656" s="350"/>
      <c r="D656" s="102"/>
      <c r="E656" s="102"/>
      <c r="F656" s="102"/>
      <c r="G656" s="102"/>
      <c r="H656" s="102"/>
      <c r="I656" s="102"/>
      <c r="J656" s="177"/>
      <c r="K656" s="102"/>
      <c r="L656" s="54"/>
      <c r="M656" s="54"/>
      <c r="N656" s="54"/>
    </row>
    <row r="657">
      <c r="A657" s="54"/>
      <c r="B657" s="350"/>
      <c r="C657" s="350"/>
      <c r="D657" s="102"/>
      <c r="E657" s="102"/>
      <c r="F657" s="102"/>
      <c r="G657" s="102"/>
      <c r="H657" s="102"/>
      <c r="I657" s="102"/>
      <c r="J657" s="177"/>
      <c r="K657" s="102"/>
      <c r="L657" s="54"/>
      <c r="M657" s="54"/>
      <c r="N657" s="54"/>
    </row>
    <row r="658">
      <c r="A658" s="54"/>
      <c r="B658" s="350"/>
      <c r="C658" s="350"/>
      <c r="D658" s="102"/>
      <c r="E658" s="102"/>
      <c r="F658" s="102"/>
      <c r="G658" s="102"/>
      <c r="H658" s="102"/>
      <c r="I658" s="102"/>
      <c r="J658" s="177"/>
      <c r="K658" s="102"/>
      <c r="L658" s="54"/>
      <c r="M658" s="54"/>
      <c r="N658" s="54"/>
    </row>
    <row r="659">
      <c r="A659" s="54"/>
      <c r="B659" s="350"/>
      <c r="C659" s="350"/>
      <c r="D659" s="102"/>
      <c r="E659" s="102"/>
      <c r="F659" s="102"/>
      <c r="G659" s="102"/>
      <c r="H659" s="102"/>
      <c r="I659" s="102"/>
      <c r="J659" s="177"/>
      <c r="K659" s="102"/>
      <c r="L659" s="54"/>
      <c r="M659" s="54"/>
      <c r="N659" s="54"/>
    </row>
    <row r="660">
      <c r="A660" s="54"/>
      <c r="B660" s="350"/>
      <c r="C660" s="350"/>
      <c r="D660" s="102"/>
      <c r="E660" s="102"/>
      <c r="F660" s="102"/>
      <c r="G660" s="102"/>
      <c r="H660" s="102"/>
      <c r="I660" s="102"/>
      <c r="J660" s="177"/>
      <c r="K660" s="102"/>
      <c r="L660" s="54"/>
      <c r="M660" s="54"/>
      <c r="N660" s="54"/>
    </row>
    <row r="661">
      <c r="A661" s="54"/>
      <c r="B661" s="350"/>
      <c r="C661" s="350"/>
      <c r="D661" s="102"/>
      <c r="E661" s="102"/>
      <c r="F661" s="102"/>
      <c r="G661" s="102"/>
      <c r="H661" s="102"/>
      <c r="I661" s="102"/>
      <c r="J661" s="177"/>
      <c r="K661" s="102"/>
      <c r="L661" s="54"/>
      <c r="M661" s="54"/>
      <c r="N661" s="54"/>
    </row>
    <row r="662">
      <c r="A662" s="54"/>
      <c r="B662" s="350"/>
      <c r="C662" s="350"/>
      <c r="D662" s="102"/>
      <c r="E662" s="102"/>
      <c r="F662" s="102"/>
      <c r="G662" s="102"/>
      <c r="H662" s="102"/>
      <c r="I662" s="102"/>
      <c r="J662" s="177"/>
      <c r="K662" s="102"/>
      <c r="L662" s="54"/>
      <c r="M662" s="54"/>
      <c r="N662" s="54"/>
    </row>
    <row r="663">
      <c r="A663" s="54"/>
      <c r="B663" s="350"/>
      <c r="C663" s="350"/>
      <c r="D663" s="102"/>
      <c r="E663" s="102"/>
      <c r="F663" s="102"/>
      <c r="G663" s="102"/>
      <c r="H663" s="102"/>
      <c r="I663" s="102"/>
      <c r="J663" s="177"/>
      <c r="K663" s="102"/>
      <c r="L663" s="54"/>
      <c r="M663" s="54"/>
      <c r="N663" s="54"/>
    </row>
    <row r="664">
      <c r="A664" s="54"/>
      <c r="B664" s="350"/>
      <c r="C664" s="350"/>
      <c r="D664" s="102"/>
      <c r="E664" s="102"/>
      <c r="F664" s="102"/>
      <c r="G664" s="102"/>
      <c r="H664" s="102"/>
      <c r="I664" s="102"/>
      <c r="J664" s="177"/>
      <c r="K664" s="102"/>
      <c r="L664" s="54"/>
      <c r="M664" s="54"/>
      <c r="N664" s="54"/>
    </row>
    <row r="665">
      <c r="A665" s="54"/>
      <c r="B665" s="350"/>
      <c r="C665" s="350"/>
      <c r="D665" s="102"/>
      <c r="E665" s="102"/>
      <c r="F665" s="102"/>
      <c r="G665" s="102"/>
      <c r="H665" s="102"/>
      <c r="I665" s="102"/>
      <c r="J665" s="177"/>
      <c r="K665" s="102"/>
      <c r="L665" s="54"/>
      <c r="M665" s="54"/>
      <c r="N665" s="54"/>
    </row>
    <row r="666">
      <c r="A666" s="54"/>
      <c r="B666" s="350"/>
      <c r="C666" s="350"/>
      <c r="D666" s="102"/>
      <c r="E666" s="102"/>
      <c r="F666" s="102"/>
      <c r="G666" s="102"/>
      <c r="H666" s="102"/>
      <c r="I666" s="102"/>
      <c r="J666" s="177"/>
      <c r="K666" s="102"/>
      <c r="L666" s="54"/>
      <c r="M666" s="54"/>
      <c r="N666" s="54"/>
    </row>
    <row r="667">
      <c r="A667" s="54"/>
      <c r="B667" s="350"/>
      <c r="C667" s="350"/>
      <c r="D667" s="102"/>
      <c r="E667" s="102"/>
      <c r="F667" s="102"/>
      <c r="G667" s="102"/>
      <c r="H667" s="102"/>
      <c r="I667" s="102"/>
      <c r="J667" s="177"/>
      <c r="K667" s="102"/>
      <c r="L667" s="54"/>
      <c r="M667" s="54"/>
      <c r="N667" s="54"/>
    </row>
    <row r="668">
      <c r="A668" s="54"/>
      <c r="B668" s="350"/>
      <c r="C668" s="350"/>
      <c r="D668" s="102"/>
      <c r="E668" s="102"/>
      <c r="F668" s="102"/>
      <c r="G668" s="102"/>
      <c r="H668" s="102"/>
      <c r="I668" s="102"/>
      <c r="J668" s="177"/>
      <c r="K668" s="102"/>
      <c r="L668" s="54"/>
      <c r="M668" s="54"/>
      <c r="N668" s="54"/>
    </row>
    <row r="669">
      <c r="A669" s="54"/>
      <c r="B669" s="350"/>
      <c r="C669" s="350"/>
      <c r="D669" s="102"/>
      <c r="E669" s="102"/>
      <c r="F669" s="102"/>
      <c r="G669" s="102"/>
      <c r="H669" s="102"/>
      <c r="I669" s="102"/>
      <c r="J669" s="177"/>
      <c r="K669" s="102"/>
      <c r="L669" s="54"/>
      <c r="M669" s="54"/>
      <c r="N669" s="54"/>
    </row>
    <row r="670">
      <c r="A670" s="54"/>
      <c r="B670" s="350"/>
      <c r="C670" s="350"/>
      <c r="D670" s="102"/>
      <c r="E670" s="102"/>
      <c r="F670" s="102"/>
      <c r="G670" s="102"/>
      <c r="H670" s="102"/>
      <c r="I670" s="102"/>
      <c r="J670" s="177"/>
      <c r="K670" s="102"/>
      <c r="L670" s="54"/>
      <c r="M670" s="54"/>
      <c r="N670" s="54"/>
    </row>
    <row r="671">
      <c r="A671" s="54"/>
      <c r="B671" s="350"/>
      <c r="C671" s="350"/>
      <c r="D671" s="102"/>
      <c r="E671" s="102"/>
      <c r="F671" s="102"/>
      <c r="G671" s="102"/>
      <c r="H671" s="102"/>
      <c r="I671" s="102"/>
      <c r="J671" s="177"/>
      <c r="K671" s="102"/>
      <c r="L671" s="54"/>
      <c r="M671" s="54"/>
      <c r="N671" s="54"/>
    </row>
    <row r="672">
      <c r="A672" s="54"/>
      <c r="B672" s="350"/>
      <c r="C672" s="350"/>
      <c r="D672" s="102"/>
      <c r="E672" s="102"/>
      <c r="F672" s="102"/>
      <c r="G672" s="102"/>
      <c r="H672" s="102"/>
      <c r="I672" s="102"/>
      <c r="J672" s="177"/>
      <c r="K672" s="102"/>
      <c r="L672" s="54"/>
      <c r="M672" s="54"/>
      <c r="N672" s="54"/>
    </row>
    <row r="673">
      <c r="A673" s="54"/>
      <c r="B673" s="350"/>
      <c r="C673" s="350"/>
      <c r="D673" s="102"/>
      <c r="E673" s="102"/>
      <c r="F673" s="102"/>
      <c r="G673" s="102"/>
      <c r="H673" s="102"/>
      <c r="I673" s="102"/>
      <c r="J673" s="177"/>
      <c r="K673" s="102"/>
      <c r="L673" s="54"/>
      <c r="M673" s="54"/>
      <c r="N673" s="54"/>
    </row>
    <row r="674">
      <c r="A674" s="54"/>
      <c r="B674" s="350"/>
      <c r="C674" s="350"/>
      <c r="D674" s="102"/>
      <c r="E674" s="102"/>
      <c r="F674" s="102"/>
      <c r="G674" s="102"/>
      <c r="H674" s="102"/>
      <c r="I674" s="102"/>
      <c r="J674" s="177"/>
      <c r="K674" s="102"/>
      <c r="L674" s="54"/>
      <c r="M674" s="54"/>
      <c r="N674" s="54"/>
    </row>
    <row r="675">
      <c r="A675" s="54"/>
      <c r="B675" s="350"/>
      <c r="C675" s="350"/>
      <c r="D675" s="102"/>
      <c r="E675" s="102"/>
      <c r="F675" s="102"/>
      <c r="G675" s="102"/>
      <c r="H675" s="102"/>
      <c r="I675" s="102"/>
      <c r="J675" s="177"/>
      <c r="K675" s="102"/>
      <c r="L675" s="54"/>
      <c r="M675" s="54"/>
      <c r="N675" s="54"/>
    </row>
    <row r="676">
      <c r="A676" s="54"/>
      <c r="B676" s="350"/>
      <c r="C676" s="350"/>
      <c r="D676" s="102"/>
      <c r="E676" s="102"/>
      <c r="F676" s="102"/>
      <c r="G676" s="102"/>
      <c r="H676" s="102"/>
      <c r="I676" s="102"/>
      <c r="J676" s="177"/>
      <c r="K676" s="102"/>
      <c r="L676" s="54"/>
      <c r="M676" s="54"/>
      <c r="N676" s="54"/>
    </row>
    <row r="677">
      <c r="A677" s="54"/>
      <c r="B677" s="350"/>
      <c r="C677" s="350"/>
      <c r="D677" s="102"/>
      <c r="E677" s="102"/>
      <c r="F677" s="102"/>
      <c r="G677" s="102"/>
      <c r="H677" s="102"/>
      <c r="I677" s="102"/>
      <c r="J677" s="177"/>
      <c r="K677" s="102"/>
      <c r="L677" s="54"/>
      <c r="M677" s="54"/>
      <c r="N677" s="54"/>
    </row>
    <row r="678">
      <c r="A678" s="54"/>
      <c r="B678" s="350"/>
      <c r="C678" s="350"/>
      <c r="D678" s="102"/>
      <c r="E678" s="102"/>
      <c r="F678" s="102"/>
      <c r="G678" s="102"/>
      <c r="H678" s="102"/>
      <c r="I678" s="102"/>
      <c r="J678" s="177"/>
      <c r="K678" s="102"/>
      <c r="L678" s="54"/>
      <c r="M678" s="54"/>
      <c r="N678" s="54"/>
    </row>
    <row r="679">
      <c r="A679" s="54"/>
      <c r="B679" s="350"/>
      <c r="C679" s="350"/>
      <c r="D679" s="102"/>
      <c r="E679" s="102"/>
      <c r="F679" s="102"/>
      <c r="G679" s="102"/>
      <c r="H679" s="102"/>
      <c r="I679" s="102"/>
      <c r="J679" s="177"/>
      <c r="K679" s="102"/>
      <c r="L679" s="54"/>
      <c r="M679" s="54"/>
      <c r="N679" s="54"/>
    </row>
    <row r="680">
      <c r="A680" s="54"/>
      <c r="B680" s="350"/>
      <c r="C680" s="350"/>
      <c r="D680" s="102"/>
      <c r="E680" s="102"/>
      <c r="F680" s="102"/>
      <c r="G680" s="102"/>
      <c r="H680" s="102"/>
      <c r="I680" s="102"/>
      <c r="J680" s="177"/>
      <c r="K680" s="102"/>
      <c r="L680" s="54"/>
      <c r="M680" s="54"/>
      <c r="N680" s="54"/>
    </row>
    <row r="681">
      <c r="A681" s="54"/>
      <c r="B681" s="350"/>
      <c r="C681" s="350"/>
      <c r="D681" s="102"/>
      <c r="E681" s="102"/>
      <c r="F681" s="102"/>
      <c r="G681" s="102"/>
      <c r="H681" s="102"/>
      <c r="I681" s="102"/>
      <c r="J681" s="177"/>
      <c r="K681" s="102"/>
      <c r="L681" s="54"/>
      <c r="M681" s="54"/>
      <c r="N681" s="54"/>
    </row>
    <row r="682">
      <c r="A682" s="54"/>
      <c r="B682" s="350"/>
      <c r="C682" s="350"/>
      <c r="D682" s="102"/>
      <c r="E682" s="102"/>
      <c r="F682" s="102"/>
      <c r="G682" s="102"/>
      <c r="H682" s="102"/>
      <c r="I682" s="102"/>
      <c r="J682" s="177"/>
      <c r="K682" s="102"/>
      <c r="L682" s="54"/>
      <c r="M682" s="54"/>
      <c r="N682" s="54"/>
    </row>
    <row r="683">
      <c r="A683" s="54"/>
      <c r="B683" s="350"/>
      <c r="C683" s="350"/>
      <c r="D683" s="102"/>
      <c r="E683" s="102"/>
      <c r="F683" s="102"/>
      <c r="G683" s="102"/>
      <c r="H683" s="102"/>
      <c r="I683" s="102"/>
      <c r="J683" s="177"/>
      <c r="K683" s="102"/>
      <c r="L683" s="54"/>
      <c r="M683" s="54"/>
      <c r="N683" s="54"/>
    </row>
    <row r="684">
      <c r="A684" s="54"/>
      <c r="B684" s="350"/>
      <c r="C684" s="350"/>
      <c r="D684" s="102"/>
      <c r="E684" s="102"/>
      <c r="F684" s="102"/>
      <c r="G684" s="102"/>
      <c r="H684" s="102"/>
      <c r="I684" s="102"/>
      <c r="J684" s="177"/>
      <c r="K684" s="102"/>
      <c r="L684" s="54"/>
      <c r="M684" s="54"/>
      <c r="N684" s="54"/>
    </row>
    <row r="685">
      <c r="A685" s="54"/>
      <c r="B685" s="350"/>
      <c r="C685" s="350"/>
      <c r="D685" s="102"/>
      <c r="E685" s="102"/>
      <c r="F685" s="102"/>
      <c r="G685" s="102"/>
      <c r="H685" s="102"/>
      <c r="I685" s="102"/>
      <c r="J685" s="177"/>
      <c r="K685" s="102"/>
      <c r="L685" s="54"/>
      <c r="M685" s="54"/>
      <c r="N685" s="54"/>
    </row>
    <row r="686">
      <c r="A686" s="54"/>
      <c r="B686" s="350"/>
      <c r="C686" s="350"/>
      <c r="D686" s="102"/>
      <c r="E686" s="102"/>
      <c r="F686" s="102"/>
      <c r="G686" s="102"/>
      <c r="H686" s="102"/>
      <c r="I686" s="102"/>
      <c r="J686" s="177"/>
      <c r="K686" s="102"/>
      <c r="L686" s="54"/>
      <c r="M686" s="54"/>
      <c r="N686" s="54"/>
    </row>
    <row r="687">
      <c r="A687" s="54"/>
      <c r="B687" s="350"/>
      <c r="C687" s="350"/>
      <c r="D687" s="102"/>
      <c r="E687" s="102"/>
      <c r="F687" s="102"/>
      <c r="G687" s="102"/>
      <c r="H687" s="102"/>
      <c r="I687" s="102"/>
      <c r="J687" s="177"/>
      <c r="K687" s="102"/>
      <c r="L687" s="54"/>
      <c r="M687" s="54"/>
      <c r="N687" s="54"/>
    </row>
    <row r="688">
      <c r="A688" s="54"/>
      <c r="B688" s="350"/>
      <c r="C688" s="350"/>
      <c r="D688" s="102"/>
      <c r="E688" s="102"/>
      <c r="F688" s="102"/>
      <c r="G688" s="102"/>
      <c r="H688" s="102"/>
      <c r="I688" s="102"/>
      <c r="J688" s="177"/>
      <c r="K688" s="102"/>
      <c r="L688" s="54"/>
      <c r="M688" s="54"/>
      <c r="N688" s="54"/>
    </row>
    <row r="689">
      <c r="A689" s="54"/>
      <c r="B689" s="350"/>
      <c r="C689" s="350"/>
      <c r="D689" s="102"/>
      <c r="E689" s="102"/>
      <c r="F689" s="102"/>
      <c r="G689" s="102"/>
      <c r="H689" s="102"/>
      <c r="I689" s="102"/>
      <c r="J689" s="177"/>
      <c r="K689" s="102"/>
      <c r="L689" s="54"/>
      <c r="M689" s="54"/>
      <c r="N689" s="54"/>
    </row>
    <row r="690">
      <c r="A690" s="54"/>
      <c r="B690" s="350"/>
      <c r="C690" s="350"/>
      <c r="D690" s="102"/>
      <c r="E690" s="102"/>
      <c r="F690" s="102"/>
      <c r="G690" s="102"/>
      <c r="H690" s="102"/>
      <c r="I690" s="102"/>
      <c r="J690" s="177"/>
      <c r="K690" s="102"/>
      <c r="L690" s="54"/>
      <c r="M690" s="54"/>
      <c r="N690" s="54"/>
    </row>
    <row r="691">
      <c r="A691" s="54"/>
      <c r="B691" s="350"/>
      <c r="C691" s="350"/>
      <c r="D691" s="102"/>
      <c r="E691" s="102"/>
      <c r="F691" s="102"/>
      <c r="G691" s="102"/>
      <c r="H691" s="102"/>
      <c r="I691" s="102"/>
      <c r="J691" s="177"/>
      <c r="K691" s="102"/>
      <c r="L691" s="54"/>
      <c r="M691" s="54"/>
      <c r="N691" s="54"/>
    </row>
    <row r="692">
      <c r="A692" s="54"/>
      <c r="B692" s="350"/>
      <c r="C692" s="350"/>
      <c r="D692" s="102"/>
      <c r="E692" s="102"/>
      <c r="F692" s="102"/>
      <c r="G692" s="102"/>
      <c r="H692" s="102"/>
      <c r="I692" s="102"/>
      <c r="J692" s="177"/>
      <c r="K692" s="102"/>
      <c r="L692" s="54"/>
      <c r="M692" s="54"/>
      <c r="N692" s="54"/>
    </row>
    <row r="693">
      <c r="A693" s="54"/>
      <c r="B693" s="350"/>
      <c r="C693" s="350"/>
      <c r="D693" s="102"/>
      <c r="E693" s="102"/>
      <c r="F693" s="102"/>
      <c r="G693" s="102"/>
      <c r="H693" s="102"/>
      <c r="I693" s="102"/>
      <c r="J693" s="177"/>
      <c r="K693" s="102"/>
      <c r="L693" s="54"/>
      <c r="M693" s="54"/>
      <c r="N693" s="54"/>
    </row>
    <row r="694">
      <c r="A694" s="54"/>
      <c r="B694" s="350"/>
      <c r="C694" s="350"/>
      <c r="D694" s="102"/>
      <c r="E694" s="102"/>
      <c r="F694" s="102"/>
      <c r="G694" s="102"/>
      <c r="H694" s="102"/>
      <c r="I694" s="102"/>
      <c r="J694" s="177"/>
      <c r="K694" s="102"/>
      <c r="L694" s="54"/>
      <c r="M694" s="54"/>
      <c r="N694" s="54"/>
    </row>
    <row r="695">
      <c r="A695" s="54"/>
      <c r="B695" s="350"/>
      <c r="C695" s="350"/>
      <c r="D695" s="102"/>
      <c r="E695" s="102"/>
      <c r="F695" s="102"/>
      <c r="G695" s="102"/>
      <c r="H695" s="102"/>
      <c r="I695" s="102"/>
      <c r="J695" s="177"/>
      <c r="K695" s="102"/>
      <c r="L695" s="54"/>
      <c r="M695" s="54"/>
      <c r="N695" s="54"/>
    </row>
    <row r="696">
      <c r="A696" s="54"/>
      <c r="B696" s="350"/>
      <c r="C696" s="350"/>
      <c r="D696" s="102"/>
      <c r="E696" s="102"/>
      <c r="F696" s="102"/>
      <c r="G696" s="102"/>
      <c r="H696" s="102"/>
      <c r="I696" s="102"/>
      <c r="J696" s="177"/>
      <c r="K696" s="102"/>
      <c r="L696" s="54"/>
      <c r="M696" s="54"/>
      <c r="N696" s="54"/>
    </row>
    <row r="697">
      <c r="A697" s="54"/>
      <c r="B697" s="350"/>
      <c r="C697" s="350"/>
      <c r="D697" s="102"/>
      <c r="E697" s="102"/>
      <c r="F697" s="102"/>
      <c r="G697" s="102"/>
      <c r="H697" s="102"/>
      <c r="I697" s="102"/>
      <c r="J697" s="177"/>
      <c r="K697" s="102"/>
      <c r="L697" s="54"/>
      <c r="M697" s="54"/>
      <c r="N697" s="54"/>
    </row>
    <row r="698">
      <c r="A698" s="54"/>
      <c r="B698" s="350"/>
      <c r="C698" s="350"/>
      <c r="D698" s="102"/>
      <c r="E698" s="102"/>
      <c r="F698" s="102"/>
      <c r="G698" s="102"/>
      <c r="H698" s="102"/>
      <c r="I698" s="102"/>
      <c r="J698" s="177"/>
      <c r="K698" s="102"/>
      <c r="L698" s="54"/>
      <c r="M698" s="54"/>
      <c r="N698" s="54"/>
    </row>
    <row r="699">
      <c r="A699" s="54"/>
      <c r="B699" s="350"/>
      <c r="C699" s="350"/>
      <c r="D699" s="102"/>
      <c r="E699" s="102"/>
      <c r="F699" s="102"/>
      <c r="G699" s="102"/>
      <c r="H699" s="102"/>
      <c r="I699" s="102"/>
      <c r="J699" s="177"/>
      <c r="K699" s="102"/>
      <c r="L699" s="54"/>
      <c r="M699" s="54"/>
      <c r="N699" s="54"/>
    </row>
    <row r="700">
      <c r="A700" s="54"/>
      <c r="B700" s="350"/>
      <c r="C700" s="350"/>
      <c r="D700" s="102"/>
      <c r="E700" s="102"/>
      <c r="F700" s="102"/>
      <c r="G700" s="102"/>
      <c r="H700" s="102"/>
      <c r="I700" s="102"/>
      <c r="J700" s="177"/>
      <c r="K700" s="102"/>
      <c r="L700" s="54"/>
      <c r="M700" s="54"/>
      <c r="N700" s="54"/>
    </row>
    <row r="701">
      <c r="A701" s="54"/>
      <c r="B701" s="350"/>
      <c r="C701" s="350"/>
      <c r="D701" s="102"/>
      <c r="E701" s="102"/>
      <c r="F701" s="102"/>
      <c r="G701" s="102"/>
      <c r="H701" s="102"/>
      <c r="I701" s="102"/>
      <c r="J701" s="177"/>
      <c r="K701" s="102"/>
      <c r="L701" s="54"/>
      <c r="M701" s="54"/>
      <c r="N701" s="54"/>
    </row>
    <row r="702">
      <c r="A702" s="54"/>
      <c r="B702" s="350"/>
      <c r="C702" s="350"/>
      <c r="D702" s="102"/>
      <c r="E702" s="102"/>
      <c r="F702" s="102"/>
      <c r="G702" s="102"/>
      <c r="H702" s="102"/>
      <c r="I702" s="102"/>
      <c r="J702" s="177"/>
      <c r="K702" s="102"/>
      <c r="L702" s="54"/>
      <c r="M702" s="54"/>
      <c r="N702" s="54"/>
    </row>
    <row r="703">
      <c r="A703" s="54"/>
      <c r="B703" s="350"/>
      <c r="C703" s="350"/>
      <c r="D703" s="102"/>
      <c r="E703" s="102"/>
      <c r="F703" s="102"/>
      <c r="G703" s="102"/>
      <c r="H703" s="102"/>
      <c r="I703" s="102"/>
      <c r="J703" s="177"/>
      <c r="K703" s="102"/>
      <c r="L703" s="54"/>
      <c r="M703" s="54"/>
      <c r="N703" s="54"/>
    </row>
    <row r="704">
      <c r="A704" s="54"/>
      <c r="B704" s="350"/>
      <c r="C704" s="350"/>
      <c r="D704" s="102"/>
      <c r="E704" s="102"/>
      <c r="F704" s="102"/>
      <c r="G704" s="102"/>
      <c r="H704" s="102"/>
      <c r="I704" s="102"/>
      <c r="J704" s="177"/>
      <c r="K704" s="102"/>
      <c r="L704" s="54"/>
      <c r="M704" s="54"/>
      <c r="N704" s="54"/>
    </row>
    <row r="705">
      <c r="A705" s="54"/>
      <c r="B705" s="350"/>
      <c r="C705" s="350"/>
      <c r="D705" s="102"/>
      <c r="E705" s="102"/>
      <c r="F705" s="102"/>
      <c r="G705" s="102"/>
      <c r="H705" s="102"/>
      <c r="I705" s="102"/>
      <c r="J705" s="177"/>
      <c r="K705" s="102"/>
      <c r="L705" s="54"/>
      <c r="M705" s="54"/>
      <c r="N705" s="54"/>
    </row>
    <row r="706">
      <c r="A706" s="54"/>
      <c r="B706" s="350"/>
      <c r="C706" s="350"/>
      <c r="D706" s="102"/>
      <c r="E706" s="102"/>
      <c r="F706" s="102"/>
      <c r="G706" s="102"/>
      <c r="H706" s="102"/>
      <c r="I706" s="102"/>
      <c r="J706" s="177"/>
      <c r="K706" s="102"/>
      <c r="L706" s="54"/>
      <c r="M706" s="54"/>
      <c r="N706" s="54"/>
    </row>
    <row r="707">
      <c r="A707" s="54"/>
      <c r="B707" s="350"/>
      <c r="C707" s="350"/>
      <c r="D707" s="102"/>
      <c r="E707" s="102"/>
      <c r="F707" s="102"/>
      <c r="G707" s="102"/>
      <c r="H707" s="102"/>
      <c r="I707" s="102"/>
      <c r="J707" s="177"/>
      <c r="K707" s="102"/>
      <c r="L707" s="54"/>
      <c r="M707" s="54"/>
      <c r="N707" s="54"/>
    </row>
    <row r="708">
      <c r="A708" s="54"/>
      <c r="B708" s="350"/>
      <c r="C708" s="350"/>
      <c r="D708" s="102"/>
      <c r="E708" s="102"/>
      <c r="F708" s="102"/>
      <c r="G708" s="102"/>
      <c r="H708" s="102"/>
      <c r="I708" s="102"/>
      <c r="J708" s="177"/>
      <c r="K708" s="102"/>
      <c r="L708" s="54"/>
      <c r="M708" s="54"/>
      <c r="N708" s="54"/>
    </row>
    <row r="709">
      <c r="A709" s="54"/>
      <c r="B709" s="350"/>
      <c r="C709" s="350"/>
      <c r="D709" s="102"/>
      <c r="E709" s="102"/>
      <c r="F709" s="102"/>
      <c r="G709" s="102"/>
      <c r="H709" s="102"/>
      <c r="I709" s="102"/>
      <c r="J709" s="177"/>
      <c r="K709" s="102"/>
      <c r="L709" s="54"/>
      <c r="M709" s="54"/>
      <c r="N709" s="54"/>
    </row>
    <row r="710">
      <c r="A710" s="54"/>
      <c r="B710" s="350"/>
      <c r="C710" s="350"/>
      <c r="D710" s="102"/>
      <c r="E710" s="102"/>
      <c r="F710" s="102"/>
      <c r="G710" s="102"/>
      <c r="H710" s="102"/>
      <c r="I710" s="102"/>
      <c r="J710" s="177"/>
      <c r="K710" s="102"/>
      <c r="L710" s="54"/>
      <c r="M710" s="54"/>
      <c r="N710" s="54"/>
    </row>
    <row r="711">
      <c r="A711" s="54"/>
      <c r="B711" s="350"/>
      <c r="C711" s="350"/>
      <c r="D711" s="102"/>
      <c r="E711" s="102"/>
      <c r="F711" s="102"/>
      <c r="G711" s="102"/>
      <c r="H711" s="102"/>
      <c r="I711" s="102"/>
      <c r="J711" s="177"/>
      <c r="K711" s="102"/>
      <c r="L711" s="54"/>
      <c r="M711" s="54"/>
      <c r="N711" s="54"/>
    </row>
    <row r="712">
      <c r="A712" s="54"/>
      <c r="B712" s="350"/>
      <c r="C712" s="350"/>
      <c r="D712" s="102"/>
      <c r="E712" s="102"/>
      <c r="F712" s="102"/>
      <c r="G712" s="102"/>
      <c r="H712" s="102"/>
      <c r="I712" s="102"/>
      <c r="J712" s="177"/>
      <c r="K712" s="102"/>
      <c r="L712" s="54"/>
      <c r="M712" s="54"/>
      <c r="N712" s="54"/>
    </row>
    <row r="713">
      <c r="A713" s="54"/>
      <c r="B713" s="350"/>
      <c r="C713" s="350"/>
      <c r="D713" s="102"/>
      <c r="E713" s="102"/>
      <c r="F713" s="102"/>
      <c r="G713" s="102"/>
      <c r="H713" s="102"/>
      <c r="I713" s="102"/>
      <c r="J713" s="177"/>
      <c r="K713" s="102"/>
      <c r="L713" s="54"/>
      <c r="M713" s="54"/>
      <c r="N713" s="54"/>
    </row>
    <row r="714">
      <c r="A714" s="54"/>
      <c r="B714" s="350"/>
      <c r="C714" s="350"/>
      <c r="D714" s="102"/>
      <c r="E714" s="102"/>
      <c r="F714" s="102"/>
      <c r="G714" s="102"/>
      <c r="H714" s="102"/>
      <c r="I714" s="102"/>
      <c r="J714" s="177"/>
      <c r="K714" s="102"/>
      <c r="L714" s="54"/>
      <c r="M714" s="54"/>
      <c r="N714" s="54"/>
    </row>
    <row r="715">
      <c r="A715" s="54"/>
      <c r="B715" s="350"/>
      <c r="C715" s="350"/>
      <c r="D715" s="102"/>
      <c r="E715" s="102"/>
      <c r="F715" s="102"/>
      <c r="G715" s="102"/>
      <c r="H715" s="102"/>
      <c r="I715" s="102"/>
      <c r="J715" s="177"/>
      <c r="K715" s="102"/>
      <c r="L715" s="54"/>
      <c r="M715" s="54"/>
      <c r="N715" s="54"/>
    </row>
    <row r="716">
      <c r="A716" s="54"/>
      <c r="B716" s="350"/>
      <c r="C716" s="350"/>
      <c r="D716" s="102"/>
      <c r="E716" s="102"/>
      <c r="F716" s="102"/>
      <c r="G716" s="102"/>
      <c r="H716" s="102"/>
      <c r="I716" s="102"/>
      <c r="J716" s="177"/>
      <c r="K716" s="102"/>
      <c r="L716" s="54"/>
      <c r="M716" s="54"/>
      <c r="N716" s="54"/>
    </row>
    <row r="717">
      <c r="A717" s="54"/>
      <c r="B717" s="350"/>
      <c r="C717" s="350"/>
      <c r="D717" s="102"/>
      <c r="E717" s="102"/>
      <c r="F717" s="102"/>
      <c r="G717" s="102"/>
      <c r="H717" s="102"/>
      <c r="I717" s="102"/>
      <c r="J717" s="177"/>
      <c r="K717" s="102"/>
      <c r="L717" s="54"/>
      <c r="M717" s="54"/>
      <c r="N717" s="54"/>
    </row>
    <row r="718">
      <c r="A718" s="54"/>
      <c r="B718" s="350"/>
      <c r="C718" s="350"/>
      <c r="D718" s="102"/>
      <c r="E718" s="102"/>
      <c r="F718" s="102"/>
      <c r="G718" s="102"/>
      <c r="H718" s="102"/>
      <c r="I718" s="102"/>
      <c r="J718" s="177"/>
      <c r="K718" s="102"/>
      <c r="L718" s="54"/>
      <c r="M718" s="54"/>
      <c r="N718" s="54"/>
    </row>
    <row r="719">
      <c r="A719" s="54"/>
      <c r="B719" s="350"/>
      <c r="C719" s="350"/>
      <c r="D719" s="102"/>
      <c r="E719" s="102"/>
      <c r="F719" s="102"/>
      <c r="G719" s="102"/>
      <c r="H719" s="102"/>
      <c r="I719" s="102"/>
      <c r="J719" s="177"/>
      <c r="K719" s="102"/>
      <c r="L719" s="54"/>
      <c r="M719" s="54"/>
      <c r="N719" s="54"/>
    </row>
    <row r="720">
      <c r="A720" s="54"/>
      <c r="B720" s="350"/>
      <c r="C720" s="350"/>
      <c r="D720" s="102"/>
      <c r="E720" s="102"/>
      <c r="F720" s="102"/>
      <c r="G720" s="102"/>
      <c r="H720" s="102"/>
      <c r="I720" s="102"/>
      <c r="J720" s="177"/>
      <c r="K720" s="102"/>
      <c r="L720" s="54"/>
      <c r="M720" s="54"/>
      <c r="N720" s="54"/>
    </row>
    <row r="721">
      <c r="A721" s="54"/>
      <c r="B721" s="350"/>
      <c r="C721" s="350"/>
      <c r="D721" s="102"/>
      <c r="E721" s="102"/>
      <c r="F721" s="102"/>
      <c r="G721" s="102"/>
      <c r="H721" s="102"/>
      <c r="I721" s="102"/>
      <c r="J721" s="177"/>
      <c r="K721" s="102"/>
      <c r="L721" s="54"/>
      <c r="M721" s="54"/>
      <c r="N721" s="54"/>
    </row>
    <row r="722">
      <c r="A722" s="54"/>
      <c r="B722" s="350"/>
      <c r="C722" s="350"/>
      <c r="D722" s="102"/>
      <c r="E722" s="102"/>
      <c r="F722" s="102"/>
      <c r="G722" s="102"/>
      <c r="H722" s="102"/>
      <c r="I722" s="102"/>
      <c r="J722" s="177"/>
      <c r="K722" s="102"/>
      <c r="L722" s="54"/>
      <c r="M722" s="54"/>
      <c r="N722" s="54"/>
    </row>
    <row r="723">
      <c r="A723" s="54"/>
      <c r="B723" s="350"/>
      <c r="C723" s="350"/>
      <c r="D723" s="102"/>
      <c r="E723" s="102"/>
      <c r="F723" s="102"/>
      <c r="G723" s="102"/>
      <c r="H723" s="102"/>
      <c r="I723" s="102"/>
      <c r="J723" s="177"/>
      <c r="K723" s="102"/>
      <c r="L723" s="54"/>
      <c r="M723" s="54"/>
      <c r="N723" s="54"/>
    </row>
    <row r="724">
      <c r="A724" s="54"/>
      <c r="B724" s="350"/>
      <c r="C724" s="350"/>
      <c r="D724" s="102"/>
      <c r="E724" s="102"/>
      <c r="F724" s="102"/>
      <c r="G724" s="102"/>
      <c r="H724" s="102"/>
      <c r="I724" s="102"/>
      <c r="J724" s="177"/>
      <c r="K724" s="102"/>
      <c r="L724" s="54"/>
      <c r="M724" s="54"/>
      <c r="N724" s="54"/>
    </row>
    <row r="725">
      <c r="A725" s="54"/>
      <c r="B725" s="350"/>
      <c r="C725" s="350"/>
      <c r="D725" s="102"/>
      <c r="E725" s="102"/>
      <c r="F725" s="102"/>
      <c r="G725" s="102"/>
      <c r="H725" s="102"/>
      <c r="I725" s="102"/>
      <c r="J725" s="177"/>
      <c r="K725" s="102"/>
      <c r="L725" s="54"/>
      <c r="M725" s="54"/>
      <c r="N725" s="54"/>
    </row>
    <row r="726">
      <c r="A726" s="54"/>
      <c r="B726" s="350"/>
      <c r="C726" s="350"/>
      <c r="D726" s="102"/>
      <c r="E726" s="102"/>
      <c r="F726" s="102"/>
      <c r="G726" s="102"/>
      <c r="H726" s="102"/>
      <c r="I726" s="102"/>
      <c r="J726" s="177"/>
      <c r="K726" s="102"/>
      <c r="L726" s="54"/>
      <c r="M726" s="54"/>
      <c r="N726" s="54"/>
    </row>
    <row r="727">
      <c r="A727" s="54"/>
      <c r="B727" s="350"/>
      <c r="C727" s="350"/>
      <c r="D727" s="102"/>
      <c r="E727" s="102"/>
      <c r="F727" s="102"/>
      <c r="G727" s="102"/>
      <c r="H727" s="102"/>
      <c r="I727" s="102"/>
      <c r="J727" s="177"/>
      <c r="K727" s="102"/>
      <c r="L727" s="54"/>
      <c r="M727" s="54"/>
      <c r="N727" s="54"/>
    </row>
    <row r="728">
      <c r="A728" s="54"/>
      <c r="B728" s="350"/>
      <c r="C728" s="350"/>
      <c r="D728" s="102"/>
      <c r="E728" s="102"/>
      <c r="F728" s="102"/>
      <c r="G728" s="102"/>
      <c r="H728" s="102"/>
      <c r="I728" s="102"/>
      <c r="J728" s="177"/>
      <c r="K728" s="102"/>
      <c r="L728" s="54"/>
      <c r="M728" s="54"/>
      <c r="N728" s="54"/>
    </row>
    <row r="729">
      <c r="A729" s="54"/>
      <c r="B729" s="350"/>
      <c r="C729" s="350"/>
      <c r="D729" s="102"/>
      <c r="E729" s="102"/>
      <c r="F729" s="102"/>
      <c r="G729" s="102"/>
      <c r="H729" s="102"/>
      <c r="I729" s="102"/>
      <c r="J729" s="177"/>
      <c r="K729" s="102"/>
      <c r="L729" s="54"/>
      <c r="M729" s="54"/>
      <c r="N729" s="54"/>
    </row>
    <row r="730">
      <c r="A730" s="54"/>
      <c r="B730" s="350"/>
      <c r="C730" s="350"/>
      <c r="D730" s="102"/>
      <c r="E730" s="102"/>
      <c r="F730" s="102"/>
      <c r="G730" s="102"/>
      <c r="H730" s="102"/>
      <c r="I730" s="102"/>
      <c r="J730" s="177"/>
      <c r="K730" s="102"/>
      <c r="L730" s="54"/>
      <c r="M730" s="54"/>
      <c r="N730" s="54"/>
    </row>
    <row r="731">
      <c r="A731" s="54"/>
      <c r="B731" s="350"/>
      <c r="C731" s="350"/>
      <c r="D731" s="102"/>
      <c r="E731" s="102"/>
      <c r="F731" s="102"/>
      <c r="G731" s="102"/>
      <c r="H731" s="102"/>
      <c r="I731" s="102"/>
      <c r="J731" s="177"/>
      <c r="K731" s="102"/>
      <c r="L731" s="54"/>
      <c r="M731" s="54"/>
      <c r="N731" s="54"/>
    </row>
    <row r="732">
      <c r="A732" s="54"/>
      <c r="B732" s="350"/>
      <c r="C732" s="350"/>
      <c r="D732" s="102"/>
      <c r="E732" s="102"/>
      <c r="F732" s="102"/>
      <c r="G732" s="102"/>
      <c r="H732" s="102"/>
      <c r="I732" s="102"/>
      <c r="J732" s="177"/>
      <c r="K732" s="102"/>
      <c r="L732" s="54"/>
      <c r="M732" s="54"/>
      <c r="N732" s="54"/>
    </row>
    <row r="733">
      <c r="A733" s="54"/>
      <c r="B733" s="350"/>
      <c r="C733" s="350"/>
      <c r="D733" s="102"/>
      <c r="E733" s="102"/>
      <c r="F733" s="102"/>
      <c r="G733" s="102"/>
      <c r="H733" s="102"/>
      <c r="I733" s="102"/>
      <c r="J733" s="177"/>
      <c r="K733" s="102"/>
      <c r="L733" s="54"/>
      <c r="M733" s="54"/>
      <c r="N733" s="54"/>
    </row>
    <row r="734">
      <c r="A734" s="54"/>
      <c r="B734" s="350"/>
      <c r="C734" s="350"/>
      <c r="D734" s="102"/>
      <c r="E734" s="102"/>
      <c r="F734" s="102"/>
      <c r="G734" s="102"/>
      <c r="H734" s="102"/>
      <c r="I734" s="102"/>
      <c r="J734" s="177"/>
      <c r="K734" s="102"/>
      <c r="L734" s="54"/>
      <c r="M734" s="54"/>
      <c r="N734" s="54"/>
    </row>
    <row r="735">
      <c r="A735" s="54"/>
      <c r="B735" s="350"/>
      <c r="C735" s="350"/>
      <c r="D735" s="102"/>
      <c r="E735" s="102"/>
      <c r="F735" s="102"/>
      <c r="G735" s="102"/>
      <c r="H735" s="102"/>
      <c r="I735" s="102"/>
      <c r="J735" s="177"/>
      <c r="K735" s="102"/>
      <c r="L735" s="54"/>
      <c r="M735" s="54"/>
      <c r="N735" s="54"/>
    </row>
    <row r="736">
      <c r="A736" s="54"/>
      <c r="B736" s="350"/>
      <c r="C736" s="350"/>
      <c r="D736" s="102"/>
      <c r="E736" s="102"/>
      <c r="F736" s="102"/>
      <c r="G736" s="102"/>
      <c r="H736" s="102"/>
      <c r="I736" s="102"/>
      <c r="J736" s="177"/>
      <c r="K736" s="102"/>
      <c r="L736" s="54"/>
      <c r="M736" s="54"/>
      <c r="N736" s="54"/>
    </row>
    <row r="737">
      <c r="A737" s="54"/>
      <c r="B737" s="350"/>
      <c r="C737" s="350"/>
      <c r="D737" s="102"/>
      <c r="E737" s="102"/>
      <c r="F737" s="102"/>
      <c r="G737" s="102"/>
      <c r="H737" s="102"/>
      <c r="I737" s="102"/>
      <c r="J737" s="177"/>
      <c r="K737" s="102"/>
      <c r="L737" s="54"/>
      <c r="M737" s="54"/>
      <c r="N737" s="54"/>
    </row>
    <row r="738">
      <c r="A738" s="54"/>
      <c r="B738" s="350"/>
      <c r="C738" s="350"/>
      <c r="D738" s="102"/>
      <c r="E738" s="102"/>
      <c r="F738" s="102"/>
      <c r="G738" s="102"/>
      <c r="H738" s="102"/>
      <c r="I738" s="102"/>
      <c r="J738" s="177"/>
      <c r="K738" s="102"/>
      <c r="L738" s="54"/>
      <c r="M738" s="54"/>
      <c r="N738" s="54"/>
    </row>
    <row r="739">
      <c r="A739" s="54"/>
      <c r="B739" s="350"/>
      <c r="C739" s="350"/>
      <c r="D739" s="102"/>
      <c r="E739" s="102"/>
      <c r="F739" s="102"/>
      <c r="G739" s="102"/>
      <c r="H739" s="102"/>
      <c r="I739" s="102"/>
      <c r="J739" s="177"/>
      <c r="K739" s="102"/>
      <c r="L739" s="54"/>
      <c r="M739" s="54"/>
      <c r="N739" s="54"/>
    </row>
    <row r="740">
      <c r="A740" s="54"/>
      <c r="B740" s="350"/>
      <c r="C740" s="350"/>
      <c r="D740" s="102"/>
      <c r="E740" s="102"/>
      <c r="F740" s="102"/>
      <c r="G740" s="102"/>
      <c r="H740" s="102"/>
      <c r="I740" s="102"/>
      <c r="J740" s="177"/>
      <c r="K740" s="102"/>
      <c r="L740" s="54"/>
      <c r="M740" s="54"/>
      <c r="N740" s="54"/>
    </row>
    <row r="741">
      <c r="A741" s="54"/>
      <c r="B741" s="350"/>
      <c r="C741" s="350"/>
      <c r="D741" s="102"/>
      <c r="E741" s="102"/>
      <c r="F741" s="102"/>
      <c r="G741" s="102"/>
      <c r="H741" s="102"/>
      <c r="I741" s="102"/>
      <c r="J741" s="177"/>
      <c r="K741" s="102"/>
      <c r="L741" s="54"/>
      <c r="M741" s="54"/>
      <c r="N741" s="54"/>
    </row>
    <row r="742">
      <c r="A742" s="54"/>
      <c r="B742" s="350"/>
      <c r="C742" s="350"/>
      <c r="D742" s="102"/>
      <c r="E742" s="102"/>
      <c r="F742" s="102"/>
      <c r="G742" s="102"/>
      <c r="H742" s="102"/>
      <c r="I742" s="102"/>
      <c r="J742" s="177"/>
      <c r="K742" s="102"/>
      <c r="L742" s="54"/>
      <c r="M742" s="54"/>
      <c r="N742" s="54"/>
    </row>
    <row r="743">
      <c r="A743" s="54"/>
      <c r="B743" s="350"/>
      <c r="C743" s="350"/>
      <c r="D743" s="102"/>
      <c r="E743" s="102"/>
      <c r="F743" s="102"/>
      <c r="G743" s="102"/>
      <c r="H743" s="102"/>
      <c r="I743" s="102"/>
      <c r="J743" s="177"/>
      <c r="K743" s="102"/>
      <c r="L743" s="54"/>
      <c r="M743" s="54"/>
      <c r="N743" s="54"/>
    </row>
    <row r="744">
      <c r="A744" s="54"/>
      <c r="B744" s="350"/>
      <c r="C744" s="350"/>
      <c r="D744" s="102"/>
      <c r="E744" s="102"/>
      <c r="F744" s="102"/>
      <c r="G744" s="102"/>
      <c r="H744" s="102"/>
      <c r="I744" s="102"/>
      <c r="J744" s="177"/>
      <c r="K744" s="102"/>
      <c r="L744" s="54"/>
      <c r="M744" s="54"/>
      <c r="N744" s="54"/>
    </row>
    <row r="745">
      <c r="A745" s="54"/>
      <c r="B745" s="350"/>
      <c r="C745" s="350"/>
      <c r="D745" s="102"/>
      <c r="E745" s="102"/>
      <c r="F745" s="102"/>
      <c r="G745" s="102"/>
      <c r="H745" s="102"/>
      <c r="I745" s="102"/>
      <c r="J745" s="177"/>
      <c r="K745" s="102"/>
      <c r="L745" s="54"/>
      <c r="M745" s="54"/>
      <c r="N745" s="54"/>
    </row>
    <row r="746">
      <c r="A746" s="54"/>
      <c r="B746" s="350"/>
      <c r="C746" s="350"/>
      <c r="D746" s="102"/>
      <c r="E746" s="102"/>
      <c r="F746" s="102"/>
      <c r="G746" s="102"/>
      <c r="H746" s="102"/>
      <c r="I746" s="102"/>
      <c r="J746" s="177"/>
      <c r="K746" s="102"/>
      <c r="L746" s="54"/>
      <c r="M746" s="54"/>
      <c r="N746" s="54"/>
    </row>
    <row r="747">
      <c r="A747" s="54"/>
      <c r="B747" s="350"/>
      <c r="C747" s="350"/>
      <c r="D747" s="102"/>
      <c r="E747" s="102"/>
      <c r="F747" s="102"/>
      <c r="G747" s="102"/>
      <c r="H747" s="102"/>
      <c r="I747" s="102"/>
      <c r="J747" s="177"/>
      <c r="K747" s="102"/>
      <c r="L747" s="54"/>
      <c r="M747" s="54"/>
      <c r="N747" s="54"/>
    </row>
    <row r="748">
      <c r="A748" s="54"/>
      <c r="B748" s="350"/>
      <c r="C748" s="350"/>
      <c r="D748" s="102"/>
      <c r="E748" s="102"/>
      <c r="F748" s="102"/>
      <c r="G748" s="102"/>
      <c r="H748" s="102"/>
      <c r="I748" s="102"/>
      <c r="J748" s="177"/>
      <c r="K748" s="102"/>
      <c r="L748" s="54"/>
      <c r="M748" s="54"/>
      <c r="N748" s="54"/>
    </row>
    <row r="749">
      <c r="A749" s="54"/>
      <c r="B749" s="350"/>
      <c r="C749" s="350"/>
      <c r="D749" s="102"/>
      <c r="E749" s="102"/>
      <c r="F749" s="102"/>
      <c r="G749" s="102"/>
      <c r="H749" s="102"/>
      <c r="I749" s="102"/>
      <c r="J749" s="177"/>
      <c r="K749" s="102"/>
      <c r="L749" s="54"/>
      <c r="M749" s="54"/>
      <c r="N749" s="54"/>
    </row>
    <row r="750">
      <c r="A750" s="54"/>
      <c r="B750" s="350"/>
      <c r="C750" s="350"/>
      <c r="D750" s="102"/>
      <c r="E750" s="102"/>
      <c r="F750" s="102"/>
      <c r="G750" s="102"/>
      <c r="H750" s="102"/>
      <c r="I750" s="102"/>
      <c r="J750" s="177"/>
      <c r="K750" s="102"/>
      <c r="L750" s="54"/>
      <c r="M750" s="54"/>
      <c r="N750" s="54"/>
    </row>
    <row r="751">
      <c r="A751" s="54"/>
      <c r="B751" s="350"/>
      <c r="C751" s="350"/>
      <c r="D751" s="102"/>
      <c r="E751" s="102"/>
      <c r="F751" s="102"/>
      <c r="G751" s="102"/>
      <c r="H751" s="102"/>
      <c r="I751" s="102"/>
      <c r="J751" s="177"/>
      <c r="K751" s="102"/>
      <c r="L751" s="54"/>
      <c r="M751" s="54"/>
      <c r="N751" s="54"/>
    </row>
    <row r="752">
      <c r="A752" s="54"/>
      <c r="B752" s="350"/>
      <c r="C752" s="350"/>
      <c r="D752" s="102"/>
      <c r="E752" s="102"/>
      <c r="F752" s="102"/>
      <c r="G752" s="102"/>
      <c r="H752" s="102"/>
      <c r="I752" s="102"/>
      <c r="J752" s="177"/>
      <c r="K752" s="102"/>
      <c r="L752" s="54"/>
      <c r="M752" s="54"/>
      <c r="N752" s="54"/>
    </row>
    <row r="753">
      <c r="A753" s="54"/>
      <c r="B753" s="350"/>
      <c r="C753" s="350"/>
      <c r="D753" s="102"/>
      <c r="E753" s="102"/>
      <c r="F753" s="102"/>
      <c r="G753" s="102"/>
      <c r="H753" s="102"/>
      <c r="I753" s="102"/>
      <c r="J753" s="177"/>
      <c r="K753" s="102"/>
      <c r="L753" s="54"/>
      <c r="M753" s="54"/>
      <c r="N753" s="54"/>
    </row>
    <row r="754">
      <c r="A754" s="54"/>
      <c r="B754" s="350"/>
      <c r="C754" s="350"/>
      <c r="D754" s="102"/>
      <c r="E754" s="102"/>
      <c r="F754" s="102"/>
      <c r="G754" s="102"/>
      <c r="H754" s="102"/>
      <c r="I754" s="102"/>
      <c r="J754" s="177"/>
      <c r="K754" s="102"/>
      <c r="L754" s="54"/>
      <c r="M754" s="54"/>
      <c r="N754" s="54"/>
    </row>
    <row r="755">
      <c r="A755" s="54"/>
      <c r="B755" s="350"/>
      <c r="C755" s="350"/>
      <c r="D755" s="102"/>
      <c r="E755" s="102"/>
      <c r="F755" s="102"/>
      <c r="G755" s="102"/>
      <c r="H755" s="102"/>
      <c r="I755" s="102"/>
      <c r="J755" s="177"/>
      <c r="K755" s="102"/>
      <c r="L755" s="54"/>
      <c r="M755" s="54"/>
      <c r="N755" s="54"/>
    </row>
    <row r="756">
      <c r="A756" s="54"/>
      <c r="B756" s="350"/>
      <c r="C756" s="350"/>
      <c r="D756" s="102"/>
      <c r="E756" s="102"/>
      <c r="F756" s="102"/>
      <c r="G756" s="102"/>
      <c r="H756" s="102"/>
      <c r="I756" s="102"/>
      <c r="J756" s="177"/>
      <c r="K756" s="102"/>
      <c r="L756" s="54"/>
      <c r="M756" s="54"/>
      <c r="N756" s="54"/>
    </row>
    <row r="757">
      <c r="A757" s="54"/>
      <c r="B757" s="350"/>
      <c r="C757" s="350"/>
      <c r="D757" s="102"/>
      <c r="E757" s="102"/>
      <c r="F757" s="102"/>
      <c r="G757" s="102"/>
      <c r="H757" s="102"/>
      <c r="I757" s="102"/>
      <c r="J757" s="177"/>
      <c r="K757" s="102"/>
      <c r="L757" s="54"/>
      <c r="M757" s="54"/>
      <c r="N757" s="54"/>
    </row>
    <row r="758">
      <c r="A758" s="54"/>
      <c r="B758" s="350"/>
      <c r="C758" s="350"/>
      <c r="D758" s="102"/>
      <c r="E758" s="102"/>
      <c r="F758" s="102"/>
      <c r="G758" s="102"/>
      <c r="H758" s="102"/>
      <c r="I758" s="102"/>
      <c r="J758" s="177"/>
      <c r="K758" s="102"/>
      <c r="L758" s="54"/>
      <c r="M758" s="54"/>
      <c r="N758" s="54"/>
    </row>
    <row r="759">
      <c r="A759" s="54"/>
      <c r="B759" s="350"/>
      <c r="C759" s="350"/>
      <c r="D759" s="102"/>
      <c r="E759" s="102"/>
      <c r="F759" s="102"/>
      <c r="G759" s="102"/>
      <c r="H759" s="102"/>
      <c r="I759" s="102"/>
      <c r="J759" s="177"/>
      <c r="K759" s="102"/>
      <c r="L759" s="54"/>
      <c r="M759" s="54"/>
      <c r="N759" s="54"/>
    </row>
    <row r="760">
      <c r="A760" s="54"/>
      <c r="B760" s="350"/>
      <c r="C760" s="350"/>
      <c r="D760" s="102"/>
      <c r="E760" s="102"/>
      <c r="F760" s="102"/>
      <c r="G760" s="102"/>
      <c r="H760" s="102"/>
      <c r="I760" s="102"/>
      <c r="J760" s="177"/>
      <c r="K760" s="102"/>
      <c r="L760" s="54"/>
      <c r="M760" s="54"/>
      <c r="N760" s="54"/>
    </row>
    <row r="761">
      <c r="A761" s="54"/>
      <c r="B761" s="350"/>
      <c r="C761" s="350"/>
      <c r="D761" s="102"/>
      <c r="E761" s="102"/>
      <c r="F761" s="102"/>
      <c r="G761" s="102"/>
      <c r="H761" s="102"/>
      <c r="I761" s="102"/>
      <c r="J761" s="177"/>
      <c r="K761" s="102"/>
      <c r="L761" s="54"/>
      <c r="M761" s="54"/>
      <c r="N761" s="54"/>
    </row>
    <row r="762">
      <c r="A762" s="54"/>
      <c r="B762" s="350"/>
      <c r="C762" s="350"/>
      <c r="D762" s="102"/>
      <c r="E762" s="102"/>
      <c r="F762" s="102"/>
      <c r="G762" s="102"/>
      <c r="H762" s="102"/>
      <c r="I762" s="102"/>
      <c r="J762" s="177"/>
      <c r="K762" s="102"/>
      <c r="L762" s="54"/>
      <c r="M762" s="54"/>
      <c r="N762" s="54"/>
    </row>
    <row r="763">
      <c r="A763" s="54"/>
      <c r="B763" s="350"/>
      <c r="C763" s="350"/>
      <c r="D763" s="102"/>
      <c r="E763" s="102"/>
      <c r="F763" s="102"/>
      <c r="G763" s="102"/>
      <c r="H763" s="102"/>
      <c r="I763" s="102"/>
      <c r="J763" s="177"/>
      <c r="K763" s="102"/>
      <c r="L763" s="54"/>
      <c r="M763" s="54"/>
      <c r="N763" s="54"/>
    </row>
    <row r="764">
      <c r="A764" s="54"/>
      <c r="B764" s="350"/>
      <c r="C764" s="350"/>
      <c r="D764" s="102"/>
      <c r="E764" s="102"/>
      <c r="F764" s="102"/>
      <c r="G764" s="102"/>
      <c r="H764" s="102"/>
      <c r="I764" s="102"/>
      <c r="J764" s="177"/>
      <c r="K764" s="102"/>
      <c r="L764" s="54"/>
      <c r="M764" s="54"/>
      <c r="N764" s="54"/>
    </row>
    <row r="765">
      <c r="A765" s="54"/>
      <c r="B765" s="350"/>
      <c r="C765" s="350"/>
      <c r="D765" s="102"/>
      <c r="E765" s="102"/>
      <c r="F765" s="102"/>
      <c r="G765" s="102"/>
      <c r="H765" s="102"/>
      <c r="I765" s="102"/>
      <c r="J765" s="177"/>
      <c r="K765" s="102"/>
      <c r="L765" s="54"/>
      <c r="M765" s="54"/>
      <c r="N765" s="54"/>
    </row>
    <row r="766">
      <c r="A766" s="54"/>
      <c r="B766" s="350"/>
      <c r="C766" s="350"/>
      <c r="D766" s="102"/>
      <c r="E766" s="102"/>
      <c r="F766" s="102"/>
      <c r="G766" s="102"/>
      <c r="H766" s="102"/>
      <c r="I766" s="102"/>
      <c r="J766" s="177"/>
      <c r="K766" s="102"/>
      <c r="L766" s="54"/>
      <c r="M766" s="54"/>
      <c r="N766" s="54"/>
    </row>
    <row r="767">
      <c r="A767" s="54"/>
      <c r="B767" s="350"/>
      <c r="C767" s="350"/>
      <c r="D767" s="102"/>
      <c r="E767" s="102"/>
      <c r="F767" s="102"/>
      <c r="G767" s="102"/>
      <c r="H767" s="102"/>
      <c r="I767" s="102"/>
      <c r="J767" s="177"/>
      <c r="K767" s="102"/>
      <c r="L767" s="54"/>
      <c r="M767" s="54"/>
      <c r="N767" s="54"/>
    </row>
    <row r="768">
      <c r="A768" s="54"/>
      <c r="B768" s="350"/>
      <c r="C768" s="350"/>
      <c r="D768" s="102"/>
      <c r="E768" s="102"/>
      <c r="F768" s="102"/>
      <c r="G768" s="102"/>
      <c r="H768" s="102"/>
      <c r="I768" s="102"/>
      <c r="J768" s="177"/>
      <c r="K768" s="102"/>
      <c r="L768" s="54"/>
      <c r="M768" s="54"/>
      <c r="N768" s="54"/>
    </row>
    <row r="769">
      <c r="A769" s="54"/>
      <c r="B769" s="350"/>
      <c r="C769" s="350"/>
      <c r="D769" s="102"/>
      <c r="E769" s="102"/>
      <c r="F769" s="102"/>
      <c r="G769" s="102"/>
      <c r="H769" s="102"/>
      <c r="I769" s="102"/>
      <c r="J769" s="177"/>
      <c r="K769" s="102"/>
      <c r="L769" s="54"/>
      <c r="M769" s="54"/>
      <c r="N769" s="54"/>
    </row>
    <row r="770">
      <c r="A770" s="54"/>
      <c r="B770" s="350"/>
      <c r="C770" s="350"/>
      <c r="D770" s="102"/>
      <c r="E770" s="102"/>
      <c r="F770" s="102"/>
      <c r="G770" s="102"/>
      <c r="H770" s="102"/>
      <c r="I770" s="102"/>
      <c r="J770" s="177"/>
      <c r="K770" s="102"/>
      <c r="L770" s="54"/>
      <c r="M770" s="54"/>
      <c r="N770" s="54"/>
    </row>
    <row r="771">
      <c r="A771" s="54"/>
      <c r="B771" s="350"/>
      <c r="C771" s="350"/>
      <c r="D771" s="102"/>
      <c r="E771" s="102"/>
      <c r="F771" s="102"/>
      <c r="G771" s="102"/>
      <c r="H771" s="102"/>
      <c r="I771" s="102"/>
      <c r="J771" s="177"/>
      <c r="K771" s="102"/>
      <c r="L771" s="54"/>
      <c r="M771" s="54"/>
      <c r="N771" s="54"/>
    </row>
    <row r="772">
      <c r="A772" s="54"/>
      <c r="B772" s="350"/>
      <c r="C772" s="350"/>
      <c r="D772" s="102"/>
      <c r="E772" s="102"/>
      <c r="F772" s="102"/>
      <c r="G772" s="102"/>
      <c r="H772" s="102"/>
      <c r="I772" s="102"/>
      <c r="J772" s="177"/>
      <c r="K772" s="102"/>
      <c r="L772" s="54"/>
      <c r="M772" s="54"/>
      <c r="N772" s="54"/>
    </row>
    <row r="773">
      <c r="A773" s="54"/>
      <c r="B773" s="350"/>
      <c r="C773" s="350"/>
      <c r="D773" s="102"/>
      <c r="E773" s="102"/>
      <c r="F773" s="102"/>
      <c r="G773" s="102"/>
      <c r="H773" s="102"/>
      <c r="I773" s="102"/>
      <c r="J773" s="177"/>
      <c r="K773" s="102"/>
      <c r="L773" s="54"/>
      <c r="M773" s="54"/>
      <c r="N773" s="54"/>
    </row>
    <row r="774">
      <c r="A774" s="54"/>
      <c r="B774" s="350"/>
      <c r="C774" s="350"/>
      <c r="D774" s="102"/>
      <c r="E774" s="102"/>
      <c r="F774" s="102"/>
      <c r="G774" s="102"/>
      <c r="H774" s="102"/>
      <c r="I774" s="102"/>
      <c r="J774" s="177"/>
      <c r="K774" s="102"/>
      <c r="L774" s="54"/>
      <c r="M774" s="54"/>
      <c r="N774" s="54"/>
    </row>
    <row r="775">
      <c r="A775" s="54"/>
      <c r="B775" s="350"/>
      <c r="C775" s="350"/>
      <c r="D775" s="102"/>
      <c r="E775" s="102"/>
      <c r="F775" s="102"/>
      <c r="G775" s="102"/>
      <c r="H775" s="102"/>
      <c r="I775" s="102"/>
      <c r="J775" s="177"/>
      <c r="K775" s="102"/>
      <c r="L775" s="54"/>
      <c r="M775" s="54"/>
      <c r="N775" s="54"/>
    </row>
    <row r="776">
      <c r="A776" s="54"/>
      <c r="B776" s="350"/>
      <c r="C776" s="350"/>
      <c r="D776" s="102"/>
      <c r="E776" s="102"/>
      <c r="F776" s="102"/>
      <c r="G776" s="102"/>
      <c r="H776" s="102"/>
      <c r="I776" s="102"/>
      <c r="J776" s="177"/>
      <c r="K776" s="102"/>
      <c r="L776" s="54"/>
      <c r="M776" s="54"/>
      <c r="N776" s="54"/>
    </row>
    <row r="777">
      <c r="A777" s="54"/>
      <c r="B777" s="350"/>
      <c r="C777" s="350"/>
      <c r="D777" s="102"/>
      <c r="E777" s="102"/>
      <c r="F777" s="102"/>
      <c r="G777" s="102"/>
      <c r="H777" s="102"/>
      <c r="I777" s="102"/>
      <c r="J777" s="177"/>
      <c r="K777" s="102"/>
      <c r="L777" s="54"/>
      <c r="M777" s="54"/>
      <c r="N777" s="54"/>
    </row>
    <row r="778">
      <c r="A778" s="54"/>
      <c r="B778" s="350"/>
      <c r="C778" s="350"/>
      <c r="D778" s="102"/>
      <c r="E778" s="102"/>
      <c r="F778" s="102"/>
      <c r="G778" s="102"/>
      <c r="H778" s="102"/>
      <c r="I778" s="102"/>
      <c r="J778" s="177"/>
      <c r="K778" s="102"/>
      <c r="L778" s="54"/>
      <c r="M778" s="54"/>
      <c r="N778" s="54"/>
    </row>
    <row r="779">
      <c r="A779" s="54"/>
      <c r="B779" s="350"/>
      <c r="C779" s="350"/>
      <c r="D779" s="102"/>
      <c r="E779" s="102"/>
      <c r="F779" s="102"/>
      <c r="G779" s="102"/>
      <c r="H779" s="102"/>
      <c r="I779" s="102"/>
      <c r="J779" s="177"/>
      <c r="K779" s="102"/>
      <c r="L779" s="54"/>
      <c r="M779" s="54"/>
      <c r="N779" s="54"/>
    </row>
    <row r="780">
      <c r="A780" s="54"/>
      <c r="B780" s="350"/>
      <c r="C780" s="350"/>
      <c r="D780" s="102"/>
      <c r="E780" s="102"/>
      <c r="F780" s="102"/>
      <c r="G780" s="102"/>
      <c r="H780" s="102"/>
      <c r="I780" s="102"/>
      <c r="J780" s="177"/>
      <c r="K780" s="102"/>
      <c r="L780" s="54"/>
      <c r="M780" s="54"/>
      <c r="N780" s="54"/>
    </row>
    <row r="781">
      <c r="A781" s="54"/>
      <c r="B781" s="350"/>
      <c r="C781" s="350"/>
      <c r="D781" s="102"/>
      <c r="E781" s="102"/>
      <c r="F781" s="102"/>
      <c r="G781" s="102"/>
      <c r="H781" s="102"/>
      <c r="I781" s="102"/>
      <c r="J781" s="177"/>
      <c r="K781" s="102"/>
      <c r="L781" s="54"/>
      <c r="M781" s="54"/>
      <c r="N781" s="54"/>
    </row>
    <row r="782">
      <c r="A782" s="54"/>
      <c r="B782" s="350"/>
      <c r="C782" s="350"/>
      <c r="D782" s="102"/>
      <c r="E782" s="102"/>
      <c r="F782" s="102"/>
      <c r="G782" s="102"/>
      <c r="H782" s="102"/>
      <c r="I782" s="102"/>
      <c r="J782" s="177"/>
      <c r="K782" s="102"/>
      <c r="L782" s="54"/>
      <c r="M782" s="54"/>
      <c r="N782" s="54"/>
    </row>
    <row r="783">
      <c r="A783" s="54"/>
      <c r="B783" s="350"/>
      <c r="C783" s="350"/>
      <c r="D783" s="102"/>
      <c r="E783" s="102"/>
      <c r="F783" s="102"/>
      <c r="G783" s="102"/>
      <c r="H783" s="102"/>
      <c r="I783" s="102"/>
      <c r="J783" s="177"/>
      <c r="K783" s="102"/>
      <c r="L783" s="54"/>
      <c r="M783" s="54"/>
      <c r="N783" s="54"/>
    </row>
    <row r="784">
      <c r="A784" s="54"/>
      <c r="B784" s="350"/>
      <c r="C784" s="350"/>
      <c r="D784" s="102"/>
      <c r="E784" s="102"/>
      <c r="F784" s="102"/>
      <c r="G784" s="102"/>
      <c r="H784" s="102"/>
      <c r="I784" s="102"/>
      <c r="J784" s="177"/>
      <c r="K784" s="102"/>
      <c r="L784" s="54"/>
      <c r="M784" s="54"/>
      <c r="N784" s="54"/>
    </row>
    <row r="785">
      <c r="A785" s="54"/>
      <c r="B785" s="350"/>
      <c r="C785" s="350"/>
      <c r="D785" s="102"/>
      <c r="E785" s="102"/>
      <c r="F785" s="102"/>
      <c r="G785" s="102"/>
      <c r="H785" s="102"/>
      <c r="I785" s="102"/>
      <c r="J785" s="177"/>
      <c r="K785" s="102"/>
      <c r="L785" s="54"/>
      <c r="M785" s="54"/>
      <c r="N785" s="54"/>
    </row>
    <row r="786">
      <c r="A786" s="54"/>
      <c r="B786" s="350"/>
      <c r="C786" s="350"/>
      <c r="D786" s="102"/>
      <c r="E786" s="102"/>
      <c r="F786" s="102"/>
      <c r="G786" s="102"/>
      <c r="H786" s="102"/>
      <c r="I786" s="102"/>
      <c r="J786" s="177"/>
      <c r="K786" s="102"/>
      <c r="L786" s="54"/>
      <c r="M786" s="54"/>
      <c r="N786" s="54"/>
    </row>
    <row r="787">
      <c r="A787" s="54"/>
      <c r="B787" s="350"/>
      <c r="C787" s="350"/>
      <c r="D787" s="102"/>
      <c r="E787" s="102"/>
      <c r="F787" s="102"/>
      <c r="G787" s="102"/>
      <c r="H787" s="102"/>
      <c r="I787" s="102"/>
      <c r="J787" s="177"/>
      <c r="K787" s="102"/>
      <c r="L787" s="54"/>
      <c r="M787" s="54"/>
      <c r="N787" s="54"/>
    </row>
    <row r="788">
      <c r="A788" s="54"/>
      <c r="B788" s="350"/>
      <c r="C788" s="350"/>
      <c r="D788" s="102"/>
      <c r="E788" s="102"/>
      <c r="F788" s="102"/>
      <c r="G788" s="102"/>
      <c r="H788" s="102"/>
      <c r="I788" s="102"/>
      <c r="J788" s="177"/>
      <c r="K788" s="102"/>
      <c r="L788" s="54"/>
      <c r="M788" s="54"/>
      <c r="N788" s="54"/>
    </row>
    <row r="789">
      <c r="A789" s="54"/>
      <c r="B789" s="350"/>
      <c r="C789" s="350"/>
      <c r="D789" s="102"/>
      <c r="E789" s="102"/>
      <c r="F789" s="102"/>
      <c r="G789" s="102"/>
      <c r="H789" s="102"/>
      <c r="I789" s="102"/>
      <c r="J789" s="177"/>
      <c r="K789" s="102"/>
      <c r="L789" s="54"/>
      <c r="M789" s="54"/>
      <c r="N789" s="54"/>
    </row>
    <row r="790">
      <c r="A790" s="54"/>
      <c r="B790" s="350"/>
      <c r="C790" s="350"/>
      <c r="D790" s="102"/>
      <c r="E790" s="102"/>
      <c r="F790" s="102"/>
      <c r="G790" s="102"/>
      <c r="H790" s="102"/>
      <c r="I790" s="102"/>
      <c r="J790" s="177"/>
      <c r="K790" s="102"/>
      <c r="L790" s="54"/>
      <c r="M790" s="54"/>
      <c r="N790" s="54"/>
    </row>
    <row r="791">
      <c r="A791" s="54"/>
      <c r="B791" s="350"/>
      <c r="C791" s="350"/>
      <c r="D791" s="102"/>
      <c r="E791" s="102"/>
      <c r="F791" s="102"/>
      <c r="G791" s="102"/>
      <c r="H791" s="102"/>
      <c r="I791" s="102"/>
      <c r="J791" s="177"/>
      <c r="K791" s="102"/>
      <c r="L791" s="54"/>
      <c r="M791" s="54"/>
      <c r="N791" s="54"/>
    </row>
    <row r="792">
      <c r="A792" s="54"/>
      <c r="B792" s="350"/>
      <c r="C792" s="350"/>
      <c r="D792" s="102"/>
      <c r="E792" s="102"/>
      <c r="F792" s="102"/>
      <c r="G792" s="102"/>
      <c r="H792" s="102"/>
      <c r="I792" s="102"/>
      <c r="J792" s="177"/>
      <c r="K792" s="102"/>
      <c r="L792" s="54"/>
      <c r="M792" s="54"/>
      <c r="N792" s="54"/>
    </row>
    <row r="793">
      <c r="A793" s="54"/>
      <c r="B793" s="350"/>
      <c r="C793" s="350"/>
      <c r="D793" s="102"/>
      <c r="E793" s="102"/>
      <c r="F793" s="102"/>
      <c r="G793" s="102"/>
      <c r="H793" s="102"/>
      <c r="I793" s="102"/>
      <c r="J793" s="177"/>
      <c r="K793" s="102"/>
      <c r="L793" s="54"/>
      <c r="M793" s="54"/>
      <c r="N793" s="54"/>
    </row>
    <row r="794">
      <c r="A794" s="54"/>
      <c r="B794" s="350"/>
      <c r="C794" s="350"/>
      <c r="D794" s="102"/>
      <c r="E794" s="102"/>
      <c r="F794" s="102"/>
      <c r="G794" s="102"/>
      <c r="H794" s="102"/>
      <c r="I794" s="102"/>
      <c r="J794" s="177"/>
      <c r="K794" s="102"/>
      <c r="L794" s="54"/>
      <c r="M794" s="54"/>
      <c r="N794" s="54"/>
    </row>
    <row r="795">
      <c r="A795" s="54"/>
      <c r="B795" s="350"/>
      <c r="C795" s="350"/>
      <c r="D795" s="102"/>
      <c r="E795" s="102"/>
      <c r="F795" s="102"/>
      <c r="G795" s="102"/>
      <c r="H795" s="102"/>
      <c r="I795" s="102"/>
      <c r="J795" s="177"/>
      <c r="K795" s="102"/>
      <c r="L795" s="54"/>
      <c r="M795" s="54"/>
      <c r="N795" s="54"/>
    </row>
    <row r="796">
      <c r="A796" s="54"/>
      <c r="B796" s="350"/>
      <c r="C796" s="350"/>
      <c r="D796" s="102"/>
      <c r="E796" s="102"/>
      <c r="F796" s="102"/>
      <c r="G796" s="102"/>
      <c r="H796" s="102"/>
      <c r="I796" s="102"/>
      <c r="J796" s="177"/>
      <c r="K796" s="102"/>
      <c r="L796" s="54"/>
      <c r="M796" s="54"/>
      <c r="N796" s="54"/>
    </row>
    <row r="797">
      <c r="A797" s="54"/>
      <c r="B797" s="350"/>
      <c r="C797" s="350"/>
      <c r="D797" s="102"/>
      <c r="E797" s="102"/>
      <c r="F797" s="102"/>
      <c r="G797" s="102"/>
      <c r="H797" s="102"/>
      <c r="I797" s="102"/>
      <c r="J797" s="177"/>
      <c r="K797" s="102"/>
      <c r="L797" s="54"/>
      <c r="M797" s="54"/>
      <c r="N797" s="54"/>
    </row>
    <row r="798">
      <c r="A798" s="54"/>
      <c r="B798" s="350"/>
      <c r="C798" s="350"/>
      <c r="D798" s="102"/>
      <c r="E798" s="102"/>
      <c r="F798" s="102"/>
      <c r="G798" s="102"/>
      <c r="H798" s="102"/>
      <c r="I798" s="102"/>
      <c r="J798" s="177"/>
      <c r="K798" s="102"/>
      <c r="L798" s="54"/>
      <c r="M798" s="54"/>
      <c r="N798" s="54"/>
    </row>
    <row r="799">
      <c r="A799" s="54"/>
      <c r="B799" s="350"/>
      <c r="C799" s="350"/>
      <c r="D799" s="102"/>
      <c r="E799" s="102"/>
      <c r="F799" s="102"/>
      <c r="G799" s="102"/>
      <c r="H799" s="102"/>
      <c r="I799" s="102"/>
      <c r="J799" s="177"/>
      <c r="K799" s="102"/>
      <c r="L799" s="54"/>
      <c r="M799" s="54"/>
      <c r="N799" s="54"/>
    </row>
    <row r="800">
      <c r="A800" s="54"/>
      <c r="B800" s="350"/>
      <c r="C800" s="350"/>
      <c r="D800" s="102"/>
      <c r="E800" s="102"/>
      <c r="F800" s="102"/>
      <c r="G800" s="102"/>
      <c r="H800" s="102"/>
      <c r="I800" s="102"/>
      <c r="J800" s="177"/>
      <c r="K800" s="102"/>
      <c r="L800" s="54"/>
      <c r="M800" s="54"/>
      <c r="N800" s="54"/>
    </row>
    <row r="801">
      <c r="A801" s="54"/>
      <c r="B801" s="350"/>
      <c r="C801" s="350"/>
      <c r="D801" s="102"/>
      <c r="E801" s="102"/>
      <c r="F801" s="102"/>
      <c r="G801" s="102"/>
      <c r="H801" s="102"/>
      <c r="I801" s="102"/>
      <c r="J801" s="177"/>
      <c r="K801" s="102"/>
      <c r="L801" s="54"/>
      <c r="M801" s="54"/>
      <c r="N801" s="54"/>
    </row>
    <row r="802">
      <c r="A802" s="54"/>
      <c r="B802" s="350"/>
      <c r="C802" s="350"/>
      <c r="D802" s="102"/>
      <c r="E802" s="102"/>
      <c r="F802" s="102"/>
      <c r="G802" s="102"/>
      <c r="H802" s="102"/>
      <c r="I802" s="102"/>
      <c r="J802" s="177"/>
      <c r="K802" s="102"/>
      <c r="L802" s="54"/>
      <c r="M802" s="54"/>
      <c r="N802" s="54"/>
    </row>
    <row r="803">
      <c r="A803" s="54"/>
      <c r="B803" s="350"/>
      <c r="C803" s="350"/>
      <c r="D803" s="102"/>
      <c r="E803" s="102"/>
      <c r="F803" s="102"/>
      <c r="G803" s="102"/>
      <c r="H803" s="102"/>
      <c r="I803" s="102"/>
      <c r="J803" s="177"/>
      <c r="K803" s="102"/>
      <c r="L803" s="54"/>
      <c r="M803" s="54"/>
      <c r="N803" s="54"/>
    </row>
    <row r="804">
      <c r="A804" s="54"/>
      <c r="B804" s="350"/>
      <c r="C804" s="350"/>
      <c r="D804" s="102"/>
      <c r="E804" s="102"/>
      <c r="F804" s="102"/>
      <c r="G804" s="102"/>
      <c r="H804" s="102"/>
      <c r="I804" s="102"/>
      <c r="J804" s="177"/>
      <c r="K804" s="102"/>
      <c r="L804" s="54"/>
      <c r="M804" s="54"/>
      <c r="N804" s="54"/>
    </row>
    <row r="805">
      <c r="A805" s="54"/>
      <c r="B805" s="350"/>
      <c r="C805" s="350"/>
      <c r="D805" s="102"/>
      <c r="E805" s="102"/>
      <c r="F805" s="102"/>
      <c r="G805" s="102"/>
      <c r="H805" s="102"/>
      <c r="I805" s="102"/>
      <c r="J805" s="177"/>
      <c r="K805" s="102"/>
      <c r="L805" s="54"/>
      <c r="M805" s="54"/>
      <c r="N805" s="54"/>
    </row>
    <row r="806">
      <c r="A806" s="54"/>
      <c r="B806" s="350"/>
      <c r="C806" s="350"/>
      <c r="D806" s="102"/>
      <c r="E806" s="102"/>
      <c r="F806" s="102"/>
      <c r="G806" s="102"/>
      <c r="H806" s="102"/>
      <c r="I806" s="102"/>
      <c r="J806" s="177"/>
      <c r="K806" s="102"/>
      <c r="L806" s="54"/>
      <c r="M806" s="54"/>
      <c r="N806" s="54"/>
    </row>
    <row r="807">
      <c r="A807" s="54"/>
      <c r="B807" s="350"/>
      <c r="C807" s="350"/>
      <c r="D807" s="102"/>
      <c r="E807" s="102"/>
      <c r="F807" s="102"/>
      <c r="G807" s="102"/>
      <c r="H807" s="102"/>
      <c r="I807" s="102"/>
      <c r="J807" s="177"/>
      <c r="K807" s="102"/>
      <c r="L807" s="54"/>
      <c r="M807" s="54"/>
      <c r="N807" s="54"/>
    </row>
    <row r="808">
      <c r="A808" s="54"/>
      <c r="B808" s="350"/>
      <c r="C808" s="350"/>
      <c r="D808" s="102"/>
      <c r="E808" s="102"/>
      <c r="F808" s="102"/>
      <c r="G808" s="102"/>
      <c r="H808" s="102"/>
      <c r="I808" s="102"/>
      <c r="J808" s="177"/>
      <c r="K808" s="102"/>
      <c r="L808" s="54"/>
      <c r="M808" s="54"/>
      <c r="N808" s="54"/>
    </row>
    <row r="809">
      <c r="A809" s="54"/>
      <c r="B809" s="350"/>
      <c r="C809" s="350"/>
      <c r="D809" s="102"/>
      <c r="E809" s="102"/>
      <c r="F809" s="102"/>
      <c r="G809" s="102"/>
      <c r="H809" s="102"/>
      <c r="I809" s="102"/>
      <c r="J809" s="177"/>
      <c r="K809" s="102"/>
      <c r="L809" s="54"/>
      <c r="M809" s="54"/>
      <c r="N809" s="54"/>
    </row>
    <row r="810">
      <c r="A810" s="54"/>
      <c r="B810" s="350"/>
      <c r="C810" s="350"/>
      <c r="D810" s="102"/>
      <c r="E810" s="102"/>
      <c r="F810" s="102"/>
      <c r="G810" s="102"/>
      <c r="H810" s="102"/>
      <c r="I810" s="102"/>
      <c r="J810" s="177"/>
      <c r="K810" s="102"/>
      <c r="L810" s="54"/>
      <c r="M810" s="54"/>
      <c r="N810" s="54"/>
    </row>
    <row r="811">
      <c r="A811" s="54"/>
      <c r="B811" s="350"/>
      <c r="C811" s="350"/>
      <c r="D811" s="102"/>
      <c r="E811" s="102"/>
      <c r="F811" s="102"/>
      <c r="G811" s="102"/>
      <c r="H811" s="102"/>
      <c r="I811" s="102"/>
      <c r="J811" s="177"/>
      <c r="K811" s="102"/>
      <c r="L811" s="54"/>
      <c r="M811" s="54"/>
      <c r="N811" s="54"/>
    </row>
    <row r="812">
      <c r="A812" s="54"/>
      <c r="B812" s="350"/>
      <c r="C812" s="350"/>
      <c r="D812" s="102"/>
      <c r="E812" s="102"/>
      <c r="F812" s="102"/>
      <c r="G812" s="102"/>
      <c r="H812" s="102"/>
      <c r="I812" s="102"/>
      <c r="J812" s="177"/>
      <c r="K812" s="102"/>
      <c r="L812" s="54"/>
      <c r="M812" s="54"/>
      <c r="N812" s="54"/>
    </row>
    <row r="813">
      <c r="A813" s="54"/>
      <c r="B813" s="350"/>
      <c r="C813" s="350"/>
      <c r="D813" s="102"/>
      <c r="E813" s="102"/>
      <c r="F813" s="102"/>
      <c r="G813" s="102"/>
      <c r="H813" s="102"/>
      <c r="I813" s="102"/>
      <c r="J813" s="177"/>
      <c r="K813" s="102"/>
      <c r="L813" s="54"/>
      <c r="M813" s="54"/>
      <c r="N813" s="54"/>
    </row>
    <row r="814">
      <c r="A814" s="54"/>
      <c r="B814" s="350"/>
      <c r="C814" s="350"/>
      <c r="D814" s="102"/>
      <c r="E814" s="102"/>
      <c r="F814" s="102"/>
      <c r="G814" s="102"/>
      <c r="H814" s="102"/>
      <c r="I814" s="102"/>
      <c r="J814" s="177"/>
      <c r="K814" s="102"/>
      <c r="L814" s="54"/>
      <c r="M814" s="54"/>
      <c r="N814" s="54"/>
    </row>
    <row r="815">
      <c r="A815" s="54"/>
      <c r="B815" s="350"/>
      <c r="C815" s="350"/>
      <c r="D815" s="102"/>
      <c r="E815" s="102"/>
      <c r="F815" s="102"/>
      <c r="G815" s="102"/>
      <c r="H815" s="102"/>
      <c r="I815" s="102"/>
      <c r="J815" s="177"/>
      <c r="K815" s="102"/>
      <c r="L815" s="54"/>
      <c r="M815" s="54"/>
      <c r="N815" s="54"/>
    </row>
    <row r="816">
      <c r="A816" s="54"/>
      <c r="B816" s="350"/>
      <c r="C816" s="350"/>
      <c r="D816" s="102"/>
      <c r="E816" s="102"/>
      <c r="F816" s="102"/>
      <c r="G816" s="102"/>
      <c r="H816" s="102"/>
      <c r="I816" s="102"/>
      <c r="J816" s="177"/>
      <c r="K816" s="102"/>
      <c r="L816" s="54"/>
      <c r="M816" s="54"/>
      <c r="N816" s="54"/>
    </row>
    <row r="817">
      <c r="A817" s="54"/>
      <c r="B817" s="350"/>
      <c r="C817" s="350"/>
      <c r="D817" s="102"/>
      <c r="E817" s="102"/>
      <c r="F817" s="102"/>
      <c r="G817" s="102"/>
      <c r="H817" s="102"/>
      <c r="I817" s="102"/>
      <c r="J817" s="177"/>
      <c r="K817" s="102"/>
      <c r="L817" s="54"/>
      <c r="M817" s="54"/>
      <c r="N817" s="54"/>
    </row>
    <row r="818">
      <c r="A818" s="54"/>
      <c r="B818" s="350"/>
      <c r="C818" s="350"/>
      <c r="D818" s="102"/>
      <c r="E818" s="102"/>
      <c r="F818" s="102"/>
      <c r="G818" s="102"/>
      <c r="H818" s="102"/>
      <c r="I818" s="102"/>
      <c r="J818" s="177"/>
      <c r="K818" s="102"/>
      <c r="L818" s="54"/>
      <c r="M818" s="54"/>
      <c r="N818" s="54"/>
    </row>
    <row r="819">
      <c r="A819" s="54"/>
      <c r="B819" s="350"/>
      <c r="C819" s="350"/>
      <c r="D819" s="102"/>
      <c r="E819" s="102"/>
      <c r="F819" s="102"/>
      <c r="G819" s="102"/>
      <c r="H819" s="102"/>
      <c r="I819" s="102"/>
      <c r="J819" s="177"/>
      <c r="K819" s="102"/>
      <c r="L819" s="54"/>
      <c r="M819" s="54"/>
      <c r="N819" s="54"/>
    </row>
    <row r="820">
      <c r="A820" s="54"/>
      <c r="B820" s="350"/>
      <c r="C820" s="350"/>
      <c r="D820" s="102"/>
      <c r="E820" s="102"/>
      <c r="F820" s="102"/>
      <c r="G820" s="102"/>
      <c r="H820" s="102"/>
      <c r="I820" s="102"/>
      <c r="J820" s="177"/>
      <c r="K820" s="102"/>
      <c r="L820" s="54"/>
      <c r="M820" s="54"/>
      <c r="N820" s="54"/>
    </row>
    <row r="821">
      <c r="A821" s="54"/>
      <c r="B821" s="350"/>
      <c r="C821" s="350"/>
      <c r="D821" s="102"/>
      <c r="E821" s="102"/>
      <c r="F821" s="102"/>
      <c r="G821" s="102"/>
      <c r="H821" s="102"/>
      <c r="I821" s="102"/>
      <c r="J821" s="177"/>
      <c r="K821" s="102"/>
      <c r="L821" s="54"/>
      <c r="M821" s="54"/>
      <c r="N821" s="54"/>
    </row>
    <row r="822">
      <c r="A822" s="54"/>
      <c r="B822" s="350"/>
      <c r="C822" s="350"/>
      <c r="D822" s="102"/>
      <c r="E822" s="102"/>
      <c r="F822" s="102"/>
      <c r="G822" s="102"/>
      <c r="H822" s="102"/>
      <c r="I822" s="102"/>
      <c r="J822" s="177"/>
      <c r="K822" s="102"/>
      <c r="L822" s="54"/>
      <c r="M822" s="54"/>
      <c r="N822" s="54"/>
    </row>
    <row r="823">
      <c r="A823" s="54"/>
      <c r="B823" s="350"/>
      <c r="C823" s="350"/>
      <c r="D823" s="102"/>
      <c r="E823" s="102"/>
      <c r="F823" s="102"/>
      <c r="G823" s="102"/>
      <c r="H823" s="102"/>
      <c r="I823" s="102"/>
      <c r="J823" s="177"/>
      <c r="K823" s="102"/>
      <c r="L823" s="54"/>
      <c r="M823" s="54"/>
      <c r="N823" s="54"/>
    </row>
    <row r="824">
      <c r="A824" s="54"/>
      <c r="B824" s="350"/>
      <c r="C824" s="350"/>
      <c r="D824" s="102"/>
      <c r="E824" s="102"/>
      <c r="F824" s="102"/>
      <c r="G824" s="102"/>
      <c r="H824" s="102"/>
      <c r="I824" s="102"/>
      <c r="J824" s="177"/>
      <c r="K824" s="102"/>
      <c r="L824" s="54"/>
      <c r="M824" s="54"/>
      <c r="N824" s="54"/>
    </row>
    <row r="825">
      <c r="A825" s="54"/>
      <c r="B825" s="350"/>
      <c r="C825" s="350"/>
      <c r="D825" s="102"/>
      <c r="E825" s="102"/>
      <c r="F825" s="102"/>
      <c r="G825" s="102"/>
      <c r="H825" s="102"/>
      <c r="I825" s="102"/>
      <c r="J825" s="177"/>
      <c r="K825" s="102"/>
      <c r="L825" s="54"/>
      <c r="M825" s="54"/>
      <c r="N825" s="54"/>
    </row>
    <row r="826">
      <c r="A826" s="54"/>
      <c r="B826" s="350"/>
      <c r="C826" s="350"/>
      <c r="D826" s="102"/>
      <c r="E826" s="102"/>
      <c r="F826" s="102"/>
      <c r="G826" s="102"/>
      <c r="H826" s="102"/>
      <c r="I826" s="102"/>
      <c r="J826" s="177"/>
      <c r="K826" s="102"/>
      <c r="L826" s="54"/>
      <c r="M826" s="54"/>
      <c r="N826" s="54"/>
    </row>
    <row r="827">
      <c r="A827" s="54"/>
      <c r="B827" s="350"/>
      <c r="C827" s="350"/>
      <c r="D827" s="102"/>
      <c r="E827" s="102"/>
      <c r="F827" s="102"/>
      <c r="G827" s="102"/>
      <c r="H827" s="102"/>
      <c r="I827" s="102"/>
      <c r="J827" s="177"/>
      <c r="K827" s="102"/>
      <c r="L827" s="54"/>
      <c r="M827" s="54"/>
      <c r="N827" s="54"/>
    </row>
    <row r="828">
      <c r="A828" s="54"/>
      <c r="B828" s="350"/>
      <c r="C828" s="350"/>
      <c r="D828" s="102"/>
      <c r="E828" s="102"/>
      <c r="F828" s="102"/>
      <c r="G828" s="102"/>
      <c r="H828" s="102"/>
      <c r="I828" s="102"/>
      <c r="J828" s="177"/>
      <c r="K828" s="102"/>
      <c r="L828" s="54"/>
      <c r="M828" s="54"/>
      <c r="N828" s="54"/>
    </row>
    <row r="829">
      <c r="A829" s="54"/>
      <c r="B829" s="350"/>
      <c r="C829" s="350"/>
      <c r="D829" s="102"/>
      <c r="E829" s="102"/>
      <c r="F829" s="102"/>
      <c r="G829" s="102"/>
      <c r="H829" s="102"/>
      <c r="I829" s="102"/>
      <c r="J829" s="177"/>
      <c r="K829" s="102"/>
      <c r="L829" s="54"/>
      <c r="M829" s="54"/>
      <c r="N829" s="54"/>
    </row>
    <row r="830">
      <c r="A830" s="54"/>
      <c r="B830" s="350"/>
      <c r="C830" s="350"/>
      <c r="D830" s="102"/>
      <c r="E830" s="102"/>
      <c r="F830" s="102"/>
      <c r="G830" s="102"/>
      <c r="H830" s="102"/>
      <c r="I830" s="102"/>
      <c r="J830" s="177"/>
      <c r="K830" s="102"/>
      <c r="L830" s="54"/>
      <c r="M830" s="54"/>
      <c r="N830" s="54"/>
    </row>
    <row r="831">
      <c r="A831" s="54"/>
      <c r="B831" s="350"/>
      <c r="C831" s="350"/>
      <c r="D831" s="102"/>
      <c r="E831" s="102"/>
      <c r="F831" s="102"/>
      <c r="G831" s="102"/>
      <c r="H831" s="102"/>
      <c r="I831" s="102"/>
      <c r="J831" s="177"/>
      <c r="K831" s="102"/>
      <c r="L831" s="54"/>
      <c r="M831" s="54"/>
      <c r="N831" s="54"/>
    </row>
    <row r="832">
      <c r="A832" s="54"/>
      <c r="B832" s="350"/>
      <c r="C832" s="350"/>
      <c r="D832" s="102"/>
      <c r="E832" s="102"/>
      <c r="F832" s="102"/>
      <c r="G832" s="102"/>
      <c r="H832" s="102"/>
      <c r="I832" s="102"/>
      <c r="J832" s="177"/>
      <c r="K832" s="102"/>
      <c r="L832" s="54"/>
      <c r="M832" s="54"/>
      <c r="N832" s="54"/>
    </row>
    <row r="833">
      <c r="A833" s="54"/>
      <c r="B833" s="350"/>
      <c r="C833" s="350"/>
      <c r="D833" s="102"/>
      <c r="E833" s="102"/>
      <c r="F833" s="102"/>
      <c r="G833" s="102"/>
      <c r="H833" s="102"/>
      <c r="I833" s="102"/>
      <c r="J833" s="177"/>
      <c r="K833" s="102"/>
      <c r="L833" s="54"/>
      <c r="M833" s="54"/>
      <c r="N833" s="54"/>
    </row>
    <row r="834">
      <c r="A834" s="54"/>
      <c r="B834" s="350"/>
      <c r="C834" s="350"/>
      <c r="D834" s="102"/>
      <c r="E834" s="102"/>
      <c r="F834" s="102"/>
      <c r="G834" s="102"/>
      <c r="H834" s="102"/>
      <c r="I834" s="102"/>
      <c r="J834" s="177"/>
      <c r="K834" s="102"/>
      <c r="L834" s="54"/>
      <c r="M834" s="54"/>
      <c r="N834" s="54"/>
    </row>
    <row r="835">
      <c r="A835" s="54"/>
      <c r="B835" s="350"/>
      <c r="C835" s="350"/>
      <c r="D835" s="102"/>
      <c r="E835" s="102"/>
      <c r="F835" s="102"/>
      <c r="G835" s="102"/>
      <c r="H835" s="102"/>
      <c r="I835" s="102"/>
      <c r="J835" s="177"/>
      <c r="K835" s="102"/>
      <c r="L835" s="54"/>
      <c r="M835" s="54"/>
      <c r="N835" s="54"/>
    </row>
    <row r="836">
      <c r="A836" s="54"/>
      <c r="B836" s="350"/>
      <c r="C836" s="350"/>
      <c r="D836" s="102"/>
      <c r="E836" s="102"/>
      <c r="F836" s="102"/>
      <c r="G836" s="102"/>
      <c r="H836" s="102"/>
      <c r="I836" s="102"/>
      <c r="J836" s="177"/>
      <c r="K836" s="102"/>
      <c r="L836" s="54"/>
      <c r="M836" s="54"/>
      <c r="N836" s="54"/>
    </row>
    <row r="837">
      <c r="A837" s="54"/>
      <c r="B837" s="350"/>
      <c r="C837" s="350"/>
      <c r="D837" s="102"/>
      <c r="E837" s="102"/>
      <c r="F837" s="102"/>
      <c r="G837" s="102"/>
      <c r="H837" s="102"/>
      <c r="I837" s="102"/>
      <c r="J837" s="177"/>
      <c r="K837" s="102"/>
      <c r="L837" s="54"/>
      <c r="M837" s="54"/>
      <c r="N837" s="54"/>
    </row>
    <row r="838">
      <c r="A838" s="54"/>
      <c r="B838" s="350"/>
      <c r="C838" s="350"/>
      <c r="D838" s="102"/>
      <c r="E838" s="102"/>
      <c r="F838" s="102"/>
      <c r="G838" s="102"/>
      <c r="H838" s="102"/>
      <c r="I838" s="102"/>
      <c r="J838" s="177"/>
      <c r="K838" s="102"/>
      <c r="L838" s="54"/>
      <c r="M838" s="54"/>
      <c r="N838" s="54"/>
    </row>
    <row r="839">
      <c r="A839" s="54"/>
      <c r="B839" s="350"/>
      <c r="C839" s="350"/>
      <c r="D839" s="102"/>
      <c r="E839" s="102"/>
      <c r="F839" s="102"/>
      <c r="G839" s="102"/>
      <c r="H839" s="102"/>
      <c r="I839" s="102"/>
      <c r="J839" s="177"/>
      <c r="K839" s="102"/>
      <c r="L839" s="54"/>
      <c r="M839" s="54"/>
      <c r="N839" s="54"/>
    </row>
    <row r="840">
      <c r="A840" s="54"/>
      <c r="B840" s="350"/>
      <c r="C840" s="350"/>
      <c r="D840" s="102"/>
      <c r="E840" s="102"/>
      <c r="F840" s="102"/>
      <c r="G840" s="102"/>
      <c r="H840" s="102"/>
      <c r="I840" s="102"/>
      <c r="J840" s="177"/>
      <c r="K840" s="102"/>
      <c r="L840" s="54"/>
      <c r="M840" s="54"/>
      <c r="N840" s="54"/>
    </row>
    <row r="841">
      <c r="A841" s="54"/>
      <c r="B841" s="350"/>
      <c r="C841" s="350"/>
      <c r="D841" s="102"/>
      <c r="E841" s="102"/>
      <c r="F841" s="102"/>
      <c r="G841" s="102"/>
      <c r="H841" s="102"/>
      <c r="I841" s="102"/>
      <c r="J841" s="177"/>
      <c r="K841" s="102"/>
      <c r="L841" s="54"/>
      <c r="M841" s="54"/>
      <c r="N841" s="54"/>
    </row>
    <row r="842">
      <c r="A842" s="54"/>
      <c r="B842" s="350"/>
      <c r="C842" s="350"/>
      <c r="D842" s="102"/>
      <c r="E842" s="102"/>
      <c r="F842" s="102"/>
      <c r="G842" s="102"/>
      <c r="H842" s="102"/>
      <c r="I842" s="102"/>
      <c r="J842" s="177"/>
      <c r="K842" s="102"/>
      <c r="L842" s="54"/>
      <c r="M842" s="54"/>
      <c r="N842" s="54"/>
    </row>
    <row r="843">
      <c r="A843" s="54"/>
      <c r="B843" s="350"/>
      <c r="C843" s="350"/>
      <c r="D843" s="102"/>
      <c r="E843" s="102"/>
      <c r="F843" s="102"/>
      <c r="G843" s="102"/>
      <c r="H843" s="102"/>
      <c r="I843" s="102"/>
      <c r="J843" s="177"/>
      <c r="K843" s="102"/>
      <c r="L843" s="54"/>
      <c r="M843" s="54"/>
      <c r="N843" s="54"/>
    </row>
    <row r="844">
      <c r="A844" s="54"/>
      <c r="B844" s="350"/>
      <c r="C844" s="350"/>
      <c r="D844" s="102"/>
      <c r="E844" s="102"/>
      <c r="F844" s="102"/>
      <c r="G844" s="102"/>
      <c r="H844" s="102"/>
      <c r="I844" s="102"/>
      <c r="J844" s="177"/>
      <c r="K844" s="102"/>
      <c r="L844" s="54"/>
      <c r="M844" s="54"/>
      <c r="N844" s="54"/>
    </row>
    <row r="845">
      <c r="A845" s="54"/>
      <c r="B845" s="350"/>
      <c r="C845" s="350"/>
      <c r="D845" s="102"/>
      <c r="E845" s="102"/>
      <c r="F845" s="102"/>
      <c r="G845" s="102"/>
      <c r="H845" s="102"/>
      <c r="I845" s="102"/>
      <c r="J845" s="177"/>
      <c r="K845" s="102"/>
      <c r="L845" s="54"/>
      <c r="M845" s="54"/>
      <c r="N845" s="54"/>
    </row>
    <row r="846">
      <c r="A846" s="54"/>
      <c r="B846" s="350"/>
      <c r="C846" s="350"/>
      <c r="D846" s="102"/>
      <c r="E846" s="102"/>
      <c r="F846" s="102"/>
      <c r="G846" s="102"/>
      <c r="H846" s="102"/>
      <c r="I846" s="102"/>
      <c r="J846" s="177"/>
      <c r="K846" s="102"/>
      <c r="L846" s="54"/>
      <c r="M846" s="54"/>
      <c r="N846" s="54"/>
    </row>
    <row r="847">
      <c r="A847" s="54"/>
      <c r="B847" s="350"/>
      <c r="C847" s="350"/>
      <c r="D847" s="102"/>
      <c r="E847" s="102"/>
      <c r="F847" s="102"/>
      <c r="G847" s="102"/>
      <c r="H847" s="102"/>
      <c r="I847" s="102"/>
      <c r="J847" s="177"/>
      <c r="K847" s="102"/>
      <c r="L847" s="54"/>
      <c r="M847" s="54"/>
      <c r="N847" s="54"/>
    </row>
    <row r="848">
      <c r="A848" s="54"/>
      <c r="B848" s="350"/>
      <c r="C848" s="350"/>
      <c r="D848" s="102"/>
      <c r="E848" s="102"/>
      <c r="F848" s="102"/>
      <c r="G848" s="102"/>
      <c r="H848" s="102"/>
      <c r="I848" s="102"/>
      <c r="J848" s="177"/>
      <c r="K848" s="102"/>
      <c r="L848" s="54"/>
      <c r="M848" s="54"/>
      <c r="N848" s="54"/>
    </row>
    <row r="849">
      <c r="A849" s="54"/>
      <c r="B849" s="350"/>
      <c r="C849" s="350"/>
      <c r="D849" s="102"/>
      <c r="E849" s="102"/>
      <c r="F849" s="102"/>
      <c r="G849" s="102"/>
      <c r="H849" s="102"/>
      <c r="I849" s="102"/>
      <c r="J849" s="177"/>
      <c r="K849" s="102"/>
      <c r="L849" s="54"/>
      <c r="M849" s="54"/>
      <c r="N849" s="54"/>
    </row>
    <row r="850">
      <c r="A850" s="54"/>
      <c r="B850" s="350"/>
      <c r="C850" s="350"/>
      <c r="D850" s="102"/>
      <c r="E850" s="102"/>
      <c r="F850" s="102"/>
      <c r="G850" s="102"/>
      <c r="H850" s="102"/>
      <c r="I850" s="102"/>
      <c r="J850" s="177"/>
      <c r="K850" s="102"/>
      <c r="L850" s="54"/>
      <c r="M850" s="54"/>
      <c r="N850" s="54"/>
    </row>
    <row r="851">
      <c r="A851" s="54"/>
      <c r="B851" s="350"/>
      <c r="C851" s="350"/>
      <c r="D851" s="102"/>
      <c r="E851" s="102"/>
      <c r="F851" s="102"/>
      <c r="G851" s="102"/>
      <c r="H851" s="102"/>
      <c r="I851" s="102"/>
      <c r="J851" s="177"/>
      <c r="K851" s="102"/>
      <c r="L851" s="54"/>
      <c r="M851" s="54"/>
      <c r="N851" s="54"/>
    </row>
    <row r="852">
      <c r="A852" s="54"/>
      <c r="B852" s="350"/>
      <c r="C852" s="350"/>
      <c r="D852" s="102"/>
      <c r="E852" s="102"/>
      <c r="F852" s="102"/>
      <c r="G852" s="102"/>
      <c r="H852" s="102"/>
      <c r="I852" s="102"/>
      <c r="J852" s="177"/>
      <c r="K852" s="102"/>
      <c r="L852" s="54"/>
      <c r="M852" s="54"/>
      <c r="N852" s="54"/>
    </row>
    <row r="853">
      <c r="A853" s="54"/>
      <c r="B853" s="350"/>
      <c r="C853" s="350"/>
      <c r="D853" s="102"/>
      <c r="E853" s="102"/>
      <c r="F853" s="102"/>
      <c r="G853" s="102"/>
      <c r="H853" s="102"/>
      <c r="I853" s="102"/>
      <c r="J853" s="177"/>
      <c r="K853" s="102"/>
      <c r="L853" s="54"/>
      <c r="M853" s="54"/>
      <c r="N853" s="54"/>
    </row>
    <row r="854">
      <c r="A854" s="54"/>
      <c r="B854" s="350"/>
      <c r="C854" s="350"/>
      <c r="D854" s="102"/>
      <c r="E854" s="102"/>
      <c r="F854" s="102"/>
      <c r="G854" s="102"/>
      <c r="H854" s="102"/>
      <c r="I854" s="102"/>
      <c r="J854" s="177"/>
      <c r="K854" s="102"/>
      <c r="L854" s="54"/>
      <c r="M854" s="54"/>
      <c r="N854" s="54"/>
    </row>
    <row r="855">
      <c r="A855" s="54"/>
      <c r="B855" s="350"/>
      <c r="C855" s="350"/>
      <c r="D855" s="102"/>
      <c r="E855" s="102"/>
      <c r="F855" s="102"/>
      <c r="G855" s="102"/>
      <c r="H855" s="102"/>
      <c r="I855" s="102"/>
      <c r="J855" s="177"/>
      <c r="K855" s="102"/>
      <c r="L855" s="54"/>
      <c r="M855" s="54"/>
      <c r="N855" s="54"/>
    </row>
    <row r="856">
      <c r="A856" s="54"/>
      <c r="B856" s="350"/>
      <c r="C856" s="350"/>
      <c r="D856" s="102"/>
      <c r="E856" s="102"/>
      <c r="F856" s="102"/>
      <c r="G856" s="102"/>
      <c r="H856" s="102"/>
      <c r="I856" s="102"/>
      <c r="J856" s="177"/>
      <c r="K856" s="102"/>
      <c r="L856" s="54"/>
      <c r="M856" s="54"/>
      <c r="N856" s="54"/>
    </row>
    <row r="857">
      <c r="A857" s="54"/>
      <c r="B857" s="350"/>
      <c r="C857" s="350"/>
      <c r="D857" s="102"/>
      <c r="E857" s="102"/>
      <c r="F857" s="102"/>
      <c r="G857" s="102"/>
      <c r="H857" s="102"/>
      <c r="I857" s="102"/>
      <c r="J857" s="177"/>
      <c r="K857" s="102"/>
      <c r="L857" s="54"/>
      <c r="M857" s="54"/>
      <c r="N857" s="54"/>
    </row>
    <row r="858">
      <c r="A858" s="54"/>
      <c r="B858" s="350"/>
      <c r="C858" s="350"/>
      <c r="D858" s="102"/>
      <c r="E858" s="102"/>
      <c r="F858" s="102"/>
      <c r="G858" s="102"/>
      <c r="H858" s="102"/>
      <c r="I858" s="102"/>
      <c r="J858" s="177"/>
      <c r="K858" s="102"/>
      <c r="L858" s="54"/>
      <c r="M858" s="54"/>
      <c r="N858" s="54"/>
    </row>
    <row r="859">
      <c r="A859" s="54"/>
      <c r="B859" s="350"/>
      <c r="C859" s="350"/>
      <c r="D859" s="102"/>
      <c r="E859" s="102"/>
      <c r="F859" s="102"/>
      <c r="G859" s="102"/>
      <c r="H859" s="102"/>
      <c r="I859" s="102"/>
      <c r="J859" s="177"/>
      <c r="K859" s="102"/>
      <c r="L859" s="54"/>
      <c r="M859" s="54"/>
      <c r="N859" s="54"/>
    </row>
    <row r="860">
      <c r="A860" s="54"/>
      <c r="B860" s="350"/>
      <c r="C860" s="350"/>
      <c r="D860" s="102"/>
      <c r="E860" s="102"/>
      <c r="F860" s="102"/>
      <c r="G860" s="102"/>
      <c r="H860" s="102"/>
      <c r="I860" s="102"/>
      <c r="J860" s="177"/>
      <c r="K860" s="102"/>
      <c r="L860" s="54"/>
      <c r="M860" s="54"/>
      <c r="N860" s="54"/>
    </row>
    <row r="861">
      <c r="A861" s="54"/>
      <c r="B861" s="350"/>
      <c r="C861" s="350"/>
      <c r="D861" s="102"/>
      <c r="E861" s="102"/>
      <c r="F861" s="102"/>
      <c r="G861" s="102"/>
      <c r="H861" s="102"/>
      <c r="I861" s="102"/>
      <c r="J861" s="177"/>
      <c r="K861" s="102"/>
      <c r="L861" s="54"/>
      <c r="M861" s="54"/>
      <c r="N861" s="54"/>
    </row>
    <row r="862">
      <c r="A862" s="54"/>
      <c r="B862" s="350"/>
      <c r="C862" s="350"/>
      <c r="D862" s="102"/>
      <c r="E862" s="102"/>
      <c r="F862" s="102"/>
      <c r="G862" s="102"/>
      <c r="H862" s="102"/>
      <c r="I862" s="102"/>
      <c r="J862" s="177"/>
      <c r="K862" s="102"/>
      <c r="L862" s="54"/>
      <c r="M862" s="54"/>
      <c r="N862" s="54"/>
    </row>
    <row r="863">
      <c r="A863" s="54"/>
      <c r="B863" s="350"/>
      <c r="C863" s="350"/>
      <c r="D863" s="102"/>
      <c r="E863" s="102"/>
      <c r="F863" s="102"/>
      <c r="G863" s="102"/>
      <c r="H863" s="102"/>
      <c r="I863" s="102"/>
      <c r="J863" s="177"/>
      <c r="K863" s="102"/>
      <c r="L863" s="54"/>
      <c r="M863" s="54"/>
      <c r="N863" s="54"/>
    </row>
    <row r="864">
      <c r="A864" s="54"/>
      <c r="B864" s="350"/>
      <c r="C864" s="350"/>
      <c r="D864" s="102"/>
      <c r="E864" s="102"/>
      <c r="F864" s="102"/>
      <c r="G864" s="102"/>
      <c r="H864" s="102"/>
      <c r="I864" s="102"/>
      <c r="J864" s="177"/>
      <c r="K864" s="102"/>
      <c r="L864" s="54"/>
      <c r="M864" s="54"/>
      <c r="N864" s="54"/>
    </row>
    <row r="865">
      <c r="A865" s="54"/>
      <c r="B865" s="350"/>
      <c r="C865" s="350"/>
      <c r="D865" s="102"/>
      <c r="E865" s="102"/>
      <c r="F865" s="102"/>
      <c r="G865" s="102"/>
      <c r="H865" s="102"/>
      <c r="I865" s="102"/>
      <c r="J865" s="177"/>
      <c r="K865" s="102"/>
      <c r="L865" s="54"/>
      <c r="M865" s="54"/>
      <c r="N865" s="54"/>
    </row>
    <row r="866">
      <c r="A866" s="54"/>
      <c r="B866" s="350"/>
      <c r="C866" s="350"/>
      <c r="D866" s="102"/>
      <c r="E866" s="102"/>
      <c r="F866" s="102"/>
      <c r="G866" s="102"/>
      <c r="H866" s="102"/>
      <c r="I866" s="102"/>
      <c r="J866" s="177"/>
      <c r="K866" s="102"/>
      <c r="L866" s="54"/>
      <c r="M866" s="54"/>
      <c r="N866" s="54"/>
    </row>
    <row r="867">
      <c r="A867" s="54"/>
      <c r="B867" s="350"/>
      <c r="C867" s="350"/>
      <c r="D867" s="102"/>
      <c r="E867" s="102"/>
      <c r="F867" s="102"/>
      <c r="G867" s="102"/>
      <c r="H867" s="102"/>
      <c r="I867" s="102"/>
      <c r="J867" s="177"/>
      <c r="K867" s="102"/>
      <c r="L867" s="54"/>
      <c r="M867" s="54"/>
      <c r="N867" s="54"/>
    </row>
    <row r="868">
      <c r="A868" s="54"/>
      <c r="B868" s="350"/>
      <c r="C868" s="350"/>
      <c r="D868" s="102"/>
      <c r="E868" s="102"/>
      <c r="F868" s="102"/>
      <c r="G868" s="102"/>
      <c r="H868" s="102"/>
      <c r="I868" s="102"/>
      <c r="J868" s="177"/>
      <c r="K868" s="102"/>
      <c r="L868" s="54"/>
      <c r="M868" s="54"/>
      <c r="N868" s="54"/>
    </row>
    <row r="869">
      <c r="A869" s="54"/>
      <c r="B869" s="350"/>
      <c r="C869" s="350"/>
      <c r="D869" s="102"/>
      <c r="E869" s="102"/>
      <c r="F869" s="102"/>
      <c r="G869" s="102"/>
      <c r="H869" s="102"/>
      <c r="I869" s="102"/>
      <c r="J869" s="177"/>
      <c r="K869" s="102"/>
      <c r="L869" s="54"/>
      <c r="M869" s="54"/>
      <c r="N869" s="54"/>
    </row>
    <row r="870">
      <c r="A870" s="54"/>
      <c r="B870" s="350"/>
      <c r="C870" s="350"/>
      <c r="D870" s="102"/>
      <c r="E870" s="102"/>
      <c r="F870" s="102"/>
      <c r="G870" s="102"/>
      <c r="H870" s="102"/>
      <c r="I870" s="102"/>
      <c r="J870" s="177"/>
      <c r="K870" s="102"/>
      <c r="L870" s="54"/>
      <c r="M870" s="54"/>
      <c r="N870" s="54"/>
    </row>
    <row r="871">
      <c r="A871" s="54"/>
      <c r="B871" s="350"/>
      <c r="C871" s="350"/>
      <c r="D871" s="102"/>
      <c r="E871" s="102"/>
      <c r="F871" s="102"/>
      <c r="G871" s="102"/>
      <c r="H871" s="102"/>
      <c r="I871" s="102"/>
      <c r="J871" s="177"/>
      <c r="K871" s="102"/>
      <c r="L871" s="54"/>
      <c r="M871" s="54"/>
      <c r="N871" s="54"/>
    </row>
    <row r="872">
      <c r="A872" s="54"/>
      <c r="B872" s="350"/>
      <c r="C872" s="350"/>
      <c r="D872" s="102"/>
      <c r="E872" s="102"/>
      <c r="F872" s="102"/>
      <c r="G872" s="102"/>
      <c r="H872" s="102"/>
      <c r="I872" s="102"/>
      <c r="J872" s="177"/>
      <c r="K872" s="102"/>
      <c r="L872" s="54"/>
      <c r="M872" s="54"/>
      <c r="N872" s="54"/>
    </row>
    <row r="873">
      <c r="A873" s="54"/>
      <c r="B873" s="350"/>
      <c r="C873" s="350"/>
      <c r="D873" s="102"/>
      <c r="E873" s="102"/>
      <c r="F873" s="102"/>
      <c r="G873" s="102"/>
      <c r="H873" s="102"/>
      <c r="I873" s="102"/>
      <c r="J873" s="177"/>
      <c r="K873" s="102"/>
      <c r="L873" s="54"/>
      <c r="M873" s="54"/>
      <c r="N873" s="54"/>
    </row>
    <row r="874">
      <c r="A874" s="54"/>
      <c r="B874" s="350"/>
      <c r="C874" s="350"/>
      <c r="D874" s="102"/>
      <c r="E874" s="102"/>
      <c r="F874" s="102"/>
      <c r="G874" s="102"/>
      <c r="H874" s="102"/>
      <c r="I874" s="102"/>
      <c r="J874" s="177"/>
      <c r="K874" s="102"/>
      <c r="L874" s="54"/>
      <c r="M874" s="54"/>
      <c r="N874" s="54"/>
    </row>
    <row r="875">
      <c r="A875" s="54"/>
      <c r="B875" s="350"/>
      <c r="C875" s="350"/>
      <c r="D875" s="102"/>
      <c r="E875" s="102"/>
      <c r="F875" s="102"/>
      <c r="G875" s="102"/>
      <c r="H875" s="102"/>
      <c r="I875" s="102"/>
      <c r="J875" s="177"/>
      <c r="K875" s="102"/>
      <c r="L875" s="54"/>
      <c r="M875" s="54"/>
      <c r="N875" s="54"/>
    </row>
    <row r="876">
      <c r="A876" s="54"/>
      <c r="B876" s="350"/>
      <c r="C876" s="350"/>
      <c r="D876" s="102"/>
      <c r="E876" s="102"/>
      <c r="F876" s="102"/>
      <c r="G876" s="102"/>
      <c r="H876" s="102"/>
      <c r="I876" s="102"/>
      <c r="J876" s="177"/>
      <c r="K876" s="102"/>
      <c r="L876" s="54"/>
      <c r="M876" s="54"/>
      <c r="N876" s="54"/>
    </row>
    <row r="877">
      <c r="A877" s="54"/>
      <c r="B877" s="350"/>
      <c r="C877" s="350"/>
      <c r="D877" s="102"/>
      <c r="E877" s="102"/>
      <c r="F877" s="102"/>
      <c r="G877" s="102"/>
      <c r="H877" s="102"/>
      <c r="I877" s="102"/>
      <c r="J877" s="177"/>
      <c r="K877" s="102"/>
      <c r="L877" s="54"/>
      <c r="M877" s="54"/>
      <c r="N877" s="54"/>
    </row>
    <row r="878">
      <c r="A878" s="54"/>
      <c r="B878" s="350"/>
      <c r="C878" s="350"/>
      <c r="D878" s="102"/>
      <c r="E878" s="102"/>
      <c r="F878" s="102"/>
      <c r="G878" s="102"/>
      <c r="H878" s="102"/>
      <c r="I878" s="102"/>
      <c r="J878" s="177"/>
      <c r="K878" s="102"/>
      <c r="L878" s="54"/>
      <c r="M878" s="54"/>
      <c r="N878" s="54"/>
    </row>
    <row r="879">
      <c r="A879" s="54"/>
      <c r="B879" s="350"/>
      <c r="C879" s="350"/>
      <c r="D879" s="102"/>
      <c r="E879" s="102"/>
      <c r="F879" s="102"/>
      <c r="G879" s="102"/>
      <c r="H879" s="102"/>
      <c r="I879" s="102"/>
      <c r="J879" s="177"/>
      <c r="K879" s="102"/>
      <c r="L879" s="54"/>
      <c r="M879" s="54"/>
      <c r="N879" s="54"/>
    </row>
    <row r="880">
      <c r="A880" s="54"/>
      <c r="B880" s="350"/>
      <c r="C880" s="350"/>
      <c r="D880" s="102"/>
      <c r="E880" s="102"/>
      <c r="F880" s="102"/>
      <c r="G880" s="102"/>
      <c r="H880" s="102"/>
      <c r="I880" s="102"/>
      <c r="J880" s="177"/>
      <c r="K880" s="102"/>
      <c r="L880" s="54"/>
      <c r="M880" s="54"/>
      <c r="N880" s="54"/>
    </row>
    <row r="881">
      <c r="A881" s="54"/>
      <c r="B881" s="350"/>
      <c r="C881" s="350"/>
      <c r="D881" s="102"/>
      <c r="E881" s="102"/>
      <c r="F881" s="102"/>
      <c r="G881" s="102"/>
      <c r="H881" s="102"/>
      <c r="I881" s="102"/>
      <c r="J881" s="177"/>
      <c r="K881" s="102"/>
      <c r="L881" s="54"/>
      <c r="M881" s="54"/>
      <c r="N881" s="54"/>
    </row>
    <row r="882">
      <c r="A882" s="54"/>
      <c r="B882" s="350"/>
      <c r="C882" s="350"/>
      <c r="D882" s="102"/>
      <c r="E882" s="102"/>
      <c r="F882" s="102"/>
      <c r="G882" s="102"/>
      <c r="H882" s="102"/>
      <c r="I882" s="102"/>
      <c r="J882" s="177"/>
      <c r="K882" s="102"/>
      <c r="L882" s="54"/>
      <c r="M882" s="54"/>
      <c r="N882" s="54"/>
    </row>
    <row r="883">
      <c r="A883" s="54"/>
      <c r="B883" s="350"/>
      <c r="C883" s="350"/>
      <c r="D883" s="102"/>
      <c r="E883" s="102"/>
      <c r="F883" s="102"/>
      <c r="G883" s="102"/>
      <c r="H883" s="102"/>
      <c r="I883" s="102"/>
      <c r="J883" s="177"/>
      <c r="K883" s="102"/>
      <c r="L883" s="54"/>
      <c r="M883" s="54"/>
      <c r="N883" s="54"/>
    </row>
    <row r="884">
      <c r="A884" s="54"/>
      <c r="B884" s="350"/>
      <c r="C884" s="350"/>
      <c r="D884" s="102"/>
      <c r="E884" s="102"/>
      <c r="F884" s="102"/>
      <c r="G884" s="102"/>
      <c r="H884" s="102"/>
      <c r="I884" s="102"/>
      <c r="J884" s="177"/>
      <c r="K884" s="102"/>
      <c r="L884" s="54"/>
      <c r="M884" s="54"/>
      <c r="N884" s="54"/>
    </row>
    <row r="885">
      <c r="A885" s="54"/>
      <c r="B885" s="350"/>
      <c r="C885" s="350"/>
      <c r="D885" s="102"/>
      <c r="E885" s="102"/>
      <c r="F885" s="102"/>
      <c r="G885" s="102"/>
      <c r="H885" s="102"/>
      <c r="I885" s="102"/>
      <c r="J885" s="177"/>
      <c r="K885" s="102"/>
      <c r="L885" s="54"/>
      <c r="M885" s="54"/>
      <c r="N885" s="54"/>
    </row>
    <row r="886">
      <c r="A886" s="54"/>
      <c r="B886" s="350"/>
      <c r="C886" s="350"/>
      <c r="D886" s="102"/>
      <c r="E886" s="102"/>
      <c r="F886" s="102"/>
      <c r="G886" s="102"/>
      <c r="H886" s="102"/>
      <c r="I886" s="102"/>
      <c r="J886" s="177"/>
      <c r="K886" s="102"/>
      <c r="L886" s="54"/>
      <c r="M886" s="54"/>
      <c r="N886" s="54"/>
    </row>
    <row r="887">
      <c r="A887" s="54"/>
      <c r="B887" s="350"/>
      <c r="C887" s="350"/>
      <c r="D887" s="102"/>
      <c r="E887" s="102"/>
      <c r="F887" s="102"/>
      <c r="G887" s="102"/>
      <c r="H887" s="102"/>
      <c r="I887" s="102"/>
      <c r="J887" s="177"/>
      <c r="K887" s="102"/>
      <c r="L887" s="54"/>
      <c r="M887" s="54"/>
      <c r="N887" s="54"/>
    </row>
    <row r="888">
      <c r="A888" s="54"/>
      <c r="B888" s="350"/>
      <c r="C888" s="350"/>
      <c r="D888" s="102"/>
      <c r="E888" s="102"/>
      <c r="F888" s="102"/>
      <c r="G888" s="102"/>
      <c r="H888" s="102"/>
      <c r="I888" s="102"/>
      <c r="J888" s="177"/>
      <c r="K888" s="102"/>
      <c r="L888" s="54"/>
      <c r="M888" s="54"/>
      <c r="N888" s="54"/>
    </row>
    <row r="889">
      <c r="A889" s="54"/>
      <c r="B889" s="350"/>
      <c r="C889" s="350"/>
      <c r="D889" s="102"/>
      <c r="E889" s="102"/>
      <c r="F889" s="102"/>
      <c r="G889" s="102"/>
      <c r="H889" s="102"/>
      <c r="I889" s="102"/>
      <c r="J889" s="177"/>
      <c r="K889" s="102"/>
      <c r="L889" s="54"/>
      <c r="M889" s="54"/>
      <c r="N889" s="54"/>
    </row>
    <row r="890">
      <c r="A890" s="54"/>
      <c r="B890" s="350"/>
      <c r="C890" s="350"/>
      <c r="D890" s="102"/>
      <c r="E890" s="102"/>
      <c r="F890" s="102"/>
      <c r="G890" s="102"/>
      <c r="H890" s="102"/>
      <c r="I890" s="102"/>
      <c r="J890" s="177"/>
      <c r="K890" s="102"/>
      <c r="L890" s="54"/>
      <c r="M890" s="54"/>
      <c r="N890" s="54"/>
    </row>
    <row r="891">
      <c r="A891" s="54"/>
      <c r="B891" s="350"/>
      <c r="C891" s="350"/>
      <c r="D891" s="102"/>
      <c r="E891" s="102"/>
      <c r="F891" s="102"/>
      <c r="G891" s="102"/>
      <c r="H891" s="102"/>
      <c r="I891" s="102"/>
      <c r="J891" s="177"/>
      <c r="K891" s="102"/>
      <c r="L891" s="54"/>
      <c r="M891" s="54"/>
      <c r="N891" s="54"/>
    </row>
    <row r="892">
      <c r="A892" s="54"/>
      <c r="B892" s="350"/>
      <c r="C892" s="350"/>
      <c r="D892" s="102"/>
      <c r="E892" s="102"/>
      <c r="F892" s="102"/>
      <c r="G892" s="102"/>
      <c r="H892" s="102"/>
      <c r="I892" s="102"/>
      <c r="J892" s="177"/>
      <c r="K892" s="102"/>
      <c r="L892" s="54"/>
      <c r="M892" s="54"/>
      <c r="N892" s="54"/>
    </row>
    <row r="893">
      <c r="A893" s="54"/>
      <c r="B893" s="350"/>
      <c r="C893" s="350"/>
      <c r="D893" s="102"/>
      <c r="E893" s="102"/>
      <c r="F893" s="102"/>
      <c r="G893" s="102"/>
      <c r="H893" s="102"/>
      <c r="I893" s="102"/>
      <c r="J893" s="177"/>
      <c r="K893" s="102"/>
      <c r="L893" s="54"/>
      <c r="M893" s="54"/>
      <c r="N893" s="54"/>
    </row>
    <row r="894">
      <c r="A894" s="54"/>
      <c r="B894" s="350"/>
      <c r="C894" s="350"/>
      <c r="D894" s="102"/>
      <c r="E894" s="102"/>
      <c r="F894" s="102"/>
      <c r="G894" s="102"/>
      <c r="H894" s="102"/>
      <c r="I894" s="102"/>
      <c r="J894" s="177"/>
      <c r="K894" s="102"/>
      <c r="L894" s="54"/>
      <c r="M894" s="54"/>
      <c r="N894" s="54"/>
    </row>
    <row r="895">
      <c r="A895" s="54"/>
      <c r="B895" s="350"/>
      <c r="C895" s="350"/>
      <c r="D895" s="102"/>
      <c r="E895" s="102"/>
      <c r="F895" s="102"/>
      <c r="G895" s="102"/>
      <c r="H895" s="102"/>
      <c r="I895" s="102"/>
      <c r="J895" s="177"/>
      <c r="K895" s="102"/>
      <c r="L895" s="54"/>
      <c r="M895" s="54"/>
      <c r="N895" s="54"/>
    </row>
    <row r="896">
      <c r="A896" s="54"/>
      <c r="B896" s="350"/>
      <c r="C896" s="350"/>
      <c r="D896" s="102"/>
      <c r="E896" s="102"/>
      <c r="F896" s="102"/>
      <c r="G896" s="102"/>
      <c r="H896" s="102"/>
      <c r="I896" s="102"/>
      <c r="J896" s="177"/>
      <c r="K896" s="102"/>
      <c r="L896" s="54"/>
      <c r="M896" s="54"/>
      <c r="N896" s="54"/>
    </row>
    <row r="897">
      <c r="A897" s="54"/>
      <c r="B897" s="350"/>
      <c r="C897" s="350"/>
      <c r="D897" s="102"/>
      <c r="E897" s="102"/>
      <c r="F897" s="102"/>
      <c r="G897" s="102"/>
      <c r="H897" s="102"/>
      <c r="I897" s="102"/>
      <c r="J897" s="177"/>
      <c r="K897" s="102"/>
      <c r="L897" s="54"/>
      <c r="M897" s="54"/>
      <c r="N897" s="54"/>
    </row>
    <row r="898">
      <c r="A898" s="54"/>
      <c r="B898" s="350"/>
      <c r="C898" s="350"/>
      <c r="D898" s="102"/>
      <c r="E898" s="102"/>
      <c r="F898" s="102"/>
      <c r="G898" s="102"/>
      <c r="H898" s="102"/>
      <c r="I898" s="102"/>
      <c r="J898" s="177"/>
      <c r="K898" s="102"/>
      <c r="L898" s="54"/>
      <c r="M898" s="54"/>
      <c r="N898" s="54"/>
    </row>
    <row r="899">
      <c r="A899" s="54"/>
      <c r="B899" s="350"/>
      <c r="C899" s="350"/>
      <c r="D899" s="102"/>
      <c r="E899" s="102"/>
      <c r="F899" s="102"/>
      <c r="G899" s="102"/>
      <c r="H899" s="102"/>
      <c r="I899" s="102"/>
      <c r="J899" s="177"/>
      <c r="K899" s="102"/>
      <c r="L899" s="54"/>
      <c r="M899" s="54"/>
      <c r="N899" s="54"/>
    </row>
    <row r="900">
      <c r="A900" s="54"/>
      <c r="B900" s="350"/>
      <c r="C900" s="350"/>
      <c r="D900" s="102"/>
      <c r="E900" s="102"/>
      <c r="F900" s="102"/>
      <c r="G900" s="102"/>
      <c r="H900" s="102"/>
      <c r="I900" s="102"/>
      <c r="J900" s="177"/>
      <c r="K900" s="102"/>
      <c r="L900" s="54"/>
      <c r="M900" s="54"/>
      <c r="N900" s="54"/>
    </row>
    <row r="901">
      <c r="A901" s="54"/>
      <c r="B901" s="350"/>
      <c r="C901" s="350"/>
      <c r="D901" s="102"/>
      <c r="E901" s="102"/>
      <c r="F901" s="102"/>
      <c r="G901" s="102"/>
      <c r="H901" s="102"/>
      <c r="I901" s="102"/>
      <c r="J901" s="177"/>
      <c r="K901" s="102"/>
      <c r="L901" s="54"/>
      <c r="M901" s="54"/>
      <c r="N901" s="54"/>
    </row>
    <row r="902">
      <c r="A902" s="54"/>
      <c r="B902" s="350"/>
      <c r="C902" s="350"/>
      <c r="D902" s="102"/>
      <c r="E902" s="102"/>
      <c r="F902" s="102"/>
      <c r="G902" s="102"/>
      <c r="H902" s="102"/>
      <c r="I902" s="102"/>
      <c r="J902" s="177"/>
      <c r="K902" s="102"/>
      <c r="L902" s="54"/>
      <c r="M902" s="54"/>
      <c r="N902" s="54"/>
    </row>
    <row r="903">
      <c r="A903" s="54"/>
      <c r="B903" s="350"/>
      <c r="C903" s="350"/>
      <c r="D903" s="102"/>
      <c r="E903" s="102"/>
      <c r="F903" s="102"/>
      <c r="G903" s="102"/>
      <c r="H903" s="102"/>
      <c r="I903" s="102"/>
      <c r="J903" s="177"/>
      <c r="K903" s="102"/>
      <c r="L903" s="54"/>
      <c r="M903" s="54"/>
      <c r="N903" s="54"/>
    </row>
    <row r="904">
      <c r="A904" s="54"/>
      <c r="B904" s="350"/>
      <c r="C904" s="350"/>
      <c r="D904" s="102"/>
      <c r="E904" s="102"/>
      <c r="F904" s="102"/>
      <c r="G904" s="102"/>
      <c r="H904" s="102"/>
      <c r="I904" s="102"/>
      <c r="J904" s="177"/>
      <c r="K904" s="102"/>
      <c r="L904" s="54"/>
      <c r="M904" s="54"/>
      <c r="N904" s="54"/>
    </row>
    <row r="905">
      <c r="A905" s="54"/>
      <c r="B905" s="350"/>
      <c r="C905" s="350"/>
      <c r="D905" s="102"/>
      <c r="E905" s="102"/>
      <c r="F905" s="102"/>
      <c r="G905" s="102"/>
      <c r="H905" s="102"/>
      <c r="I905" s="102"/>
      <c r="J905" s="177"/>
      <c r="K905" s="102"/>
      <c r="L905" s="54"/>
      <c r="M905" s="54"/>
      <c r="N905" s="54"/>
    </row>
    <row r="906">
      <c r="A906" s="54"/>
      <c r="B906" s="350"/>
      <c r="C906" s="350"/>
      <c r="D906" s="102"/>
      <c r="E906" s="102"/>
      <c r="F906" s="102"/>
      <c r="G906" s="102"/>
      <c r="H906" s="102"/>
      <c r="I906" s="102"/>
      <c r="J906" s="177"/>
      <c r="K906" s="102"/>
      <c r="L906" s="54"/>
      <c r="M906" s="54"/>
      <c r="N906" s="54"/>
    </row>
    <row r="907">
      <c r="A907" s="54"/>
      <c r="B907" s="350"/>
      <c r="C907" s="350"/>
      <c r="D907" s="102"/>
      <c r="E907" s="102"/>
      <c r="F907" s="102"/>
      <c r="G907" s="102"/>
      <c r="H907" s="102"/>
      <c r="I907" s="102"/>
      <c r="J907" s="177"/>
      <c r="K907" s="102"/>
      <c r="L907" s="54"/>
      <c r="M907" s="54"/>
      <c r="N907" s="54"/>
    </row>
    <row r="908">
      <c r="A908" s="54"/>
      <c r="B908" s="350"/>
      <c r="C908" s="350"/>
      <c r="D908" s="102"/>
      <c r="E908" s="102"/>
      <c r="F908" s="102"/>
      <c r="G908" s="102"/>
      <c r="H908" s="102"/>
      <c r="I908" s="102"/>
      <c r="J908" s="177"/>
      <c r="K908" s="102"/>
      <c r="L908" s="54"/>
      <c r="M908" s="54"/>
      <c r="N908" s="54"/>
    </row>
    <row r="909">
      <c r="A909" s="54"/>
      <c r="B909" s="350"/>
      <c r="C909" s="350"/>
      <c r="D909" s="102"/>
      <c r="E909" s="102"/>
      <c r="F909" s="102"/>
      <c r="G909" s="102"/>
      <c r="H909" s="102"/>
      <c r="I909" s="102"/>
      <c r="J909" s="177"/>
      <c r="K909" s="102"/>
      <c r="L909" s="54"/>
      <c r="M909" s="54"/>
      <c r="N909" s="54"/>
    </row>
    <row r="910">
      <c r="A910" s="54"/>
      <c r="B910" s="350"/>
      <c r="C910" s="350"/>
      <c r="D910" s="102"/>
      <c r="E910" s="102"/>
      <c r="F910" s="102"/>
      <c r="G910" s="102"/>
      <c r="H910" s="102"/>
      <c r="I910" s="102"/>
      <c r="J910" s="177"/>
      <c r="K910" s="102"/>
      <c r="L910" s="54"/>
      <c r="M910" s="54"/>
      <c r="N910" s="54"/>
    </row>
    <row r="911">
      <c r="A911" s="54"/>
      <c r="B911" s="350"/>
      <c r="C911" s="350"/>
      <c r="D911" s="102"/>
      <c r="E911" s="102"/>
      <c r="F911" s="102"/>
      <c r="G911" s="102"/>
      <c r="H911" s="102"/>
      <c r="I911" s="102"/>
      <c r="J911" s="177"/>
      <c r="K911" s="102"/>
      <c r="L911" s="54"/>
      <c r="M911" s="54"/>
      <c r="N911" s="54"/>
    </row>
    <row r="912">
      <c r="A912" s="54"/>
      <c r="B912" s="350"/>
      <c r="C912" s="350"/>
      <c r="D912" s="102"/>
      <c r="E912" s="102"/>
      <c r="F912" s="102"/>
      <c r="G912" s="102"/>
      <c r="H912" s="102"/>
      <c r="I912" s="102"/>
      <c r="J912" s="177"/>
      <c r="K912" s="102"/>
      <c r="L912" s="54"/>
      <c r="M912" s="54"/>
      <c r="N912" s="54"/>
    </row>
    <row r="913">
      <c r="A913" s="54"/>
      <c r="B913" s="350"/>
      <c r="C913" s="350"/>
      <c r="D913" s="102"/>
      <c r="E913" s="102"/>
      <c r="F913" s="102"/>
      <c r="G913" s="102"/>
      <c r="H913" s="102"/>
      <c r="I913" s="102"/>
      <c r="J913" s="177"/>
      <c r="K913" s="102"/>
      <c r="L913" s="54"/>
      <c r="M913" s="54"/>
      <c r="N913" s="54"/>
    </row>
    <row r="914">
      <c r="A914" s="54"/>
      <c r="B914" s="350"/>
      <c r="C914" s="350"/>
      <c r="D914" s="102"/>
      <c r="E914" s="102"/>
      <c r="F914" s="102"/>
      <c r="G914" s="102"/>
      <c r="H914" s="102"/>
      <c r="I914" s="102"/>
      <c r="J914" s="177"/>
      <c r="K914" s="102"/>
      <c r="L914" s="54"/>
      <c r="M914" s="54"/>
      <c r="N914" s="54"/>
    </row>
    <row r="915">
      <c r="A915" s="54"/>
      <c r="B915" s="350"/>
      <c r="C915" s="350"/>
      <c r="D915" s="102"/>
      <c r="E915" s="102"/>
      <c r="F915" s="102"/>
      <c r="G915" s="102"/>
      <c r="H915" s="102"/>
      <c r="I915" s="102"/>
      <c r="J915" s="177"/>
      <c r="K915" s="102"/>
      <c r="L915" s="54"/>
      <c r="M915" s="54"/>
      <c r="N915" s="54"/>
    </row>
    <row r="916">
      <c r="A916" s="54"/>
      <c r="B916" s="350"/>
      <c r="C916" s="350"/>
      <c r="D916" s="102"/>
      <c r="E916" s="102"/>
      <c r="F916" s="102"/>
      <c r="G916" s="102"/>
      <c r="H916" s="102"/>
      <c r="I916" s="102"/>
      <c r="J916" s="177"/>
      <c r="K916" s="102"/>
      <c r="L916" s="54"/>
      <c r="M916" s="54"/>
      <c r="N916" s="54"/>
    </row>
    <row r="917">
      <c r="A917" s="54"/>
      <c r="B917" s="350"/>
      <c r="C917" s="350"/>
      <c r="D917" s="102"/>
      <c r="E917" s="102"/>
      <c r="F917" s="102"/>
      <c r="G917" s="102"/>
      <c r="H917" s="102"/>
      <c r="I917" s="102"/>
      <c r="J917" s="177"/>
      <c r="K917" s="102"/>
      <c r="L917" s="54"/>
      <c r="M917" s="54"/>
      <c r="N917" s="54"/>
    </row>
    <row r="918">
      <c r="A918" s="54"/>
      <c r="B918" s="350"/>
      <c r="C918" s="350"/>
      <c r="D918" s="102"/>
      <c r="E918" s="102"/>
      <c r="F918" s="102"/>
      <c r="G918" s="102"/>
      <c r="H918" s="102"/>
      <c r="I918" s="102"/>
      <c r="J918" s="177"/>
      <c r="K918" s="102"/>
      <c r="L918" s="54"/>
      <c r="M918" s="54"/>
      <c r="N918" s="54"/>
    </row>
    <row r="919">
      <c r="A919" s="54"/>
      <c r="B919" s="350"/>
      <c r="C919" s="350"/>
      <c r="D919" s="102"/>
      <c r="E919" s="102"/>
      <c r="F919" s="102"/>
      <c r="G919" s="102"/>
      <c r="H919" s="102"/>
      <c r="I919" s="102"/>
      <c r="J919" s="177"/>
      <c r="K919" s="102"/>
      <c r="L919" s="54"/>
      <c r="M919" s="54"/>
      <c r="N919" s="54"/>
    </row>
    <row r="920">
      <c r="A920" s="54"/>
      <c r="B920" s="350"/>
      <c r="C920" s="350"/>
      <c r="D920" s="102"/>
      <c r="E920" s="102"/>
      <c r="F920" s="102"/>
      <c r="G920" s="102"/>
      <c r="H920" s="102"/>
      <c r="I920" s="102"/>
      <c r="J920" s="177"/>
      <c r="K920" s="102"/>
      <c r="L920" s="54"/>
      <c r="M920" s="54"/>
      <c r="N920" s="54"/>
    </row>
    <row r="921">
      <c r="A921" s="54"/>
      <c r="B921" s="350"/>
      <c r="C921" s="350"/>
      <c r="D921" s="102"/>
      <c r="E921" s="102"/>
      <c r="F921" s="102"/>
      <c r="G921" s="102"/>
      <c r="H921" s="102"/>
      <c r="I921" s="102"/>
      <c r="J921" s="177"/>
      <c r="K921" s="102"/>
      <c r="L921" s="54"/>
      <c r="M921" s="54"/>
      <c r="N921" s="54"/>
    </row>
    <row r="922">
      <c r="A922" s="54"/>
      <c r="B922" s="350"/>
      <c r="C922" s="350"/>
      <c r="D922" s="102"/>
      <c r="E922" s="102"/>
      <c r="F922" s="102"/>
      <c r="G922" s="102"/>
      <c r="H922" s="102"/>
      <c r="I922" s="102"/>
      <c r="J922" s="177"/>
      <c r="K922" s="102"/>
      <c r="L922" s="54"/>
      <c r="M922" s="54"/>
      <c r="N922" s="54"/>
    </row>
    <row r="923">
      <c r="A923" s="54"/>
      <c r="B923" s="350"/>
      <c r="C923" s="350"/>
      <c r="D923" s="102"/>
      <c r="E923" s="102"/>
      <c r="F923" s="102"/>
      <c r="G923" s="102"/>
      <c r="H923" s="102"/>
      <c r="I923" s="102"/>
      <c r="J923" s="177"/>
      <c r="K923" s="102"/>
      <c r="L923" s="54"/>
      <c r="M923" s="54"/>
      <c r="N923" s="54"/>
    </row>
    <row r="924">
      <c r="A924" s="54"/>
      <c r="B924" s="350"/>
      <c r="C924" s="350"/>
      <c r="D924" s="102"/>
      <c r="E924" s="102"/>
      <c r="F924" s="102"/>
      <c r="G924" s="102"/>
      <c r="H924" s="102"/>
      <c r="I924" s="102"/>
      <c r="J924" s="177"/>
      <c r="K924" s="102"/>
      <c r="L924" s="54"/>
      <c r="M924" s="54"/>
      <c r="N924" s="54"/>
    </row>
    <row r="925">
      <c r="A925" s="54"/>
      <c r="B925" s="350"/>
      <c r="C925" s="350"/>
      <c r="D925" s="102"/>
      <c r="E925" s="102"/>
      <c r="F925" s="102"/>
      <c r="G925" s="102"/>
      <c r="H925" s="102"/>
      <c r="I925" s="102"/>
      <c r="J925" s="177"/>
      <c r="K925" s="102"/>
      <c r="L925" s="54"/>
      <c r="M925" s="54"/>
      <c r="N925" s="54"/>
    </row>
    <row r="926">
      <c r="A926" s="54"/>
      <c r="B926" s="350"/>
      <c r="C926" s="350"/>
      <c r="D926" s="102"/>
      <c r="E926" s="102"/>
      <c r="F926" s="102"/>
      <c r="G926" s="102"/>
      <c r="H926" s="102"/>
      <c r="I926" s="102"/>
      <c r="J926" s="177"/>
      <c r="K926" s="102"/>
      <c r="L926" s="54"/>
      <c r="M926" s="54"/>
      <c r="N926" s="54"/>
    </row>
    <row r="927">
      <c r="A927" s="54"/>
      <c r="B927" s="350"/>
      <c r="C927" s="350"/>
      <c r="D927" s="102"/>
      <c r="E927" s="102"/>
      <c r="F927" s="102"/>
      <c r="G927" s="102"/>
      <c r="H927" s="102"/>
      <c r="I927" s="102"/>
      <c r="J927" s="177"/>
      <c r="K927" s="102"/>
      <c r="L927" s="54"/>
      <c r="M927" s="54"/>
      <c r="N927" s="54"/>
    </row>
    <row r="928">
      <c r="A928" s="54"/>
      <c r="B928" s="350"/>
      <c r="C928" s="350"/>
      <c r="D928" s="102"/>
      <c r="E928" s="102"/>
      <c r="F928" s="102"/>
      <c r="G928" s="102"/>
      <c r="H928" s="102"/>
      <c r="I928" s="102"/>
      <c r="J928" s="177"/>
      <c r="K928" s="102"/>
      <c r="L928" s="54"/>
      <c r="M928" s="54"/>
      <c r="N928" s="54"/>
    </row>
    <row r="929">
      <c r="A929" s="54"/>
      <c r="B929" s="350"/>
      <c r="C929" s="350"/>
      <c r="D929" s="102"/>
      <c r="E929" s="102"/>
      <c r="F929" s="102"/>
      <c r="G929" s="102"/>
      <c r="H929" s="102"/>
      <c r="I929" s="102"/>
      <c r="J929" s="177"/>
      <c r="K929" s="102"/>
      <c r="L929" s="54"/>
      <c r="M929" s="54"/>
      <c r="N929" s="54"/>
    </row>
    <row r="930">
      <c r="A930" s="54"/>
      <c r="B930" s="350"/>
      <c r="C930" s="350"/>
      <c r="D930" s="102"/>
      <c r="E930" s="102"/>
      <c r="F930" s="102"/>
      <c r="G930" s="102"/>
      <c r="H930" s="102"/>
      <c r="I930" s="102"/>
      <c r="J930" s="177"/>
      <c r="K930" s="102"/>
      <c r="L930" s="54"/>
      <c r="M930" s="54"/>
      <c r="N930" s="54"/>
    </row>
    <row r="931">
      <c r="A931" s="54"/>
      <c r="B931" s="350"/>
      <c r="C931" s="350"/>
      <c r="D931" s="102"/>
      <c r="E931" s="102"/>
      <c r="F931" s="102"/>
      <c r="G931" s="102"/>
      <c r="H931" s="102"/>
      <c r="I931" s="102"/>
      <c r="J931" s="177"/>
      <c r="K931" s="102"/>
      <c r="L931" s="54"/>
      <c r="M931" s="54"/>
      <c r="N931" s="54"/>
    </row>
    <row r="932">
      <c r="A932" s="54"/>
      <c r="B932" s="350"/>
      <c r="C932" s="350"/>
      <c r="D932" s="102"/>
      <c r="E932" s="102"/>
      <c r="F932" s="102"/>
      <c r="G932" s="102"/>
      <c r="H932" s="102"/>
      <c r="I932" s="102"/>
      <c r="J932" s="177"/>
      <c r="K932" s="102"/>
      <c r="L932" s="54"/>
      <c r="M932" s="54"/>
      <c r="N932" s="54"/>
    </row>
    <row r="933">
      <c r="A933" s="54"/>
      <c r="B933" s="350"/>
      <c r="C933" s="350"/>
      <c r="D933" s="102"/>
      <c r="E933" s="102"/>
      <c r="F933" s="102"/>
      <c r="G933" s="102"/>
      <c r="H933" s="102"/>
      <c r="I933" s="102"/>
      <c r="J933" s="177"/>
      <c r="K933" s="102"/>
      <c r="L933" s="54"/>
      <c r="M933" s="54"/>
      <c r="N933" s="54"/>
    </row>
    <row r="934">
      <c r="A934" s="54"/>
      <c r="B934" s="350"/>
      <c r="C934" s="350"/>
      <c r="D934" s="102"/>
      <c r="E934" s="102"/>
      <c r="F934" s="102"/>
      <c r="G934" s="102"/>
      <c r="H934" s="102"/>
      <c r="I934" s="102"/>
      <c r="J934" s="177"/>
      <c r="K934" s="102"/>
      <c r="L934" s="54"/>
      <c r="M934" s="54"/>
      <c r="N934" s="54"/>
    </row>
    <row r="935">
      <c r="A935" s="54"/>
      <c r="B935" s="350"/>
      <c r="C935" s="350"/>
      <c r="D935" s="102"/>
      <c r="E935" s="102"/>
      <c r="F935" s="102"/>
      <c r="G935" s="102"/>
      <c r="H935" s="102"/>
      <c r="I935" s="102"/>
      <c r="J935" s="177"/>
      <c r="K935" s="102"/>
      <c r="L935" s="54"/>
      <c r="M935" s="54"/>
      <c r="N935" s="54"/>
    </row>
    <row r="936">
      <c r="A936" s="54"/>
      <c r="B936" s="350"/>
      <c r="C936" s="350"/>
      <c r="D936" s="102"/>
      <c r="E936" s="102"/>
      <c r="F936" s="102"/>
      <c r="G936" s="102"/>
      <c r="H936" s="102"/>
      <c r="I936" s="102"/>
      <c r="J936" s="177"/>
      <c r="K936" s="102"/>
      <c r="L936" s="54"/>
      <c r="M936" s="54"/>
      <c r="N936" s="54"/>
    </row>
    <row r="937">
      <c r="A937" s="54"/>
      <c r="B937" s="350"/>
      <c r="C937" s="350"/>
      <c r="D937" s="102"/>
      <c r="E937" s="102"/>
      <c r="F937" s="102"/>
      <c r="G937" s="102"/>
      <c r="H937" s="102"/>
      <c r="I937" s="102"/>
      <c r="J937" s="177"/>
      <c r="K937" s="102"/>
      <c r="L937" s="54"/>
      <c r="M937" s="54"/>
      <c r="N937" s="54"/>
    </row>
    <row r="938">
      <c r="A938" s="54"/>
      <c r="B938" s="350"/>
      <c r="C938" s="350"/>
      <c r="D938" s="102"/>
      <c r="E938" s="102"/>
      <c r="F938" s="102"/>
      <c r="G938" s="102"/>
      <c r="H938" s="102"/>
      <c r="I938" s="102"/>
      <c r="J938" s="177"/>
      <c r="K938" s="102"/>
      <c r="L938" s="54"/>
      <c r="M938" s="54"/>
      <c r="N938" s="54"/>
    </row>
    <row r="939">
      <c r="A939" s="54"/>
      <c r="B939" s="350"/>
      <c r="C939" s="350"/>
      <c r="D939" s="102"/>
      <c r="E939" s="102"/>
      <c r="F939" s="102"/>
      <c r="G939" s="102"/>
      <c r="H939" s="102"/>
      <c r="I939" s="102"/>
      <c r="J939" s="177"/>
      <c r="K939" s="102"/>
      <c r="L939" s="54"/>
      <c r="M939" s="54"/>
      <c r="N939" s="54"/>
    </row>
    <row r="940">
      <c r="A940" s="54"/>
      <c r="B940" s="350"/>
      <c r="C940" s="350"/>
      <c r="D940" s="102"/>
      <c r="E940" s="102"/>
      <c r="F940" s="102"/>
      <c r="G940" s="102"/>
      <c r="H940" s="102"/>
      <c r="I940" s="102"/>
      <c r="J940" s="177"/>
      <c r="K940" s="102"/>
      <c r="L940" s="54"/>
      <c r="M940" s="54"/>
      <c r="N940" s="54"/>
    </row>
    <row r="941">
      <c r="A941" s="54"/>
      <c r="B941" s="350"/>
      <c r="C941" s="350"/>
      <c r="D941" s="102"/>
      <c r="E941" s="102"/>
      <c r="F941" s="102"/>
      <c r="G941" s="102"/>
      <c r="H941" s="102"/>
      <c r="I941" s="102"/>
      <c r="J941" s="177"/>
      <c r="K941" s="102"/>
      <c r="L941" s="54"/>
      <c r="M941" s="54"/>
      <c r="N941" s="54"/>
    </row>
    <row r="942">
      <c r="A942" s="54"/>
      <c r="B942" s="350"/>
      <c r="C942" s="350"/>
      <c r="D942" s="102"/>
      <c r="E942" s="102"/>
      <c r="F942" s="102"/>
      <c r="G942" s="102"/>
      <c r="H942" s="102"/>
      <c r="I942" s="102"/>
      <c r="J942" s="177"/>
      <c r="K942" s="102"/>
      <c r="L942" s="54"/>
      <c r="M942" s="54"/>
      <c r="N942" s="54"/>
    </row>
    <row r="943">
      <c r="A943" s="54"/>
      <c r="B943" s="350"/>
      <c r="C943" s="350"/>
      <c r="D943" s="102"/>
      <c r="E943" s="102"/>
      <c r="F943" s="102"/>
      <c r="G943" s="102"/>
      <c r="H943" s="102"/>
      <c r="I943" s="102"/>
      <c r="J943" s="177"/>
      <c r="K943" s="102"/>
      <c r="L943" s="54"/>
      <c r="M943" s="54"/>
      <c r="N943" s="54"/>
    </row>
    <row r="944">
      <c r="A944" s="54"/>
      <c r="B944" s="350"/>
      <c r="C944" s="350"/>
      <c r="D944" s="102"/>
      <c r="E944" s="102"/>
      <c r="F944" s="102"/>
      <c r="G944" s="102"/>
      <c r="H944" s="102"/>
      <c r="I944" s="102"/>
      <c r="J944" s="177"/>
      <c r="K944" s="102"/>
      <c r="L944" s="54"/>
      <c r="M944" s="54"/>
      <c r="N944" s="54"/>
    </row>
    <row r="945">
      <c r="A945" s="54"/>
      <c r="B945" s="350"/>
      <c r="C945" s="350"/>
      <c r="D945" s="102"/>
      <c r="E945" s="102"/>
      <c r="F945" s="102"/>
      <c r="G945" s="102"/>
      <c r="H945" s="102"/>
      <c r="I945" s="102"/>
      <c r="J945" s="177"/>
      <c r="K945" s="102"/>
      <c r="L945" s="54"/>
      <c r="M945" s="54"/>
      <c r="N945" s="54"/>
    </row>
    <row r="946">
      <c r="A946" s="54"/>
      <c r="B946" s="350"/>
      <c r="C946" s="350"/>
      <c r="D946" s="102"/>
      <c r="E946" s="102"/>
      <c r="F946" s="102"/>
      <c r="G946" s="102"/>
      <c r="H946" s="102"/>
      <c r="I946" s="102"/>
      <c r="J946" s="177"/>
      <c r="K946" s="102"/>
      <c r="L946" s="54"/>
      <c r="M946" s="54"/>
      <c r="N946" s="54"/>
    </row>
    <row r="947">
      <c r="A947" s="54"/>
      <c r="B947" s="350"/>
      <c r="C947" s="350"/>
      <c r="D947" s="102"/>
      <c r="E947" s="102"/>
      <c r="F947" s="102"/>
      <c r="G947" s="102"/>
      <c r="H947" s="102"/>
      <c r="I947" s="102"/>
      <c r="J947" s="177"/>
      <c r="K947" s="102"/>
      <c r="L947" s="54"/>
      <c r="M947" s="54"/>
      <c r="N947" s="54"/>
    </row>
    <row r="948">
      <c r="A948" s="54"/>
      <c r="B948" s="350"/>
      <c r="C948" s="350"/>
      <c r="D948" s="102"/>
      <c r="E948" s="102"/>
      <c r="F948" s="102"/>
      <c r="G948" s="102"/>
      <c r="H948" s="102"/>
      <c r="I948" s="102"/>
      <c r="J948" s="177"/>
      <c r="K948" s="102"/>
      <c r="L948" s="54"/>
      <c r="M948" s="54"/>
      <c r="N948" s="54"/>
    </row>
    <row r="949">
      <c r="A949" s="54"/>
      <c r="B949" s="350"/>
      <c r="C949" s="350"/>
      <c r="D949" s="102"/>
      <c r="E949" s="102"/>
      <c r="F949" s="102"/>
      <c r="G949" s="102"/>
      <c r="H949" s="102"/>
      <c r="I949" s="102"/>
      <c r="J949" s="177"/>
      <c r="K949" s="102"/>
      <c r="L949" s="54"/>
      <c r="M949" s="54"/>
      <c r="N949" s="54"/>
    </row>
    <row r="950">
      <c r="A950" s="54"/>
      <c r="B950" s="350"/>
      <c r="C950" s="350"/>
      <c r="D950" s="102"/>
      <c r="E950" s="102"/>
      <c r="F950" s="102"/>
      <c r="G950" s="102"/>
      <c r="H950" s="102"/>
      <c r="I950" s="102"/>
      <c r="J950" s="177"/>
      <c r="K950" s="102"/>
      <c r="L950" s="54"/>
      <c r="M950" s="54"/>
      <c r="N950" s="54"/>
    </row>
    <row r="951">
      <c r="A951" s="54"/>
      <c r="B951" s="350"/>
      <c r="C951" s="350"/>
      <c r="D951" s="102"/>
      <c r="E951" s="102"/>
      <c r="F951" s="102"/>
      <c r="G951" s="102"/>
      <c r="H951" s="102"/>
      <c r="I951" s="102"/>
      <c r="J951" s="177"/>
      <c r="K951" s="102"/>
      <c r="L951" s="54"/>
      <c r="M951" s="54"/>
      <c r="N951" s="54"/>
    </row>
    <row r="952">
      <c r="A952" s="54"/>
      <c r="B952" s="350"/>
      <c r="C952" s="350"/>
      <c r="D952" s="102"/>
      <c r="E952" s="102"/>
      <c r="F952" s="102"/>
      <c r="G952" s="102"/>
      <c r="H952" s="102"/>
      <c r="I952" s="102"/>
      <c r="J952" s="177"/>
      <c r="K952" s="102"/>
      <c r="L952" s="54"/>
      <c r="M952" s="54"/>
      <c r="N952" s="54"/>
    </row>
    <row r="953">
      <c r="A953" s="54"/>
      <c r="B953" s="350"/>
      <c r="C953" s="350"/>
      <c r="D953" s="102"/>
      <c r="E953" s="102"/>
      <c r="F953" s="102"/>
      <c r="G953" s="102"/>
      <c r="H953" s="102"/>
      <c r="I953" s="102"/>
      <c r="J953" s="177"/>
      <c r="K953" s="102"/>
      <c r="L953" s="54"/>
      <c r="M953" s="54"/>
      <c r="N953" s="54"/>
    </row>
    <row r="954">
      <c r="A954" s="54"/>
      <c r="B954" s="350"/>
      <c r="C954" s="350"/>
      <c r="D954" s="102"/>
      <c r="E954" s="102"/>
      <c r="F954" s="102"/>
      <c r="G954" s="102"/>
      <c r="H954" s="102"/>
      <c r="I954" s="102"/>
      <c r="J954" s="177"/>
      <c r="K954" s="102"/>
      <c r="L954" s="54"/>
      <c r="M954" s="54"/>
      <c r="N954" s="54"/>
    </row>
    <row r="955">
      <c r="A955" s="54"/>
      <c r="B955" s="350"/>
      <c r="C955" s="350"/>
      <c r="D955" s="102"/>
      <c r="E955" s="102"/>
      <c r="F955" s="102"/>
      <c r="G955" s="102"/>
      <c r="H955" s="102"/>
      <c r="I955" s="102"/>
      <c r="J955" s="177"/>
      <c r="K955" s="102"/>
      <c r="L955" s="54"/>
      <c r="M955" s="54"/>
      <c r="N955" s="54"/>
    </row>
    <row r="956">
      <c r="A956" s="54"/>
      <c r="B956" s="350"/>
      <c r="C956" s="350"/>
      <c r="D956" s="102"/>
      <c r="E956" s="102"/>
      <c r="F956" s="102"/>
      <c r="G956" s="102"/>
      <c r="H956" s="102"/>
      <c r="I956" s="102"/>
      <c r="J956" s="177"/>
      <c r="K956" s="102"/>
      <c r="L956" s="54"/>
      <c r="M956" s="54"/>
      <c r="N956" s="54"/>
    </row>
    <row r="957">
      <c r="A957" s="54"/>
      <c r="B957" s="350"/>
      <c r="C957" s="350"/>
      <c r="D957" s="102"/>
      <c r="E957" s="102"/>
      <c r="F957" s="102"/>
      <c r="G957" s="102"/>
      <c r="H957" s="102"/>
      <c r="I957" s="102"/>
      <c r="J957" s="177"/>
      <c r="K957" s="102"/>
      <c r="L957" s="54"/>
      <c r="M957" s="54"/>
      <c r="N957" s="54"/>
    </row>
    <row r="958">
      <c r="A958" s="54"/>
      <c r="B958" s="350"/>
      <c r="C958" s="350"/>
      <c r="D958" s="102"/>
      <c r="E958" s="102"/>
      <c r="F958" s="102"/>
      <c r="G958" s="102"/>
      <c r="H958" s="102"/>
      <c r="I958" s="102"/>
      <c r="J958" s="177"/>
      <c r="K958" s="102"/>
      <c r="L958" s="54"/>
      <c r="M958" s="54"/>
      <c r="N958" s="54"/>
    </row>
    <row r="959">
      <c r="A959" s="54"/>
      <c r="B959" s="350"/>
      <c r="C959" s="350"/>
      <c r="D959" s="102"/>
      <c r="E959" s="102"/>
      <c r="F959" s="102"/>
      <c r="G959" s="102"/>
      <c r="H959" s="102"/>
      <c r="I959" s="102"/>
      <c r="J959" s="177"/>
      <c r="K959" s="102"/>
      <c r="L959" s="54"/>
      <c r="M959" s="54"/>
      <c r="N959" s="54"/>
    </row>
    <row r="960">
      <c r="A960" s="54"/>
      <c r="B960" s="350"/>
      <c r="C960" s="350"/>
      <c r="D960" s="102"/>
      <c r="E960" s="102"/>
      <c r="F960" s="102"/>
      <c r="G960" s="102"/>
      <c r="H960" s="102"/>
      <c r="I960" s="102"/>
      <c r="J960" s="177"/>
      <c r="K960" s="102"/>
      <c r="L960" s="54"/>
      <c r="M960" s="54"/>
      <c r="N960" s="54"/>
    </row>
    <row r="961">
      <c r="A961" s="54"/>
      <c r="B961" s="350"/>
      <c r="C961" s="350"/>
      <c r="D961" s="102"/>
      <c r="E961" s="102"/>
      <c r="F961" s="102"/>
      <c r="G961" s="102"/>
      <c r="H961" s="102"/>
      <c r="I961" s="102"/>
      <c r="J961" s="177"/>
      <c r="K961" s="102"/>
      <c r="L961" s="54"/>
      <c r="M961" s="54"/>
      <c r="N961" s="54"/>
    </row>
    <row r="962">
      <c r="A962" s="54"/>
      <c r="B962" s="350"/>
      <c r="C962" s="350"/>
      <c r="D962" s="102"/>
      <c r="E962" s="102"/>
      <c r="F962" s="102"/>
      <c r="G962" s="102"/>
      <c r="H962" s="102"/>
      <c r="I962" s="102"/>
      <c r="J962" s="177"/>
      <c r="K962" s="102"/>
      <c r="L962" s="54"/>
      <c r="M962" s="54"/>
      <c r="N962" s="54"/>
    </row>
    <row r="963">
      <c r="A963" s="54"/>
      <c r="B963" s="350"/>
      <c r="C963" s="350"/>
      <c r="D963" s="102"/>
      <c r="E963" s="102"/>
      <c r="F963" s="102"/>
      <c r="G963" s="102"/>
      <c r="H963" s="102"/>
      <c r="I963" s="102"/>
      <c r="J963" s="177"/>
      <c r="K963" s="102"/>
      <c r="L963" s="54"/>
      <c r="M963" s="54"/>
      <c r="N963" s="54"/>
    </row>
    <row r="964">
      <c r="A964" s="54"/>
      <c r="B964" s="350"/>
      <c r="C964" s="350"/>
      <c r="D964" s="102"/>
      <c r="E964" s="102"/>
      <c r="F964" s="102"/>
      <c r="G964" s="102"/>
      <c r="H964" s="102"/>
      <c r="I964" s="102"/>
      <c r="J964" s="177"/>
      <c r="K964" s="102"/>
      <c r="L964" s="54"/>
      <c r="M964" s="54"/>
      <c r="N964" s="54"/>
    </row>
    <row r="965">
      <c r="A965" s="54"/>
      <c r="B965" s="350"/>
      <c r="C965" s="350"/>
      <c r="D965" s="102"/>
      <c r="E965" s="102"/>
      <c r="F965" s="102"/>
      <c r="G965" s="102"/>
      <c r="H965" s="102"/>
      <c r="I965" s="102"/>
      <c r="J965" s="177"/>
      <c r="K965" s="102"/>
      <c r="L965" s="54"/>
      <c r="M965" s="54"/>
      <c r="N965" s="54"/>
    </row>
    <row r="966">
      <c r="A966" s="54"/>
      <c r="B966" s="350"/>
      <c r="C966" s="350"/>
      <c r="D966" s="102"/>
      <c r="E966" s="102"/>
      <c r="F966" s="102"/>
      <c r="G966" s="102"/>
      <c r="H966" s="102"/>
      <c r="I966" s="102"/>
      <c r="J966" s="177"/>
      <c r="K966" s="102"/>
      <c r="L966" s="54"/>
      <c r="M966" s="54"/>
      <c r="N966" s="54"/>
    </row>
    <row r="967">
      <c r="A967" s="54"/>
      <c r="B967" s="350"/>
      <c r="C967" s="350"/>
      <c r="D967" s="102"/>
      <c r="E967" s="102"/>
      <c r="F967" s="102"/>
      <c r="G967" s="102"/>
      <c r="H967" s="102"/>
      <c r="I967" s="102"/>
      <c r="J967" s="177"/>
      <c r="K967" s="102"/>
      <c r="L967" s="54"/>
      <c r="M967" s="54"/>
      <c r="N967" s="54"/>
    </row>
    <row r="968">
      <c r="A968" s="54"/>
      <c r="B968" s="350"/>
      <c r="C968" s="350"/>
      <c r="D968" s="102"/>
      <c r="E968" s="102"/>
      <c r="F968" s="102"/>
      <c r="G968" s="102"/>
      <c r="H968" s="102"/>
      <c r="I968" s="102"/>
      <c r="J968" s="177"/>
      <c r="K968" s="102"/>
      <c r="L968" s="54"/>
      <c r="M968" s="54"/>
      <c r="N968" s="54"/>
    </row>
    <row r="969">
      <c r="A969" s="54"/>
      <c r="B969" s="350"/>
      <c r="C969" s="350"/>
      <c r="D969" s="102"/>
      <c r="E969" s="102"/>
      <c r="F969" s="102"/>
      <c r="G969" s="102"/>
      <c r="H969" s="102"/>
      <c r="I969" s="102"/>
      <c r="J969" s="177"/>
      <c r="K969" s="102"/>
      <c r="L969" s="54"/>
      <c r="M969" s="54"/>
      <c r="N969" s="54"/>
    </row>
    <row r="970">
      <c r="A970" s="54"/>
      <c r="B970" s="350"/>
      <c r="C970" s="350"/>
      <c r="D970" s="102"/>
      <c r="E970" s="102"/>
      <c r="F970" s="102"/>
      <c r="G970" s="102"/>
      <c r="H970" s="102"/>
      <c r="I970" s="102"/>
      <c r="J970" s="177"/>
      <c r="K970" s="102"/>
      <c r="L970" s="54"/>
      <c r="M970" s="54"/>
      <c r="N970" s="54"/>
    </row>
    <row r="971">
      <c r="A971" s="54"/>
      <c r="B971" s="350"/>
      <c r="C971" s="350"/>
      <c r="D971" s="102"/>
      <c r="E971" s="102"/>
      <c r="F971" s="102"/>
      <c r="G971" s="102"/>
      <c r="H971" s="102"/>
      <c r="I971" s="102"/>
      <c r="J971" s="177"/>
      <c r="K971" s="102"/>
      <c r="L971" s="54"/>
      <c r="M971" s="54"/>
      <c r="N971" s="54"/>
    </row>
    <row r="972">
      <c r="A972" s="54"/>
      <c r="B972" s="350"/>
      <c r="C972" s="350"/>
      <c r="D972" s="102"/>
      <c r="E972" s="102"/>
      <c r="F972" s="102"/>
      <c r="G972" s="102"/>
      <c r="H972" s="102"/>
      <c r="I972" s="102"/>
      <c r="J972" s="177"/>
      <c r="K972" s="102"/>
      <c r="L972" s="54"/>
      <c r="M972" s="54"/>
      <c r="N972" s="54"/>
    </row>
    <row r="973">
      <c r="A973" s="54"/>
      <c r="B973" s="350"/>
      <c r="C973" s="350"/>
      <c r="D973" s="102"/>
      <c r="E973" s="102"/>
      <c r="F973" s="102"/>
      <c r="G973" s="102"/>
      <c r="H973" s="102"/>
      <c r="I973" s="102"/>
      <c r="J973" s="177"/>
      <c r="K973" s="102"/>
      <c r="L973" s="54"/>
      <c r="M973" s="54"/>
      <c r="N973" s="54"/>
    </row>
    <row r="974">
      <c r="A974" s="54"/>
      <c r="B974" s="350"/>
      <c r="C974" s="350"/>
      <c r="D974" s="102"/>
      <c r="E974" s="102"/>
      <c r="F974" s="102"/>
      <c r="G974" s="102"/>
      <c r="H974" s="102"/>
      <c r="I974" s="102"/>
      <c r="J974" s="177"/>
      <c r="K974" s="102"/>
      <c r="L974" s="54"/>
      <c r="M974" s="54"/>
      <c r="N974" s="54"/>
    </row>
    <row r="975">
      <c r="A975" s="54"/>
      <c r="B975" s="350"/>
      <c r="C975" s="350"/>
      <c r="D975" s="102"/>
      <c r="E975" s="102"/>
      <c r="F975" s="102"/>
      <c r="G975" s="102"/>
      <c r="H975" s="102"/>
      <c r="I975" s="102"/>
      <c r="J975" s="177"/>
      <c r="K975" s="102"/>
      <c r="L975" s="54"/>
      <c r="M975" s="54"/>
      <c r="N975" s="54"/>
    </row>
    <row r="976">
      <c r="A976" s="54"/>
      <c r="B976" s="350"/>
      <c r="C976" s="350"/>
      <c r="D976" s="102"/>
      <c r="E976" s="102"/>
      <c r="F976" s="102"/>
      <c r="G976" s="102"/>
      <c r="H976" s="102"/>
      <c r="I976" s="102"/>
      <c r="J976" s="177"/>
      <c r="K976" s="102"/>
      <c r="L976" s="54"/>
      <c r="M976" s="54"/>
      <c r="N976" s="54"/>
    </row>
    <row r="977">
      <c r="A977" s="54"/>
      <c r="B977" s="350"/>
      <c r="C977" s="350"/>
      <c r="D977" s="102"/>
      <c r="E977" s="102"/>
      <c r="F977" s="102"/>
      <c r="G977" s="102"/>
      <c r="H977" s="102"/>
      <c r="I977" s="102"/>
      <c r="J977" s="177"/>
      <c r="K977" s="102"/>
      <c r="L977" s="54"/>
      <c r="M977" s="54"/>
      <c r="N977" s="54"/>
    </row>
    <row r="978">
      <c r="A978" s="54"/>
      <c r="B978" s="350"/>
      <c r="C978" s="350"/>
      <c r="D978" s="102"/>
      <c r="E978" s="102"/>
      <c r="F978" s="102"/>
      <c r="G978" s="102"/>
      <c r="H978" s="102"/>
      <c r="I978" s="102"/>
      <c r="J978" s="177"/>
      <c r="K978" s="102"/>
      <c r="L978" s="54"/>
      <c r="M978" s="54"/>
      <c r="N978" s="54"/>
    </row>
    <row r="979">
      <c r="A979" s="54"/>
      <c r="B979" s="350"/>
      <c r="C979" s="350"/>
      <c r="D979" s="102"/>
      <c r="E979" s="102"/>
      <c r="F979" s="102"/>
      <c r="G979" s="102"/>
      <c r="H979" s="102"/>
      <c r="I979" s="102"/>
      <c r="J979" s="177"/>
      <c r="K979" s="102"/>
      <c r="L979" s="54"/>
      <c r="M979" s="54"/>
      <c r="N979" s="54"/>
    </row>
    <row r="980">
      <c r="A980" s="54"/>
      <c r="B980" s="350"/>
      <c r="C980" s="350"/>
      <c r="D980" s="102"/>
      <c r="E980" s="102"/>
      <c r="F980" s="102"/>
      <c r="G980" s="102"/>
      <c r="H980" s="102"/>
      <c r="I980" s="102"/>
      <c r="J980" s="177"/>
      <c r="K980" s="102"/>
      <c r="L980" s="54"/>
      <c r="M980" s="54"/>
      <c r="N980" s="54"/>
    </row>
    <row r="981">
      <c r="A981" s="54"/>
      <c r="B981" s="350"/>
      <c r="C981" s="350"/>
      <c r="D981" s="102"/>
      <c r="E981" s="102"/>
      <c r="F981" s="102"/>
      <c r="G981" s="102"/>
      <c r="H981" s="102"/>
      <c r="I981" s="102"/>
      <c r="J981" s="177"/>
      <c r="K981" s="102"/>
      <c r="L981" s="54"/>
      <c r="M981" s="54"/>
      <c r="N981" s="54"/>
    </row>
    <row r="982">
      <c r="A982" s="54"/>
      <c r="B982" s="350"/>
      <c r="C982" s="350"/>
      <c r="D982" s="102"/>
      <c r="E982" s="102"/>
      <c r="F982" s="102"/>
      <c r="G982" s="102"/>
      <c r="H982" s="102"/>
      <c r="I982" s="102"/>
      <c r="J982" s="177"/>
      <c r="K982" s="102"/>
      <c r="L982" s="54"/>
      <c r="M982" s="54"/>
      <c r="N982" s="54"/>
    </row>
    <row r="983">
      <c r="A983" s="54"/>
      <c r="B983" s="350"/>
      <c r="C983" s="350"/>
      <c r="D983" s="102"/>
      <c r="E983" s="102"/>
      <c r="F983" s="102"/>
      <c r="G983" s="102"/>
      <c r="H983" s="102"/>
      <c r="I983" s="102"/>
      <c r="J983" s="177"/>
      <c r="K983" s="102"/>
      <c r="L983" s="54"/>
      <c r="M983" s="54"/>
      <c r="N983" s="54"/>
    </row>
    <row r="984">
      <c r="A984" s="54"/>
      <c r="B984" s="350"/>
      <c r="C984" s="350"/>
      <c r="D984" s="102"/>
      <c r="E984" s="102"/>
      <c r="F984" s="102"/>
      <c r="G984" s="102"/>
      <c r="H984" s="102"/>
      <c r="I984" s="102"/>
      <c r="J984" s="177"/>
      <c r="K984" s="102"/>
      <c r="L984" s="54"/>
      <c r="M984" s="54"/>
      <c r="N984" s="54"/>
    </row>
    <row r="985">
      <c r="A985" s="54"/>
      <c r="B985" s="350"/>
      <c r="C985" s="350"/>
      <c r="D985" s="102"/>
      <c r="E985" s="102"/>
      <c r="F985" s="102"/>
      <c r="G985" s="102"/>
      <c r="H985" s="102"/>
      <c r="I985" s="102"/>
      <c r="J985" s="177"/>
      <c r="K985" s="102"/>
      <c r="L985" s="54"/>
      <c r="M985" s="54"/>
      <c r="N985" s="54"/>
    </row>
    <row r="986">
      <c r="A986" s="54"/>
      <c r="B986" s="350"/>
      <c r="C986" s="350"/>
      <c r="D986" s="102"/>
      <c r="E986" s="102"/>
      <c r="F986" s="102"/>
      <c r="G986" s="102"/>
      <c r="H986" s="102"/>
      <c r="I986" s="102"/>
      <c r="J986" s="177"/>
      <c r="K986" s="102"/>
      <c r="L986" s="54"/>
      <c r="M986" s="54"/>
      <c r="N986" s="54"/>
    </row>
    <row r="987">
      <c r="A987" s="54"/>
      <c r="B987" s="350"/>
      <c r="C987" s="350"/>
      <c r="D987" s="102"/>
      <c r="E987" s="102"/>
      <c r="F987" s="102"/>
      <c r="G987" s="102"/>
      <c r="H987" s="102"/>
      <c r="I987" s="102"/>
      <c r="J987" s="177"/>
      <c r="K987" s="102"/>
      <c r="L987" s="54"/>
      <c r="M987" s="54"/>
      <c r="N987" s="54"/>
    </row>
    <row r="988">
      <c r="A988" s="54"/>
      <c r="B988" s="350"/>
      <c r="C988" s="350"/>
      <c r="D988" s="102"/>
      <c r="E988" s="102"/>
      <c r="F988" s="102"/>
      <c r="G988" s="102"/>
      <c r="H988" s="102"/>
      <c r="I988" s="102"/>
      <c r="J988" s="177"/>
      <c r="K988" s="102"/>
      <c r="L988" s="54"/>
      <c r="M988" s="54"/>
      <c r="N988" s="54"/>
    </row>
    <row r="989">
      <c r="A989" s="54"/>
      <c r="B989" s="350"/>
      <c r="C989" s="350"/>
      <c r="D989" s="102"/>
      <c r="E989" s="102"/>
      <c r="F989" s="102"/>
      <c r="G989" s="102"/>
      <c r="H989" s="102"/>
      <c r="I989" s="102"/>
      <c r="J989" s="177"/>
      <c r="K989" s="102"/>
      <c r="L989" s="54"/>
      <c r="M989" s="54"/>
      <c r="N989" s="54"/>
    </row>
    <row r="990">
      <c r="A990" s="54"/>
      <c r="B990" s="350"/>
      <c r="C990" s="350"/>
      <c r="D990" s="102"/>
      <c r="E990" s="102"/>
      <c r="F990" s="102"/>
      <c r="G990" s="102"/>
      <c r="H990" s="102"/>
      <c r="I990" s="102"/>
      <c r="J990" s="177"/>
      <c r="K990" s="102"/>
      <c r="L990" s="54"/>
      <c r="M990" s="54"/>
      <c r="N990" s="54"/>
    </row>
    <row r="991">
      <c r="A991" s="54"/>
      <c r="B991" s="350"/>
      <c r="C991" s="350"/>
      <c r="D991" s="102"/>
      <c r="E991" s="102"/>
      <c r="F991" s="102"/>
      <c r="G991" s="102"/>
      <c r="H991" s="102"/>
      <c r="I991" s="102"/>
      <c r="J991" s="177"/>
      <c r="K991" s="102"/>
      <c r="L991" s="54"/>
      <c r="M991" s="54"/>
      <c r="N991" s="54"/>
    </row>
    <row r="992">
      <c r="A992" s="54"/>
      <c r="B992" s="350"/>
      <c r="C992" s="350"/>
      <c r="D992" s="102"/>
      <c r="E992" s="102"/>
      <c r="F992" s="102"/>
      <c r="G992" s="102"/>
      <c r="H992" s="102"/>
      <c r="I992" s="102"/>
      <c r="J992" s="177"/>
      <c r="K992" s="102"/>
      <c r="L992" s="54"/>
      <c r="M992" s="54"/>
      <c r="N992" s="54"/>
    </row>
    <row r="993">
      <c r="A993" s="54"/>
      <c r="B993" s="350"/>
      <c r="C993" s="350"/>
      <c r="D993" s="102"/>
      <c r="E993" s="102"/>
      <c r="F993" s="102"/>
      <c r="G993" s="102"/>
      <c r="H993" s="102"/>
      <c r="I993" s="102"/>
      <c r="J993" s="177"/>
      <c r="K993" s="102"/>
      <c r="L993" s="54"/>
      <c r="M993" s="54"/>
      <c r="N993" s="54"/>
    </row>
    <row r="994">
      <c r="A994" s="54"/>
      <c r="B994" s="350"/>
      <c r="C994" s="350"/>
      <c r="D994" s="102"/>
      <c r="E994" s="102"/>
      <c r="F994" s="102"/>
      <c r="G994" s="102"/>
      <c r="H994" s="102"/>
      <c r="I994" s="102"/>
      <c r="J994" s="177"/>
      <c r="K994" s="102"/>
      <c r="L994" s="54"/>
      <c r="M994" s="54"/>
      <c r="N994" s="54"/>
    </row>
    <row r="995">
      <c r="A995" s="54"/>
      <c r="B995" s="350"/>
      <c r="C995" s="350"/>
      <c r="D995" s="102"/>
      <c r="E995" s="102"/>
      <c r="F995" s="102"/>
      <c r="G995" s="102"/>
      <c r="H995" s="102"/>
      <c r="I995" s="102"/>
      <c r="J995" s="177"/>
      <c r="K995" s="102"/>
      <c r="L995" s="54"/>
      <c r="M995" s="54"/>
      <c r="N995" s="54"/>
    </row>
    <row r="996">
      <c r="A996" s="54"/>
      <c r="B996" s="350"/>
      <c r="C996" s="350"/>
      <c r="D996" s="102"/>
      <c r="E996" s="102"/>
      <c r="F996" s="102"/>
      <c r="G996" s="102"/>
      <c r="H996" s="102"/>
      <c r="I996" s="102"/>
      <c r="J996" s="177"/>
      <c r="K996" s="102"/>
      <c r="L996" s="54"/>
      <c r="M996" s="54"/>
      <c r="N996" s="54"/>
    </row>
  </sheetData>
  <mergeCells count="85">
    <mergeCell ref="B254:I254"/>
    <mergeCell ref="B258:I258"/>
    <mergeCell ref="B261:I261"/>
    <mergeCell ref="B262:I262"/>
    <mergeCell ref="B264:I264"/>
    <mergeCell ref="B266:I266"/>
    <mergeCell ref="B269:I269"/>
    <mergeCell ref="B270:I270"/>
    <mergeCell ref="B271:I271"/>
    <mergeCell ref="B273:I273"/>
    <mergeCell ref="B275:I275"/>
    <mergeCell ref="B279:I279"/>
    <mergeCell ref="B280:I280"/>
    <mergeCell ref="B281:I281"/>
    <mergeCell ref="B286:I286"/>
    <mergeCell ref="B287:I287"/>
    <mergeCell ref="B288:I288"/>
    <mergeCell ref="M289:Q289"/>
    <mergeCell ref="B295:I295"/>
    <mergeCell ref="M296:Q296"/>
    <mergeCell ref="B305:I305"/>
    <mergeCell ref="B306:I306"/>
    <mergeCell ref="M307:Q307"/>
    <mergeCell ref="B319:I319"/>
    <mergeCell ref="M320:Q320"/>
    <mergeCell ref="B328:I328"/>
    <mergeCell ref="M329:Q329"/>
    <mergeCell ref="M339:Q339"/>
    <mergeCell ref="B363:I363"/>
    <mergeCell ref="M364:Q364"/>
    <mergeCell ref="B374:I374"/>
    <mergeCell ref="M375:Q375"/>
    <mergeCell ref="B382:I382"/>
    <mergeCell ref="M383:Q383"/>
    <mergeCell ref="B338:I338"/>
    <mergeCell ref="B342:I342"/>
    <mergeCell ref="M342:Q342"/>
    <mergeCell ref="B345:I345"/>
    <mergeCell ref="M346:Q346"/>
    <mergeCell ref="B356:I356"/>
    <mergeCell ref="M357:Q357"/>
    <mergeCell ref="B3:I3"/>
    <mergeCell ref="B4:I4"/>
    <mergeCell ref="B10:I10"/>
    <mergeCell ref="B23:I23"/>
    <mergeCell ref="B33:I33"/>
    <mergeCell ref="B41:I41"/>
    <mergeCell ref="B42:I42"/>
    <mergeCell ref="B51:I51"/>
    <mergeCell ref="B59:I59"/>
    <mergeCell ref="B66:I66"/>
    <mergeCell ref="B72:I72"/>
    <mergeCell ref="B82:I82"/>
    <mergeCell ref="B99:I99"/>
    <mergeCell ref="B109:I109"/>
    <mergeCell ref="B117:I117"/>
    <mergeCell ref="B123:I123"/>
    <mergeCell ref="B129:I129"/>
    <mergeCell ref="B140:I140"/>
    <mergeCell ref="B151:I151"/>
    <mergeCell ref="B152:I152"/>
    <mergeCell ref="B158:I158"/>
    <mergeCell ref="B167:I167"/>
    <mergeCell ref="B179:I179"/>
    <mergeCell ref="B187:I187"/>
    <mergeCell ref="B193:I193"/>
    <mergeCell ref="B199:I199"/>
    <mergeCell ref="B204:I204"/>
    <mergeCell ref="B206:I206"/>
    <mergeCell ref="B209:I209"/>
    <mergeCell ref="B213:I213"/>
    <mergeCell ref="B218:I218"/>
    <mergeCell ref="B222:I222"/>
    <mergeCell ref="B223:I223"/>
    <mergeCell ref="B226:I226"/>
    <mergeCell ref="B228:I228"/>
    <mergeCell ref="B233:I233"/>
    <mergeCell ref="B236:I236"/>
    <mergeCell ref="B239:I239"/>
    <mergeCell ref="B242:I242"/>
    <mergeCell ref="B244:I244"/>
    <mergeCell ref="B247:I247"/>
    <mergeCell ref="B249:I249"/>
    <mergeCell ref="M276:O276"/>
    <mergeCell ref="M282:O282"/>
  </mergeCells>
  <conditionalFormatting sqref="K1:K996">
    <cfRule type="cellIs" dxfId="1" priority="1" operator="greaterThanOrEqual">
      <formula>30</formula>
    </cfRule>
  </conditionalFormatting>
  <conditionalFormatting sqref="K1:K996">
    <cfRule type="cellIs" dxfId="2" priority="2" operator="greaterThanOrEqual">
      <formula>28</formula>
    </cfRule>
  </conditionalFormatting>
  <conditionalFormatting sqref="J1:J996">
    <cfRule type="expression" dxfId="0" priority="3">
      <formula>ABS(J:J)&gt;5</formula>
    </cfRule>
  </conditionalFormatting>
  <conditionalFormatting sqref="O360">
    <cfRule type="notContainsBlanks" dxfId="0" priority="4">
      <formula>LEN(TRIM(O360))&gt;0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1.0"/>
  </cols>
  <sheetData>
    <row r="1">
      <c r="A1" s="58" t="s">
        <v>54</v>
      </c>
      <c r="B1" s="527" t="s">
        <v>55</v>
      </c>
      <c r="C1" s="58" t="s">
        <v>56</v>
      </c>
      <c r="D1" s="120" t="s">
        <v>57</v>
      </c>
      <c r="E1" s="137" t="s">
        <v>58</v>
      </c>
      <c r="F1" s="137" t="s">
        <v>59</v>
      </c>
      <c r="G1" s="137" t="s">
        <v>60</v>
      </c>
      <c r="H1" s="137" t="s">
        <v>61</v>
      </c>
      <c r="I1" s="120" t="s">
        <v>62</v>
      </c>
      <c r="J1" s="528" t="s">
        <v>63</v>
      </c>
      <c r="K1" s="483" t="s">
        <v>64</v>
      </c>
      <c r="L1" s="195" t="s">
        <v>128</v>
      </c>
      <c r="M1" s="195">
        <v>31.0</v>
      </c>
      <c r="N1" s="9" t="s">
        <v>129</v>
      </c>
      <c r="O1" s="9">
        <v>70.0</v>
      </c>
    </row>
    <row r="2" ht="19.5" customHeight="1">
      <c r="A2" s="529" t="s">
        <v>462</v>
      </c>
      <c r="B2" s="140"/>
      <c r="C2" s="140"/>
      <c r="D2" s="54"/>
      <c r="E2" s="141"/>
      <c r="F2" s="141">
        <f>SUM(F6:F257,F269:F1991)</f>
        <v>273261.99</v>
      </c>
      <c r="G2" s="54">
        <f>MAX(G4:G1991)</f>
        <v>764</v>
      </c>
      <c r="H2" s="141">
        <f t="shared" ref="H2:I2" si="1">SUM(H6:H257,H269:H1991)</f>
        <v>101709.12</v>
      </c>
      <c r="I2" s="141">
        <f t="shared" si="1"/>
        <v>107025.81</v>
      </c>
      <c r="J2" s="530">
        <f>H2-I2</f>
        <v>-5316.69</v>
      </c>
      <c r="K2" s="169">
        <f>I2/F2*100</f>
        <v>39.16600695</v>
      </c>
      <c r="L2" s="64" t="s">
        <v>65</v>
      </c>
      <c r="M2" s="65"/>
      <c r="N2" s="54"/>
    </row>
    <row r="3" ht="18.0" customHeight="1">
      <c r="A3" s="66"/>
      <c r="B3" s="531">
        <v>2020.0</v>
      </c>
      <c r="J3" s="532"/>
      <c r="K3" s="533"/>
      <c r="L3" s="534"/>
      <c r="M3" s="534"/>
      <c r="N3" s="535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>
      <c r="A4" s="66"/>
      <c r="B4" s="67" t="s">
        <v>104</v>
      </c>
      <c r="J4" s="66"/>
      <c r="K4" s="204"/>
      <c r="L4" s="66"/>
      <c r="M4" s="66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</row>
    <row r="5">
      <c r="A5" s="54"/>
      <c r="B5" s="536">
        <v>44088.0</v>
      </c>
      <c r="C5" s="537"/>
      <c r="D5" s="538" t="s">
        <v>453</v>
      </c>
      <c r="E5" s="539">
        <v>228836.0</v>
      </c>
      <c r="F5" s="540"/>
      <c r="G5" s="541">
        <v>731.0</v>
      </c>
      <c r="H5" s="541">
        <v>504.89</v>
      </c>
      <c r="I5" s="539">
        <v>500.0</v>
      </c>
      <c r="J5" s="102">
        <f t="shared" ref="J5:J6" si="2">H5-I5</f>
        <v>4.89</v>
      </c>
      <c r="K5" s="103" t="str">
        <f t="shared" ref="K5:K6" si="3">I5/F5*100</f>
        <v>#DIV/0!</v>
      </c>
      <c r="L5" s="54"/>
      <c r="M5" s="54"/>
    </row>
    <row r="6">
      <c r="A6" s="54"/>
      <c r="B6" s="542">
        <v>44090.0</v>
      </c>
      <c r="C6" s="543"/>
      <c r="D6" s="544" t="s">
        <v>453</v>
      </c>
      <c r="E6" s="545">
        <v>229047.0</v>
      </c>
      <c r="F6" s="545">
        <v>211.0</v>
      </c>
      <c r="G6" s="546">
        <v>764.0</v>
      </c>
      <c r="H6" s="546">
        <v>109.61</v>
      </c>
      <c r="I6" s="545">
        <v>105.0</v>
      </c>
      <c r="J6" s="102">
        <f t="shared" si="2"/>
        <v>4.61</v>
      </c>
      <c r="K6" s="103">
        <f t="shared" si="3"/>
        <v>49.76303318</v>
      </c>
      <c r="L6" s="54"/>
      <c r="M6" s="54"/>
    </row>
    <row r="7">
      <c r="A7" s="547"/>
      <c r="B7" s="548" t="s">
        <v>96</v>
      </c>
      <c r="C7" s="7"/>
      <c r="D7" s="7"/>
      <c r="E7" s="7"/>
      <c r="F7" s="7"/>
      <c r="G7" s="7"/>
      <c r="H7" s="7"/>
      <c r="I7" s="8"/>
      <c r="J7" s="549"/>
      <c r="K7" s="550"/>
      <c r="L7" s="551"/>
      <c r="M7" s="551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</row>
    <row r="8">
      <c r="A8" s="54"/>
      <c r="B8" s="542">
        <v>44107.0</v>
      </c>
      <c r="C8" s="543"/>
      <c r="D8" s="544" t="s">
        <v>463</v>
      </c>
      <c r="E8" s="545">
        <v>229815.0</v>
      </c>
      <c r="F8" s="545">
        <v>768.0</v>
      </c>
      <c r="G8" s="546">
        <v>668.0</v>
      </c>
      <c r="H8" s="546">
        <v>298.14</v>
      </c>
      <c r="I8" s="545">
        <v>300.0</v>
      </c>
      <c r="J8" s="102">
        <f t="shared" ref="J8:J10" si="4">H8-I8</f>
        <v>-1.86</v>
      </c>
      <c r="K8" s="103">
        <f t="shared" ref="K8:K10" si="5">I8/F8*100</f>
        <v>39.0625</v>
      </c>
      <c r="L8" s="54"/>
      <c r="M8" s="54"/>
    </row>
    <row r="9">
      <c r="A9" s="54"/>
      <c r="B9" s="552">
        <v>44124.0</v>
      </c>
      <c r="C9" s="553"/>
      <c r="D9" s="544" t="s">
        <v>463</v>
      </c>
      <c r="E9" s="545">
        <v>230547.0</v>
      </c>
      <c r="F9" s="545">
        <v>732.0</v>
      </c>
      <c r="G9" s="546">
        <v>715.0</v>
      </c>
      <c r="H9" s="546">
        <v>493.26</v>
      </c>
      <c r="I9" s="545">
        <v>499.62</v>
      </c>
      <c r="J9" s="102">
        <f t="shared" si="4"/>
        <v>-6.36</v>
      </c>
      <c r="K9" s="103">
        <f t="shared" si="5"/>
        <v>68.25409836</v>
      </c>
      <c r="L9" s="54"/>
      <c r="M9" s="54"/>
    </row>
    <row r="10">
      <c r="A10" s="54"/>
      <c r="B10" s="552">
        <v>44135.0</v>
      </c>
      <c r="C10" s="553"/>
      <c r="D10" s="544" t="s">
        <v>463</v>
      </c>
      <c r="E10" s="545">
        <v>230967.0</v>
      </c>
      <c r="F10" s="545">
        <v>420.0</v>
      </c>
      <c r="G10" s="546">
        <v>727.0</v>
      </c>
      <c r="H10" s="546">
        <v>340.19</v>
      </c>
      <c r="I10" s="545">
        <v>335.0</v>
      </c>
      <c r="J10" s="102">
        <f t="shared" si="4"/>
        <v>5.19</v>
      </c>
      <c r="K10" s="103">
        <f t="shared" si="5"/>
        <v>79.76190476</v>
      </c>
      <c r="L10" s="54"/>
      <c r="M10" s="54"/>
    </row>
    <row r="11">
      <c r="A11" s="547"/>
      <c r="B11" s="548" t="s">
        <v>97</v>
      </c>
      <c r="C11" s="7"/>
      <c r="D11" s="7"/>
      <c r="E11" s="7"/>
      <c r="F11" s="7"/>
      <c r="G11" s="7"/>
      <c r="H11" s="7"/>
      <c r="I11" s="8"/>
      <c r="J11" s="549"/>
      <c r="K11" s="550"/>
      <c r="L11" s="551"/>
      <c r="M11" s="551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</row>
    <row r="12">
      <c r="A12" s="54"/>
      <c r="B12" s="542">
        <v>44144.0</v>
      </c>
      <c r="C12" s="543"/>
      <c r="D12" s="544" t="s">
        <v>463</v>
      </c>
      <c r="E12" s="545">
        <v>231292.0</v>
      </c>
      <c r="F12" s="545">
        <v>325.0</v>
      </c>
      <c r="G12" s="546">
        <v>744.0</v>
      </c>
      <c r="H12" s="546">
        <v>266.56</v>
      </c>
      <c r="I12" s="545">
        <v>257.43</v>
      </c>
      <c r="J12" s="102">
        <f t="shared" ref="J12:J14" si="6">H12-I12</f>
        <v>9.13</v>
      </c>
      <c r="K12" s="103">
        <f t="shared" ref="K12:K14" si="7">I12/F12*100</f>
        <v>79.20923077</v>
      </c>
      <c r="L12" s="54"/>
      <c r="M12" s="54"/>
    </row>
    <row r="13">
      <c r="A13" s="54"/>
      <c r="B13" s="552">
        <v>44156.0</v>
      </c>
      <c r="C13" s="553"/>
      <c r="D13" s="544" t="s">
        <v>463</v>
      </c>
      <c r="E13" s="545">
        <v>231734.0</v>
      </c>
      <c r="F13" s="545">
        <v>442.0</v>
      </c>
      <c r="G13" s="546">
        <v>672.0</v>
      </c>
      <c r="H13" s="546">
        <v>304.73</v>
      </c>
      <c r="I13" s="545">
        <v>300.0</v>
      </c>
      <c r="J13" s="102">
        <f t="shared" si="6"/>
        <v>4.73</v>
      </c>
      <c r="K13" s="103">
        <f t="shared" si="7"/>
        <v>67.87330317</v>
      </c>
      <c r="L13" s="54"/>
      <c r="M13" s="54"/>
    </row>
    <row r="14">
      <c r="A14" s="54"/>
      <c r="B14" s="552">
        <v>44161.0</v>
      </c>
      <c r="C14" s="553"/>
      <c r="D14" s="544" t="s">
        <v>463</v>
      </c>
      <c r="E14" s="545">
        <v>232037.0</v>
      </c>
      <c r="F14" s="545">
        <v>303.0</v>
      </c>
      <c r="G14" s="546">
        <v>739.0</v>
      </c>
      <c r="H14" s="546">
        <v>271.21</v>
      </c>
      <c r="I14" s="545">
        <v>270.02</v>
      </c>
      <c r="J14" s="102">
        <f t="shared" si="6"/>
        <v>1.19</v>
      </c>
      <c r="K14" s="103">
        <f t="shared" si="7"/>
        <v>89.11551155</v>
      </c>
      <c r="L14" s="54"/>
      <c r="M14" s="54"/>
    </row>
    <row r="15">
      <c r="A15" s="547"/>
      <c r="B15" s="548" t="s">
        <v>98</v>
      </c>
      <c r="C15" s="7"/>
      <c r="D15" s="7"/>
      <c r="E15" s="7"/>
      <c r="F15" s="7"/>
      <c r="G15" s="7"/>
      <c r="H15" s="7"/>
      <c r="I15" s="8"/>
      <c r="J15" s="549"/>
      <c r="K15" s="550"/>
      <c r="L15" s="551"/>
      <c r="M15" s="551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</row>
    <row r="16">
      <c r="A16" s="54"/>
      <c r="B16" s="542">
        <v>44166.0</v>
      </c>
      <c r="C16" s="543"/>
      <c r="D16" s="544" t="s">
        <v>463</v>
      </c>
      <c r="E16" s="545">
        <v>232478.0</v>
      </c>
      <c r="F16" s="545">
        <v>441.0</v>
      </c>
      <c r="G16" s="546">
        <v>717.0</v>
      </c>
      <c r="H16" s="546">
        <v>259.58</v>
      </c>
      <c r="I16" s="545">
        <v>260.01</v>
      </c>
      <c r="J16" s="102">
        <f t="shared" ref="J16:J25" si="8">H16-I16</f>
        <v>-0.43</v>
      </c>
      <c r="K16" s="103">
        <f t="shared" ref="K16:K25" si="9">I16/F16*100</f>
        <v>58.95918367</v>
      </c>
      <c r="L16" s="54"/>
      <c r="M16" s="54"/>
    </row>
    <row r="17">
      <c r="A17" s="54"/>
      <c r="B17" s="542">
        <v>44169.0</v>
      </c>
      <c r="C17" s="543"/>
      <c r="D17" s="544" t="s">
        <v>463</v>
      </c>
      <c r="E17" s="545">
        <v>233082.0</v>
      </c>
      <c r="F17" s="545">
        <v>604.0</v>
      </c>
      <c r="G17" s="546">
        <v>730.0</v>
      </c>
      <c r="H17" s="546">
        <v>270.82</v>
      </c>
      <c r="I17" s="545">
        <v>270.0</v>
      </c>
      <c r="J17" s="102">
        <f t="shared" si="8"/>
        <v>0.82</v>
      </c>
      <c r="K17" s="103">
        <f t="shared" si="9"/>
        <v>44.70198675</v>
      </c>
      <c r="L17" s="54"/>
      <c r="M17" s="54"/>
    </row>
    <row r="18">
      <c r="A18" s="54"/>
      <c r="B18" s="542">
        <v>44170.0</v>
      </c>
      <c r="C18" s="543"/>
      <c r="D18" s="544" t="s">
        <v>463</v>
      </c>
      <c r="E18" s="545">
        <v>233239.0</v>
      </c>
      <c r="F18" s="545">
        <v>157.0</v>
      </c>
      <c r="G18" s="546">
        <v>723.0</v>
      </c>
      <c r="H18" s="546">
        <v>62.58</v>
      </c>
      <c r="I18" s="545">
        <v>65.1</v>
      </c>
      <c r="J18" s="102">
        <f t="shared" si="8"/>
        <v>-2.52</v>
      </c>
      <c r="K18" s="103">
        <f t="shared" si="9"/>
        <v>41.46496815</v>
      </c>
      <c r="L18" s="54"/>
      <c r="M18" s="54"/>
    </row>
    <row r="19">
      <c r="A19" s="54"/>
      <c r="B19" s="542">
        <v>44173.0</v>
      </c>
      <c r="C19" s="543"/>
      <c r="D19" s="544" t="s">
        <v>463</v>
      </c>
      <c r="E19" s="554">
        <v>233685.0</v>
      </c>
      <c r="F19" s="545">
        <v>446.0</v>
      </c>
      <c r="G19" s="555">
        <v>731.0</v>
      </c>
      <c r="H19" s="555">
        <v>199.33</v>
      </c>
      <c r="I19" s="545">
        <v>200.0</v>
      </c>
      <c r="J19" s="102">
        <f t="shared" si="8"/>
        <v>-0.67</v>
      </c>
      <c r="K19" s="103">
        <f t="shared" si="9"/>
        <v>44.84304933</v>
      </c>
      <c r="L19" s="54"/>
      <c r="M19" s="54"/>
    </row>
    <row r="20">
      <c r="A20" s="54"/>
      <c r="B20" s="552">
        <v>44176.0</v>
      </c>
      <c r="C20" s="553"/>
      <c r="D20" s="544" t="s">
        <v>463</v>
      </c>
      <c r="E20" s="554">
        <v>234215.0</v>
      </c>
      <c r="F20" s="545">
        <v>529.0</v>
      </c>
      <c r="G20" s="555">
        <v>724.0</v>
      </c>
      <c r="H20" s="555">
        <v>249.51</v>
      </c>
      <c r="I20" s="545">
        <v>250.08</v>
      </c>
      <c r="J20" s="102">
        <f t="shared" si="8"/>
        <v>-0.57</v>
      </c>
      <c r="K20" s="103">
        <f t="shared" si="9"/>
        <v>47.27410208</v>
      </c>
      <c r="L20" s="54"/>
      <c r="M20" s="54"/>
    </row>
    <row r="21">
      <c r="A21" s="54"/>
      <c r="B21" s="552">
        <v>44179.0</v>
      </c>
      <c r="C21" s="553"/>
      <c r="D21" s="544" t="s">
        <v>463</v>
      </c>
      <c r="E21" s="554">
        <v>234886.0</v>
      </c>
      <c r="F21" s="545">
        <v>671.0</v>
      </c>
      <c r="G21" s="555">
        <v>719.0</v>
      </c>
      <c r="H21" s="555">
        <v>295.62</v>
      </c>
      <c r="I21" s="545">
        <v>300.0</v>
      </c>
      <c r="J21" s="102">
        <f t="shared" si="8"/>
        <v>-4.38</v>
      </c>
      <c r="K21" s="103">
        <f t="shared" si="9"/>
        <v>44.70938897</v>
      </c>
      <c r="L21" s="54"/>
      <c r="M21" s="54"/>
    </row>
    <row r="22">
      <c r="A22" s="54"/>
      <c r="B22" s="552">
        <v>44181.0</v>
      </c>
      <c r="C22" s="553"/>
      <c r="D22" s="544" t="s">
        <v>463</v>
      </c>
      <c r="E22" s="554">
        <v>235257.0</v>
      </c>
      <c r="F22" s="545">
        <v>371.0</v>
      </c>
      <c r="G22" s="555">
        <v>723.0</v>
      </c>
      <c r="H22" s="555">
        <v>167.33</v>
      </c>
      <c r="I22" s="545">
        <v>170.0</v>
      </c>
      <c r="J22" s="102">
        <f t="shared" si="8"/>
        <v>-2.67</v>
      </c>
      <c r="K22" s="103">
        <f t="shared" si="9"/>
        <v>45.82210243</v>
      </c>
      <c r="L22" s="54"/>
      <c r="M22" s="54"/>
    </row>
    <row r="23">
      <c r="A23" s="54"/>
      <c r="B23" s="552">
        <v>44186.0</v>
      </c>
      <c r="C23" s="553"/>
      <c r="D23" s="544" t="s">
        <v>463</v>
      </c>
      <c r="E23" s="554">
        <v>236090.0</v>
      </c>
      <c r="F23" s="545">
        <v>834.0</v>
      </c>
      <c r="G23" s="555">
        <v>604.0</v>
      </c>
      <c r="H23" s="555">
        <v>286.22</v>
      </c>
      <c r="I23" s="545">
        <v>300.0</v>
      </c>
      <c r="J23" s="102">
        <f t="shared" si="8"/>
        <v>-13.78</v>
      </c>
      <c r="K23" s="103">
        <f t="shared" si="9"/>
        <v>35.97122302</v>
      </c>
      <c r="L23" s="54"/>
      <c r="M23" s="54"/>
    </row>
    <row r="24">
      <c r="A24" s="54"/>
      <c r="B24" s="552">
        <v>44191.0</v>
      </c>
      <c r="C24" s="553"/>
      <c r="D24" s="544" t="s">
        <v>463</v>
      </c>
      <c r="E24" s="554">
        <v>236588.0</v>
      </c>
      <c r="F24" s="545">
        <v>498.0</v>
      </c>
      <c r="G24" s="555">
        <v>582.0</v>
      </c>
      <c r="H24" s="555">
        <v>283.6</v>
      </c>
      <c r="I24" s="545">
        <v>300.0</v>
      </c>
      <c r="J24" s="102">
        <f t="shared" si="8"/>
        <v>-16.4</v>
      </c>
      <c r="K24" s="103">
        <f t="shared" si="9"/>
        <v>60.24096386</v>
      </c>
      <c r="L24" s="54"/>
      <c r="M24" s="54"/>
    </row>
    <row r="25">
      <c r="A25" s="54"/>
      <c r="B25" s="552">
        <v>44195.0</v>
      </c>
      <c r="C25" s="553"/>
      <c r="D25" s="544" t="s">
        <v>463</v>
      </c>
      <c r="E25" s="554">
        <v>236906.0</v>
      </c>
      <c r="F25" s="545">
        <v>318.0</v>
      </c>
      <c r="G25" s="555">
        <v>674.0</v>
      </c>
      <c r="H25" s="555">
        <v>284.19</v>
      </c>
      <c r="I25" s="545">
        <v>300.0</v>
      </c>
      <c r="J25" s="102">
        <f t="shared" si="8"/>
        <v>-15.81</v>
      </c>
      <c r="K25" s="103">
        <f t="shared" si="9"/>
        <v>94.33962264</v>
      </c>
      <c r="L25" s="54"/>
      <c r="M25" s="54"/>
    </row>
    <row r="26">
      <c r="A26" s="551"/>
      <c r="B26" s="548">
        <v>2021.0</v>
      </c>
      <c r="C26" s="7"/>
      <c r="D26" s="7"/>
      <c r="E26" s="7"/>
      <c r="F26" s="7"/>
      <c r="G26" s="7"/>
      <c r="H26" s="7"/>
      <c r="I26" s="8"/>
      <c r="J26" s="549"/>
      <c r="K26" s="550"/>
      <c r="L26" s="551"/>
      <c r="M26" s="551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</row>
    <row r="27">
      <c r="A27" s="551"/>
      <c r="B27" s="548" t="s">
        <v>66</v>
      </c>
      <c r="C27" s="7"/>
      <c r="D27" s="7"/>
      <c r="E27" s="7"/>
      <c r="F27" s="7"/>
      <c r="G27" s="7"/>
      <c r="H27" s="7"/>
      <c r="I27" s="8"/>
      <c r="J27" s="549"/>
      <c r="K27" s="550"/>
      <c r="L27" s="551"/>
      <c r="M27" s="551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</row>
    <row r="28">
      <c r="A28" s="54"/>
      <c r="B28" s="164" t="s">
        <v>109</v>
      </c>
      <c r="C28" s="75"/>
      <c r="D28" s="75"/>
      <c r="E28" s="75"/>
      <c r="F28" s="75"/>
      <c r="G28" s="75"/>
      <c r="H28" s="75"/>
      <c r="I28" s="76"/>
      <c r="J28" s="102"/>
      <c r="K28" s="102"/>
      <c r="L28" s="54"/>
      <c r="M28" s="54"/>
    </row>
    <row r="29">
      <c r="A29" s="551"/>
      <c r="B29" s="548" t="s">
        <v>68</v>
      </c>
      <c r="C29" s="7"/>
      <c r="D29" s="7"/>
      <c r="E29" s="7"/>
      <c r="F29" s="7"/>
      <c r="G29" s="7"/>
      <c r="H29" s="7"/>
      <c r="I29" s="8"/>
      <c r="J29" s="549"/>
      <c r="K29" s="550"/>
      <c r="L29" s="551"/>
      <c r="M29" s="551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</row>
    <row r="30">
      <c r="A30" s="54"/>
      <c r="B30" s="536">
        <v>44246.0</v>
      </c>
      <c r="C30" s="537"/>
      <c r="D30" s="538" t="s">
        <v>122</v>
      </c>
      <c r="E30" s="556">
        <v>237206.0</v>
      </c>
      <c r="F30" s="539">
        <v>300.0</v>
      </c>
      <c r="G30" s="557">
        <v>706.0</v>
      </c>
      <c r="H30" s="557">
        <v>193.9</v>
      </c>
      <c r="I30" s="539">
        <v>200.0</v>
      </c>
      <c r="J30" s="102">
        <f t="shared" ref="J30:J32" si="10">H30-I30</f>
        <v>-6.1</v>
      </c>
      <c r="K30" s="103">
        <f t="shared" ref="K30:K32" si="11">I30/F30*100</f>
        <v>66.66666667</v>
      </c>
      <c r="L30" s="54"/>
      <c r="M30" s="54"/>
    </row>
    <row r="31">
      <c r="A31" s="54"/>
      <c r="B31" s="542">
        <v>44250.0</v>
      </c>
      <c r="C31" s="543"/>
      <c r="D31" s="544" t="s">
        <v>122</v>
      </c>
      <c r="E31" s="554">
        <v>237766.0</v>
      </c>
      <c r="F31" s="545">
        <v>560.0</v>
      </c>
      <c r="G31" s="555">
        <v>625.0</v>
      </c>
      <c r="H31" s="555">
        <v>194.07</v>
      </c>
      <c r="I31" s="545">
        <v>205.18</v>
      </c>
      <c r="J31" s="102">
        <f t="shared" si="10"/>
        <v>-11.11</v>
      </c>
      <c r="K31" s="103">
        <f t="shared" si="11"/>
        <v>36.63928571</v>
      </c>
      <c r="L31" s="54"/>
      <c r="M31" s="54"/>
    </row>
    <row r="32">
      <c r="A32" s="54"/>
      <c r="B32" s="542">
        <v>44253.0</v>
      </c>
      <c r="C32" s="543"/>
      <c r="D32" s="544" t="s">
        <v>122</v>
      </c>
      <c r="E32" s="554">
        <v>238384.0</v>
      </c>
      <c r="F32" s="545">
        <v>618.0</v>
      </c>
      <c r="G32" s="555">
        <v>635.0</v>
      </c>
      <c r="H32" s="555">
        <v>290.78</v>
      </c>
      <c r="I32" s="545">
        <v>300.0</v>
      </c>
      <c r="J32" s="102">
        <f t="shared" si="10"/>
        <v>-9.22</v>
      </c>
      <c r="K32" s="103">
        <f t="shared" si="11"/>
        <v>48.54368932</v>
      </c>
      <c r="L32" s="54"/>
      <c r="M32" s="54"/>
    </row>
    <row r="33">
      <c r="A33" s="551"/>
      <c r="B33" s="548" t="s">
        <v>72</v>
      </c>
      <c r="C33" s="7"/>
      <c r="D33" s="7"/>
      <c r="E33" s="7"/>
      <c r="F33" s="7"/>
      <c r="G33" s="7"/>
      <c r="H33" s="7"/>
      <c r="I33" s="8"/>
      <c r="J33" s="549"/>
      <c r="K33" s="550"/>
      <c r="L33" s="551"/>
      <c r="M33" s="551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</row>
    <row r="34">
      <c r="A34" s="54"/>
      <c r="B34" s="542">
        <v>44265.0</v>
      </c>
      <c r="C34" s="543"/>
      <c r="D34" s="544" t="s">
        <v>464</v>
      </c>
      <c r="E34" s="554">
        <v>239057.0</v>
      </c>
      <c r="F34" s="545">
        <v>673.0</v>
      </c>
      <c r="G34" s="555">
        <v>511.0</v>
      </c>
      <c r="H34" s="555">
        <v>285.99</v>
      </c>
      <c r="I34" s="545">
        <v>300.0</v>
      </c>
      <c r="J34" s="102">
        <f t="shared" ref="J34:J40" si="12">H34-I34</f>
        <v>-14.01</v>
      </c>
      <c r="K34" s="103">
        <f t="shared" ref="K34:K40" si="13">I34/F34*100</f>
        <v>44.57652303</v>
      </c>
      <c r="L34" s="54"/>
      <c r="M34" s="54"/>
    </row>
    <row r="35">
      <c r="A35" s="54"/>
      <c r="B35" s="542">
        <v>44272.0</v>
      </c>
      <c r="C35" s="543"/>
      <c r="D35" s="544" t="s">
        <v>464</v>
      </c>
      <c r="E35" s="554">
        <v>239221.0</v>
      </c>
      <c r="F35" s="545">
        <v>164.0</v>
      </c>
      <c r="G35" s="555">
        <v>614.0</v>
      </c>
      <c r="H35" s="555">
        <v>289.94</v>
      </c>
      <c r="I35" s="545">
        <v>300.0</v>
      </c>
      <c r="J35" s="102">
        <f t="shared" si="12"/>
        <v>-10.06</v>
      </c>
      <c r="K35" s="103">
        <f t="shared" si="13"/>
        <v>182.9268293</v>
      </c>
      <c r="L35" s="54"/>
      <c r="M35" s="54"/>
    </row>
    <row r="36">
      <c r="A36" s="54"/>
      <c r="B36" s="542">
        <v>44275.0</v>
      </c>
      <c r="C36" s="543"/>
      <c r="D36" s="544" t="s">
        <v>464</v>
      </c>
      <c r="E36" s="554">
        <v>239730.0</v>
      </c>
      <c r="F36" s="545">
        <v>510.0</v>
      </c>
      <c r="G36" s="555">
        <v>656.0</v>
      </c>
      <c r="H36" s="555">
        <v>290.97</v>
      </c>
      <c r="I36" s="545">
        <v>300.0</v>
      </c>
      <c r="J36" s="102">
        <f t="shared" si="12"/>
        <v>-9.03</v>
      </c>
      <c r="K36" s="103">
        <f t="shared" si="13"/>
        <v>58.82352941</v>
      </c>
      <c r="L36" s="54"/>
      <c r="M36" s="54"/>
    </row>
    <row r="37">
      <c r="A37" s="54"/>
      <c r="B37" s="542">
        <v>44279.0</v>
      </c>
      <c r="C37" s="543"/>
      <c r="D37" s="544" t="s">
        <v>464</v>
      </c>
      <c r="E37" s="554">
        <v>240573.0</v>
      </c>
      <c r="F37" s="545">
        <v>843.0</v>
      </c>
      <c r="G37" s="555">
        <v>595.0</v>
      </c>
      <c r="H37" s="555">
        <v>291.6</v>
      </c>
      <c r="I37" s="545">
        <v>300.0</v>
      </c>
      <c r="J37" s="102">
        <f t="shared" si="12"/>
        <v>-8.4</v>
      </c>
      <c r="K37" s="103">
        <f t="shared" si="13"/>
        <v>35.58718861</v>
      </c>
      <c r="L37" s="54"/>
      <c r="M37" s="54"/>
    </row>
    <row r="38">
      <c r="A38" s="54"/>
      <c r="B38" s="542">
        <v>44282.0</v>
      </c>
      <c r="C38" s="543"/>
      <c r="D38" s="544" t="s">
        <v>464</v>
      </c>
      <c r="E38" s="554">
        <v>241286.0</v>
      </c>
      <c r="F38" s="545">
        <v>713.0</v>
      </c>
      <c r="G38" s="555">
        <v>612.0</v>
      </c>
      <c r="H38" s="555">
        <v>296.32</v>
      </c>
      <c r="I38" s="545">
        <v>300.0</v>
      </c>
      <c r="J38" s="102">
        <f t="shared" si="12"/>
        <v>-3.68</v>
      </c>
      <c r="K38" s="103">
        <f t="shared" si="13"/>
        <v>42.07573633</v>
      </c>
      <c r="L38" s="54"/>
      <c r="M38" s="54"/>
    </row>
    <row r="39">
      <c r="A39" s="54"/>
      <c r="B39" s="542">
        <v>44285.0</v>
      </c>
      <c r="C39" s="543"/>
      <c r="D39" s="544" t="s">
        <v>464</v>
      </c>
      <c r="E39" s="554">
        <v>242196.0</v>
      </c>
      <c r="F39" s="545">
        <v>910.0</v>
      </c>
      <c r="G39" s="555">
        <v>531.0</v>
      </c>
      <c r="H39" s="555">
        <v>294.9</v>
      </c>
      <c r="I39" s="545">
        <v>300.0</v>
      </c>
      <c r="J39" s="102">
        <f t="shared" si="12"/>
        <v>-5.1</v>
      </c>
      <c r="K39" s="103">
        <f t="shared" si="13"/>
        <v>32.96703297</v>
      </c>
      <c r="L39" s="54"/>
      <c r="M39" s="54"/>
    </row>
    <row r="40">
      <c r="A40" s="54"/>
      <c r="B40" s="542">
        <v>44286.0</v>
      </c>
      <c r="C40" s="543"/>
      <c r="D40" s="544" t="s">
        <v>464</v>
      </c>
      <c r="E40" s="554">
        <v>242415.0</v>
      </c>
      <c r="F40" s="545">
        <v>219.0</v>
      </c>
      <c r="G40" s="555">
        <v>742.0</v>
      </c>
      <c r="H40" s="555">
        <v>295.04</v>
      </c>
      <c r="I40" s="545">
        <v>287.58</v>
      </c>
      <c r="J40" s="102">
        <f t="shared" si="12"/>
        <v>7.46</v>
      </c>
      <c r="K40" s="103">
        <f t="shared" si="13"/>
        <v>131.3150685</v>
      </c>
      <c r="L40" s="54"/>
      <c r="M40" s="54"/>
    </row>
    <row r="41">
      <c r="A41" s="551"/>
      <c r="B41" s="548" t="s">
        <v>74</v>
      </c>
      <c r="C41" s="7"/>
      <c r="D41" s="7"/>
      <c r="E41" s="7"/>
      <c r="F41" s="7"/>
      <c r="G41" s="7"/>
      <c r="H41" s="7"/>
      <c r="I41" s="8"/>
      <c r="J41" s="549"/>
      <c r="K41" s="550"/>
      <c r="L41" s="551"/>
      <c r="M41" s="551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</row>
    <row r="42">
      <c r="A42" s="54"/>
      <c r="B42" s="542">
        <v>44290.0</v>
      </c>
      <c r="C42" s="543"/>
      <c r="D42" s="544" t="s">
        <v>122</v>
      </c>
      <c r="E42" s="545">
        <v>243097.0</v>
      </c>
      <c r="F42" s="545">
        <v>682.0</v>
      </c>
      <c r="G42" s="546">
        <v>734.0</v>
      </c>
      <c r="H42" s="546">
        <v>286.9</v>
      </c>
      <c r="I42" s="545">
        <v>300.0</v>
      </c>
      <c r="J42" s="102">
        <f t="shared" ref="J42:J50" si="14">H42-I42</f>
        <v>-13.1</v>
      </c>
      <c r="K42" s="103">
        <f t="shared" ref="K42:K50" si="15">I42/F42*100</f>
        <v>43.98826979</v>
      </c>
      <c r="L42" s="54"/>
      <c r="M42" s="54"/>
    </row>
    <row r="43">
      <c r="A43" s="54"/>
      <c r="B43" s="542">
        <v>44293.0</v>
      </c>
      <c r="C43" s="543"/>
      <c r="D43" s="544" t="s">
        <v>122</v>
      </c>
      <c r="E43" s="545">
        <v>243887.0</v>
      </c>
      <c r="F43" s="545">
        <v>790.0</v>
      </c>
      <c r="G43" s="546">
        <v>707.0</v>
      </c>
      <c r="H43" s="546">
        <v>272.57</v>
      </c>
      <c r="I43" s="545">
        <v>300.0</v>
      </c>
      <c r="J43" s="102">
        <f t="shared" si="14"/>
        <v>-27.43</v>
      </c>
      <c r="K43" s="103">
        <f t="shared" si="15"/>
        <v>37.97468354</v>
      </c>
      <c r="L43" s="54"/>
      <c r="M43" s="54"/>
    </row>
    <row r="44">
      <c r="A44" s="54"/>
      <c r="B44" s="542">
        <v>44296.0</v>
      </c>
      <c r="C44" s="543"/>
      <c r="D44" s="544" t="s">
        <v>122</v>
      </c>
      <c r="E44" s="545">
        <v>244616.0</v>
      </c>
      <c r="F44" s="545">
        <v>729.0</v>
      </c>
      <c r="G44" s="546">
        <v>638.0</v>
      </c>
      <c r="H44" s="546">
        <v>257.07</v>
      </c>
      <c r="I44" s="545">
        <v>300.0</v>
      </c>
      <c r="J44" s="102">
        <f t="shared" si="14"/>
        <v>-42.93</v>
      </c>
      <c r="K44" s="103">
        <f t="shared" si="15"/>
        <v>41.15226337</v>
      </c>
      <c r="L44" s="54"/>
      <c r="M44" s="54"/>
    </row>
    <row r="45">
      <c r="A45" s="54"/>
      <c r="B45" s="542">
        <v>44299.0</v>
      </c>
      <c r="C45" s="543"/>
      <c r="D45" s="544" t="s">
        <v>122</v>
      </c>
      <c r="E45" s="545">
        <v>245298.0</v>
      </c>
      <c r="F45" s="545">
        <v>682.0</v>
      </c>
      <c r="G45" s="546">
        <v>651.0</v>
      </c>
      <c r="H45" s="546">
        <v>251.25</v>
      </c>
      <c r="I45" s="545">
        <v>300.0</v>
      </c>
      <c r="J45" s="102">
        <f t="shared" si="14"/>
        <v>-48.75</v>
      </c>
      <c r="K45" s="103">
        <f t="shared" si="15"/>
        <v>43.98826979</v>
      </c>
      <c r="L45" s="54"/>
      <c r="M45" s="54"/>
    </row>
    <row r="46">
      <c r="A46" s="54"/>
      <c r="B46" s="542">
        <v>44302.0</v>
      </c>
      <c r="C46" s="543"/>
      <c r="D46" s="544" t="s">
        <v>464</v>
      </c>
      <c r="E46" s="545">
        <v>245998.0</v>
      </c>
      <c r="F46" s="545">
        <v>700.0</v>
      </c>
      <c r="G46" s="546">
        <v>658.0</v>
      </c>
      <c r="H46" s="546">
        <v>278.19</v>
      </c>
      <c r="I46" s="545">
        <v>300.0</v>
      </c>
      <c r="J46" s="102">
        <f t="shared" si="14"/>
        <v>-21.81</v>
      </c>
      <c r="K46" s="103">
        <f t="shared" si="15"/>
        <v>42.85714286</v>
      </c>
      <c r="L46" s="54"/>
      <c r="M46" s="54"/>
    </row>
    <row r="47">
      <c r="A47" s="54"/>
      <c r="B47" s="542">
        <v>44305.0</v>
      </c>
      <c r="C47" s="543"/>
      <c r="D47" s="558"/>
      <c r="E47" s="545">
        <v>246883.0</v>
      </c>
      <c r="F47" s="545">
        <v>885.0</v>
      </c>
      <c r="G47" s="546">
        <v>630.0</v>
      </c>
      <c r="H47" s="546">
        <v>295.43</v>
      </c>
      <c r="I47" s="545">
        <v>300.0</v>
      </c>
      <c r="J47" s="102">
        <f t="shared" si="14"/>
        <v>-4.57</v>
      </c>
      <c r="K47" s="103">
        <f t="shared" si="15"/>
        <v>33.89830508</v>
      </c>
      <c r="L47" s="54"/>
      <c r="M47" s="54"/>
    </row>
    <row r="48">
      <c r="A48" s="54"/>
      <c r="B48" s="542">
        <v>44309.0</v>
      </c>
      <c r="C48" s="543"/>
      <c r="D48" s="558"/>
      <c r="E48" s="545">
        <v>247687.0</v>
      </c>
      <c r="F48" s="545">
        <v>804.0</v>
      </c>
      <c r="G48" s="546">
        <v>567.0</v>
      </c>
      <c r="H48" s="546">
        <v>296.33</v>
      </c>
      <c r="I48" s="545">
        <v>300.0</v>
      </c>
      <c r="J48" s="102">
        <f t="shared" si="14"/>
        <v>-3.67</v>
      </c>
      <c r="K48" s="103">
        <f t="shared" si="15"/>
        <v>37.31343284</v>
      </c>
      <c r="L48" s="54"/>
      <c r="M48" s="54"/>
    </row>
    <row r="49">
      <c r="A49" s="54"/>
      <c r="B49" s="542">
        <v>44312.0</v>
      </c>
      <c r="C49" s="543"/>
      <c r="D49" s="558"/>
      <c r="E49" s="545">
        <v>248365.0</v>
      </c>
      <c r="F49" s="545">
        <v>678.0</v>
      </c>
      <c r="G49" s="546">
        <v>569.0</v>
      </c>
      <c r="H49" s="546">
        <v>296.72</v>
      </c>
      <c r="I49" s="545">
        <v>300.0</v>
      </c>
      <c r="J49" s="102">
        <f t="shared" si="14"/>
        <v>-3.28</v>
      </c>
      <c r="K49" s="103">
        <f t="shared" si="15"/>
        <v>44.24778761</v>
      </c>
      <c r="L49" s="54"/>
      <c r="M49" s="54"/>
    </row>
    <row r="50">
      <c r="A50" s="54"/>
      <c r="B50" s="542">
        <v>44315.0</v>
      </c>
      <c r="C50" s="543"/>
      <c r="D50" s="558"/>
      <c r="E50" s="545">
        <v>249015.0</v>
      </c>
      <c r="F50" s="545">
        <v>650.0</v>
      </c>
      <c r="G50" s="546">
        <v>586.0</v>
      </c>
      <c r="H50" s="546">
        <v>296.02</v>
      </c>
      <c r="I50" s="545">
        <v>300.0</v>
      </c>
      <c r="J50" s="102">
        <f t="shared" si="14"/>
        <v>-3.98</v>
      </c>
      <c r="K50" s="103">
        <f t="shared" si="15"/>
        <v>46.15384615</v>
      </c>
      <c r="L50" s="54"/>
      <c r="M50" s="54"/>
    </row>
    <row r="51">
      <c r="A51" s="551"/>
      <c r="B51" s="548" t="s">
        <v>75</v>
      </c>
      <c r="C51" s="7"/>
      <c r="D51" s="7"/>
      <c r="E51" s="7"/>
      <c r="F51" s="7"/>
      <c r="G51" s="7"/>
      <c r="H51" s="7"/>
      <c r="I51" s="8"/>
      <c r="J51" s="549"/>
      <c r="K51" s="550"/>
      <c r="L51" s="551"/>
      <c r="M51" s="551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</row>
    <row r="52">
      <c r="A52" s="54"/>
      <c r="B52" s="542">
        <v>44317.0</v>
      </c>
      <c r="C52" s="543"/>
      <c r="D52" s="558"/>
      <c r="E52" s="545">
        <v>249342.0</v>
      </c>
      <c r="F52" s="545">
        <v>327.0</v>
      </c>
      <c r="G52" s="546">
        <v>655.0</v>
      </c>
      <c r="H52" s="546">
        <v>197.39</v>
      </c>
      <c r="I52" s="545">
        <v>200.0</v>
      </c>
      <c r="J52" s="102">
        <f t="shared" ref="J52:J63" si="16">H52-I52</f>
        <v>-2.61</v>
      </c>
      <c r="K52" s="103">
        <f t="shared" ref="K52:K63" si="17">I52/F52*100</f>
        <v>61.16207951</v>
      </c>
      <c r="L52" s="54"/>
      <c r="M52" s="54"/>
    </row>
    <row r="53">
      <c r="A53" s="54"/>
      <c r="B53" s="542">
        <v>44320.0</v>
      </c>
      <c r="C53" s="543"/>
      <c r="D53" s="558"/>
      <c r="E53" s="545">
        <v>250150.0</v>
      </c>
      <c r="F53" s="545">
        <v>807.0</v>
      </c>
      <c r="G53" s="546">
        <v>611.0</v>
      </c>
      <c r="H53" s="546">
        <v>275.78</v>
      </c>
      <c r="I53" s="545">
        <v>300.0</v>
      </c>
      <c r="J53" s="102">
        <f t="shared" si="16"/>
        <v>-24.22</v>
      </c>
      <c r="K53" s="103">
        <f t="shared" si="17"/>
        <v>37.17472119</v>
      </c>
      <c r="L53" s="54"/>
      <c r="M53" s="54"/>
    </row>
    <row r="54">
      <c r="A54" s="54"/>
      <c r="B54" s="542">
        <v>44324.0</v>
      </c>
      <c r="C54" s="543"/>
      <c r="D54" s="558"/>
      <c r="E54" s="545">
        <v>250998.0</v>
      </c>
      <c r="F54" s="545">
        <v>849.0</v>
      </c>
      <c r="G54" s="546">
        <v>574.0</v>
      </c>
      <c r="H54" s="546">
        <v>297.71</v>
      </c>
      <c r="I54" s="545">
        <v>300.0</v>
      </c>
      <c r="J54" s="102">
        <f t="shared" si="16"/>
        <v>-2.29</v>
      </c>
      <c r="K54" s="103">
        <f t="shared" si="17"/>
        <v>35.33568905</v>
      </c>
      <c r="L54" s="54"/>
      <c r="M54" s="54"/>
    </row>
    <row r="55">
      <c r="A55" s="54"/>
      <c r="B55" s="542">
        <v>44327.0</v>
      </c>
      <c r="C55" s="543"/>
      <c r="D55" s="558"/>
      <c r="E55" s="545">
        <v>251859.0</v>
      </c>
      <c r="F55" s="545">
        <v>860.0</v>
      </c>
      <c r="G55" s="546">
        <v>516.0</v>
      </c>
      <c r="H55" s="546">
        <v>277.08</v>
      </c>
      <c r="I55" s="545">
        <v>300.0</v>
      </c>
      <c r="J55" s="102">
        <f t="shared" si="16"/>
        <v>-22.92</v>
      </c>
      <c r="K55" s="103">
        <f t="shared" si="17"/>
        <v>34.88372093</v>
      </c>
      <c r="L55" s="54"/>
      <c r="M55" s="54"/>
    </row>
    <row r="56">
      <c r="A56" s="54"/>
      <c r="B56" s="542">
        <v>44330.0</v>
      </c>
      <c r="C56" s="543"/>
      <c r="D56" s="558"/>
      <c r="E56" s="545">
        <v>252561.0</v>
      </c>
      <c r="F56" s="545">
        <v>702.0</v>
      </c>
      <c r="G56" s="546">
        <v>548.0</v>
      </c>
      <c r="H56" s="546">
        <v>298.2</v>
      </c>
      <c r="I56" s="545">
        <v>300.0</v>
      </c>
      <c r="J56" s="102">
        <f t="shared" si="16"/>
        <v>-1.8</v>
      </c>
      <c r="K56" s="103">
        <f t="shared" si="17"/>
        <v>42.73504274</v>
      </c>
      <c r="L56" s="54"/>
      <c r="M56" s="54"/>
    </row>
    <row r="57">
      <c r="A57" s="54"/>
      <c r="B57" s="542">
        <v>44333.0</v>
      </c>
      <c r="C57" s="543"/>
      <c r="D57" s="558"/>
      <c r="E57" s="545">
        <v>253205.0</v>
      </c>
      <c r="F57" s="545">
        <v>643.0</v>
      </c>
      <c r="G57" s="546">
        <v>620.0</v>
      </c>
      <c r="H57" s="546">
        <v>307.6</v>
      </c>
      <c r="I57" s="545">
        <v>300.0</v>
      </c>
      <c r="J57" s="102">
        <f t="shared" si="16"/>
        <v>7.6</v>
      </c>
      <c r="K57" s="103">
        <f t="shared" si="17"/>
        <v>46.6562986</v>
      </c>
      <c r="L57" s="54"/>
      <c r="M57" s="54"/>
    </row>
    <row r="58">
      <c r="A58" s="54"/>
      <c r="B58" s="542">
        <v>44334.0</v>
      </c>
      <c r="C58" s="543"/>
      <c r="D58" s="558"/>
      <c r="E58" s="559"/>
      <c r="F58" s="559"/>
      <c r="G58" s="560"/>
      <c r="H58" s="560"/>
      <c r="I58" s="559"/>
      <c r="J58" s="102">
        <f t="shared" si="16"/>
        <v>0</v>
      </c>
      <c r="K58" s="103" t="str">
        <f t="shared" si="17"/>
        <v>#DIV/0!</v>
      </c>
      <c r="L58" s="54"/>
      <c r="M58" s="54"/>
    </row>
    <row r="59">
      <c r="A59" s="54"/>
      <c r="B59" s="542">
        <v>44336.0</v>
      </c>
      <c r="C59" s="543"/>
      <c r="D59" s="558"/>
      <c r="E59" s="545">
        <v>253881.0</v>
      </c>
      <c r="F59" s="545">
        <v>677.0</v>
      </c>
      <c r="G59" s="546">
        <v>615.0</v>
      </c>
      <c r="H59" s="546">
        <v>295.95</v>
      </c>
      <c r="I59" s="545">
        <v>300.0</v>
      </c>
      <c r="J59" s="102">
        <f t="shared" si="16"/>
        <v>-4.05</v>
      </c>
      <c r="K59" s="103">
        <f t="shared" si="17"/>
        <v>44.31314623</v>
      </c>
      <c r="L59" s="54"/>
      <c r="M59" s="54"/>
    </row>
    <row r="60">
      <c r="A60" s="54"/>
      <c r="B60" s="542">
        <v>44338.0</v>
      </c>
      <c r="C60" s="543"/>
      <c r="D60" s="558"/>
      <c r="E60" s="545">
        <v>254378.0</v>
      </c>
      <c r="F60" s="545">
        <v>497.0</v>
      </c>
      <c r="G60" s="546">
        <v>693.0</v>
      </c>
      <c r="H60" s="546">
        <v>307.06</v>
      </c>
      <c r="I60" s="545">
        <v>300.0</v>
      </c>
      <c r="J60" s="102">
        <f t="shared" si="16"/>
        <v>7.06</v>
      </c>
      <c r="K60" s="103">
        <f t="shared" si="17"/>
        <v>60.36217304</v>
      </c>
      <c r="L60" s="54"/>
      <c r="M60" s="54"/>
    </row>
    <row r="61">
      <c r="A61" s="54"/>
      <c r="B61" s="542">
        <v>44340.0</v>
      </c>
      <c r="C61" s="543"/>
      <c r="D61" s="558"/>
      <c r="E61" s="559"/>
      <c r="F61" s="559"/>
      <c r="G61" s="560"/>
      <c r="H61" s="560"/>
      <c r="I61" s="559"/>
      <c r="J61" s="102">
        <f t="shared" si="16"/>
        <v>0</v>
      </c>
      <c r="K61" s="103" t="str">
        <f t="shared" si="17"/>
        <v>#DIV/0!</v>
      </c>
      <c r="L61" s="54"/>
      <c r="M61" s="54"/>
    </row>
    <row r="62">
      <c r="A62" s="54"/>
      <c r="B62" s="542">
        <v>44343.0</v>
      </c>
      <c r="C62" s="543"/>
      <c r="D62" s="558"/>
      <c r="E62" s="545">
        <v>255299.0</v>
      </c>
      <c r="F62" s="545">
        <v>921.0</v>
      </c>
      <c r="G62" s="546">
        <v>630.0</v>
      </c>
      <c r="H62" s="546">
        <v>299.11</v>
      </c>
      <c r="I62" s="545">
        <v>300.0</v>
      </c>
      <c r="J62" s="102">
        <f t="shared" si="16"/>
        <v>-0.89</v>
      </c>
      <c r="K62" s="103">
        <f t="shared" si="17"/>
        <v>32.5732899</v>
      </c>
      <c r="L62" s="54"/>
      <c r="M62" s="54"/>
    </row>
    <row r="63">
      <c r="A63" s="54"/>
      <c r="B63" s="542">
        <v>44345.0</v>
      </c>
      <c r="C63" s="543"/>
      <c r="D63" s="558"/>
      <c r="E63" s="545">
        <v>255900.0</v>
      </c>
      <c r="F63" s="545">
        <v>601.0</v>
      </c>
      <c r="G63" s="546">
        <v>673.0</v>
      </c>
      <c r="H63" s="546">
        <v>256.68</v>
      </c>
      <c r="I63" s="545">
        <v>300.0</v>
      </c>
      <c r="J63" s="102">
        <f t="shared" si="16"/>
        <v>-43.32</v>
      </c>
      <c r="K63" s="103">
        <f t="shared" si="17"/>
        <v>49.91680532</v>
      </c>
      <c r="L63" s="54"/>
      <c r="M63" s="54"/>
    </row>
    <row r="64">
      <c r="A64" s="551"/>
      <c r="B64" s="548" t="s">
        <v>90</v>
      </c>
      <c r="C64" s="7"/>
      <c r="D64" s="7"/>
      <c r="E64" s="7"/>
      <c r="F64" s="7"/>
      <c r="G64" s="7"/>
      <c r="H64" s="7"/>
      <c r="I64" s="8"/>
      <c r="J64" s="549"/>
      <c r="K64" s="550"/>
      <c r="L64" s="551"/>
      <c r="M64" s="551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</row>
    <row r="65">
      <c r="A65" s="54"/>
      <c r="B65" s="542">
        <v>44349.0</v>
      </c>
      <c r="C65" s="543"/>
      <c r="D65" s="558"/>
      <c r="E65" s="545">
        <v>256391.0</v>
      </c>
      <c r="F65" s="545">
        <v>490.0</v>
      </c>
      <c r="G65" s="546">
        <v>645.0</v>
      </c>
      <c r="H65" s="546">
        <v>148.37</v>
      </c>
      <c r="I65" s="545">
        <v>150.0</v>
      </c>
      <c r="J65" s="102">
        <f t="shared" ref="J65:J70" si="18">H65-I65</f>
        <v>-1.63</v>
      </c>
      <c r="K65" s="103">
        <f t="shared" ref="K65:K70" si="19">I65/F65*100</f>
        <v>30.6122449</v>
      </c>
      <c r="L65" s="54"/>
      <c r="M65" s="54"/>
    </row>
    <row r="66">
      <c r="A66" s="54"/>
      <c r="B66" s="542">
        <v>44354.0</v>
      </c>
      <c r="C66" s="543"/>
      <c r="D66" s="558"/>
      <c r="E66" s="545">
        <v>256812.0</v>
      </c>
      <c r="F66" s="545">
        <v>422.0</v>
      </c>
      <c r="G66" s="546">
        <v>757.0</v>
      </c>
      <c r="H66" s="546">
        <v>288.49</v>
      </c>
      <c r="I66" s="545">
        <v>279.95</v>
      </c>
      <c r="J66" s="102">
        <f t="shared" si="18"/>
        <v>8.54</v>
      </c>
      <c r="K66" s="103">
        <f t="shared" si="19"/>
        <v>66.33886256</v>
      </c>
      <c r="L66" s="54"/>
      <c r="M66" s="54"/>
    </row>
    <row r="67">
      <c r="A67" s="54"/>
      <c r="B67" s="542">
        <v>44358.0</v>
      </c>
      <c r="C67" s="543"/>
      <c r="D67" s="558"/>
      <c r="E67" s="545">
        <v>257860.0</v>
      </c>
      <c r="F67" s="545">
        <v>1048.0</v>
      </c>
      <c r="G67" s="546">
        <v>654.0</v>
      </c>
      <c r="H67" s="546">
        <v>312.29</v>
      </c>
      <c r="I67" s="545">
        <v>299.8</v>
      </c>
      <c r="J67" s="102">
        <f t="shared" si="18"/>
        <v>12.49</v>
      </c>
      <c r="K67" s="103">
        <f t="shared" si="19"/>
        <v>28.60687023</v>
      </c>
      <c r="L67" s="54"/>
      <c r="M67" s="54"/>
    </row>
    <row r="68">
      <c r="A68" s="54"/>
      <c r="B68" s="542">
        <v>44363.0</v>
      </c>
      <c r="C68" s="543"/>
      <c r="D68" s="558"/>
      <c r="E68" s="545">
        <v>258849.0</v>
      </c>
      <c r="F68" s="545">
        <v>989.0</v>
      </c>
      <c r="G68" s="546">
        <v>587.0</v>
      </c>
      <c r="H68" s="546">
        <v>297.96</v>
      </c>
      <c r="I68" s="545">
        <v>300.0</v>
      </c>
      <c r="J68" s="102">
        <f t="shared" si="18"/>
        <v>-2.04</v>
      </c>
      <c r="K68" s="103">
        <f t="shared" si="19"/>
        <v>30.33367037</v>
      </c>
      <c r="L68" s="54"/>
      <c r="M68" s="54"/>
    </row>
    <row r="69">
      <c r="A69" s="54"/>
      <c r="B69" s="542">
        <v>44364.0</v>
      </c>
      <c r="C69" s="543"/>
      <c r="D69" s="558"/>
      <c r="E69" s="545">
        <v>259529.0</v>
      </c>
      <c r="F69" s="545">
        <v>680.0</v>
      </c>
      <c r="G69" s="546">
        <v>673.0</v>
      </c>
      <c r="H69" s="546">
        <v>279.35</v>
      </c>
      <c r="I69" s="545">
        <v>299.38</v>
      </c>
      <c r="J69" s="102">
        <f t="shared" si="18"/>
        <v>-20.03</v>
      </c>
      <c r="K69" s="103">
        <f t="shared" si="19"/>
        <v>44.02647059</v>
      </c>
      <c r="L69" s="54"/>
      <c r="M69" s="54"/>
    </row>
    <row r="70">
      <c r="A70" s="54"/>
      <c r="B70" s="542">
        <v>44367.0</v>
      </c>
      <c r="C70" s="543"/>
      <c r="D70" s="558"/>
      <c r="E70" s="545">
        <v>259854.0</v>
      </c>
      <c r="F70" s="545">
        <v>325.0</v>
      </c>
      <c r="G70" s="546">
        <v>751.0</v>
      </c>
      <c r="H70" s="546">
        <v>188.15</v>
      </c>
      <c r="I70" s="545">
        <v>230.17</v>
      </c>
      <c r="J70" s="102">
        <f t="shared" si="18"/>
        <v>-42.02</v>
      </c>
      <c r="K70" s="103">
        <f t="shared" si="19"/>
        <v>70.82153846</v>
      </c>
      <c r="L70" s="54"/>
      <c r="M70" s="54"/>
    </row>
    <row r="71">
      <c r="A71" s="551"/>
      <c r="B71" s="548" t="s">
        <v>92</v>
      </c>
      <c r="C71" s="7"/>
      <c r="D71" s="7"/>
      <c r="E71" s="7"/>
      <c r="F71" s="7"/>
      <c r="G71" s="7"/>
      <c r="H71" s="7"/>
      <c r="I71" s="8"/>
      <c r="J71" s="549"/>
      <c r="K71" s="550"/>
      <c r="L71" s="551"/>
      <c r="M71" s="551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</row>
    <row r="72">
      <c r="A72" s="54"/>
      <c r="B72" s="542">
        <v>44378.0</v>
      </c>
      <c r="C72" s="543"/>
      <c r="D72" s="558"/>
      <c r="E72" s="545">
        <v>260979.0</v>
      </c>
      <c r="F72" s="545">
        <v>1125.0</v>
      </c>
      <c r="G72" s="546">
        <v>441.0</v>
      </c>
      <c r="H72" s="546">
        <v>144.93</v>
      </c>
      <c r="I72" s="545">
        <v>150.0</v>
      </c>
      <c r="J72" s="102">
        <f t="shared" ref="J72:J85" si="20">H72-I72</f>
        <v>-5.07</v>
      </c>
      <c r="K72" s="103">
        <f t="shared" ref="K72:K85" si="21">I72/F72*100</f>
        <v>13.33333333</v>
      </c>
      <c r="L72" s="54"/>
      <c r="M72" s="54"/>
    </row>
    <row r="73">
      <c r="A73" s="54"/>
      <c r="B73" s="542">
        <v>44379.0</v>
      </c>
      <c r="C73" s="543"/>
      <c r="D73" s="558"/>
      <c r="E73" s="545">
        <v>261285.0</v>
      </c>
      <c r="F73" s="545">
        <v>306.0</v>
      </c>
      <c r="G73" s="546">
        <v>536.0</v>
      </c>
      <c r="H73" s="546">
        <v>203.06</v>
      </c>
      <c r="I73" s="545">
        <v>207.55</v>
      </c>
      <c r="J73" s="102">
        <f t="shared" si="20"/>
        <v>-4.49</v>
      </c>
      <c r="K73" s="103">
        <f t="shared" si="21"/>
        <v>67.82679739</v>
      </c>
      <c r="L73" s="54"/>
      <c r="M73" s="54"/>
    </row>
    <row r="74">
      <c r="A74" s="54"/>
      <c r="B74" s="542">
        <v>44382.0</v>
      </c>
      <c r="C74" s="543"/>
      <c r="D74" s="558"/>
      <c r="E74" s="545">
        <v>261597.0</v>
      </c>
      <c r="F74" s="545">
        <v>312.0</v>
      </c>
      <c r="G74" s="546">
        <v>661.0</v>
      </c>
      <c r="H74" s="546">
        <v>248.54</v>
      </c>
      <c r="I74" s="545">
        <v>250.0</v>
      </c>
      <c r="J74" s="102">
        <f t="shared" si="20"/>
        <v>-1.46</v>
      </c>
      <c r="K74" s="103">
        <f t="shared" si="21"/>
        <v>80.12820513</v>
      </c>
      <c r="L74" s="54"/>
      <c r="M74" s="54"/>
    </row>
    <row r="75">
      <c r="A75" s="54"/>
      <c r="B75" s="542">
        <v>44384.0</v>
      </c>
      <c r="C75" s="543"/>
      <c r="D75" s="558"/>
      <c r="E75" s="545">
        <v>262109.0</v>
      </c>
      <c r="F75" s="545">
        <v>512.0</v>
      </c>
      <c r="G75" s="546">
        <v>671.0</v>
      </c>
      <c r="H75" s="546">
        <v>206.3</v>
      </c>
      <c r="I75" s="545">
        <v>207.55</v>
      </c>
      <c r="J75" s="102">
        <f t="shared" si="20"/>
        <v>-1.25</v>
      </c>
      <c r="K75" s="103">
        <f t="shared" si="21"/>
        <v>40.53710938</v>
      </c>
      <c r="L75" s="54"/>
      <c r="M75" s="54"/>
    </row>
    <row r="76">
      <c r="A76" s="54"/>
      <c r="B76" s="542">
        <v>44387.0</v>
      </c>
      <c r="C76" s="543"/>
      <c r="D76" s="558"/>
      <c r="E76" s="545">
        <v>262769.0</v>
      </c>
      <c r="F76" s="545">
        <v>660.0</v>
      </c>
      <c r="G76" s="546">
        <v>626.0</v>
      </c>
      <c r="H76" s="546">
        <v>198.53</v>
      </c>
      <c r="I76" s="545">
        <v>200.0</v>
      </c>
      <c r="J76" s="102">
        <f t="shared" si="20"/>
        <v>-1.47</v>
      </c>
      <c r="K76" s="103">
        <f t="shared" si="21"/>
        <v>30.3030303</v>
      </c>
      <c r="L76" s="54"/>
      <c r="M76" s="54"/>
    </row>
    <row r="77">
      <c r="A77" s="54"/>
      <c r="B77" s="542">
        <v>44389.0</v>
      </c>
      <c r="C77" s="543"/>
      <c r="D77" s="558"/>
      <c r="E77" s="545">
        <v>263324.0</v>
      </c>
      <c r="F77" s="545">
        <v>555.0</v>
      </c>
      <c r="G77" s="546">
        <v>532.0</v>
      </c>
      <c r="H77" s="546">
        <v>146.29</v>
      </c>
      <c r="I77" s="545">
        <v>201.75</v>
      </c>
      <c r="J77" s="102">
        <f t="shared" si="20"/>
        <v>-55.46</v>
      </c>
      <c r="K77" s="103">
        <f t="shared" si="21"/>
        <v>36.35135135</v>
      </c>
      <c r="L77" s="54"/>
      <c r="M77" s="54"/>
    </row>
    <row r="78">
      <c r="A78" s="54"/>
      <c r="B78" s="542">
        <v>44391.0</v>
      </c>
      <c r="C78" s="543"/>
      <c r="D78" s="558"/>
      <c r="E78" s="545">
        <v>263661.0</v>
      </c>
      <c r="F78" s="545">
        <v>337.0</v>
      </c>
      <c r="G78" s="546">
        <v>548.0</v>
      </c>
      <c r="H78" s="546">
        <v>144.16</v>
      </c>
      <c r="I78" s="545">
        <v>150.0</v>
      </c>
      <c r="J78" s="102">
        <f t="shared" si="20"/>
        <v>-5.84</v>
      </c>
      <c r="K78" s="103">
        <f t="shared" si="21"/>
        <v>44.51038576</v>
      </c>
      <c r="L78" s="54"/>
      <c r="M78" s="54"/>
    </row>
    <row r="79">
      <c r="A79" s="54"/>
      <c r="B79" s="542">
        <v>44393.0</v>
      </c>
      <c r="C79" s="543"/>
      <c r="D79" s="558"/>
      <c r="E79" s="545">
        <v>264253.0</v>
      </c>
      <c r="F79" s="545">
        <v>592.0</v>
      </c>
      <c r="G79" s="546">
        <v>536.0</v>
      </c>
      <c r="H79" s="546">
        <v>196.67</v>
      </c>
      <c r="I79" s="545">
        <v>201.7</v>
      </c>
      <c r="J79" s="102">
        <f t="shared" si="20"/>
        <v>-5.03</v>
      </c>
      <c r="K79" s="103">
        <f t="shared" si="21"/>
        <v>34.07094595</v>
      </c>
      <c r="L79" s="54"/>
      <c r="M79" s="54"/>
    </row>
    <row r="80">
      <c r="A80" s="54"/>
      <c r="B80" s="542">
        <v>44395.0</v>
      </c>
      <c r="C80" s="543"/>
      <c r="D80" s="558"/>
      <c r="E80" s="545">
        <v>264875.0</v>
      </c>
      <c r="F80" s="545">
        <v>622.0</v>
      </c>
      <c r="G80" s="546">
        <v>622.0</v>
      </c>
      <c r="H80" s="546">
        <v>297.53</v>
      </c>
      <c r="I80" s="545">
        <v>300.0</v>
      </c>
      <c r="J80" s="102">
        <f t="shared" si="20"/>
        <v>-2.47</v>
      </c>
      <c r="K80" s="103">
        <f t="shared" si="21"/>
        <v>48.23151125</v>
      </c>
      <c r="L80" s="54"/>
      <c r="M80" s="54"/>
    </row>
    <row r="81">
      <c r="A81" s="54"/>
      <c r="B81" s="542">
        <v>44397.0</v>
      </c>
      <c r="C81" s="543"/>
      <c r="D81" s="558"/>
      <c r="E81" s="545">
        <v>265675.0</v>
      </c>
      <c r="F81" s="545">
        <v>800.0</v>
      </c>
      <c r="G81" s="546">
        <v>555.0</v>
      </c>
      <c r="H81" s="546">
        <v>203.27</v>
      </c>
      <c r="I81" s="545">
        <v>206.25</v>
      </c>
      <c r="J81" s="102">
        <f t="shared" si="20"/>
        <v>-2.98</v>
      </c>
      <c r="K81" s="103">
        <f t="shared" si="21"/>
        <v>25.78125</v>
      </c>
      <c r="L81" s="54"/>
      <c r="M81" s="54"/>
    </row>
    <row r="82">
      <c r="A82" s="54"/>
      <c r="B82" s="542">
        <v>44399.0</v>
      </c>
      <c r="C82" s="543"/>
      <c r="D82" s="558"/>
      <c r="E82" s="545">
        <v>266164.0</v>
      </c>
      <c r="F82" s="545">
        <v>490.0</v>
      </c>
      <c r="G82" s="546">
        <v>591.0</v>
      </c>
      <c r="H82" s="546">
        <v>203.23</v>
      </c>
      <c r="I82" s="545">
        <v>206.25</v>
      </c>
      <c r="J82" s="102">
        <f t="shared" si="20"/>
        <v>-3.02</v>
      </c>
      <c r="K82" s="103">
        <f t="shared" si="21"/>
        <v>42.09183673</v>
      </c>
      <c r="L82" s="54"/>
      <c r="M82" s="54"/>
    </row>
    <row r="83">
      <c r="A83" s="54"/>
      <c r="B83" s="542">
        <v>44403.0</v>
      </c>
      <c r="C83" s="543"/>
      <c r="D83" s="558"/>
      <c r="E83" s="545">
        <v>267124.0</v>
      </c>
      <c r="F83" s="545">
        <v>959.0</v>
      </c>
      <c r="G83" s="546">
        <v>567.0</v>
      </c>
      <c r="H83" s="546">
        <v>295.55</v>
      </c>
      <c r="I83" s="545">
        <v>300.0</v>
      </c>
      <c r="J83" s="102">
        <f t="shared" si="20"/>
        <v>-4.45</v>
      </c>
      <c r="K83" s="103">
        <f t="shared" si="21"/>
        <v>31.28258603</v>
      </c>
      <c r="L83" s="54"/>
      <c r="M83" s="54"/>
    </row>
    <row r="84">
      <c r="A84" s="54"/>
      <c r="B84" s="542">
        <v>44405.0</v>
      </c>
      <c r="C84" s="543"/>
      <c r="D84" s="558"/>
      <c r="E84" s="545">
        <v>267867.0</v>
      </c>
      <c r="F84" s="545">
        <v>743.0</v>
      </c>
      <c r="G84" s="546">
        <v>518.0</v>
      </c>
      <c r="H84" s="546">
        <v>196.67</v>
      </c>
      <c r="I84" s="545">
        <v>200.0</v>
      </c>
      <c r="J84" s="102">
        <f t="shared" si="20"/>
        <v>-3.33</v>
      </c>
      <c r="K84" s="103">
        <f t="shared" si="21"/>
        <v>26.9179004</v>
      </c>
      <c r="L84" s="54"/>
      <c r="M84" s="54"/>
    </row>
    <row r="85">
      <c r="A85" s="54"/>
      <c r="B85" s="542">
        <v>44408.0</v>
      </c>
      <c r="C85" s="543"/>
      <c r="D85" s="558"/>
      <c r="E85" s="545">
        <v>268338.0</v>
      </c>
      <c r="F85" s="545">
        <v>471.0</v>
      </c>
      <c r="G85" s="546">
        <v>547.0</v>
      </c>
      <c r="H85" s="546">
        <v>198.99</v>
      </c>
      <c r="I85" s="545">
        <v>200.8</v>
      </c>
      <c r="J85" s="102">
        <f t="shared" si="20"/>
        <v>-1.81</v>
      </c>
      <c r="K85" s="103">
        <f t="shared" si="21"/>
        <v>42.63269639</v>
      </c>
      <c r="L85" s="54"/>
      <c r="M85" s="54"/>
    </row>
    <row r="86">
      <c r="A86" s="551"/>
      <c r="B86" s="548" t="s">
        <v>95</v>
      </c>
      <c r="C86" s="7"/>
      <c r="D86" s="7"/>
      <c r="E86" s="7"/>
      <c r="F86" s="7"/>
      <c r="G86" s="7"/>
      <c r="H86" s="7"/>
      <c r="I86" s="8"/>
      <c r="J86" s="549"/>
      <c r="K86" s="550"/>
      <c r="L86" s="551"/>
      <c r="M86" s="551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</row>
    <row r="87">
      <c r="A87" s="54"/>
      <c r="B87" s="542">
        <v>44410.0</v>
      </c>
      <c r="C87" s="543"/>
      <c r="D87" s="558"/>
      <c r="E87" s="545">
        <v>268802.0</v>
      </c>
      <c r="F87" s="545">
        <v>464.0</v>
      </c>
      <c r="G87" s="546">
        <v>710.0</v>
      </c>
      <c r="H87" s="546">
        <v>304.92</v>
      </c>
      <c r="I87" s="545">
        <v>300.0</v>
      </c>
      <c r="J87" s="102">
        <f t="shared" ref="J87:J90" si="22">H87-I87</f>
        <v>4.92</v>
      </c>
      <c r="K87" s="103">
        <f t="shared" ref="K87:K90" si="23">I87/F87*100</f>
        <v>64.65517241</v>
      </c>
      <c r="L87" s="54"/>
      <c r="M87" s="54"/>
    </row>
    <row r="88">
      <c r="A88" s="54"/>
      <c r="B88" s="542">
        <v>44417.0</v>
      </c>
      <c r="C88" s="543"/>
      <c r="D88" s="558"/>
      <c r="E88" s="545">
        <v>269277.0</v>
      </c>
      <c r="F88" s="545">
        <v>475.0</v>
      </c>
      <c r="G88" s="546">
        <v>693.0</v>
      </c>
      <c r="H88" s="546">
        <v>201.65</v>
      </c>
      <c r="I88" s="545">
        <v>200.0</v>
      </c>
      <c r="J88" s="102">
        <f t="shared" si="22"/>
        <v>1.65</v>
      </c>
      <c r="K88" s="103">
        <f t="shared" si="23"/>
        <v>42.10526316</v>
      </c>
      <c r="L88" s="54"/>
      <c r="M88" s="54"/>
    </row>
    <row r="89">
      <c r="A89" s="54"/>
      <c r="B89" s="542">
        <v>44420.0</v>
      </c>
      <c r="C89" s="543"/>
      <c r="D89" s="558"/>
      <c r="E89" s="545">
        <v>269921.0</v>
      </c>
      <c r="F89" s="545">
        <v>644.0</v>
      </c>
      <c r="G89" s="546">
        <v>661.0</v>
      </c>
      <c r="H89" s="546">
        <v>199.52</v>
      </c>
      <c r="I89" s="545">
        <v>200.0</v>
      </c>
      <c r="J89" s="102">
        <f t="shared" si="22"/>
        <v>-0.48</v>
      </c>
      <c r="K89" s="103">
        <f t="shared" si="23"/>
        <v>31.05590062</v>
      </c>
      <c r="L89" s="54"/>
      <c r="M89" s="54"/>
    </row>
    <row r="90">
      <c r="A90" s="54"/>
      <c r="B90" s="542">
        <v>44423.0</v>
      </c>
      <c r="C90" s="543"/>
      <c r="D90" s="558"/>
      <c r="E90" s="545">
        <v>270394.0</v>
      </c>
      <c r="F90" s="545">
        <v>473.0</v>
      </c>
      <c r="G90" s="546">
        <v>701.0</v>
      </c>
      <c r="H90" s="546">
        <v>201.07</v>
      </c>
      <c r="I90" s="545">
        <v>200.0</v>
      </c>
      <c r="J90" s="102">
        <f t="shared" si="22"/>
        <v>1.07</v>
      </c>
      <c r="K90" s="103">
        <f t="shared" si="23"/>
        <v>42.2832981</v>
      </c>
      <c r="L90" s="54"/>
      <c r="M90" s="54"/>
    </row>
    <row r="91">
      <c r="A91" s="551"/>
      <c r="B91" s="548" t="s">
        <v>104</v>
      </c>
      <c r="C91" s="7"/>
      <c r="D91" s="7"/>
      <c r="E91" s="7"/>
      <c r="F91" s="7"/>
      <c r="G91" s="7"/>
      <c r="H91" s="7"/>
      <c r="I91" s="8"/>
      <c r="J91" s="549"/>
      <c r="K91" s="550"/>
      <c r="L91" s="551"/>
      <c r="M91" s="551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</row>
    <row r="92">
      <c r="A92" s="54"/>
      <c r="B92" s="542">
        <v>44447.0</v>
      </c>
      <c r="C92" s="543"/>
      <c r="D92" s="558"/>
      <c r="E92" s="545">
        <v>271350.0</v>
      </c>
      <c r="F92" s="545">
        <v>956.0</v>
      </c>
      <c r="G92" s="546">
        <v>521.0</v>
      </c>
      <c r="H92" s="546">
        <v>184.27</v>
      </c>
      <c r="I92" s="545">
        <v>190.0</v>
      </c>
      <c r="J92" s="102">
        <f t="shared" ref="J92:J98" si="24">H92-I92</f>
        <v>-5.73</v>
      </c>
      <c r="K92" s="103">
        <f t="shared" ref="K92:K98" si="25">I92/F92*100</f>
        <v>19.87447699</v>
      </c>
      <c r="L92" s="54"/>
      <c r="M92" s="54"/>
    </row>
    <row r="93">
      <c r="A93" s="54"/>
      <c r="B93" s="542">
        <v>44450.0</v>
      </c>
      <c r="C93" s="543"/>
      <c r="D93" s="558"/>
      <c r="E93" s="545">
        <v>271839.0</v>
      </c>
      <c r="F93" s="545">
        <v>489.0</v>
      </c>
      <c r="G93" s="546">
        <v>740.0</v>
      </c>
      <c r="H93" s="546">
        <v>410.33</v>
      </c>
      <c r="I93" s="545">
        <v>299.99</v>
      </c>
      <c r="J93" s="102">
        <f t="shared" si="24"/>
        <v>110.34</v>
      </c>
      <c r="K93" s="103">
        <f t="shared" si="25"/>
        <v>61.34764826</v>
      </c>
      <c r="L93" s="54"/>
      <c r="M93" s="54"/>
    </row>
    <row r="94">
      <c r="A94" s="54"/>
      <c r="B94" s="542">
        <v>44457.0</v>
      </c>
      <c r="C94" s="543"/>
      <c r="D94" s="558"/>
      <c r="E94" s="545">
        <v>273003.0</v>
      </c>
      <c r="F94" s="545">
        <v>1164.0</v>
      </c>
      <c r="G94" s="546">
        <v>588.0</v>
      </c>
      <c r="H94" s="546">
        <v>293.31</v>
      </c>
      <c r="I94" s="545">
        <v>300.0</v>
      </c>
      <c r="J94" s="102">
        <f t="shared" si="24"/>
        <v>-6.69</v>
      </c>
      <c r="K94" s="103">
        <f t="shared" si="25"/>
        <v>25.77319588</v>
      </c>
      <c r="L94" s="54"/>
      <c r="M94" s="54"/>
    </row>
    <row r="95">
      <c r="A95" s="54"/>
      <c r="B95" s="542">
        <v>44460.0</v>
      </c>
      <c r="C95" s="543"/>
      <c r="D95" s="558"/>
      <c r="E95" s="545">
        <v>273586.0</v>
      </c>
      <c r="F95" s="545">
        <v>583.0</v>
      </c>
      <c r="G95" s="546">
        <v>512.0</v>
      </c>
      <c r="H95" s="546">
        <v>191.24</v>
      </c>
      <c r="I95" s="545">
        <v>200.0</v>
      </c>
      <c r="J95" s="102">
        <f t="shared" si="24"/>
        <v>-8.76</v>
      </c>
      <c r="K95" s="103">
        <f t="shared" si="25"/>
        <v>34.30531732</v>
      </c>
      <c r="L95" s="54"/>
      <c r="M95" s="54"/>
    </row>
    <row r="96">
      <c r="A96" s="54"/>
      <c r="B96" s="542">
        <v>44462.0</v>
      </c>
      <c r="C96" s="543"/>
      <c r="D96" s="558"/>
      <c r="E96" s="545">
        <v>273911.0</v>
      </c>
      <c r="F96" s="545">
        <v>325.0</v>
      </c>
      <c r="G96" s="546">
        <v>577.0</v>
      </c>
      <c r="H96" s="546">
        <v>196.78</v>
      </c>
      <c r="I96" s="545">
        <v>203.88</v>
      </c>
      <c r="J96" s="102">
        <f t="shared" si="24"/>
        <v>-7.1</v>
      </c>
      <c r="K96" s="103">
        <f t="shared" si="25"/>
        <v>62.73230769</v>
      </c>
      <c r="L96" s="54"/>
      <c r="M96" s="54"/>
    </row>
    <row r="97">
      <c r="A97" s="54"/>
      <c r="B97" s="542">
        <v>44464.0</v>
      </c>
      <c r="C97" s="543"/>
      <c r="D97" s="558"/>
      <c r="E97" s="545">
        <v>274291.0</v>
      </c>
      <c r="F97" s="545">
        <v>380.0</v>
      </c>
      <c r="G97" s="546">
        <v>564.0</v>
      </c>
      <c r="H97" s="546">
        <v>133.17</v>
      </c>
      <c r="I97" s="545">
        <v>150.0</v>
      </c>
      <c r="J97" s="102">
        <f t="shared" si="24"/>
        <v>-16.83</v>
      </c>
      <c r="K97" s="103">
        <f t="shared" si="25"/>
        <v>39.47368421</v>
      </c>
      <c r="L97" s="54"/>
      <c r="M97" s="54"/>
    </row>
    <row r="98">
      <c r="A98" s="54"/>
      <c r="B98" s="542">
        <v>44466.0</v>
      </c>
      <c r="C98" s="543"/>
      <c r="D98" s="558"/>
      <c r="E98" s="545">
        <v>274668.0</v>
      </c>
      <c r="F98" s="545">
        <v>377.0</v>
      </c>
      <c r="G98" s="546">
        <v>616.0</v>
      </c>
      <c r="H98" s="546">
        <v>192.1</v>
      </c>
      <c r="I98" s="545">
        <v>200.0</v>
      </c>
      <c r="J98" s="102">
        <f t="shared" si="24"/>
        <v>-7.9</v>
      </c>
      <c r="K98" s="103">
        <f t="shared" si="25"/>
        <v>53.05039788</v>
      </c>
      <c r="L98" s="54"/>
      <c r="M98" s="54"/>
    </row>
    <row r="99">
      <c r="A99" s="551"/>
      <c r="B99" s="548" t="s">
        <v>96</v>
      </c>
      <c r="C99" s="7"/>
      <c r="D99" s="7"/>
      <c r="E99" s="7"/>
      <c r="F99" s="7"/>
      <c r="G99" s="7"/>
      <c r="H99" s="7"/>
      <c r="I99" s="8"/>
      <c r="J99" s="549"/>
      <c r="K99" s="550"/>
      <c r="L99" s="551"/>
      <c r="M99" s="551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</row>
    <row r="100">
      <c r="A100" s="54"/>
      <c r="B100" s="542">
        <v>44470.0</v>
      </c>
      <c r="C100" s="543"/>
      <c r="D100" s="558"/>
      <c r="E100" s="545">
        <v>275433.0</v>
      </c>
      <c r="F100" s="545">
        <v>765.0</v>
      </c>
      <c r="G100" s="546">
        <v>617.0</v>
      </c>
      <c r="H100" s="546">
        <v>295.76</v>
      </c>
      <c r="I100" s="545">
        <v>300.0</v>
      </c>
      <c r="J100" s="102">
        <f t="shared" ref="J100:J110" si="26">H100-I100</f>
        <v>-4.24</v>
      </c>
      <c r="K100" s="103">
        <f t="shared" ref="K100:K110" si="27">I100/F100*100</f>
        <v>39.21568627</v>
      </c>
      <c r="L100" s="54"/>
      <c r="M100" s="54"/>
    </row>
    <row r="101">
      <c r="A101" s="54"/>
      <c r="B101" s="542">
        <v>44472.0</v>
      </c>
      <c r="C101" s="543"/>
      <c r="D101" s="558"/>
      <c r="E101" s="545">
        <v>276084.0</v>
      </c>
      <c r="F101" s="545">
        <v>651.0</v>
      </c>
      <c r="G101" s="546">
        <v>569.0</v>
      </c>
      <c r="H101" s="546">
        <v>192.48</v>
      </c>
      <c r="I101" s="545">
        <v>200.0</v>
      </c>
      <c r="J101" s="102">
        <f t="shared" si="26"/>
        <v>-7.52</v>
      </c>
      <c r="K101" s="103">
        <f t="shared" si="27"/>
        <v>30.72196621</v>
      </c>
      <c r="L101" s="54"/>
      <c r="M101" s="54"/>
    </row>
    <row r="102">
      <c r="A102" s="54"/>
      <c r="B102" s="542">
        <v>44474.0</v>
      </c>
      <c r="C102" s="543"/>
      <c r="D102" s="558"/>
      <c r="E102" s="545">
        <v>276735.0</v>
      </c>
      <c r="F102" s="545">
        <v>651.0</v>
      </c>
      <c r="G102" s="546">
        <v>488.0</v>
      </c>
      <c r="H102" s="546">
        <v>188.53</v>
      </c>
      <c r="I102" s="545">
        <v>200.0</v>
      </c>
      <c r="J102" s="102">
        <f t="shared" si="26"/>
        <v>-11.47</v>
      </c>
      <c r="K102" s="103">
        <f t="shared" si="27"/>
        <v>30.72196621</v>
      </c>
      <c r="L102" s="54"/>
      <c r="M102" s="54"/>
    </row>
    <row r="103">
      <c r="A103" s="54"/>
      <c r="B103" s="542">
        <v>44475.0</v>
      </c>
      <c r="C103" s="543"/>
      <c r="D103" s="558"/>
      <c r="E103" s="545">
        <v>277062.0</v>
      </c>
      <c r="F103" s="545">
        <v>327.0</v>
      </c>
      <c r="G103" s="546">
        <v>669.0</v>
      </c>
      <c r="H103" s="546">
        <v>293.49</v>
      </c>
      <c r="I103" s="545">
        <v>300.0</v>
      </c>
      <c r="J103" s="102">
        <f t="shared" si="26"/>
        <v>-6.51</v>
      </c>
      <c r="K103" s="103">
        <f t="shared" si="27"/>
        <v>91.74311927</v>
      </c>
      <c r="L103" s="54"/>
      <c r="M103" s="54"/>
    </row>
    <row r="104">
      <c r="A104" s="54"/>
      <c r="B104" s="542">
        <v>44478.0</v>
      </c>
      <c r="C104" s="543"/>
      <c r="D104" s="558"/>
      <c r="E104" s="545">
        <v>277870.0</v>
      </c>
      <c r="F104" s="545">
        <v>808.0</v>
      </c>
      <c r="G104" s="546">
        <v>620.0</v>
      </c>
      <c r="H104" s="546">
        <v>293.45</v>
      </c>
      <c r="I104" s="545">
        <v>300.0</v>
      </c>
      <c r="J104" s="102">
        <f t="shared" si="26"/>
        <v>-6.55</v>
      </c>
      <c r="K104" s="103">
        <f t="shared" si="27"/>
        <v>37.12871287</v>
      </c>
      <c r="L104" s="54"/>
      <c r="M104" s="54"/>
    </row>
    <row r="105">
      <c r="A105" s="54"/>
      <c r="B105" s="552">
        <v>44484.0</v>
      </c>
      <c r="C105" s="553"/>
      <c r="D105" s="558"/>
      <c r="E105" s="545">
        <v>278619.0</v>
      </c>
      <c r="F105" s="545">
        <v>749.0</v>
      </c>
      <c r="G105" s="546">
        <v>578.0</v>
      </c>
      <c r="H105" s="546">
        <v>285.52</v>
      </c>
      <c r="I105" s="545">
        <v>300.0</v>
      </c>
      <c r="J105" s="102">
        <f t="shared" si="26"/>
        <v>-14.48</v>
      </c>
      <c r="K105" s="103">
        <f t="shared" si="27"/>
        <v>40.05340454</v>
      </c>
      <c r="L105" s="54"/>
      <c r="M105" s="54"/>
    </row>
    <row r="106">
      <c r="A106" s="54"/>
      <c r="B106" s="552">
        <v>44489.0</v>
      </c>
      <c r="C106" s="553"/>
      <c r="D106" s="558"/>
      <c r="E106" s="545">
        <v>279143.0</v>
      </c>
      <c r="F106" s="545">
        <v>524.0</v>
      </c>
      <c r="G106" s="546">
        <v>524.0</v>
      </c>
      <c r="H106" s="546">
        <v>174.77</v>
      </c>
      <c r="I106" s="545">
        <v>180.0</v>
      </c>
      <c r="J106" s="102">
        <f t="shared" si="26"/>
        <v>-5.23</v>
      </c>
      <c r="K106" s="103">
        <f t="shared" si="27"/>
        <v>34.35114504</v>
      </c>
      <c r="L106" s="54"/>
      <c r="M106" s="54"/>
    </row>
    <row r="107">
      <c r="A107" s="54"/>
      <c r="B107" s="552">
        <v>44492.0</v>
      </c>
      <c r="C107" s="553"/>
      <c r="D107" s="558"/>
      <c r="E107" s="545">
        <v>279701.0</v>
      </c>
      <c r="F107" s="545">
        <v>558.0</v>
      </c>
      <c r="G107" s="546">
        <v>593.0</v>
      </c>
      <c r="H107" s="546">
        <v>284.04</v>
      </c>
      <c r="I107" s="545">
        <v>300.0</v>
      </c>
      <c r="J107" s="102">
        <f t="shared" si="26"/>
        <v>-15.96</v>
      </c>
      <c r="K107" s="103">
        <f t="shared" si="27"/>
        <v>53.76344086</v>
      </c>
      <c r="L107" s="54"/>
      <c r="M107" s="54"/>
    </row>
    <row r="108">
      <c r="A108" s="54"/>
      <c r="B108" s="552">
        <v>44495.0</v>
      </c>
      <c r="C108" s="553"/>
      <c r="D108" s="558"/>
      <c r="E108" s="545">
        <v>280097.0</v>
      </c>
      <c r="F108" s="545">
        <v>396.0</v>
      </c>
      <c r="G108" s="546">
        <v>530.0</v>
      </c>
      <c r="H108" s="546">
        <v>132.73</v>
      </c>
      <c r="I108" s="545">
        <v>150.0</v>
      </c>
      <c r="J108" s="102">
        <f t="shared" si="26"/>
        <v>-17.27</v>
      </c>
      <c r="K108" s="103">
        <f t="shared" si="27"/>
        <v>37.87878788</v>
      </c>
      <c r="L108" s="54"/>
      <c r="M108" s="54"/>
    </row>
    <row r="109">
      <c r="A109" s="54"/>
      <c r="B109" s="552">
        <v>44497.0</v>
      </c>
      <c r="C109" s="553"/>
      <c r="D109" s="558"/>
      <c r="E109" s="545">
        <v>280420.0</v>
      </c>
      <c r="F109" s="545">
        <v>323.0</v>
      </c>
      <c r="G109" s="546">
        <v>566.0</v>
      </c>
      <c r="H109" s="546">
        <v>187.23</v>
      </c>
      <c r="I109" s="545">
        <v>200.0</v>
      </c>
      <c r="J109" s="102">
        <f t="shared" si="26"/>
        <v>-12.77</v>
      </c>
      <c r="K109" s="103">
        <f t="shared" si="27"/>
        <v>61.91950464</v>
      </c>
      <c r="L109" s="54"/>
      <c r="M109" s="54"/>
    </row>
    <row r="110">
      <c r="A110" s="54"/>
      <c r="B110" s="552">
        <v>44500.0</v>
      </c>
      <c r="C110" s="553"/>
      <c r="D110" s="558"/>
      <c r="E110" s="545">
        <v>280886.0</v>
      </c>
      <c r="F110" s="545">
        <v>467.0</v>
      </c>
      <c r="G110" s="546">
        <v>534.0</v>
      </c>
      <c r="H110" s="546">
        <v>185.43</v>
      </c>
      <c r="I110" s="545">
        <v>200.0</v>
      </c>
      <c r="J110" s="102">
        <f t="shared" si="26"/>
        <v>-14.57</v>
      </c>
      <c r="K110" s="103">
        <f t="shared" si="27"/>
        <v>42.82655246</v>
      </c>
      <c r="L110" s="54"/>
      <c r="M110" s="54"/>
    </row>
    <row r="111">
      <c r="A111" s="551"/>
      <c r="B111" s="561" t="s">
        <v>97</v>
      </c>
      <c r="C111" s="75"/>
      <c r="D111" s="75"/>
      <c r="E111" s="75"/>
      <c r="F111" s="75"/>
      <c r="G111" s="75"/>
      <c r="H111" s="75"/>
      <c r="I111" s="76"/>
      <c r="J111" s="562"/>
      <c r="K111" s="563"/>
      <c r="L111" s="551"/>
      <c r="M111" s="551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</row>
    <row r="112">
      <c r="A112" s="54"/>
      <c r="B112" s="542">
        <v>44502.0</v>
      </c>
      <c r="C112" s="543"/>
      <c r="D112" s="558"/>
      <c r="E112" s="545">
        <v>281473.0</v>
      </c>
      <c r="F112" s="545">
        <v>587.0</v>
      </c>
      <c r="G112" s="546">
        <v>582.0</v>
      </c>
      <c r="H112" s="546">
        <v>296.78</v>
      </c>
      <c r="I112" s="545">
        <v>300.0</v>
      </c>
      <c r="J112" s="102">
        <f t="shared" ref="J112:J122" si="28">H112-I112</f>
        <v>-3.22</v>
      </c>
      <c r="K112" s="103">
        <f t="shared" ref="K112:K122" si="29">I112/F112*100</f>
        <v>51.10732538</v>
      </c>
      <c r="L112" s="54"/>
      <c r="M112" s="54"/>
    </row>
    <row r="113">
      <c r="A113" s="54"/>
      <c r="B113" s="542">
        <v>44504.0</v>
      </c>
      <c r="C113" s="543"/>
      <c r="D113" s="558"/>
      <c r="E113" s="545">
        <v>282128.0</v>
      </c>
      <c r="F113" s="545">
        <v>654.0</v>
      </c>
      <c r="G113" s="546">
        <v>598.0</v>
      </c>
      <c r="H113" s="546">
        <v>284.06</v>
      </c>
      <c r="I113" s="545">
        <v>300.0</v>
      </c>
      <c r="J113" s="102">
        <f t="shared" si="28"/>
        <v>-15.94</v>
      </c>
      <c r="K113" s="103">
        <f t="shared" si="29"/>
        <v>45.87155963</v>
      </c>
      <c r="L113" s="54"/>
      <c r="M113" s="54"/>
    </row>
    <row r="114">
      <c r="A114" s="54"/>
      <c r="B114" s="542">
        <v>44506.0</v>
      </c>
      <c r="C114" s="543"/>
      <c r="D114" s="558"/>
      <c r="E114" s="545">
        <v>282864.0</v>
      </c>
      <c r="F114" s="545">
        <v>736.0</v>
      </c>
      <c r="G114" s="546">
        <v>571.0</v>
      </c>
      <c r="H114" s="546">
        <v>234.92</v>
      </c>
      <c r="I114" s="545">
        <v>250.0</v>
      </c>
      <c r="J114" s="102">
        <f t="shared" si="28"/>
        <v>-15.08</v>
      </c>
      <c r="K114" s="103">
        <f t="shared" si="29"/>
        <v>33.9673913</v>
      </c>
      <c r="L114" s="54"/>
      <c r="M114" s="54"/>
    </row>
    <row r="115">
      <c r="A115" s="54"/>
      <c r="B115" s="542">
        <v>44507.0</v>
      </c>
      <c r="C115" s="543"/>
      <c r="D115" s="558"/>
      <c r="E115" s="545">
        <v>283523.0</v>
      </c>
      <c r="F115" s="545">
        <v>659.0</v>
      </c>
      <c r="G115" s="546">
        <v>600.0</v>
      </c>
      <c r="H115" s="546">
        <v>282.71</v>
      </c>
      <c r="I115" s="545">
        <v>300.0</v>
      </c>
      <c r="J115" s="102">
        <f t="shared" si="28"/>
        <v>-17.29</v>
      </c>
      <c r="K115" s="103">
        <f t="shared" si="29"/>
        <v>45.52352049</v>
      </c>
      <c r="L115" s="54"/>
      <c r="M115" s="54"/>
    </row>
    <row r="116">
      <c r="A116" s="54"/>
      <c r="B116" s="542">
        <v>44509.0</v>
      </c>
      <c r="C116" s="543"/>
      <c r="D116" s="558"/>
      <c r="E116" s="545">
        <v>284409.0</v>
      </c>
      <c r="F116" s="545">
        <v>886.0</v>
      </c>
      <c r="G116" s="546">
        <v>484.0</v>
      </c>
      <c r="H116" s="546">
        <v>173.42</v>
      </c>
      <c r="I116" s="545">
        <v>190.0</v>
      </c>
      <c r="J116" s="102">
        <f t="shared" si="28"/>
        <v>-16.58</v>
      </c>
      <c r="K116" s="103">
        <f t="shared" si="29"/>
        <v>21.44469526</v>
      </c>
      <c r="L116" s="54"/>
      <c r="M116" s="54"/>
    </row>
    <row r="117">
      <c r="A117" s="54"/>
      <c r="B117" s="552">
        <v>44510.0</v>
      </c>
      <c r="C117" s="553"/>
      <c r="D117" s="558"/>
      <c r="E117" s="545">
        <v>285002.0</v>
      </c>
      <c r="F117" s="545">
        <v>594.0</v>
      </c>
      <c r="G117" s="546">
        <v>565.0</v>
      </c>
      <c r="H117" s="546">
        <v>288.95</v>
      </c>
      <c r="I117" s="545">
        <v>300.0</v>
      </c>
      <c r="J117" s="102">
        <f t="shared" si="28"/>
        <v>-11.05</v>
      </c>
      <c r="K117" s="103">
        <f t="shared" si="29"/>
        <v>50.50505051</v>
      </c>
      <c r="L117" s="54"/>
      <c r="M117" s="54"/>
    </row>
    <row r="118">
      <c r="A118" s="54"/>
      <c r="B118" s="552">
        <v>44511.0</v>
      </c>
      <c r="C118" s="553"/>
      <c r="D118" s="558"/>
      <c r="E118" s="545">
        <v>285620.0</v>
      </c>
      <c r="F118" s="545">
        <v>617.0</v>
      </c>
      <c r="G118" s="546">
        <v>618.0</v>
      </c>
      <c r="H118" s="546">
        <v>285.11</v>
      </c>
      <c r="I118" s="545">
        <v>300.0</v>
      </c>
      <c r="J118" s="102">
        <f t="shared" si="28"/>
        <v>-14.89</v>
      </c>
      <c r="K118" s="103">
        <f t="shared" si="29"/>
        <v>48.62236629</v>
      </c>
      <c r="L118" s="54"/>
      <c r="M118" s="54"/>
    </row>
    <row r="119">
      <c r="A119" s="54"/>
      <c r="B119" s="552">
        <v>44518.0</v>
      </c>
      <c r="C119" s="553"/>
      <c r="D119" s="558"/>
      <c r="E119" s="545">
        <v>286230.0</v>
      </c>
      <c r="F119" s="545">
        <v>610.0</v>
      </c>
      <c r="G119" s="546">
        <v>655.0</v>
      </c>
      <c r="H119" s="546">
        <v>284.77</v>
      </c>
      <c r="I119" s="545">
        <v>300.0</v>
      </c>
      <c r="J119" s="102">
        <f t="shared" si="28"/>
        <v>-15.23</v>
      </c>
      <c r="K119" s="103">
        <f t="shared" si="29"/>
        <v>49.18032787</v>
      </c>
      <c r="L119" s="54"/>
      <c r="M119" s="54"/>
    </row>
    <row r="120">
      <c r="A120" s="54"/>
      <c r="B120" s="552">
        <v>44521.0</v>
      </c>
      <c r="C120" s="553"/>
      <c r="D120" s="558"/>
      <c r="E120" s="545">
        <v>286591.0</v>
      </c>
      <c r="F120" s="545">
        <v>361.0</v>
      </c>
      <c r="G120" s="546">
        <v>657.0</v>
      </c>
      <c r="H120" s="546">
        <v>285.35</v>
      </c>
      <c r="I120" s="545">
        <v>300.0</v>
      </c>
      <c r="J120" s="102">
        <f t="shared" si="28"/>
        <v>-14.65</v>
      </c>
      <c r="K120" s="103">
        <f t="shared" si="29"/>
        <v>83.10249307</v>
      </c>
      <c r="L120" s="54"/>
      <c r="M120" s="54"/>
    </row>
    <row r="121">
      <c r="A121" s="54"/>
      <c r="B121" s="552">
        <v>44527.0</v>
      </c>
      <c r="C121" s="553"/>
      <c r="D121" s="558"/>
      <c r="E121" s="545">
        <v>287202.0</v>
      </c>
      <c r="F121" s="545">
        <v>611.0</v>
      </c>
      <c r="G121" s="546">
        <v>627.0</v>
      </c>
      <c r="H121" s="546">
        <v>208.53</v>
      </c>
      <c r="I121" s="545">
        <v>200.0</v>
      </c>
      <c r="J121" s="102">
        <f t="shared" si="28"/>
        <v>8.53</v>
      </c>
      <c r="K121" s="103">
        <f t="shared" si="29"/>
        <v>32.73322422</v>
      </c>
      <c r="L121" s="54"/>
      <c r="M121" s="54"/>
    </row>
    <row r="122">
      <c r="A122" s="54"/>
      <c r="B122" s="552">
        <v>44530.0</v>
      </c>
      <c r="C122" s="553"/>
      <c r="D122" s="558"/>
      <c r="E122" s="545">
        <v>287640.0</v>
      </c>
      <c r="F122" s="545">
        <v>437.0</v>
      </c>
      <c r="G122" s="546">
        <v>715.0</v>
      </c>
      <c r="H122" s="546">
        <v>283.61</v>
      </c>
      <c r="I122" s="545">
        <v>300.0</v>
      </c>
      <c r="J122" s="102">
        <f t="shared" si="28"/>
        <v>-16.39</v>
      </c>
      <c r="K122" s="103">
        <f t="shared" si="29"/>
        <v>68.64988558</v>
      </c>
      <c r="L122" s="54"/>
      <c r="M122" s="54"/>
    </row>
    <row r="123">
      <c r="A123" s="551"/>
      <c r="B123" s="561" t="s">
        <v>98</v>
      </c>
      <c r="C123" s="75"/>
      <c r="D123" s="75"/>
      <c r="E123" s="75"/>
      <c r="F123" s="75"/>
      <c r="G123" s="75"/>
      <c r="H123" s="75"/>
      <c r="I123" s="76"/>
      <c r="J123" s="562"/>
      <c r="K123" s="563"/>
      <c r="L123" s="551"/>
      <c r="M123" s="551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</row>
    <row r="124">
      <c r="A124" s="54"/>
      <c r="B124" s="542">
        <v>44533.0</v>
      </c>
      <c r="C124" s="543"/>
      <c r="D124" s="558"/>
      <c r="E124" s="545">
        <v>288176.0</v>
      </c>
      <c r="F124" s="545">
        <v>537.0</v>
      </c>
      <c r="G124" s="546">
        <v>678.0</v>
      </c>
      <c r="H124" s="546">
        <v>277.22</v>
      </c>
      <c r="I124" s="545">
        <v>300.0</v>
      </c>
      <c r="J124" s="102">
        <f t="shared" ref="J124:J133" si="30">H124-I124</f>
        <v>-22.78</v>
      </c>
      <c r="K124" s="103">
        <f t="shared" ref="K124:K133" si="31">I124/F124*100</f>
        <v>55.86592179</v>
      </c>
      <c r="L124" s="54"/>
      <c r="M124" s="54"/>
    </row>
    <row r="125">
      <c r="A125" s="54"/>
      <c r="B125" s="542">
        <v>44536.0</v>
      </c>
      <c r="C125" s="543"/>
      <c r="D125" s="558"/>
      <c r="E125" s="545">
        <v>288648.0</v>
      </c>
      <c r="F125" s="545">
        <v>472.0</v>
      </c>
      <c r="G125" s="546">
        <v>688.0</v>
      </c>
      <c r="H125" s="546">
        <v>282.25</v>
      </c>
      <c r="I125" s="545">
        <v>299.74</v>
      </c>
      <c r="J125" s="102">
        <f t="shared" si="30"/>
        <v>-17.49</v>
      </c>
      <c r="K125" s="103">
        <f t="shared" si="31"/>
        <v>63.50423729</v>
      </c>
      <c r="L125" s="54"/>
      <c r="M125" s="54"/>
    </row>
    <row r="126">
      <c r="A126" s="54"/>
      <c r="B126" s="552">
        <v>44540.0</v>
      </c>
      <c r="C126" s="553"/>
      <c r="D126" s="558"/>
      <c r="E126" s="545">
        <v>289410.0</v>
      </c>
      <c r="F126" s="545">
        <v>762.0</v>
      </c>
      <c r="G126" s="546">
        <v>641.0</v>
      </c>
      <c r="H126" s="546">
        <v>285.16</v>
      </c>
      <c r="I126" s="545">
        <v>300.0</v>
      </c>
      <c r="J126" s="102">
        <f t="shared" si="30"/>
        <v>-14.84</v>
      </c>
      <c r="K126" s="103">
        <f t="shared" si="31"/>
        <v>39.37007874</v>
      </c>
      <c r="L126" s="54"/>
      <c r="M126" s="54"/>
    </row>
    <row r="127">
      <c r="A127" s="54"/>
      <c r="B127" s="552">
        <v>44542.0</v>
      </c>
      <c r="C127" s="553"/>
      <c r="D127" s="558"/>
      <c r="E127" s="545">
        <v>289975.0</v>
      </c>
      <c r="F127" s="545">
        <v>566.0</v>
      </c>
      <c r="G127" s="546">
        <v>651.0</v>
      </c>
      <c r="H127" s="546">
        <v>271.6</v>
      </c>
      <c r="I127" s="545">
        <v>300.0</v>
      </c>
      <c r="J127" s="102">
        <f t="shared" si="30"/>
        <v>-28.4</v>
      </c>
      <c r="K127" s="103">
        <f t="shared" si="31"/>
        <v>53.00353357</v>
      </c>
      <c r="L127" s="54"/>
      <c r="M127" s="54"/>
    </row>
    <row r="128">
      <c r="A128" s="54"/>
      <c r="B128" s="552">
        <v>44545.0</v>
      </c>
      <c r="C128" s="553"/>
      <c r="D128" s="558"/>
      <c r="E128" s="545">
        <v>290757.0</v>
      </c>
      <c r="F128" s="545">
        <v>781.0</v>
      </c>
      <c r="G128" s="546">
        <v>619.0</v>
      </c>
      <c r="H128" s="546">
        <v>274.84</v>
      </c>
      <c r="I128" s="545">
        <v>299.58</v>
      </c>
      <c r="J128" s="102">
        <f t="shared" si="30"/>
        <v>-24.74</v>
      </c>
      <c r="K128" s="103">
        <f t="shared" si="31"/>
        <v>38.35851472</v>
      </c>
      <c r="L128" s="54"/>
      <c r="M128" s="54"/>
    </row>
    <row r="129">
      <c r="A129" s="54"/>
      <c r="B129" s="552">
        <v>44549.0</v>
      </c>
      <c r="C129" s="553"/>
      <c r="D129" s="558"/>
      <c r="E129" s="545">
        <v>291191.0</v>
      </c>
      <c r="F129" s="545">
        <v>435.0</v>
      </c>
      <c r="G129" s="546">
        <v>651.0</v>
      </c>
      <c r="H129" s="546">
        <v>276.44</v>
      </c>
      <c r="I129" s="545">
        <v>299.86</v>
      </c>
      <c r="J129" s="102">
        <f t="shared" si="30"/>
        <v>-23.42</v>
      </c>
      <c r="K129" s="103">
        <f t="shared" si="31"/>
        <v>68.93333333</v>
      </c>
      <c r="L129" s="54"/>
      <c r="M129" s="54"/>
    </row>
    <row r="130">
      <c r="A130" s="54"/>
      <c r="B130" s="552">
        <v>44552.0</v>
      </c>
      <c r="C130" s="553"/>
      <c r="D130" s="558"/>
      <c r="E130" s="545">
        <v>291957.0</v>
      </c>
      <c r="F130" s="545">
        <v>766.0</v>
      </c>
      <c r="G130" s="546">
        <v>568.0</v>
      </c>
      <c r="H130" s="546">
        <v>269.79</v>
      </c>
      <c r="I130" s="545">
        <v>300.0</v>
      </c>
      <c r="J130" s="102">
        <f t="shared" si="30"/>
        <v>-30.21</v>
      </c>
      <c r="K130" s="103">
        <f t="shared" si="31"/>
        <v>39.16449086</v>
      </c>
      <c r="L130" s="54"/>
      <c r="M130" s="54"/>
    </row>
    <row r="131">
      <c r="A131" s="54"/>
      <c r="B131" s="552">
        <v>44554.0</v>
      </c>
      <c r="C131" s="553"/>
      <c r="D131" s="558"/>
      <c r="E131" s="545">
        <v>292266.0</v>
      </c>
      <c r="F131" s="545">
        <v>309.0</v>
      </c>
      <c r="G131" s="546">
        <v>453.0</v>
      </c>
      <c r="H131" s="546">
        <v>35.07</v>
      </c>
      <c r="I131" s="545">
        <v>100.0</v>
      </c>
      <c r="J131" s="102">
        <f t="shared" si="30"/>
        <v>-64.93</v>
      </c>
      <c r="K131" s="103">
        <f t="shared" si="31"/>
        <v>32.36245955</v>
      </c>
      <c r="L131" s="54"/>
      <c r="M131" s="54"/>
    </row>
    <row r="132">
      <c r="A132" s="54"/>
      <c r="B132" s="552">
        <v>44555.0</v>
      </c>
      <c r="C132" s="553"/>
      <c r="D132" s="558"/>
      <c r="E132" s="545">
        <v>292639.0</v>
      </c>
      <c r="F132" s="545">
        <v>373.0</v>
      </c>
      <c r="G132" s="546">
        <v>603.0</v>
      </c>
      <c r="H132" s="546">
        <v>274.0</v>
      </c>
      <c r="I132" s="545">
        <v>300.0</v>
      </c>
      <c r="J132" s="102">
        <f t="shared" si="30"/>
        <v>-26</v>
      </c>
      <c r="K132" s="103">
        <f t="shared" si="31"/>
        <v>80.42895442</v>
      </c>
      <c r="L132" s="54"/>
      <c r="M132" s="54"/>
    </row>
    <row r="133">
      <c r="A133" s="54"/>
      <c r="B133" s="552">
        <v>44559.0</v>
      </c>
      <c r="C133" s="553"/>
      <c r="D133" s="558"/>
      <c r="E133" s="545">
        <v>293246.0</v>
      </c>
      <c r="F133" s="545">
        <v>606.0</v>
      </c>
      <c r="G133" s="546">
        <v>638.0</v>
      </c>
      <c r="H133" s="546">
        <v>276.83</v>
      </c>
      <c r="I133" s="545">
        <v>300.0</v>
      </c>
      <c r="J133" s="102">
        <f t="shared" si="30"/>
        <v>-23.17</v>
      </c>
      <c r="K133" s="103">
        <f t="shared" si="31"/>
        <v>49.5049505</v>
      </c>
      <c r="L133" s="54"/>
      <c r="M133" s="54"/>
    </row>
    <row r="134">
      <c r="A134" s="551"/>
      <c r="B134" s="561">
        <v>2022.0</v>
      </c>
      <c r="C134" s="75"/>
      <c r="D134" s="75"/>
      <c r="E134" s="75"/>
      <c r="F134" s="75"/>
      <c r="G134" s="75"/>
      <c r="H134" s="75"/>
      <c r="I134" s="76"/>
      <c r="J134" s="562"/>
      <c r="K134" s="563"/>
      <c r="L134" s="551"/>
      <c r="M134" s="551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</row>
    <row r="135">
      <c r="A135" s="551"/>
      <c r="B135" s="561" t="s">
        <v>66</v>
      </c>
      <c r="C135" s="75"/>
      <c r="D135" s="75"/>
      <c r="E135" s="75"/>
      <c r="F135" s="75"/>
      <c r="G135" s="75"/>
      <c r="H135" s="75"/>
      <c r="I135" s="76"/>
      <c r="J135" s="562"/>
      <c r="K135" s="563"/>
      <c r="L135" s="551"/>
      <c r="M135" s="551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</row>
    <row r="136">
      <c r="A136" s="54"/>
      <c r="B136" s="542">
        <v>44576.0</v>
      </c>
      <c r="C136" s="543"/>
      <c r="D136" s="558"/>
      <c r="E136" s="545">
        <v>294001.0</v>
      </c>
      <c r="F136" s="545">
        <v>755.0</v>
      </c>
      <c r="G136" s="546">
        <v>506.0</v>
      </c>
      <c r="H136" s="546">
        <v>281.53</v>
      </c>
      <c r="I136" s="545">
        <v>299.0</v>
      </c>
      <c r="J136" s="102">
        <f t="shared" ref="J136:J140" si="32">H136-I136</f>
        <v>-17.47</v>
      </c>
      <c r="K136" s="103">
        <f t="shared" ref="K136:K140" si="33">I136/F136*100</f>
        <v>39.60264901</v>
      </c>
      <c r="L136" s="54"/>
      <c r="M136" s="54"/>
    </row>
    <row r="137">
      <c r="A137" s="54"/>
      <c r="B137" s="542">
        <v>44580.0</v>
      </c>
      <c r="C137" s="543"/>
      <c r="D137" s="558"/>
      <c r="E137" s="545">
        <v>294638.0</v>
      </c>
      <c r="F137" s="545">
        <v>638.0</v>
      </c>
      <c r="G137" s="546">
        <v>511.0</v>
      </c>
      <c r="H137" s="546">
        <v>278.82</v>
      </c>
      <c r="I137" s="545">
        <v>300.0</v>
      </c>
      <c r="J137" s="102">
        <f t="shared" si="32"/>
        <v>-21.18</v>
      </c>
      <c r="K137" s="103">
        <f t="shared" si="33"/>
        <v>47.02194357</v>
      </c>
      <c r="L137" s="54"/>
      <c r="M137" s="54"/>
    </row>
    <row r="138">
      <c r="A138" s="54"/>
      <c r="B138" s="542">
        <v>44581.0</v>
      </c>
      <c r="C138" s="543"/>
      <c r="D138" s="558"/>
      <c r="E138" s="545">
        <v>294873.0</v>
      </c>
      <c r="F138" s="545">
        <v>235.0</v>
      </c>
      <c r="G138" s="546">
        <v>677.0</v>
      </c>
      <c r="H138" s="546">
        <v>269.47</v>
      </c>
      <c r="I138" s="545">
        <v>284.7</v>
      </c>
      <c r="J138" s="102">
        <f t="shared" si="32"/>
        <v>-15.23</v>
      </c>
      <c r="K138" s="103">
        <f t="shared" si="33"/>
        <v>121.1489362</v>
      </c>
      <c r="L138" s="54"/>
      <c r="M138" s="54"/>
    </row>
    <row r="139">
      <c r="A139" s="54"/>
      <c r="B139" s="542">
        <v>44586.0</v>
      </c>
      <c r="C139" s="543"/>
      <c r="D139" s="558"/>
      <c r="E139" s="545">
        <v>295261.0</v>
      </c>
      <c r="F139" s="545">
        <v>388.0</v>
      </c>
      <c r="G139" s="546">
        <v>710.0</v>
      </c>
      <c r="H139" s="546">
        <v>286.13</v>
      </c>
      <c r="I139" s="545">
        <v>299.34</v>
      </c>
      <c r="J139" s="102">
        <f t="shared" si="32"/>
        <v>-13.21</v>
      </c>
      <c r="K139" s="103">
        <f t="shared" si="33"/>
        <v>77.14948454</v>
      </c>
      <c r="L139" s="54"/>
      <c r="M139" s="54"/>
    </row>
    <row r="140">
      <c r="A140" s="54"/>
      <c r="B140" s="542">
        <v>44591.0</v>
      </c>
      <c r="C140" s="543"/>
      <c r="D140" s="558"/>
      <c r="E140" s="545">
        <v>295828.0</v>
      </c>
      <c r="F140" s="545">
        <v>567.0</v>
      </c>
      <c r="G140" s="546">
        <v>679.0</v>
      </c>
      <c r="H140" s="546">
        <v>278.57</v>
      </c>
      <c r="I140" s="545">
        <v>300.0</v>
      </c>
      <c r="J140" s="102">
        <f t="shared" si="32"/>
        <v>-21.43</v>
      </c>
      <c r="K140" s="103">
        <f t="shared" si="33"/>
        <v>52.91005291</v>
      </c>
      <c r="L140" s="54"/>
      <c r="M140" s="54"/>
    </row>
    <row r="141">
      <c r="A141" s="551"/>
      <c r="B141" s="564" t="s">
        <v>68</v>
      </c>
      <c r="C141" s="75"/>
      <c r="D141" s="75"/>
      <c r="E141" s="75"/>
      <c r="F141" s="75"/>
      <c r="G141" s="75"/>
      <c r="H141" s="75"/>
      <c r="I141" s="76"/>
      <c r="J141" s="562"/>
      <c r="K141" s="563"/>
      <c r="L141" s="551"/>
      <c r="M141" s="551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</row>
    <row r="142">
      <c r="A142" s="54"/>
      <c r="B142" s="542">
        <v>44594.0</v>
      </c>
      <c r="C142" s="543"/>
      <c r="D142" s="558"/>
      <c r="E142" s="545">
        <v>296336.0</v>
      </c>
      <c r="F142" s="545">
        <v>508.0</v>
      </c>
      <c r="G142" s="546">
        <v>715.0</v>
      </c>
      <c r="H142" s="546">
        <v>277.99</v>
      </c>
      <c r="I142" s="545">
        <v>300.0</v>
      </c>
      <c r="J142" s="102">
        <f t="shared" ref="J142:J148" si="34">H142-I142</f>
        <v>-22.01</v>
      </c>
      <c r="K142" s="103">
        <f t="shared" ref="K142:K148" si="35">I142/F142*100</f>
        <v>59.05511811</v>
      </c>
      <c r="L142" s="54"/>
      <c r="M142" s="54"/>
    </row>
    <row r="143">
      <c r="A143" s="54"/>
      <c r="B143" s="542">
        <v>44599.0</v>
      </c>
      <c r="C143" s="543"/>
      <c r="D143" s="558"/>
      <c r="E143" s="545">
        <v>297226.0</v>
      </c>
      <c r="F143" s="545">
        <v>890.0</v>
      </c>
      <c r="G143" s="546">
        <v>617.0</v>
      </c>
      <c r="H143" s="546">
        <v>271.74</v>
      </c>
      <c r="I143" s="545">
        <v>300.0</v>
      </c>
      <c r="J143" s="102">
        <f t="shared" si="34"/>
        <v>-28.26</v>
      </c>
      <c r="K143" s="103">
        <f t="shared" si="35"/>
        <v>33.70786517</v>
      </c>
      <c r="L143" s="54"/>
      <c r="M143" s="54"/>
    </row>
    <row r="144">
      <c r="A144" s="54"/>
      <c r="B144" s="542">
        <v>44602.0</v>
      </c>
      <c r="C144" s="543"/>
      <c r="D144" s="558"/>
      <c r="E144" s="545">
        <v>297985.0</v>
      </c>
      <c r="F144" s="545">
        <v>760.0</v>
      </c>
      <c r="G144" s="546">
        <v>603.0</v>
      </c>
      <c r="H144" s="546">
        <v>274.0</v>
      </c>
      <c r="I144" s="545">
        <v>300.0</v>
      </c>
      <c r="J144" s="102">
        <f t="shared" si="34"/>
        <v>-26</v>
      </c>
      <c r="K144" s="103">
        <f t="shared" si="35"/>
        <v>39.47368421</v>
      </c>
      <c r="L144" s="54"/>
      <c r="M144" s="54"/>
    </row>
    <row r="145">
      <c r="A145" s="54"/>
      <c r="B145" s="542">
        <v>44606.0</v>
      </c>
      <c r="C145" s="543"/>
      <c r="D145" s="558"/>
      <c r="E145" s="545">
        <v>298877.0</v>
      </c>
      <c r="F145" s="545">
        <v>891.0</v>
      </c>
      <c r="G145" s="546">
        <v>714.0</v>
      </c>
      <c r="H145" s="546">
        <v>449.08</v>
      </c>
      <c r="I145" s="545">
        <v>478.45</v>
      </c>
      <c r="J145" s="102">
        <f t="shared" si="34"/>
        <v>-29.37</v>
      </c>
      <c r="K145" s="103">
        <f t="shared" si="35"/>
        <v>53.69809203</v>
      </c>
      <c r="L145" s="54"/>
      <c r="M145" s="54"/>
    </row>
    <row r="146">
      <c r="A146" s="54"/>
      <c r="B146" s="542">
        <v>44611.0</v>
      </c>
      <c r="C146" s="543"/>
      <c r="D146" s="558"/>
      <c r="E146" s="545">
        <v>299831.0</v>
      </c>
      <c r="F146" s="545">
        <v>955.0</v>
      </c>
      <c r="G146" s="546">
        <v>592.0</v>
      </c>
      <c r="H146" s="546">
        <v>274.54</v>
      </c>
      <c r="I146" s="545">
        <v>300.0</v>
      </c>
      <c r="J146" s="102">
        <f t="shared" si="34"/>
        <v>-25.46</v>
      </c>
      <c r="K146" s="103">
        <f t="shared" si="35"/>
        <v>31.41361257</v>
      </c>
      <c r="L146" s="54"/>
      <c r="M146" s="54"/>
    </row>
    <row r="147">
      <c r="A147" s="54"/>
      <c r="B147" s="542">
        <v>44614.0</v>
      </c>
      <c r="C147" s="543"/>
      <c r="D147" s="558"/>
      <c r="E147" s="545">
        <v>300310.0</v>
      </c>
      <c r="F147" s="545">
        <v>479.0</v>
      </c>
      <c r="G147" s="546">
        <v>681.0</v>
      </c>
      <c r="H147" s="546">
        <v>278.77</v>
      </c>
      <c r="I147" s="545">
        <v>300.0</v>
      </c>
      <c r="J147" s="102">
        <f t="shared" si="34"/>
        <v>-21.23</v>
      </c>
      <c r="K147" s="103">
        <f t="shared" si="35"/>
        <v>62.63048017</v>
      </c>
      <c r="L147" s="54"/>
      <c r="M147" s="54"/>
    </row>
    <row r="148">
      <c r="A148" s="54"/>
      <c r="B148" s="542">
        <v>44617.0</v>
      </c>
      <c r="C148" s="543"/>
      <c r="D148" s="558"/>
      <c r="E148" s="545">
        <v>300950.0</v>
      </c>
      <c r="F148" s="545">
        <v>639.0</v>
      </c>
      <c r="G148" s="546">
        <v>663.0</v>
      </c>
      <c r="H148" s="546">
        <v>282.45</v>
      </c>
      <c r="I148" s="545">
        <v>300.0</v>
      </c>
      <c r="J148" s="102">
        <f t="shared" si="34"/>
        <v>-17.55</v>
      </c>
      <c r="K148" s="103">
        <f t="shared" si="35"/>
        <v>46.94835681</v>
      </c>
      <c r="L148" s="54"/>
      <c r="M148" s="54"/>
    </row>
    <row r="149">
      <c r="A149" s="551"/>
      <c r="B149" s="561" t="s">
        <v>72</v>
      </c>
      <c r="C149" s="75"/>
      <c r="D149" s="75"/>
      <c r="E149" s="75"/>
      <c r="F149" s="75"/>
      <c r="G149" s="75"/>
      <c r="H149" s="75"/>
      <c r="I149" s="76"/>
      <c r="J149" s="562"/>
      <c r="K149" s="563"/>
      <c r="L149" s="551"/>
      <c r="M149" s="551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</row>
    <row r="150">
      <c r="A150" s="54"/>
      <c r="B150" s="542">
        <v>44622.0</v>
      </c>
      <c r="C150" s="543"/>
      <c r="D150" s="558"/>
      <c r="E150" s="545">
        <v>301633.0</v>
      </c>
      <c r="F150" s="545">
        <v>684.0</v>
      </c>
      <c r="G150" s="546">
        <v>645.0</v>
      </c>
      <c r="H150" s="546">
        <v>281.29</v>
      </c>
      <c r="I150" s="545">
        <v>300.0</v>
      </c>
      <c r="J150" s="102">
        <f t="shared" ref="J150:J158" si="36">H150-I150</f>
        <v>-18.71</v>
      </c>
      <c r="K150" s="103">
        <f t="shared" ref="K150:K158" si="37">I150/F150*100</f>
        <v>43.85964912</v>
      </c>
      <c r="L150" s="54"/>
      <c r="M150" s="54"/>
    </row>
    <row r="151">
      <c r="A151" s="54"/>
      <c r="B151" s="542">
        <v>44624.0</v>
      </c>
      <c r="C151" s="543"/>
      <c r="D151" s="558"/>
      <c r="E151" s="545">
        <v>302269.0</v>
      </c>
      <c r="F151" s="545">
        <v>636.0</v>
      </c>
      <c r="G151" s="546">
        <v>692.0</v>
      </c>
      <c r="H151" s="546">
        <v>281.09</v>
      </c>
      <c r="I151" s="545">
        <v>300.0</v>
      </c>
      <c r="J151" s="102">
        <f t="shared" si="36"/>
        <v>-18.91</v>
      </c>
      <c r="K151" s="103">
        <f t="shared" si="37"/>
        <v>47.16981132</v>
      </c>
      <c r="L151" s="54"/>
      <c r="M151" s="54"/>
    </row>
    <row r="152">
      <c r="A152" s="54"/>
      <c r="B152" s="542">
        <v>44626.0</v>
      </c>
      <c r="C152" s="543"/>
      <c r="D152" s="558"/>
      <c r="E152" s="545">
        <v>302883.0</v>
      </c>
      <c r="F152" s="545">
        <v>614.0</v>
      </c>
      <c r="G152" s="546">
        <v>724.0</v>
      </c>
      <c r="H152" s="546">
        <v>281.67</v>
      </c>
      <c r="I152" s="545">
        <v>300.0</v>
      </c>
      <c r="J152" s="102">
        <f t="shared" si="36"/>
        <v>-18.33</v>
      </c>
      <c r="K152" s="103">
        <f t="shared" si="37"/>
        <v>48.85993485</v>
      </c>
      <c r="L152" s="54"/>
      <c r="M152" s="54"/>
    </row>
    <row r="153">
      <c r="A153" s="54"/>
      <c r="B153" s="542">
        <v>44629.0</v>
      </c>
      <c r="C153" s="543"/>
      <c r="D153" s="558"/>
      <c r="E153" s="545">
        <v>303599.0</v>
      </c>
      <c r="F153" s="545">
        <v>715.0</v>
      </c>
      <c r="G153" s="546">
        <v>705.0</v>
      </c>
      <c r="H153" s="546">
        <v>289.04</v>
      </c>
      <c r="I153" s="545">
        <v>302.17</v>
      </c>
      <c r="J153" s="102">
        <f t="shared" si="36"/>
        <v>-13.13</v>
      </c>
      <c r="K153" s="103">
        <f t="shared" si="37"/>
        <v>42.26153846</v>
      </c>
      <c r="L153" s="54"/>
      <c r="M153" s="54"/>
    </row>
    <row r="154">
      <c r="A154" s="54"/>
      <c r="B154" s="542">
        <v>44632.0</v>
      </c>
      <c r="C154" s="543"/>
      <c r="D154" s="558"/>
      <c r="E154" s="545">
        <v>304360.0</v>
      </c>
      <c r="F154" s="545">
        <v>761.0</v>
      </c>
      <c r="G154" s="546">
        <v>645.0</v>
      </c>
      <c r="H154" s="546">
        <v>279.54</v>
      </c>
      <c r="I154" s="545">
        <v>300.0</v>
      </c>
      <c r="J154" s="102">
        <f t="shared" si="36"/>
        <v>-20.46</v>
      </c>
      <c r="K154" s="103">
        <f t="shared" si="37"/>
        <v>39.4218134</v>
      </c>
      <c r="L154" s="54"/>
      <c r="M154" s="54"/>
    </row>
    <row r="155">
      <c r="A155" s="54"/>
      <c r="B155" s="542">
        <v>44637.0</v>
      </c>
      <c r="C155" s="543"/>
      <c r="D155" s="558"/>
      <c r="E155" s="545">
        <v>305061.0</v>
      </c>
      <c r="F155" s="545">
        <v>701.0</v>
      </c>
      <c r="G155" s="546">
        <v>664.0</v>
      </c>
      <c r="H155" s="546">
        <v>280.7</v>
      </c>
      <c r="I155" s="545">
        <v>300.0</v>
      </c>
      <c r="J155" s="102">
        <f t="shared" si="36"/>
        <v>-19.3</v>
      </c>
      <c r="K155" s="103">
        <f t="shared" si="37"/>
        <v>42.79600571</v>
      </c>
      <c r="L155" s="54"/>
      <c r="M155" s="54"/>
    </row>
    <row r="156">
      <c r="A156" s="54"/>
      <c r="B156" s="542">
        <v>44641.0</v>
      </c>
      <c r="C156" s="543"/>
      <c r="D156" s="558"/>
      <c r="E156" s="545">
        <v>305734.0</v>
      </c>
      <c r="F156" s="545">
        <v>672.0</v>
      </c>
      <c r="G156" s="546">
        <v>684.0</v>
      </c>
      <c r="H156" s="546">
        <v>281.48</v>
      </c>
      <c r="I156" s="545">
        <v>300.0</v>
      </c>
      <c r="J156" s="102">
        <f t="shared" si="36"/>
        <v>-18.52</v>
      </c>
      <c r="K156" s="103">
        <f t="shared" si="37"/>
        <v>44.64285714</v>
      </c>
      <c r="L156" s="54"/>
      <c r="M156" s="54"/>
    </row>
    <row r="157">
      <c r="A157" s="54"/>
      <c r="B157" s="542">
        <v>44644.0</v>
      </c>
      <c r="C157" s="543"/>
      <c r="D157" s="558"/>
      <c r="E157" s="545">
        <v>306626.0</v>
      </c>
      <c r="F157" s="545">
        <v>893.0</v>
      </c>
      <c r="G157" s="546">
        <v>661.0</v>
      </c>
      <c r="H157" s="546">
        <v>287.1</v>
      </c>
      <c r="I157" s="545">
        <v>300.0</v>
      </c>
      <c r="J157" s="102">
        <f t="shared" si="36"/>
        <v>-12.9</v>
      </c>
      <c r="K157" s="103">
        <f t="shared" si="37"/>
        <v>33.59462486</v>
      </c>
      <c r="L157" s="54"/>
      <c r="M157" s="54"/>
    </row>
    <row r="158">
      <c r="A158" s="54"/>
      <c r="B158" s="542">
        <v>44648.0</v>
      </c>
      <c r="C158" s="543"/>
      <c r="D158" s="558"/>
      <c r="E158" s="545">
        <v>307137.0</v>
      </c>
      <c r="F158" s="545">
        <v>511.0</v>
      </c>
      <c r="G158" s="546">
        <v>687.0</v>
      </c>
      <c r="H158" s="546">
        <v>268.5</v>
      </c>
      <c r="I158" s="545">
        <v>300.0</v>
      </c>
      <c r="J158" s="102">
        <f t="shared" si="36"/>
        <v>-31.5</v>
      </c>
      <c r="K158" s="103">
        <f t="shared" si="37"/>
        <v>58.70841487</v>
      </c>
      <c r="L158" s="54"/>
      <c r="M158" s="54"/>
    </row>
    <row r="159">
      <c r="A159" s="551"/>
      <c r="B159" s="561" t="s">
        <v>74</v>
      </c>
      <c r="C159" s="75"/>
      <c r="D159" s="75"/>
      <c r="E159" s="75"/>
      <c r="F159" s="75"/>
      <c r="G159" s="75"/>
      <c r="H159" s="75"/>
      <c r="I159" s="76"/>
      <c r="J159" s="562"/>
      <c r="K159" s="563"/>
      <c r="L159" s="551"/>
      <c r="M159" s="551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</row>
    <row r="160">
      <c r="A160" s="54"/>
      <c r="B160" s="542">
        <v>44652.0</v>
      </c>
      <c r="C160" s="543"/>
      <c r="D160" s="544" t="s">
        <v>464</v>
      </c>
      <c r="E160" s="545">
        <v>308001.0</v>
      </c>
      <c r="F160" s="545">
        <v>864.0</v>
      </c>
      <c r="G160" s="546">
        <v>674.0</v>
      </c>
      <c r="H160" s="546">
        <v>385.53</v>
      </c>
      <c r="I160" s="545">
        <v>400.0</v>
      </c>
      <c r="J160" s="102">
        <f t="shared" ref="J160:J164" si="38">H160-I160</f>
        <v>-14.47</v>
      </c>
      <c r="K160" s="103">
        <f t="shared" ref="K160:K164" si="39">I160/F160*100</f>
        <v>46.2962963</v>
      </c>
      <c r="L160" s="54"/>
      <c r="M160" s="54"/>
    </row>
    <row r="161">
      <c r="A161" s="54"/>
      <c r="B161" s="542">
        <v>44655.0</v>
      </c>
      <c r="C161" s="543"/>
      <c r="D161" s="544" t="s">
        <v>464</v>
      </c>
      <c r="E161" s="545">
        <v>308789.0</v>
      </c>
      <c r="F161" s="545">
        <v>788.0</v>
      </c>
      <c r="G161" s="546">
        <v>738.0</v>
      </c>
      <c r="H161" s="546">
        <v>361.31</v>
      </c>
      <c r="I161" s="545">
        <v>362.47</v>
      </c>
      <c r="J161" s="102">
        <f t="shared" si="38"/>
        <v>-1.16</v>
      </c>
      <c r="K161" s="103">
        <f t="shared" si="39"/>
        <v>45.99873096</v>
      </c>
      <c r="L161" s="54"/>
      <c r="M161" s="54"/>
    </row>
    <row r="162">
      <c r="A162" s="54"/>
      <c r="B162" s="542">
        <v>44660.0</v>
      </c>
      <c r="C162" s="543"/>
      <c r="D162" s="544" t="s">
        <v>465</v>
      </c>
      <c r="E162" s="545">
        <v>309933.0</v>
      </c>
      <c r="F162" s="545">
        <v>1144.0</v>
      </c>
      <c r="G162" s="546">
        <v>743.0</v>
      </c>
      <c r="H162" s="546">
        <v>437.46</v>
      </c>
      <c r="I162" s="545">
        <v>445.07</v>
      </c>
      <c r="J162" s="102">
        <f t="shared" si="38"/>
        <v>-7.61</v>
      </c>
      <c r="K162" s="103">
        <f t="shared" si="39"/>
        <v>38.90472028</v>
      </c>
      <c r="L162" s="54"/>
      <c r="M162" s="54"/>
    </row>
    <row r="163">
      <c r="A163" s="54"/>
      <c r="B163" s="542">
        <v>44668.0</v>
      </c>
      <c r="C163" s="543"/>
      <c r="D163" s="544" t="s">
        <v>465</v>
      </c>
      <c r="E163" s="545">
        <v>311260.0</v>
      </c>
      <c r="F163" s="545">
        <v>1327.0</v>
      </c>
      <c r="G163" s="546">
        <v>695.0</v>
      </c>
      <c r="H163" s="546">
        <v>530.66</v>
      </c>
      <c r="I163" s="545">
        <v>544.0</v>
      </c>
      <c r="J163" s="102">
        <f t="shared" si="38"/>
        <v>-13.34</v>
      </c>
      <c r="K163" s="103">
        <f t="shared" si="39"/>
        <v>40.99472494</v>
      </c>
      <c r="L163" s="54"/>
      <c r="M163" s="54"/>
    </row>
    <row r="164">
      <c r="A164" s="54"/>
      <c r="B164" s="542">
        <v>44673.0</v>
      </c>
      <c r="C164" s="543"/>
      <c r="D164" s="544" t="s">
        <v>465</v>
      </c>
      <c r="E164" s="545">
        <v>311954.0</v>
      </c>
      <c r="F164" s="545">
        <v>694.0</v>
      </c>
      <c r="G164" s="546">
        <v>744.0</v>
      </c>
      <c r="H164" s="546">
        <v>315.19</v>
      </c>
      <c r="I164" s="545">
        <v>311.37</v>
      </c>
      <c r="J164" s="102">
        <f t="shared" si="38"/>
        <v>3.82</v>
      </c>
      <c r="K164" s="103">
        <f t="shared" si="39"/>
        <v>44.86599424</v>
      </c>
      <c r="L164" s="54"/>
      <c r="M164" s="54"/>
    </row>
    <row r="165">
      <c r="A165" s="551"/>
      <c r="B165" s="561" t="s">
        <v>75</v>
      </c>
      <c r="C165" s="75"/>
      <c r="D165" s="75"/>
      <c r="E165" s="75"/>
      <c r="F165" s="75"/>
      <c r="G165" s="75"/>
      <c r="H165" s="75"/>
      <c r="I165" s="76"/>
      <c r="J165" s="562"/>
      <c r="K165" s="563"/>
      <c r="L165" s="551"/>
      <c r="M165" s="551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</row>
    <row r="166">
      <c r="A166" s="54"/>
      <c r="B166" s="542">
        <v>44687.0</v>
      </c>
      <c r="C166" s="543"/>
      <c r="D166" s="544" t="s">
        <v>466</v>
      </c>
      <c r="E166" s="545">
        <v>313393.0</v>
      </c>
      <c r="F166" s="545">
        <v>1439.0</v>
      </c>
      <c r="G166" s="546">
        <v>739.0</v>
      </c>
      <c r="H166" s="546">
        <v>582.39</v>
      </c>
      <c r="I166" s="545">
        <v>585.4</v>
      </c>
      <c r="J166" s="102">
        <f t="shared" ref="J166:J170" si="40">H166-I166</f>
        <v>-3.01</v>
      </c>
      <c r="K166" s="103">
        <f t="shared" ref="K166:K170" si="41">I166/F166*100</f>
        <v>40.68102849</v>
      </c>
      <c r="L166" s="54"/>
      <c r="M166" s="54"/>
    </row>
    <row r="167">
      <c r="A167" s="54"/>
      <c r="B167" s="542">
        <v>44693.0</v>
      </c>
      <c r="C167" s="543"/>
      <c r="D167" s="544" t="s">
        <v>466</v>
      </c>
      <c r="E167" s="545">
        <v>314756.0</v>
      </c>
      <c r="F167" s="545">
        <v>1363.0</v>
      </c>
      <c r="G167" s="546">
        <v>738.0</v>
      </c>
      <c r="H167" s="546">
        <v>566.69</v>
      </c>
      <c r="I167" s="545">
        <v>565.2</v>
      </c>
      <c r="J167" s="102">
        <f t="shared" si="40"/>
        <v>1.49</v>
      </c>
      <c r="K167" s="103">
        <f t="shared" si="41"/>
        <v>41.46735143</v>
      </c>
      <c r="L167" s="54"/>
      <c r="M167" s="54"/>
    </row>
    <row r="168">
      <c r="A168" s="54"/>
      <c r="B168" s="542">
        <v>44698.0</v>
      </c>
      <c r="C168" s="543"/>
      <c r="D168" s="544" t="s">
        <v>466</v>
      </c>
      <c r="E168" s="545">
        <v>315711.0</v>
      </c>
      <c r="F168" s="545">
        <v>954.0</v>
      </c>
      <c r="G168" s="546">
        <v>734.0</v>
      </c>
      <c r="H168" s="546">
        <v>437.65</v>
      </c>
      <c r="I168" s="545">
        <v>441.38</v>
      </c>
      <c r="J168" s="102">
        <f t="shared" si="40"/>
        <v>-3.73</v>
      </c>
      <c r="K168" s="103">
        <f t="shared" si="41"/>
        <v>46.26624738</v>
      </c>
      <c r="L168" s="54"/>
      <c r="M168" s="54"/>
    </row>
    <row r="169">
      <c r="A169" s="54"/>
      <c r="B169" s="542">
        <v>44704.0</v>
      </c>
      <c r="C169" s="543"/>
      <c r="D169" s="544" t="s">
        <v>466</v>
      </c>
      <c r="E169" s="545">
        <v>316982.0</v>
      </c>
      <c r="F169" s="545">
        <v>1272.0</v>
      </c>
      <c r="G169" s="546">
        <v>737.0</v>
      </c>
      <c r="H169" s="546">
        <v>557.78</v>
      </c>
      <c r="I169" s="545">
        <v>558.22</v>
      </c>
      <c r="J169" s="102">
        <f t="shared" si="40"/>
        <v>-0.44</v>
      </c>
      <c r="K169" s="103">
        <f t="shared" si="41"/>
        <v>43.88522013</v>
      </c>
      <c r="L169" s="54"/>
      <c r="M169" s="54"/>
    </row>
    <row r="170">
      <c r="A170" s="54"/>
      <c r="B170" s="542">
        <v>44710.0</v>
      </c>
      <c r="C170" s="543"/>
      <c r="D170" s="544" t="s">
        <v>466</v>
      </c>
      <c r="E170" s="545">
        <v>317940.0</v>
      </c>
      <c r="F170" s="545">
        <v>958.0</v>
      </c>
      <c r="G170" s="546">
        <v>722.0</v>
      </c>
      <c r="H170" s="546">
        <v>455.28</v>
      </c>
      <c r="I170" s="545">
        <v>459.93</v>
      </c>
      <c r="J170" s="102">
        <f t="shared" si="40"/>
        <v>-4.65</v>
      </c>
      <c r="K170" s="103">
        <f t="shared" si="41"/>
        <v>48.00939457</v>
      </c>
      <c r="L170" s="54"/>
      <c r="M170" s="54"/>
    </row>
    <row r="171">
      <c r="A171" s="551"/>
      <c r="B171" s="561" t="s">
        <v>90</v>
      </c>
      <c r="C171" s="75"/>
      <c r="D171" s="75"/>
      <c r="E171" s="75"/>
      <c r="F171" s="75"/>
      <c r="G171" s="75"/>
      <c r="H171" s="75"/>
      <c r="I171" s="76"/>
      <c r="J171" s="562"/>
      <c r="K171" s="563"/>
      <c r="L171" s="551"/>
      <c r="M171" s="551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</row>
    <row r="172">
      <c r="A172" s="54"/>
      <c r="B172" s="542">
        <v>44714.0</v>
      </c>
      <c r="C172" s="543"/>
      <c r="D172" s="544" t="s">
        <v>467</v>
      </c>
      <c r="E172" s="545">
        <v>318267.0</v>
      </c>
      <c r="F172" s="545">
        <v>327.0</v>
      </c>
      <c r="G172" s="546">
        <v>749.0</v>
      </c>
      <c r="H172" s="546">
        <v>206.96</v>
      </c>
      <c r="I172" s="545">
        <v>195.58</v>
      </c>
      <c r="J172" s="102">
        <f t="shared" ref="J172:J178" si="42">H172-I172</f>
        <v>11.38</v>
      </c>
      <c r="K172" s="103">
        <f t="shared" ref="K172:K178" si="43">I172/F172*100</f>
        <v>59.81039755</v>
      </c>
      <c r="L172" s="54"/>
      <c r="M172" s="54"/>
    </row>
    <row r="173">
      <c r="A173" s="54"/>
      <c r="B173" s="542">
        <v>44719.0</v>
      </c>
      <c r="C173" s="543"/>
      <c r="D173" s="544" t="s">
        <v>467</v>
      </c>
      <c r="E173" s="545">
        <v>319394.0</v>
      </c>
      <c r="F173" s="545">
        <v>1127.0</v>
      </c>
      <c r="G173" s="546">
        <v>750.0</v>
      </c>
      <c r="H173" s="546">
        <v>465.04</v>
      </c>
      <c r="I173" s="545">
        <v>459.0</v>
      </c>
      <c r="J173" s="102">
        <f t="shared" si="42"/>
        <v>6.04</v>
      </c>
      <c r="K173" s="103">
        <f t="shared" si="43"/>
        <v>40.72759539</v>
      </c>
      <c r="L173" s="54"/>
      <c r="M173" s="54"/>
    </row>
    <row r="174">
      <c r="A174" s="54"/>
      <c r="B174" s="542">
        <v>44723.0</v>
      </c>
      <c r="C174" s="543"/>
      <c r="D174" s="544" t="s">
        <v>467</v>
      </c>
      <c r="E174" s="545">
        <v>320520.0</v>
      </c>
      <c r="F174" s="545">
        <v>1126.0</v>
      </c>
      <c r="G174" s="546">
        <v>749.0</v>
      </c>
      <c r="H174" s="546">
        <v>475.97</v>
      </c>
      <c r="I174" s="545">
        <v>472.0</v>
      </c>
      <c r="J174" s="102">
        <f t="shared" si="42"/>
        <v>3.97</v>
      </c>
      <c r="K174" s="103">
        <f t="shared" si="43"/>
        <v>41.91829485</v>
      </c>
      <c r="L174" s="54"/>
      <c r="M174" s="54"/>
    </row>
    <row r="175">
      <c r="A175" s="54"/>
      <c r="B175" s="542">
        <v>44726.0</v>
      </c>
      <c r="C175" s="543"/>
      <c r="D175" s="544" t="s">
        <v>467</v>
      </c>
      <c r="E175" s="545">
        <v>321556.0</v>
      </c>
      <c r="F175" s="545">
        <v>1036.0</v>
      </c>
      <c r="G175" s="546">
        <v>743.0</v>
      </c>
      <c r="H175" s="546">
        <v>392.7</v>
      </c>
      <c r="I175" s="545">
        <v>390.27</v>
      </c>
      <c r="J175" s="102">
        <f t="shared" si="42"/>
        <v>2.43</v>
      </c>
      <c r="K175" s="103">
        <f t="shared" si="43"/>
        <v>37.67084942</v>
      </c>
      <c r="L175" s="54"/>
      <c r="M175" s="54"/>
    </row>
    <row r="176">
      <c r="A176" s="54"/>
      <c r="B176" s="542">
        <v>44733.0</v>
      </c>
      <c r="C176" s="543"/>
      <c r="D176" s="544" t="s">
        <v>466</v>
      </c>
      <c r="E176" s="545">
        <v>322849.0</v>
      </c>
      <c r="F176" s="545">
        <v>1293.0</v>
      </c>
      <c r="G176" s="546">
        <v>740.0</v>
      </c>
      <c r="H176" s="546">
        <v>571.54</v>
      </c>
      <c r="I176" s="545">
        <v>571.23</v>
      </c>
      <c r="J176" s="102">
        <f t="shared" si="42"/>
        <v>0.31</v>
      </c>
      <c r="K176" s="103">
        <f t="shared" si="43"/>
        <v>44.17865429</v>
      </c>
      <c r="L176" s="54"/>
      <c r="M176" s="54"/>
    </row>
    <row r="177">
      <c r="A177" s="54"/>
      <c r="B177" s="542">
        <v>44738.0</v>
      </c>
      <c r="C177" s="543"/>
      <c r="D177" s="544" t="s">
        <v>466</v>
      </c>
      <c r="E177" s="545">
        <v>324478.0</v>
      </c>
      <c r="F177" s="545">
        <v>1629.0</v>
      </c>
      <c r="G177" s="546">
        <v>740.0</v>
      </c>
      <c r="H177" s="546">
        <v>632.38</v>
      </c>
      <c r="I177" s="545">
        <v>632.9</v>
      </c>
      <c r="J177" s="102">
        <f t="shared" si="42"/>
        <v>-0.52</v>
      </c>
      <c r="K177" s="103">
        <f t="shared" si="43"/>
        <v>38.85205648</v>
      </c>
      <c r="L177" s="54"/>
      <c r="M177" s="54"/>
    </row>
    <row r="178">
      <c r="A178" s="54"/>
      <c r="B178" s="542">
        <v>44742.0</v>
      </c>
      <c r="C178" s="543"/>
      <c r="D178" s="544" t="s">
        <v>466</v>
      </c>
      <c r="E178" s="545">
        <v>326067.0</v>
      </c>
      <c r="F178" s="545">
        <v>1589.0</v>
      </c>
      <c r="G178" s="546">
        <v>739.0</v>
      </c>
      <c r="H178" s="546">
        <v>584.33</v>
      </c>
      <c r="I178" s="545">
        <v>548.49</v>
      </c>
      <c r="J178" s="102">
        <f t="shared" si="42"/>
        <v>35.84</v>
      </c>
      <c r="K178" s="103">
        <f t="shared" si="43"/>
        <v>34.51793581</v>
      </c>
      <c r="L178" s="54"/>
      <c r="M178" s="54"/>
    </row>
    <row r="179">
      <c r="A179" s="551"/>
      <c r="B179" s="561" t="s">
        <v>92</v>
      </c>
      <c r="C179" s="75"/>
      <c r="D179" s="75"/>
      <c r="E179" s="75"/>
      <c r="F179" s="75"/>
      <c r="G179" s="75"/>
      <c r="H179" s="75"/>
      <c r="I179" s="76"/>
      <c r="J179" s="562"/>
      <c r="K179" s="563"/>
      <c r="L179" s="551"/>
      <c r="M179" s="551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</row>
    <row r="180">
      <c r="A180" s="54"/>
      <c r="B180" s="542">
        <v>44746.0</v>
      </c>
      <c r="C180" s="543"/>
      <c r="D180" s="544" t="s">
        <v>466</v>
      </c>
      <c r="E180" s="545">
        <v>327445.0</v>
      </c>
      <c r="F180" s="545">
        <v>1378.0</v>
      </c>
      <c r="G180" s="546">
        <v>739.0</v>
      </c>
      <c r="H180" s="546">
        <v>540.73</v>
      </c>
      <c r="I180" s="545">
        <v>552.0</v>
      </c>
      <c r="J180" s="102">
        <f t="shared" ref="J180:J183" si="44">H180-I180</f>
        <v>-11.27</v>
      </c>
      <c r="K180" s="103">
        <f t="shared" ref="K180:K183" si="45">I180/F180*100</f>
        <v>40.05805515</v>
      </c>
      <c r="L180" s="54"/>
      <c r="M180" s="54"/>
    </row>
    <row r="181">
      <c r="A181" s="54"/>
      <c r="B181" s="542">
        <v>44753.0</v>
      </c>
      <c r="C181" s="543"/>
      <c r="D181" s="544" t="s">
        <v>466</v>
      </c>
      <c r="E181" s="545">
        <v>328863.0</v>
      </c>
      <c r="F181" s="545">
        <v>1418.0</v>
      </c>
      <c r="G181" s="546">
        <v>716.0</v>
      </c>
      <c r="H181" s="546">
        <v>576.19</v>
      </c>
      <c r="I181" s="545">
        <v>589.51</v>
      </c>
      <c r="J181" s="102">
        <f t="shared" si="44"/>
        <v>-13.32</v>
      </c>
      <c r="K181" s="103">
        <f t="shared" si="45"/>
        <v>41.57334274</v>
      </c>
      <c r="L181" s="54"/>
      <c r="M181" s="54"/>
    </row>
    <row r="182">
      <c r="A182" s="54"/>
      <c r="B182" s="542">
        <v>44760.0</v>
      </c>
      <c r="C182" s="543"/>
      <c r="D182" s="544" t="s">
        <v>466</v>
      </c>
      <c r="E182" s="545">
        <v>330180.0</v>
      </c>
      <c r="F182" s="545">
        <v>1317.0</v>
      </c>
      <c r="G182" s="546">
        <v>725.0</v>
      </c>
      <c r="H182" s="546">
        <v>555.26</v>
      </c>
      <c r="I182" s="545">
        <v>576.49</v>
      </c>
      <c r="J182" s="102">
        <f t="shared" si="44"/>
        <v>-21.23</v>
      </c>
      <c r="K182" s="103">
        <f t="shared" si="45"/>
        <v>43.77296887</v>
      </c>
      <c r="L182" s="54"/>
      <c r="M182" s="54"/>
    </row>
    <row r="183">
      <c r="A183" s="54"/>
      <c r="B183" s="542">
        <v>44767.0</v>
      </c>
      <c r="C183" s="543"/>
      <c r="D183" s="544" t="s">
        <v>466</v>
      </c>
      <c r="E183" s="545">
        <v>331567.0</v>
      </c>
      <c r="F183" s="545">
        <v>1387.0</v>
      </c>
      <c r="G183" s="546">
        <v>725.0</v>
      </c>
      <c r="H183" s="546">
        <v>539.57</v>
      </c>
      <c r="I183" s="545">
        <v>563.06</v>
      </c>
      <c r="J183" s="102">
        <f t="shared" si="44"/>
        <v>-23.49</v>
      </c>
      <c r="K183" s="103">
        <f t="shared" si="45"/>
        <v>40.59552992</v>
      </c>
      <c r="L183" s="54"/>
      <c r="M183" s="54"/>
    </row>
    <row r="184">
      <c r="A184" s="551"/>
      <c r="B184" s="561" t="s">
        <v>95</v>
      </c>
      <c r="C184" s="75"/>
      <c r="D184" s="75"/>
      <c r="E184" s="75"/>
      <c r="F184" s="75"/>
      <c r="G184" s="75"/>
      <c r="H184" s="75"/>
      <c r="I184" s="76"/>
      <c r="J184" s="562"/>
      <c r="K184" s="563"/>
      <c r="L184" s="551"/>
      <c r="M184" s="551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</row>
    <row r="185">
      <c r="A185" s="54"/>
      <c r="B185" s="542">
        <v>44775.0</v>
      </c>
      <c r="C185" s="543"/>
      <c r="D185" s="544" t="s">
        <v>466</v>
      </c>
      <c r="E185" s="545">
        <v>332805.0</v>
      </c>
      <c r="F185" s="545">
        <v>1238.0</v>
      </c>
      <c r="G185" s="546">
        <v>732.0</v>
      </c>
      <c r="H185" s="546">
        <v>518.64</v>
      </c>
      <c r="I185" s="545">
        <v>542.84</v>
      </c>
      <c r="J185" s="102">
        <f t="shared" ref="J185:J187" si="46">H185-I185</f>
        <v>-24.2</v>
      </c>
      <c r="K185" s="103">
        <f t="shared" ref="K185:K187" si="47">I185/F185*100</f>
        <v>43.84814216</v>
      </c>
      <c r="L185" s="54"/>
      <c r="M185" s="54"/>
    </row>
    <row r="186">
      <c r="A186" s="54"/>
      <c r="B186" s="542">
        <v>44783.0</v>
      </c>
      <c r="C186" s="543"/>
      <c r="D186" s="544" t="s">
        <v>466</v>
      </c>
      <c r="E186" s="545">
        <v>334172.0</v>
      </c>
      <c r="F186" s="545">
        <v>1367.0</v>
      </c>
      <c r="G186" s="546">
        <v>720.0</v>
      </c>
      <c r="H186" s="546">
        <v>549.64</v>
      </c>
      <c r="I186" s="545">
        <v>597.51</v>
      </c>
      <c r="J186" s="102">
        <f t="shared" si="46"/>
        <v>-47.87</v>
      </c>
      <c r="K186" s="103">
        <f t="shared" si="47"/>
        <v>43.70958303</v>
      </c>
      <c r="L186" s="54"/>
      <c r="M186" s="54"/>
    </row>
    <row r="187">
      <c r="A187" s="54"/>
      <c r="B187" s="542">
        <v>44796.0</v>
      </c>
      <c r="C187" s="543"/>
      <c r="D187" s="544" t="s">
        <v>112</v>
      </c>
      <c r="E187" s="545">
        <v>335461.0</v>
      </c>
      <c r="F187" s="545">
        <v>1289.0</v>
      </c>
      <c r="G187" s="546">
        <v>740.0</v>
      </c>
      <c r="H187" s="546">
        <v>631.22</v>
      </c>
      <c r="I187" s="545">
        <v>630.41</v>
      </c>
      <c r="J187" s="102">
        <f t="shared" si="46"/>
        <v>0.81</v>
      </c>
      <c r="K187" s="103">
        <f t="shared" si="47"/>
        <v>48.90690458</v>
      </c>
      <c r="L187" s="54"/>
      <c r="M187" s="54"/>
    </row>
    <row r="188">
      <c r="A188" s="551"/>
      <c r="B188" s="561" t="s">
        <v>104</v>
      </c>
      <c r="C188" s="75"/>
      <c r="D188" s="75"/>
      <c r="E188" s="75"/>
      <c r="F188" s="75"/>
      <c r="G188" s="75"/>
      <c r="H188" s="75"/>
      <c r="I188" s="76"/>
      <c r="J188" s="562"/>
      <c r="K188" s="563"/>
      <c r="L188" s="551"/>
      <c r="M188" s="551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</row>
    <row r="189">
      <c r="A189" s="54"/>
      <c r="B189" s="542">
        <v>44812.0</v>
      </c>
      <c r="C189" s="543"/>
      <c r="D189" s="544" t="s">
        <v>280</v>
      </c>
      <c r="E189" s="545">
        <v>336249.0</v>
      </c>
      <c r="F189" s="545">
        <v>788.0</v>
      </c>
      <c r="G189" s="546">
        <v>745.0</v>
      </c>
      <c r="H189" s="546">
        <v>423.31</v>
      </c>
      <c r="I189" s="545">
        <v>419.28</v>
      </c>
      <c r="J189" s="102">
        <f t="shared" ref="J189:J193" si="48">H189-I189</f>
        <v>4.03</v>
      </c>
      <c r="K189" s="103">
        <f t="shared" ref="K189:K193" si="49">I189/F189*100</f>
        <v>53.20812183</v>
      </c>
      <c r="L189" s="54"/>
      <c r="M189" s="54"/>
    </row>
    <row r="190">
      <c r="A190" s="54"/>
      <c r="B190" s="542">
        <v>44819.0</v>
      </c>
      <c r="C190" s="543"/>
      <c r="D190" s="544" t="s">
        <v>468</v>
      </c>
      <c r="E190" s="545">
        <v>337535.0</v>
      </c>
      <c r="F190" s="545">
        <v>1286.0</v>
      </c>
      <c r="G190" s="546">
        <v>746.0</v>
      </c>
      <c r="H190" s="546">
        <v>405.29</v>
      </c>
      <c r="I190" s="545">
        <v>400.0</v>
      </c>
      <c r="J190" s="102">
        <f t="shared" si="48"/>
        <v>5.29</v>
      </c>
      <c r="K190" s="103">
        <f t="shared" si="49"/>
        <v>31.10419907</v>
      </c>
      <c r="L190" s="54"/>
      <c r="M190" s="54"/>
    </row>
    <row r="191">
      <c r="A191" s="54"/>
      <c r="B191" s="542">
        <v>44824.0</v>
      </c>
      <c r="C191" s="543"/>
      <c r="D191" s="544" t="s">
        <v>469</v>
      </c>
      <c r="E191" s="545">
        <v>338076.0</v>
      </c>
      <c r="F191" s="545">
        <v>541.0</v>
      </c>
      <c r="G191" s="546">
        <v>746.0</v>
      </c>
      <c r="H191" s="546">
        <v>232.65</v>
      </c>
      <c r="I191" s="545">
        <v>220.11</v>
      </c>
      <c r="J191" s="102">
        <f t="shared" si="48"/>
        <v>12.54</v>
      </c>
      <c r="K191" s="103">
        <f t="shared" si="49"/>
        <v>40.6857671</v>
      </c>
      <c r="L191" s="54"/>
      <c r="M191" s="54"/>
    </row>
    <row r="192">
      <c r="A192" s="54"/>
      <c r="B192" s="542">
        <v>44829.0</v>
      </c>
      <c r="C192" s="543"/>
      <c r="D192" s="544" t="s">
        <v>469</v>
      </c>
      <c r="E192" s="545">
        <v>339179.0</v>
      </c>
      <c r="F192" s="545">
        <v>1103.0</v>
      </c>
      <c r="G192" s="546">
        <v>751.0</v>
      </c>
      <c r="H192" s="546">
        <v>484.46</v>
      </c>
      <c r="I192" s="545">
        <v>475.01</v>
      </c>
      <c r="J192" s="102">
        <f t="shared" si="48"/>
        <v>9.45</v>
      </c>
      <c r="K192" s="103">
        <f t="shared" si="49"/>
        <v>43.06527652</v>
      </c>
      <c r="L192" s="54"/>
      <c r="M192" s="54"/>
    </row>
    <row r="193">
      <c r="A193" s="54"/>
      <c r="B193" s="542">
        <v>44833.0</v>
      </c>
      <c r="C193" s="543"/>
      <c r="D193" s="544" t="s">
        <v>469</v>
      </c>
      <c r="E193" s="545">
        <v>339970.0</v>
      </c>
      <c r="F193" s="545">
        <v>791.0</v>
      </c>
      <c r="G193" s="546">
        <v>748.0</v>
      </c>
      <c r="H193" s="546">
        <v>346.94</v>
      </c>
      <c r="I193" s="545">
        <v>338.52</v>
      </c>
      <c r="J193" s="102">
        <f t="shared" si="48"/>
        <v>8.42</v>
      </c>
      <c r="K193" s="103">
        <f t="shared" si="49"/>
        <v>42.79646018</v>
      </c>
      <c r="L193" s="54"/>
      <c r="M193" s="54"/>
    </row>
    <row r="194">
      <c r="A194" s="551"/>
      <c r="B194" s="561" t="s">
        <v>96</v>
      </c>
      <c r="C194" s="75"/>
      <c r="D194" s="75"/>
      <c r="E194" s="75"/>
      <c r="F194" s="75"/>
      <c r="G194" s="75"/>
      <c r="H194" s="75"/>
      <c r="I194" s="76"/>
      <c r="J194" s="562"/>
      <c r="K194" s="563"/>
      <c r="L194" s="551"/>
      <c r="M194" s="551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</row>
    <row r="195">
      <c r="A195" s="54"/>
      <c r="B195" s="542">
        <v>44838.0</v>
      </c>
      <c r="C195" s="543"/>
      <c r="D195" s="544" t="s">
        <v>469</v>
      </c>
      <c r="E195" s="545">
        <v>340608.0</v>
      </c>
      <c r="F195" s="545">
        <v>638.0</v>
      </c>
      <c r="G195" s="546">
        <v>748.0</v>
      </c>
      <c r="H195" s="546">
        <v>327.76</v>
      </c>
      <c r="I195" s="545">
        <v>320.07</v>
      </c>
      <c r="J195" s="102">
        <f t="shared" ref="J195:J200" si="50">H195-I195</f>
        <v>7.69</v>
      </c>
      <c r="K195" s="103">
        <f t="shared" ref="K195:K200" si="51">I195/F195*100</f>
        <v>50.1677116</v>
      </c>
      <c r="L195" s="54"/>
      <c r="M195" s="54"/>
    </row>
    <row r="196">
      <c r="A196" s="54"/>
      <c r="B196" s="542">
        <v>44841.0</v>
      </c>
      <c r="C196" s="543"/>
      <c r="D196" s="544" t="s">
        <v>469</v>
      </c>
      <c r="E196" s="545">
        <v>341290.0</v>
      </c>
      <c r="F196" s="545">
        <v>682.0</v>
      </c>
      <c r="G196" s="546">
        <v>749.0</v>
      </c>
      <c r="H196" s="546">
        <v>320.77</v>
      </c>
      <c r="I196" s="545">
        <v>310.09</v>
      </c>
      <c r="J196" s="102">
        <f t="shared" si="50"/>
        <v>10.68</v>
      </c>
      <c r="K196" s="103">
        <f t="shared" si="51"/>
        <v>45.46774194</v>
      </c>
      <c r="L196" s="54"/>
      <c r="M196" s="54"/>
    </row>
    <row r="197">
      <c r="A197" s="54"/>
      <c r="B197" s="552">
        <v>44846.0</v>
      </c>
      <c r="C197" s="553"/>
      <c r="D197" s="544" t="s">
        <v>469</v>
      </c>
      <c r="E197" s="545">
        <v>342730.0</v>
      </c>
      <c r="F197" s="545">
        <v>1440.0</v>
      </c>
      <c r="G197" s="546">
        <v>710.0</v>
      </c>
      <c r="H197" s="546">
        <v>554.1</v>
      </c>
      <c r="I197" s="545">
        <v>550.0</v>
      </c>
      <c r="J197" s="102">
        <f t="shared" si="50"/>
        <v>4.1</v>
      </c>
      <c r="K197" s="103">
        <f t="shared" si="51"/>
        <v>38.19444444</v>
      </c>
      <c r="L197" s="54"/>
      <c r="M197" s="54"/>
    </row>
    <row r="198">
      <c r="A198" s="54"/>
      <c r="B198" s="552">
        <v>44848.0</v>
      </c>
      <c r="C198" s="553"/>
      <c r="D198" s="544" t="s">
        <v>469</v>
      </c>
      <c r="E198" s="545">
        <v>343428.0</v>
      </c>
      <c r="F198" s="545">
        <v>698.0</v>
      </c>
      <c r="G198" s="546">
        <v>748.0</v>
      </c>
      <c r="H198" s="546">
        <v>337.28</v>
      </c>
      <c r="I198" s="545">
        <v>335.08</v>
      </c>
      <c r="J198" s="102">
        <f t="shared" si="50"/>
        <v>2.2</v>
      </c>
      <c r="K198" s="103">
        <f t="shared" si="51"/>
        <v>48.00573066</v>
      </c>
      <c r="L198" s="54"/>
      <c r="M198" s="54"/>
    </row>
    <row r="199">
      <c r="A199" s="54"/>
      <c r="B199" s="552">
        <v>44852.0</v>
      </c>
      <c r="C199" s="553"/>
      <c r="D199" s="544" t="s">
        <v>469</v>
      </c>
      <c r="E199" s="545">
        <v>344176.0</v>
      </c>
      <c r="F199" s="545">
        <v>748.0</v>
      </c>
      <c r="G199" s="546">
        <v>743.0</v>
      </c>
      <c r="H199" s="546">
        <v>319.46</v>
      </c>
      <c r="I199" s="545">
        <v>310.74</v>
      </c>
      <c r="J199" s="102">
        <f t="shared" si="50"/>
        <v>8.72</v>
      </c>
      <c r="K199" s="103">
        <f t="shared" si="51"/>
        <v>41.54278075</v>
      </c>
      <c r="L199" s="54"/>
      <c r="M199" s="54"/>
    </row>
    <row r="200">
      <c r="A200" s="54"/>
      <c r="B200" s="552">
        <v>44855.0</v>
      </c>
      <c r="C200" s="553"/>
      <c r="D200" s="544" t="s">
        <v>469</v>
      </c>
      <c r="E200" s="545">
        <v>344802.0</v>
      </c>
      <c r="F200" s="545">
        <v>626.0</v>
      </c>
      <c r="G200" s="546">
        <v>733.0</v>
      </c>
      <c r="H200" s="546">
        <v>306.28</v>
      </c>
      <c r="I200" s="545">
        <v>300.25</v>
      </c>
      <c r="J200" s="102">
        <f t="shared" si="50"/>
        <v>6.03</v>
      </c>
      <c r="K200" s="103">
        <f t="shared" si="51"/>
        <v>47.96325879</v>
      </c>
      <c r="L200" s="54"/>
      <c r="M200" s="54"/>
    </row>
    <row r="201">
      <c r="A201" s="551"/>
      <c r="B201" s="561" t="s">
        <v>97</v>
      </c>
      <c r="C201" s="75"/>
      <c r="D201" s="75"/>
      <c r="E201" s="75"/>
      <c r="F201" s="75"/>
      <c r="G201" s="75"/>
      <c r="H201" s="75"/>
      <c r="I201" s="76"/>
      <c r="J201" s="562"/>
      <c r="K201" s="563"/>
      <c r="L201" s="551"/>
      <c r="M201" s="551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</row>
    <row r="202">
      <c r="A202" s="54"/>
      <c r="B202" s="542">
        <v>44868.0</v>
      </c>
      <c r="C202" s="543"/>
      <c r="D202" s="544" t="s">
        <v>469</v>
      </c>
      <c r="E202" s="545">
        <v>345328.0</v>
      </c>
      <c r="F202" s="545">
        <v>526.0</v>
      </c>
      <c r="G202" s="546">
        <v>751.0</v>
      </c>
      <c r="H202" s="546">
        <v>293.61</v>
      </c>
      <c r="I202" s="545">
        <v>290.21</v>
      </c>
      <c r="J202" s="102">
        <f t="shared" ref="J202:J209" si="52">H202-I202</f>
        <v>3.4</v>
      </c>
      <c r="K202" s="103">
        <f t="shared" ref="K202:K209" si="53">I202/F202*100</f>
        <v>55.1730038</v>
      </c>
      <c r="L202" s="54"/>
      <c r="M202" s="54"/>
    </row>
    <row r="203">
      <c r="A203" s="54"/>
      <c r="B203" s="542">
        <v>44871.0</v>
      </c>
      <c r="C203" s="543"/>
      <c r="D203" s="544" t="s">
        <v>469</v>
      </c>
      <c r="E203" s="545">
        <v>345964.0</v>
      </c>
      <c r="F203" s="545">
        <v>636.0</v>
      </c>
      <c r="G203" s="546">
        <v>750.0</v>
      </c>
      <c r="H203" s="546">
        <v>343.88</v>
      </c>
      <c r="I203" s="545">
        <v>350.01</v>
      </c>
      <c r="J203" s="102">
        <f t="shared" si="52"/>
        <v>-6.13</v>
      </c>
      <c r="K203" s="103">
        <f t="shared" si="53"/>
        <v>55.03301887</v>
      </c>
      <c r="L203" s="54"/>
      <c r="M203" s="54"/>
    </row>
    <row r="204">
      <c r="A204" s="54"/>
      <c r="B204" s="542">
        <v>44874.0</v>
      </c>
      <c r="C204" s="543"/>
      <c r="D204" s="544" t="s">
        <v>469</v>
      </c>
      <c r="E204" s="545">
        <v>346602.0</v>
      </c>
      <c r="F204" s="545">
        <v>638.0</v>
      </c>
      <c r="G204" s="546">
        <v>749.0</v>
      </c>
      <c r="H204" s="546">
        <v>328.09</v>
      </c>
      <c r="I204" s="545">
        <v>340.47</v>
      </c>
      <c r="J204" s="102">
        <f t="shared" si="52"/>
        <v>-12.38</v>
      </c>
      <c r="K204" s="103">
        <f t="shared" si="53"/>
        <v>53.36520376</v>
      </c>
      <c r="L204" s="54"/>
      <c r="M204" s="54"/>
    </row>
    <row r="205">
      <c r="A205" s="54"/>
      <c r="B205" s="552">
        <v>44878.0</v>
      </c>
      <c r="C205" s="553"/>
      <c r="D205" s="544" t="s">
        <v>469</v>
      </c>
      <c r="E205" s="545">
        <v>347432.0</v>
      </c>
      <c r="F205" s="545">
        <v>830.0</v>
      </c>
      <c r="G205" s="546">
        <v>747.0</v>
      </c>
      <c r="H205" s="546">
        <v>412.66</v>
      </c>
      <c r="I205" s="545">
        <v>425.18</v>
      </c>
      <c r="J205" s="102">
        <f t="shared" si="52"/>
        <v>-12.52</v>
      </c>
      <c r="K205" s="103">
        <f t="shared" si="53"/>
        <v>51.22650602</v>
      </c>
      <c r="L205" s="54"/>
      <c r="M205" s="54"/>
    </row>
    <row r="206">
      <c r="A206" s="54"/>
      <c r="B206" s="552">
        <v>44884.0</v>
      </c>
      <c r="C206" s="553"/>
      <c r="D206" s="544" t="s">
        <v>469</v>
      </c>
      <c r="E206" s="545">
        <v>348306.0</v>
      </c>
      <c r="F206" s="545">
        <v>874.0</v>
      </c>
      <c r="G206" s="546">
        <v>745.0</v>
      </c>
      <c r="H206" s="546">
        <v>467.3</v>
      </c>
      <c r="I206" s="545">
        <v>483.26</v>
      </c>
      <c r="J206" s="102">
        <f t="shared" si="52"/>
        <v>-15.96</v>
      </c>
      <c r="K206" s="103">
        <f t="shared" si="53"/>
        <v>55.29290618</v>
      </c>
      <c r="L206" s="54"/>
      <c r="M206" s="54"/>
    </row>
    <row r="207">
      <c r="A207" s="54"/>
      <c r="B207" s="552">
        <v>44886.0</v>
      </c>
      <c r="C207" s="553"/>
      <c r="D207" s="544" t="s">
        <v>469</v>
      </c>
      <c r="E207" s="545">
        <v>348742.0</v>
      </c>
      <c r="F207" s="545">
        <v>436.0</v>
      </c>
      <c r="G207" s="546">
        <v>745.0</v>
      </c>
      <c r="H207" s="546">
        <v>212.31</v>
      </c>
      <c r="I207" s="545">
        <v>232.18</v>
      </c>
      <c r="J207" s="102">
        <f t="shared" si="52"/>
        <v>-19.87</v>
      </c>
      <c r="K207" s="103">
        <f t="shared" si="53"/>
        <v>53.25229358</v>
      </c>
      <c r="L207" s="54"/>
      <c r="M207" s="54"/>
    </row>
    <row r="208">
      <c r="A208" s="54"/>
      <c r="B208" s="552">
        <v>44890.0</v>
      </c>
      <c r="C208" s="553"/>
      <c r="D208" s="544" t="s">
        <v>469</v>
      </c>
      <c r="E208" s="545">
        <v>349331.0</v>
      </c>
      <c r="F208" s="545">
        <v>589.0</v>
      </c>
      <c r="G208" s="546">
        <v>738.0</v>
      </c>
      <c r="H208" s="546">
        <v>348.71</v>
      </c>
      <c r="I208" s="545">
        <v>364.01</v>
      </c>
      <c r="J208" s="102">
        <f t="shared" si="52"/>
        <v>-15.3</v>
      </c>
      <c r="K208" s="103">
        <f t="shared" si="53"/>
        <v>61.80135823</v>
      </c>
      <c r="L208" s="54"/>
      <c r="M208" s="54"/>
    </row>
    <row r="209">
      <c r="A209" s="54"/>
      <c r="B209" s="552">
        <v>44893.0</v>
      </c>
      <c r="C209" s="553"/>
      <c r="D209" s="544" t="s">
        <v>469</v>
      </c>
      <c r="E209" s="545">
        <v>350043.0</v>
      </c>
      <c r="F209" s="545">
        <v>712.0</v>
      </c>
      <c r="G209" s="546">
        <v>740.0</v>
      </c>
      <c r="H209" s="546">
        <v>349.49</v>
      </c>
      <c r="I209" s="545">
        <v>363.23</v>
      </c>
      <c r="J209" s="102">
        <f t="shared" si="52"/>
        <v>-13.74</v>
      </c>
      <c r="K209" s="103">
        <f t="shared" si="53"/>
        <v>51.01544944</v>
      </c>
      <c r="L209" s="54"/>
      <c r="M209" s="54"/>
    </row>
    <row r="210">
      <c r="A210" s="551"/>
      <c r="B210" s="561" t="s">
        <v>98</v>
      </c>
      <c r="C210" s="75"/>
      <c r="D210" s="75"/>
      <c r="E210" s="75"/>
      <c r="F210" s="75"/>
      <c r="G210" s="75"/>
      <c r="H210" s="75"/>
      <c r="I210" s="76"/>
      <c r="J210" s="562"/>
      <c r="K210" s="563"/>
      <c r="L210" s="551"/>
      <c r="M210" s="551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</row>
    <row r="211">
      <c r="A211" s="54"/>
      <c r="B211" s="552">
        <v>44909.0</v>
      </c>
      <c r="C211" s="553"/>
      <c r="D211" s="544" t="s">
        <v>469</v>
      </c>
      <c r="E211" s="545">
        <v>350948.0</v>
      </c>
      <c r="F211" s="545">
        <v>905.0</v>
      </c>
      <c r="G211" s="546">
        <v>732.0</v>
      </c>
      <c r="H211" s="546">
        <v>512.64</v>
      </c>
      <c r="I211" s="545">
        <v>524.56</v>
      </c>
      <c r="J211" s="102">
        <f t="shared" ref="J211:J212" si="54">H211-I211</f>
        <v>-11.92</v>
      </c>
      <c r="K211" s="103">
        <f t="shared" ref="K211:K212" si="55">I211/F211*100</f>
        <v>57.96243094</v>
      </c>
      <c r="L211" s="54"/>
      <c r="M211" s="54"/>
    </row>
    <row r="212">
      <c r="A212" s="54"/>
      <c r="B212" s="552">
        <v>44918.0</v>
      </c>
      <c r="C212" s="553"/>
      <c r="D212" s="544" t="s">
        <v>469</v>
      </c>
      <c r="E212" s="545">
        <v>351625.0</v>
      </c>
      <c r="F212" s="545">
        <v>677.0</v>
      </c>
      <c r="G212" s="546">
        <v>710.0</v>
      </c>
      <c r="H212" s="546">
        <v>438.81</v>
      </c>
      <c r="I212" s="545">
        <v>450.0</v>
      </c>
      <c r="J212" s="102">
        <f t="shared" si="54"/>
        <v>-11.19</v>
      </c>
      <c r="K212" s="103">
        <f t="shared" si="55"/>
        <v>66.46971935</v>
      </c>
      <c r="L212" s="54"/>
      <c r="M212" s="54"/>
    </row>
    <row r="213">
      <c r="A213" s="551"/>
      <c r="B213" s="561">
        <v>2023.0</v>
      </c>
      <c r="C213" s="75"/>
      <c r="D213" s="75"/>
      <c r="E213" s="75"/>
      <c r="F213" s="75"/>
      <c r="G213" s="75"/>
      <c r="H213" s="75"/>
      <c r="I213" s="76"/>
      <c r="J213" s="562"/>
      <c r="K213" s="563"/>
      <c r="L213" s="551"/>
      <c r="M213" s="551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</row>
    <row r="214">
      <c r="A214" s="551"/>
      <c r="B214" s="561" t="s">
        <v>66</v>
      </c>
      <c r="C214" s="75"/>
      <c r="D214" s="75"/>
      <c r="E214" s="75"/>
      <c r="F214" s="75"/>
      <c r="G214" s="75"/>
      <c r="H214" s="75"/>
      <c r="I214" s="76"/>
      <c r="J214" s="562"/>
      <c r="K214" s="563"/>
      <c r="L214" s="551"/>
      <c r="M214" s="551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</row>
    <row r="215">
      <c r="A215" s="54"/>
      <c r="B215" s="542">
        <v>44945.0</v>
      </c>
      <c r="C215" s="543"/>
      <c r="D215" s="544" t="s">
        <v>469</v>
      </c>
      <c r="E215" s="545">
        <v>352424.0</v>
      </c>
      <c r="F215" s="545">
        <v>799.0</v>
      </c>
      <c r="G215" s="546">
        <v>716.0</v>
      </c>
      <c r="H215" s="546">
        <v>411.49</v>
      </c>
      <c r="I215" s="545">
        <v>440.47</v>
      </c>
      <c r="J215" s="102">
        <f t="shared" ref="J215:J217" si="56">H215-I215</f>
        <v>-28.98</v>
      </c>
      <c r="K215" s="103">
        <f t="shared" ref="K215:K217" si="57">I215/F215*100</f>
        <v>55.12765957</v>
      </c>
      <c r="L215" s="54"/>
      <c r="M215" s="54"/>
    </row>
    <row r="216">
      <c r="A216" s="54"/>
      <c r="B216" s="542">
        <v>44950.0</v>
      </c>
      <c r="C216" s="543"/>
      <c r="D216" s="544" t="s">
        <v>469</v>
      </c>
      <c r="E216" s="545">
        <v>353110.0</v>
      </c>
      <c r="F216" s="545">
        <v>686.0</v>
      </c>
      <c r="G216" s="546">
        <v>718.0</v>
      </c>
      <c r="H216" s="546">
        <v>340.38</v>
      </c>
      <c r="I216" s="545">
        <v>360.14</v>
      </c>
      <c r="J216" s="102">
        <f t="shared" si="56"/>
        <v>-19.76</v>
      </c>
      <c r="K216" s="103">
        <f t="shared" si="57"/>
        <v>52.49854227</v>
      </c>
      <c r="L216" s="54"/>
      <c r="M216" s="54"/>
    </row>
    <row r="217">
      <c r="A217" s="54"/>
      <c r="B217" s="542">
        <v>44955.0</v>
      </c>
      <c r="C217" s="543"/>
      <c r="D217" s="544" t="s">
        <v>469</v>
      </c>
      <c r="E217" s="545">
        <v>353813.0</v>
      </c>
      <c r="F217" s="545">
        <v>703.0</v>
      </c>
      <c r="G217" s="546">
        <v>718.0</v>
      </c>
      <c r="H217" s="546">
        <v>389.99</v>
      </c>
      <c r="I217" s="545">
        <v>411.11</v>
      </c>
      <c r="J217" s="102">
        <f t="shared" si="56"/>
        <v>-21.12</v>
      </c>
      <c r="K217" s="103">
        <f t="shared" si="57"/>
        <v>58.47937411</v>
      </c>
      <c r="L217" s="54"/>
      <c r="M217" s="54"/>
    </row>
    <row r="218">
      <c r="A218" s="551"/>
      <c r="B218" s="564" t="s">
        <v>68</v>
      </c>
      <c r="C218" s="75"/>
      <c r="D218" s="75"/>
      <c r="E218" s="75"/>
      <c r="F218" s="75"/>
      <c r="G218" s="75"/>
      <c r="H218" s="75"/>
      <c r="I218" s="76"/>
      <c r="J218" s="562"/>
      <c r="K218" s="563"/>
      <c r="L218" s="551"/>
      <c r="M218" s="551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</row>
    <row r="219">
      <c r="A219" s="54"/>
      <c r="B219" s="542">
        <v>44961.0</v>
      </c>
      <c r="C219" s="543"/>
      <c r="D219" s="544" t="s">
        <v>469</v>
      </c>
      <c r="E219" s="545">
        <v>354633.0</v>
      </c>
      <c r="F219" s="545">
        <v>820.0</v>
      </c>
      <c r="G219" s="546">
        <v>722.0</v>
      </c>
      <c r="H219" s="546">
        <v>409.56</v>
      </c>
      <c r="I219" s="545">
        <v>427.93</v>
      </c>
      <c r="J219" s="102">
        <f t="shared" ref="J219:J222" si="58">H219-I219</f>
        <v>-18.37</v>
      </c>
      <c r="K219" s="103">
        <f t="shared" ref="K219:K222" si="59">I219/F219*100</f>
        <v>52.18658537</v>
      </c>
      <c r="L219" s="54"/>
      <c r="M219" s="54"/>
    </row>
    <row r="220">
      <c r="A220" s="54"/>
      <c r="B220" s="542">
        <v>44966.0</v>
      </c>
      <c r="C220" s="543"/>
      <c r="D220" s="544" t="s">
        <v>469</v>
      </c>
      <c r="E220" s="545">
        <v>355329.0</v>
      </c>
      <c r="F220" s="545">
        <v>696.0</v>
      </c>
      <c r="G220" s="546">
        <v>707.0</v>
      </c>
      <c r="H220" s="546">
        <v>331.47</v>
      </c>
      <c r="I220" s="545">
        <v>340.0</v>
      </c>
      <c r="J220" s="102">
        <f t="shared" si="58"/>
        <v>-8.53</v>
      </c>
      <c r="K220" s="103">
        <f t="shared" si="59"/>
        <v>48.85057471</v>
      </c>
      <c r="L220" s="54"/>
      <c r="M220" s="54"/>
    </row>
    <row r="221">
      <c r="A221" s="54"/>
      <c r="B221" s="542">
        <v>44973.0</v>
      </c>
      <c r="C221" s="543"/>
      <c r="D221" s="544" t="s">
        <v>469</v>
      </c>
      <c r="E221" s="545">
        <v>356242.0</v>
      </c>
      <c r="F221" s="545">
        <v>913.0</v>
      </c>
      <c r="G221" s="546">
        <v>723.0</v>
      </c>
      <c r="H221" s="546">
        <v>476.79</v>
      </c>
      <c r="I221" s="545">
        <v>487.31</v>
      </c>
      <c r="J221" s="102">
        <f t="shared" si="58"/>
        <v>-10.52</v>
      </c>
      <c r="K221" s="103">
        <f t="shared" si="59"/>
        <v>53.37458927</v>
      </c>
      <c r="L221" s="54"/>
      <c r="M221" s="54"/>
    </row>
    <row r="222">
      <c r="A222" s="54"/>
      <c r="B222" s="542">
        <v>44980.0</v>
      </c>
      <c r="C222" s="543"/>
      <c r="D222" s="544" t="s">
        <v>469</v>
      </c>
      <c r="E222" s="545">
        <v>356985.0</v>
      </c>
      <c r="F222" s="545">
        <v>743.0</v>
      </c>
      <c r="G222" s="546">
        <v>725.0</v>
      </c>
      <c r="H222" s="546">
        <v>391.15</v>
      </c>
      <c r="I222" s="545">
        <v>398.4</v>
      </c>
      <c r="J222" s="102">
        <f t="shared" si="58"/>
        <v>-7.25</v>
      </c>
      <c r="K222" s="103">
        <f t="shared" si="59"/>
        <v>53.6204576</v>
      </c>
      <c r="L222" s="54"/>
      <c r="M222" s="54"/>
    </row>
    <row r="223">
      <c r="A223" s="551"/>
      <c r="B223" s="561" t="s">
        <v>72</v>
      </c>
      <c r="C223" s="75"/>
      <c r="D223" s="75"/>
      <c r="E223" s="75"/>
      <c r="F223" s="75"/>
      <c r="G223" s="75"/>
      <c r="H223" s="75"/>
      <c r="I223" s="76"/>
      <c r="J223" s="562"/>
      <c r="K223" s="563"/>
      <c r="L223" s="551"/>
      <c r="M223" s="551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</row>
    <row r="224">
      <c r="A224" s="54"/>
      <c r="B224" s="542">
        <v>44987.0</v>
      </c>
      <c r="C224" s="543"/>
      <c r="D224" s="544" t="s">
        <v>469</v>
      </c>
      <c r="E224" s="545">
        <v>357735.0</v>
      </c>
      <c r="F224" s="545">
        <v>750.0</v>
      </c>
      <c r="G224" s="546">
        <v>718.0</v>
      </c>
      <c r="H224" s="546">
        <v>387.08</v>
      </c>
      <c r="I224" s="545">
        <v>404.14</v>
      </c>
      <c r="J224" s="102">
        <f t="shared" ref="J224:J225" si="60">H224-I224</f>
        <v>-17.06</v>
      </c>
      <c r="K224" s="103">
        <f t="shared" ref="K224:K225" si="61">I224/F224*100</f>
        <v>53.88533333</v>
      </c>
      <c r="L224" s="54"/>
      <c r="M224" s="54"/>
    </row>
    <row r="225">
      <c r="A225" s="54"/>
      <c r="B225" s="542">
        <v>44996.0</v>
      </c>
      <c r="C225" s="543"/>
      <c r="D225" s="544" t="s">
        <v>469</v>
      </c>
      <c r="E225" s="545">
        <v>358505.0</v>
      </c>
      <c r="F225" s="545">
        <v>770.0</v>
      </c>
      <c r="G225" s="546">
        <v>717.0</v>
      </c>
      <c r="H225" s="546">
        <v>424.09</v>
      </c>
      <c r="I225" s="545">
        <v>435.0</v>
      </c>
      <c r="J225" s="102">
        <f t="shared" si="60"/>
        <v>-10.91</v>
      </c>
      <c r="K225" s="103">
        <f t="shared" si="61"/>
        <v>56.49350649</v>
      </c>
      <c r="L225" s="54"/>
      <c r="M225" s="54"/>
    </row>
    <row r="226">
      <c r="A226" s="551"/>
      <c r="B226" s="561" t="s">
        <v>74</v>
      </c>
      <c r="C226" s="75"/>
      <c r="D226" s="75"/>
      <c r="E226" s="75"/>
      <c r="F226" s="75"/>
      <c r="G226" s="75"/>
      <c r="H226" s="75"/>
      <c r="I226" s="76"/>
      <c r="J226" s="562"/>
      <c r="K226" s="563"/>
      <c r="L226" s="551"/>
      <c r="M226" s="551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</row>
    <row r="227">
      <c r="A227" s="54"/>
      <c r="B227" s="542">
        <v>45033.0</v>
      </c>
      <c r="C227" s="543"/>
      <c r="D227" s="544" t="s">
        <v>469</v>
      </c>
      <c r="E227" s="545">
        <v>359177.0</v>
      </c>
      <c r="F227" s="545">
        <v>672.0</v>
      </c>
      <c r="G227" s="546">
        <v>728.0</v>
      </c>
      <c r="H227" s="546">
        <v>346.39</v>
      </c>
      <c r="I227" s="545">
        <v>342.43</v>
      </c>
      <c r="J227" s="102">
        <f t="shared" ref="J227:J229" si="62">H227-I227</f>
        <v>3.96</v>
      </c>
      <c r="K227" s="103">
        <f t="shared" ref="K227:K229" si="63">I227/F227*100</f>
        <v>50.95684524</v>
      </c>
      <c r="L227" s="54"/>
      <c r="M227" s="54"/>
    </row>
    <row r="228">
      <c r="A228" s="54"/>
      <c r="B228" s="542">
        <v>45038.0</v>
      </c>
      <c r="C228" s="543"/>
      <c r="D228" s="544" t="s">
        <v>469</v>
      </c>
      <c r="E228" s="545">
        <v>360225.0</v>
      </c>
      <c r="F228" s="545">
        <v>1048.0</v>
      </c>
      <c r="G228" s="546">
        <v>737.0</v>
      </c>
      <c r="H228" s="546">
        <v>409.75</v>
      </c>
      <c r="I228" s="545">
        <v>414.19</v>
      </c>
      <c r="J228" s="102">
        <f t="shared" si="62"/>
        <v>-4.44</v>
      </c>
      <c r="K228" s="103">
        <f t="shared" si="63"/>
        <v>39.52194656</v>
      </c>
      <c r="L228" s="54"/>
      <c r="M228" s="54"/>
    </row>
    <row r="229">
      <c r="A229" s="54"/>
      <c r="B229" s="542">
        <v>45043.0</v>
      </c>
      <c r="C229" s="543"/>
      <c r="D229" s="544" t="s">
        <v>469</v>
      </c>
      <c r="E229" s="545">
        <v>360835.0</v>
      </c>
      <c r="F229" s="545">
        <v>610.0</v>
      </c>
      <c r="G229" s="546">
        <v>746.0</v>
      </c>
      <c r="H229" s="546">
        <v>346.58</v>
      </c>
      <c r="I229" s="545">
        <v>334.76</v>
      </c>
      <c r="J229" s="102">
        <f t="shared" si="62"/>
        <v>11.82</v>
      </c>
      <c r="K229" s="103">
        <f t="shared" si="63"/>
        <v>54.87868852</v>
      </c>
      <c r="L229" s="54"/>
      <c r="M229" s="54"/>
    </row>
    <row r="230">
      <c r="A230" s="551"/>
      <c r="B230" s="561" t="s">
        <v>75</v>
      </c>
      <c r="C230" s="75"/>
      <c r="D230" s="75"/>
      <c r="E230" s="75"/>
      <c r="F230" s="75"/>
      <c r="G230" s="75"/>
      <c r="H230" s="75"/>
      <c r="I230" s="76"/>
      <c r="J230" s="562"/>
      <c r="K230" s="563"/>
      <c r="L230" s="551"/>
      <c r="M230" s="551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</row>
    <row r="231">
      <c r="A231" s="54"/>
      <c r="B231" s="542">
        <v>45055.0</v>
      </c>
      <c r="C231" s="543"/>
      <c r="D231" s="544" t="s">
        <v>469</v>
      </c>
      <c r="E231" s="545">
        <v>361859.0</v>
      </c>
      <c r="F231" s="545">
        <v>1024.0</v>
      </c>
      <c r="G231" s="546">
        <v>747.0</v>
      </c>
      <c r="H231" s="546">
        <v>476.21</v>
      </c>
      <c r="I231" s="545">
        <v>480.93</v>
      </c>
      <c r="J231" s="102">
        <f>H231-I231</f>
        <v>-4.72</v>
      </c>
      <c r="K231" s="103">
        <f>I231/F231*100</f>
        <v>46.96582031</v>
      </c>
      <c r="L231" s="54"/>
      <c r="M231" s="54"/>
    </row>
    <row r="232">
      <c r="A232" s="551"/>
      <c r="B232" s="561" t="s">
        <v>90</v>
      </c>
      <c r="C232" s="75"/>
      <c r="D232" s="75"/>
      <c r="E232" s="75"/>
      <c r="F232" s="75"/>
      <c r="G232" s="75"/>
      <c r="H232" s="75"/>
      <c r="I232" s="76"/>
      <c r="J232" s="562"/>
      <c r="K232" s="563"/>
      <c r="L232" s="551"/>
      <c r="M232" s="551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</row>
    <row r="233">
      <c r="A233" s="54"/>
      <c r="B233" s="542">
        <v>45082.0</v>
      </c>
      <c r="C233" s="543"/>
      <c r="D233" s="544" t="s">
        <v>470</v>
      </c>
      <c r="E233" s="545">
        <v>363069.0</v>
      </c>
      <c r="F233" s="545">
        <v>1210.0</v>
      </c>
      <c r="G233" s="546">
        <v>742.0</v>
      </c>
      <c r="H233" s="546">
        <v>520.39</v>
      </c>
      <c r="I233" s="545">
        <v>520.18</v>
      </c>
      <c r="J233" s="102">
        <f t="shared" ref="J233:J234" si="64">H233-I233</f>
        <v>0.21</v>
      </c>
      <c r="K233" s="103">
        <f t="shared" ref="K233:K234" si="65">I233/F233*100</f>
        <v>42.99008264</v>
      </c>
      <c r="L233" s="54"/>
      <c r="M233" s="54"/>
    </row>
    <row r="234">
      <c r="A234" s="54"/>
      <c r="B234" s="542">
        <v>45096.0</v>
      </c>
      <c r="C234" s="543"/>
      <c r="D234" s="544" t="s">
        <v>470</v>
      </c>
      <c r="E234" s="545">
        <v>364969.0</v>
      </c>
      <c r="F234" s="545">
        <v>1900.0</v>
      </c>
      <c r="G234" s="546">
        <v>430.0</v>
      </c>
      <c r="H234" s="546">
        <v>299.55</v>
      </c>
      <c r="I234" s="545">
        <v>300.0</v>
      </c>
      <c r="J234" s="102">
        <f t="shared" si="64"/>
        <v>-0.45</v>
      </c>
      <c r="K234" s="103">
        <f t="shared" si="65"/>
        <v>15.78947368</v>
      </c>
      <c r="L234" s="54"/>
      <c r="M234" s="54"/>
    </row>
    <row r="235">
      <c r="A235" s="551"/>
      <c r="B235" s="561" t="s">
        <v>92</v>
      </c>
      <c r="C235" s="75"/>
      <c r="D235" s="75"/>
      <c r="E235" s="75"/>
      <c r="F235" s="75"/>
      <c r="G235" s="75"/>
      <c r="H235" s="75"/>
      <c r="I235" s="76"/>
      <c r="J235" s="562"/>
      <c r="K235" s="563"/>
      <c r="L235" s="551"/>
      <c r="M235" s="551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</row>
    <row r="236">
      <c r="A236" s="54"/>
      <c r="B236" s="164" t="s">
        <v>109</v>
      </c>
      <c r="C236" s="75"/>
      <c r="D236" s="75"/>
      <c r="E236" s="75"/>
      <c r="F236" s="75"/>
      <c r="G236" s="75"/>
      <c r="H236" s="75"/>
      <c r="I236" s="76"/>
      <c r="J236" s="102"/>
      <c r="K236" s="102"/>
      <c r="L236" s="54"/>
      <c r="M236" s="54"/>
    </row>
    <row r="237">
      <c r="A237" s="551"/>
      <c r="B237" s="561" t="s">
        <v>95</v>
      </c>
      <c r="C237" s="75"/>
      <c r="D237" s="75"/>
      <c r="E237" s="75"/>
      <c r="F237" s="75"/>
      <c r="G237" s="75"/>
      <c r="H237" s="75"/>
      <c r="I237" s="76"/>
      <c r="J237" s="562"/>
      <c r="K237" s="563"/>
      <c r="L237" s="551"/>
      <c r="M237" s="551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</row>
    <row r="238">
      <c r="A238" s="54"/>
      <c r="B238" s="542">
        <v>45142.0</v>
      </c>
      <c r="C238" s="543"/>
      <c r="D238" s="544" t="s">
        <v>122</v>
      </c>
      <c r="E238" s="545">
        <v>365519.0</v>
      </c>
      <c r="F238" s="545">
        <v>550.0</v>
      </c>
      <c r="G238" s="546">
        <v>722.0</v>
      </c>
      <c r="H238" s="546">
        <v>489.97</v>
      </c>
      <c r="I238" s="545">
        <v>500.0</v>
      </c>
      <c r="J238" s="102">
        <f t="shared" ref="J238:J241" si="66">H238-I238</f>
        <v>-10.03</v>
      </c>
      <c r="K238" s="103">
        <f t="shared" ref="K238:K241" si="67">I238/F238*100</f>
        <v>90.90909091</v>
      </c>
      <c r="L238" s="54"/>
      <c r="M238" s="54"/>
    </row>
    <row r="239">
      <c r="A239" s="54"/>
      <c r="B239" s="542">
        <v>45154.0</v>
      </c>
      <c r="C239" s="543"/>
      <c r="D239" s="544" t="s">
        <v>122</v>
      </c>
      <c r="E239" s="545">
        <v>366660.0</v>
      </c>
      <c r="F239" s="545">
        <v>1141.0</v>
      </c>
      <c r="G239" s="546">
        <v>753.0</v>
      </c>
      <c r="H239" s="546">
        <v>487.32</v>
      </c>
      <c r="I239" s="545">
        <v>479.31</v>
      </c>
      <c r="J239" s="102">
        <f t="shared" si="66"/>
        <v>8.01</v>
      </c>
      <c r="K239" s="103">
        <f t="shared" si="67"/>
        <v>42.00788782</v>
      </c>
      <c r="L239" s="54"/>
      <c r="M239" s="54"/>
    </row>
    <row r="240">
      <c r="A240" s="54"/>
      <c r="B240" s="542">
        <v>45160.0</v>
      </c>
      <c r="C240" s="543"/>
      <c r="D240" s="544" t="s">
        <v>122</v>
      </c>
      <c r="E240" s="545">
        <v>367834.0</v>
      </c>
      <c r="F240" s="545">
        <v>1174.0</v>
      </c>
      <c r="G240" s="546">
        <v>682.0</v>
      </c>
      <c r="H240" s="546">
        <v>319.65</v>
      </c>
      <c r="I240" s="545">
        <v>350.0</v>
      </c>
      <c r="J240" s="102">
        <f t="shared" si="66"/>
        <v>-30.35</v>
      </c>
      <c r="K240" s="103">
        <f t="shared" si="67"/>
        <v>29.81260647</v>
      </c>
      <c r="L240" s="54"/>
      <c r="M240" s="54"/>
    </row>
    <row r="241">
      <c r="A241" s="54"/>
      <c r="B241" s="542">
        <v>45164.0</v>
      </c>
      <c r="C241" s="543"/>
      <c r="D241" s="544" t="s">
        <v>122</v>
      </c>
      <c r="E241" s="545">
        <v>368642.0</v>
      </c>
      <c r="F241" s="545">
        <v>808.0</v>
      </c>
      <c r="G241" s="546">
        <v>729.0</v>
      </c>
      <c r="H241" s="546">
        <v>335.34</v>
      </c>
      <c r="I241" s="545">
        <v>350.0</v>
      </c>
      <c r="J241" s="102">
        <f t="shared" si="66"/>
        <v>-14.66</v>
      </c>
      <c r="K241" s="103">
        <f t="shared" si="67"/>
        <v>43.31683168</v>
      </c>
      <c r="L241" s="54"/>
      <c r="M241" s="54"/>
    </row>
    <row r="242">
      <c r="A242" s="551"/>
      <c r="B242" s="561" t="s">
        <v>104</v>
      </c>
      <c r="C242" s="75"/>
      <c r="D242" s="75"/>
      <c r="E242" s="75"/>
      <c r="F242" s="75"/>
      <c r="G242" s="75"/>
      <c r="H242" s="75"/>
      <c r="I242" s="76"/>
      <c r="J242" s="562"/>
      <c r="K242" s="563"/>
      <c r="L242" s="551"/>
      <c r="M242" s="551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</row>
    <row r="243">
      <c r="A243" s="54"/>
      <c r="B243" s="542">
        <v>45172.0</v>
      </c>
      <c r="C243" s="543"/>
      <c r="D243" s="544" t="s">
        <v>274</v>
      </c>
      <c r="E243" s="545">
        <v>369620.0</v>
      </c>
      <c r="F243" s="545">
        <v>978.0</v>
      </c>
      <c r="G243" s="546">
        <v>583.0</v>
      </c>
      <c r="H243" s="546">
        <v>196.0</v>
      </c>
      <c r="I243" s="545">
        <v>200.0</v>
      </c>
      <c r="J243" s="102">
        <f t="shared" ref="J243:J246" si="68">H243-I243</f>
        <v>-4</v>
      </c>
      <c r="K243" s="103">
        <f t="shared" ref="K243:K246" si="69">I243/F243*100</f>
        <v>20.44989775</v>
      </c>
      <c r="L243" s="54"/>
      <c r="M243" s="54"/>
    </row>
    <row r="244">
      <c r="A244" s="54"/>
      <c r="B244" s="542">
        <v>45173.0</v>
      </c>
      <c r="C244" s="543"/>
      <c r="D244" s="544" t="s">
        <v>274</v>
      </c>
      <c r="E244" s="545">
        <v>370647.0</v>
      </c>
      <c r="F244" s="545">
        <v>1027.0</v>
      </c>
      <c r="G244" s="546">
        <v>745.0</v>
      </c>
      <c r="H244" s="546">
        <v>474.0</v>
      </c>
      <c r="I244" s="545">
        <v>470.05</v>
      </c>
      <c r="J244" s="102">
        <f t="shared" si="68"/>
        <v>3.95</v>
      </c>
      <c r="K244" s="103">
        <f t="shared" si="69"/>
        <v>45.76923077</v>
      </c>
      <c r="L244" s="54"/>
      <c r="M244" s="54"/>
    </row>
    <row r="245">
      <c r="A245" s="54"/>
      <c r="B245" s="542">
        <v>45176.0</v>
      </c>
      <c r="C245" s="543"/>
      <c r="D245" s="544" t="s">
        <v>274</v>
      </c>
      <c r="E245" s="545">
        <v>372184.0</v>
      </c>
      <c r="F245" s="545">
        <v>1537.0</v>
      </c>
      <c r="G245" s="546">
        <v>732.0</v>
      </c>
      <c r="H245" s="546">
        <v>503.0</v>
      </c>
      <c r="I245" s="545">
        <v>500.0</v>
      </c>
      <c r="J245" s="102">
        <f t="shared" si="68"/>
        <v>3</v>
      </c>
      <c r="K245" s="103">
        <f t="shared" si="69"/>
        <v>32.53090436</v>
      </c>
      <c r="L245" s="54"/>
      <c r="M245" s="54"/>
    </row>
    <row r="246">
      <c r="A246" s="54"/>
      <c r="B246" s="542">
        <v>45179.0</v>
      </c>
      <c r="C246" s="543"/>
      <c r="D246" s="544" t="s">
        <v>274</v>
      </c>
      <c r="E246" s="545">
        <v>373088.0</v>
      </c>
      <c r="F246" s="545">
        <v>904.0</v>
      </c>
      <c r="G246" s="546">
        <v>751.0</v>
      </c>
      <c r="H246" s="546">
        <v>327.0</v>
      </c>
      <c r="I246" s="545">
        <v>321.09</v>
      </c>
      <c r="J246" s="102">
        <f t="shared" si="68"/>
        <v>5.91</v>
      </c>
      <c r="K246" s="103">
        <f t="shared" si="69"/>
        <v>35.51880531</v>
      </c>
      <c r="L246" s="54"/>
      <c r="M246" s="54"/>
    </row>
    <row r="247">
      <c r="A247" s="551"/>
      <c r="B247" s="561" t="s">
        <v>96</v>
      </c>
      <c r="C247" s="75"/>
      <c r="D247" s="75"/>
      <c r="E247" s="75"/>
      <c r="F247" s="75"/>
      <c r="G247" s="75"/>
      <c r="H247" s="75"/>
      <c r="I247" s="76"/>
      <c r="J247" s="562"/>
      <c r="K247" s="563"/>
      <c r="L247" s="551"/>
      <c r="M247" s="551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</row>
    <row r="248">
      <c r="A248" s="54"/>
      <c r="B248" s="552">
        <v>45230.0</v>
      </c>
      <c r="C248" s="553"/>
      <c r="D248" s="544" t="s">
        <v>116</v>
      </c>
      <c r="E248" s="545">
        <v>374590.0</v>
      </c>
      <c r="F248" s="545">
        <v>1502.0</v>
      </c>
      <c r="G248" s="546">
        <v>538.0</v>
      </c>
      <c r="H248" s="546">
        <v>297.0</v>
      </c>
      <c r="I248" s="545">
        <v>300.0</v>
      </c>
      <c r="J248" s="102">
        <f>H248-I248</f>
        <v>-3</v>
      </c>
      <c r="K248" s="103">
        <f>I248/F248*100</f>
        <v>19.97336884</v>
      </c>
      <c r="L248" s="54"/>
      <c r="M248" s="54"/>
    </row>
    <row r="249">
      <c r="A249" s="551"/>
      <c r="B249" s="561" t="s">
        <v>97</v>
      </c>
      <c r="C249" s="75"/>
      <c r="D249" s="75"/>
      <c r="E249" s="75"/>
      <c r="F249" s="75"/>
      <c r="G249" s="75"/>
      <c r="H249" s="75"/>
      <c r="I249" s="76"/>
      <c r="J249" s="562"/>
      <c r="K249" s="563"/>
      <c r="L249" s="551"/>
      <c r="M249" s="551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</row>
    <row r="250">
      <c r="A250" s="54"/>
      <c r="B250" s="542">
        <v>45232.0</v>
      </c>
      <c r="C250" s="543"/>
      <c r="D250" s="544" t="s">
        <v>116</v>
      </c>
      <c r="E250" s="545">
        <v>375344.0</v>
      </c>
      <c r="F250" s="545">
        <v>754.0</v>
      </c>
      <c r="G250" s="546">
        <v>741.0</v>
      </c>
      <c r="H250" s="546">
        <v>472.0</v>
      </c>
      <c r="I250" s="545">
        <v>472.2</v>
      </c>
      <c r="J250" s="102">
        <f t="shared" ref="J250:J253" si="70">H250-I250</f>
        <v>-0.2</v>
      </c>
      <c r="K250" s="103">
        <f t="shared" ref="K250:K253" si="71">I250/F250*100</f>
        <v>62.62599469</v>
      </c>
      <c r="L250" s="54"/>
      <c r="M250" s="54"/>
    </row>
    <row r="251">
      <c r="A251" s="54"/>
      <c r="B251" s="552">
        <v>45250.0</v>
      </c>
      <c r="C251" s="553"/>
      <c r="D251" s="544" t="s">
        <v>471</v>
      </c>
      <c r="E251" s="545">
        <v>376961.0</v>
      </c>
      <c r="F251" s="545">
        <v>1617.0</v>
      </c>
      <c r="G251" s="546">
        <v>723.0</v>
      </c>
      <c r="H251" s="546">
        <v>547.0</v>
      </c>
      <c r="I251" s="545">
        <v>562.13</v>
      </c>
      <c r="J251" s="102">
        <f t="shared" si="70"/>
        <v>-15.13</v>
      </c>
      <c r="K251" s="103">
        <f t="shared" si="71"/>
        <v>34.76376005</v>
      </c>
      <c r="L251" s="54"/>
      <c r="M251" s="54"/>
    </row>
    <row r="252">
      <c r="A252" s="54"/>
      <c r="B252" s="552">
        <v>45255.0</v>
      </c>
      <c r="C252" s="553"/>
      <c r="D252" s="544" t="s">
        <v>471</v>
      </c>
      <c r="E252" s="545">
        <v>379502.0</v>
      </c>
      <c r="F252" s="545">
        <v>2541.0</v>
      </c>
      <c r="G252" s="546">
        <v>733.0</v>
      </c>
      <c r="H252" s="546">
        <v>592.0</v>
      </c>
      <c r="I252" s="545">
        <v>610.4</v>
      </c>
      <c r="J252" s="102">
        <f t="shared" si="70"/>
        <v>-18.4</v>
      </c>
      <c r="K252" s="103">
        <f t="shared" si="71"/>
        <v>24.02203857</v>
      </c>
      <c r="L252" s="54"/>
      <c r="M252" s="54"/>
    </row>
    <row r="253">
      <c r="A253" s="54"/>
      <c r="B253" s="552">
        <v>45260.0</v>
      </c>
      <c r="C253" s="553"/>
      <c r="D253" s="544" t="s">
        <v>471</v>
      </c>
      <c r="E253" s="545">
        <v>379958.0</v>
      </c>
      <c r="F253" s="545">
        <v>456.0</v>
      </c>
      <c r="G253" s="546">
        <v>727.0</v>
      </c>
      <c r="H253" s="546">
        <v>521.0</v>
      </c>
      <c r="I253" s="545">
        <v>547.23</v>
      </c>
      <c r="J253" s="102">
        <f t="shared" si="70"/>
        <v>-26.23</v>
      </c>
      <c r="K253" s="103">
        <f t="shared" si="71"/>
        <v>120.0065789</v>
      </c>
      <c r="L253" s="54"/>
      <c r="M253" s="54"/>
    </row>
    <row r="254">
      <c r="A254" s="551"/>
      <c r="B254" s="561" t="s">
        <v>98</v>
      </c>
      <c r="C254" s="75"/>
      <c r="D254" s="75"/>
      <c r="E254" s="75"/>
      <c r="F254" s="75"/>
      <c r="G254" s="75"/>
      <c r="H254" s="75"/>
      <c r="I254" s="76"/>
      <c r="J254" s="562"/>
      <c r="K254" s="563"/>
      <c r="L254" s="551"/>
      <c r="M254" s="551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</row>
    <row r="255">
      <c r="A255" s="54"/>
      <c r="B255" s="542">
        <v>45267.0</v>
      </c>
      <c r="C255" s="543"/>
      <c r="D255" s="544" t="s">
        <v>471</v>
      </c>
      <c r="E255" s="545">
        <v>381246.0</v>
      </c>
      <c r="F255" s="545">
        <v>1288.0</v>
      </c>
      <c r="G255" s="546">
        <v>724.0</v>
      </c>
      <c r="H255" s="546">
        <v>553.0</v>
      </c>
      <c r="I255" s="545">
        <v>585.33</v>
      </c>
      <c r="J255" s="102">
        <f t="shared" ref="J255:J257" si="72">H255-I255</f>
        <v>-32.33</v>
      </c>
      <c r="K255" s="103">
        <f t="shared" ref="K255:K257" si="73">I255/F255*100</f>
        <v>45.44487578</v>
      </c>
      <c r="L255" s="54"/>
      <c r="M255" s="54"/>
    </row>
    <row r="256">
      <c r="A256" s="54"/>
      <c r="B256" s="552">
        <v>45270.0</v>
      </c>
      <c r="C256" s="553"/>
      <c r="D256" s="544" t="s">
        <v>471</v>
      </c>
      <c r="E256" s="545">
        <v>382366.0</v>
      </c>
      <c r="F256" s="545">
        <v>1120.0</v>
      </c>
      <c r="G256" s="546">
        <v>709.0</v>
      </c>
      <c r="H256" s="546">
        <v>456.0</v>
      </c>
      <c r="I256" s="545">
        <v>500.01</v>
      </c>
      <c r="J256" s="102">
        <f t="shared" si="72"/>
        <v>-44.01</v>
      </c>
      <c r="K256" s="103">
        <f t="shared" si="73"/>
        <v>44.64375</v>
      </c>
      <c r="L256" s="54"/>
      <c r="M256" s="54"/>
    </row>
    <row r="257">
      <c r="A257" s="54"/>
      <c r="B257" s="552">
        <v>45275.0</v>
      </c>
      <c r="C257" s="553"/>
      <c r="D257" s="544" t="s">
        <v>471</v>
      </c>
      <c r="E257" s="545">
        <v>383764.0</v>
      </c>
      <c r="F257" s="545">
        <v>1398.0</v>
      </c>
      <c r="G257" s="546">
        <v>724.0</v>
      </c>
      <c r="H257" s="546">
        <v>533.0</v>
      </c>
      <c r="I257" s="545">
        <v>575.61</v>
      </c>
      <c r="J257" s="102">
        <f t="shared" si="72"/>
        <v>-42.61</v>
      </c>
      <c r="K257" s="103">
        <f t="shared" si="73"/>
        <v>41.17381974</v>
      </c>
      <c r="L257" s="54"/>
      <c r="M257" s="54"/>
    </row>
    <row r="258">
      <c r="A258" s="551"/>
      <c r="B258" s="561">
        <v>2024.0</v>
      </c>
      <c r="C258" s="75"/>
      <c r="D258" s="75"/>
      <c r="E258" s="75"/>
      <c r="F258" s="75"/>
      <c r="G258" s="75"/>
      <c r="H258" s="75"/>
      <c r="I258" s="76"/>
      <c r="J258" s="562"/>
      <c r="K258" s="563"/>
      <c r="L258" s="551"/>
      <c r="M258" s="551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</row>
    <row r="259">
      <c r="A259" s="551"/>
      <c r="B259" s="561" t="s">
        <v>66</v>
      </c>
      <c r="C259" s="75"/>
      <c r="D259" s="75"/>
      <c r="E259" s="75"/>
      <c r="F259" s="75"/>
      <c r="G259" s="75"/>
      <c r="H259" s="75"/>
      <c r="I259" s="76"/>
      <c r="J259" s="562"/>
      <c r="K259" s="563"/>
      <c r="L259" s="551"/>
      <c r="M259" s="551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</row>
    <row r="260">
      <c r="A260" s="54"/>
      <c r="B260" s="542">
        <v>45302.0</v>
      </c>
      <c r="C260" s="543"/>
      <c r="D260" s="544" t="s">
        <v>471</v>
      </c>
      <c r="E260" s="525"/>
      <c r="F260" s="559"/>
      <c r="G260" s="546">
        <v>717.0</v>
      </c>
      <c r="H260" s="546">
        <v>557.0</v>
      </c>
      <c r="I260" s="545">
        <v>592.11</v>
      </c>
      <c r="J260" s="102">
        <f t="shared" ref="J260:J266" si="74">H260-I260</f>
        <v>-35.11</v>
      </c>
      <c r="K260" s="103" t="str">
        <f t="shared" ref="K260:K266" si="75">I260/F260*100</f>
        <v>#DIV/0!</v>
      </c>
      <c r="L260" s="54"/>
      <c r="M260" s="54"/>
    </row>
    <row r="261">
      <c r="A261" s="54"/>
      <c r="B261" s="542">
        <v>45304.0</v>
      </c>
      <c r="C261" s="543"/>
      <c r="D261" s="544" t="s">
        <v>471</v>
      </c>
      <c r="E261" s="525"/>
      <c r="F261" s="559"/>
      <c r="G261" s="546">
        <v>715.0</v>
      </c>
      <c r="H261" s="546">
        <v>325.0</v>
      </c>
      <c r="I261" s="545">
        <v>330.01</v>
      </c>
      <c r="J261" s="102">
        <f t="shared" si="74"/>
        <v>-5.01</v>
      </c>
      <c r="K261" s="103" t="str">
        <f t="shared" si="75"/>
        <v>#DIV/0!</v>
      </c>
      <c r="L261" s="54"/>
      <c r="M261" s="54"/>
    </row>
    <row r="262">
      <c r="A262" s="54"/>
      <c r="B262" s="542">
        <v>45306.0</v>
      </c>
      <c r="C262" s="543"/>
      <c r="D262" s="544" t="s">
        <v>471</v>
      </c>
      <c r="E262" s="540"/>
      <c r="F262" s="559"/>
      <c r="G262" s="546">
        <v>719.0</v>
      </c>
      <c r="H262" s="546">
        <v>448.0</v>
      </c>
      <c r="I262" s="545">
        <v>465.42</v>
      </c>
      <c r="J262" s="102">
        <f t="shared" si="74"/>
        <v>-17.42</v>
      </c>
      <c r="K262" s="103" t="str">
        <f t="shared" si="75"/>
        <v>#DIV/0!</v>
      </c>
      <c r="L262" s="54"/>
      <c r="M262" s="54"/>
    </row>
    <row r="263">
      <c r="A263" s="54"/>
      <c r="B263" s="542">
        <v>45308.0</v>
      </c>
      <c r="C263" s="543"/>
      <c r="D263" s="544" t="s">
        <v>471</v>
      </c>
      <c r="E263" s="559"/>
      <c r="F263" s="559"/>
      <c r="G263" s="546">
        <v>712.0</v>
      </c>
      <c r="H263" s="546">
        <v>453.0</v>
      </c>
      <c r="I263" s="545">
        <v>482.74</v>
      </c>
      <c r="J263" s="102">
        <f t="shared" si="74"/>
        <v>-29.74</v>
      </c>
      <c r="K263" s="103" t="str">
        <f t="shared" si="75"/>
        <v>#DIV/0!</v>
      </c>
      <c r="L263" s="54"/>
      <c r="M263" s="54"/>
    </row>
    <row r="264">
      <c r="A264" s="54"/>
      <c r="B264" s="542">
        <v>45311.0</v>
      </c>
      <c r="C264" s="543"/>
      <c r="D264" s="544" t="s">
        <v>471</v>
      </c>
      <c r="E264" s="559"/>
      <c r="F264" s="559"/>
      <c r="G264" s="546">
        <v>710.0</v>
      </c>
      <c r="H264" s="546">
        <v>494.0</v>
      </c>
      <c r="I264" s="545">
        <v>540.1</v>
      </c>
      <c r="J264" s="102">
        <f t="shared" si="74"/>
        <v>-46.1</v>
      </c>
      <c r="K264" s="103" t="str">
        <f t="shared" si="75"/>
        <v>#DIV/0!</v>
      </c>
      <c r="L264" s="54"/>
      <c r="M264" s="54"/>
    </row>
    <row r="265">
      <c r="A265" s="54"/>
      <c r="B265" s="542">
        <v>45314.0</v>
      </c>
      <c r="C265" s="543"/>
      <c r="D265" s="544" t="s">
        <v>471</v>
      </c>
      <c r="E265" s="559"/>
      <c r="F265" s="559"/>
      <c r="G265" s="546">
        <v>720.0</v>
      </c>
      <c r="H265" s="546">
        <v>530.0</v>
      </c>
      <c r="I265" s="545">
        <v>565.35</v>
      </c>
      <c r="J265" s="102">
        <f t="shared" si="74"/>
        <v>-35.35</v>
      </c>
      <c r="K265" s="103" t="str">
        <f t="shared" si="75"/>
        <v>#DIV/0!</v>
      </c>
      <c r="L265" s="54"/>
      <c r="M265" s="54"/>
    </row>
    <row r="266">
      <c r="A266" s="54"/>
      <c r="B266" s="542">
        <v>45320.0</v>
      </c>
      <c r="C266" s="543"/>
      <c r="D266" s="544" t="s">
        <v>471</v>
      </c>
      <c r="E266" s="559"/>
      <c r="F266" s="559"/>
      <c r="G266" s="546">
        <v>731.0</v>
      </c>
      <c r="H266" s="546">
        <v>598.0</v>
      </c>
      <c r="I266" s="545">
        <v>629.62</v>
      </c>
      <c r="J266" s="102">
        <f t="shared" si="74"/>
        <v>-31.62</v>
      </c>
      <c r="K266" s="103" t="str">
        <f t="shared" si="75"/>
        <v>#DIV/0!</v>
      </c>
      <c r="L266" s="54"/>
      <c r="M266" s="54"/>
    </row>
    <row r="267">
      <c r="A267" s="551"/>
      <c r="B267" s="561" t="s">
        <v>68</v>
      </c>
      <c r="C267" s="75"/>
      <c r="D267" s="75"/>
      <c r="E267" s="75"/>
      <c r="F267" s="75"/>
      <c r="G267" s="75"/>
      <c r="H267" s="75"/>
      <c r="I267" s="76"/>
      <c r="J267" s="562"/>
      <c r="K267" s="563"/>
      <c r="L267" s="551"/>
      <c r="M267" s="551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</row>
    <row r="268">
      <c r="A268" s="54"/>
      <c r="B268" s="542">
        <v>45325.0</v>
      </c>
      <c r="C268" s="543"/>
      <c r="D268" s="544" t="s">
        <v>471</v>
      </c>
      <c r="E268" s="545">
        <v>394596.0</v>
      </c>
      <c r="F268" s="559"/>
      <c r="G268" s="546">
        <v>722.0</v>
      </c>
      <c r="H268" s="546">
        <v>540.0</v>
      </c>
      <c r="I268" s="545">
        <v>575.01</v>
      </c>
      <c r="J268" s="102">
        <f t="shared" ref="J268:J270" si="76">H268-I268</f>
        <v>-35.01</v>
      </c>
      <c r="K268" s="103" t="str">
        <f t="shared" ref="K268:K270" si="77">I268/F268*100</f>
        <v>#DIV/0!</v>
      </c>
      <c r="L268" s="54"/>
      <c r="M268" s="54"/>
    </row>
    <row r="269">
      <c r="A269" s="54"/>
      <c r="B269" s="542">
        <v>45330.0</v>
      </c>
      <c r="C269" s="543"/>
      <c r="D269" s="544" t="s">
        <v>471</v>
      </c>
      <c r="E269" s="545">
        <v>396145.0</v>
      </c>
      <c r="F269" s="545">
        <v>1549.0</v>
      </c>
      <c r="G269" s="546">
        <v>711.0</v>
      </c>
      <c r="H269" s="546">
        <v>452.0</v>
      </c>
      <c r="I269" s="545">
        <v>505.02</v>
      </c>
      <c r="J269" s="102">
        <f t="shared" si="76"/>
        <v>-53.02</v>
      </c>
      <c r="K269" s="103">
        <f t="shared" si="77"/>
        <v>32.60296966</v>
      </c>
      <c r="L269" s="54"/>
      <c r="M269" s="54"/>
    </row>
    <row r="270">
      <c r="A270" s="54"/>
      <c r="B270" s="542">
        <v>45337.0</v>
      </c>
      <c r="C270" s="543"/>
      <c r="D270" s="544" t="s">
        <v>471</v>
      </c>
      <c r="E270" s="545">
        <v>397389.0</v>
      </c>
      <c r="F270" s="545">
        <v>1244.0</v>
      </c>
      <c r="G270" s="546">
        <v>701.0</v>
      </c>
      <c r="H270" s="546">
        <v>535.0</v>
      </c>
      <c r="I270" s="545">
        <v>578.76</v>
      </c>
      <c r="J270" s="102">
        <f t="shared" si="76"/>
        <v>-43.76</v>
      </c>
      <c r="K270" s="103">
        <f t="shared" si="77"/>
        <v>46.52411576</v>
      </c>
      <c r="L270" s="54"/>
      <c r="M270" s="54"/>
    </row>
    <row r="271">
      <c r="A271" s="551"/>
      <c r="B271" s="561" t="s">
        <v>72</v>
      </c>
      <c r="C271" s="75"/>
      <c r="D271" s="75"/>
      <c r="E271" s="75"/>
      <c r="F271" s="75"/>
      <c r="G271" s="75"/>
      <c r="H271" s="75"/>
      <c r="I271" s="76"/>
      <c r="J271" s="562"/>
      <c r="K271" s="563"/>
      <c r="L271" s="551"/>
      <c r="M271" s="551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</row>
    <row r="272">
      <c r="A272" s="54"/>
      <c r="B272" s="542">
        <v>45366.0</v>
      </c>
      <c r="C272" s="543"/>
      <c r="D272" s="544" t="s">
        <v>471</v>
      </c>
      <c r="E272" s="545">
        <v>398994.0</v>
      </c>
      <c r="F272" s="545">
        <v>1605.0</v>
      </c>
      <c r="G272" s="546">
        <v>716.0</v>
      </c>
      <c r="H272" s="546">
        <v>503.0</v>
      </c>
      <c r="I272" s="545">
        <v>546.82</v>
      </c>
      <c r="J272" s="102">
        <f t="shared" ref="J272:J275" si="78">H272-I272</f>
        <v>-43.82</v>
      </c>
      <c r="K272" s="103">
        <f t="shared" ref="K272:K275" si="79">I272/F272*100</f>
        <v>34.06978193</v>
      </c>
      <c r="L272" s="54"/>
      <c r="M272" s="54"/>
    </row>
    <row r="273">
      <c r="A273" s="54"/>
      <c r="B273" s="542">
        <v>45371.0</v>
      </c>
      <c r="C273" s="543"/>
      <c r="D273" s="544" t="s">
        <v>471</v>
      </c>
      <c r="E273" s="545">
        <v>400844.0</v>
      </c>
      <c r="F273" s="545">
        <v>1850.0</v>
      </c>
      <c r="G273" s="546">
        <v>727.0</v>
      </c>
      <c r="H273" s="546">
        <v>539.0</v>
      </c>
      <c r="I273" s="545">
        <v>580.0</v>
      </c>
      <c r="J273" s="102">
        <f t="shared" si="78"/>
        <v>-41</v>
      </c>
      <c r="K273" s="103">
        <f t="shared" si="79"/>
        <v>31.35135135</v>
      </c>
      <c r="L273" s="54"/>
      <c r="M273" s="54"/>
    </row>
    <row r="274">
      <c r="A274" s="54"/>
      <c r="B274" s="542">
        <v>45375.0</v>
      </c>
      <c r="C274" s="543"/>
      <c r="D274" s="544" t="s">
        <v>471</v>
      </c>
      <c r="E274" s="545">
        <v>402463.0</v>
      </c>
      <c r="F274" s="545">
        <v>1619.0</v>
      </c>
      <c r="G274" s="546">
        <v>728.0</v>
      </c>
      <c r="H274" s="546">
        <v>579.0</v>
      </c>
      <c r="I274" s="545">
        <v>606.0</v>
      </c>
      <c r="J274" s="102">
        <f t="shared" si="78"/>
        <v>-27</v>
      </c>
      <c r="K274" s="103">
        <f t="shared" si="79"/>
        <v>37.43051266</v>
      </c>
      <c r="L274" s="54"/>
      <c r="M274" s="54"/>
    </row>
    <row r="275">
      <c r="A275" s="54"/>
      <c r="B275" s="542">
        <v>45379.0</v>
      </c>
      <c r="C275" s="543"/>
      <c r="D275" s="544" t="s">
        <v>471</v>
      </c>
      <c r="E275" s="545">
        <v>404081.0</v>
      </c>
      <c r="F275" s="545">
        <v>1618.0</v>
      </c>
      <c r="G275" s="546">
        <v>740.0</v>
      </c>
      <c r="H275" s="546">
        <v>570.0</v>
      </c>
      <c r="I275" s="545">
        <v>599.0</v>
      </c>
      <c r="J275" s="102">
        <f t="shared" si="78"/>
        <v>-29</v>
      </c>
      <c r="K275" s="103">
        <f t="shared" si="79"/>
        <v>37.0210136</v>
      </c>
      <c r="L275" s="54"/>
      <c r="M275" s="54"/>
    </row>
    <row r="276">
      <c r="A276" s="551"/>
      <c r="B276" s="561" t="s">
        <v>74</v>
      </c>
      <c r="C276" s="75"/>
      <c r="D276" s="75"/>
      <c r="E276" s="75"/>
      <c r="F276" s="75"/>
      <c r="G276" s="75"/>
      <c r="H276" s="75"/>
      <c r="I276" s="76"/>
      <c r="J276" s="562"/>
      <c r="K276" s="563"/>
      <c r="L276" s="551"/>
      <c r="M276" s="551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</row>
    <row r="277">
      <c r="A277" s="54"/>
      <c r="B277" s="542">
        <v>45386.0</v>
      </c>
      <c r="C277" s="543"/>
      <c r="D277" s="544" t="s">
        <v>471</v>
      </c>
      <c r="E277" s="545">
        <v>405891.0</v>
      </c>
      <c r="F277" s="545">
        <v>1810.0</v>
      </c>
      <c r="G277" s="546">
        <v>736.0</v>
      </c>
      <c r="H277" s="546">
        <v>588.0</v>
      </c>
      <c r="I277" s="545">
        <v>618.18</v>
      </c>
      <c r="J277" s="102">
        <f t="shared" ref="J277:J280" si="80">H277-I277</f>
        <v>-30.18</v>
      </c>
      <c r="K277" s="103">
        <f t="shared" ref="K277:K280" si="81">I277/F277*100</f>
        <v>34.15359116</v>
      </c>
      <c r="L277" s="54"/>
      <c r="M277" s="54"/>
    </row>
    <row r="278">
      <c r="A278" s="54"/>
      <c r="B278" s="162">
        <v>45392.0</v>
      </c>
      <c r="C278" s="163"/>
      <c r="D278" s="159" t="s">
        <v>471</v>
      </c>
      <c r="E278" s="161">
        <v>407169.0</v>
      </c>
      <c r="F278" s="161">
        <v>1278.0</v>
      </c>
      <c r="G278" s="160">
        <v>735.0</v>
      </c>
      <c r="H278" s="160">
        <v>468.0</v>
      </c>
      <c r="I278" s="161">
        <v>492.45</v>
      </c>
      <c r="J278" s="102">
        <f t="shared" si="80"/>
        <v>-24.45</v>
      </c>
      <c r="K278" s="103">
        <f t="shared" si="81"/>
        <v>38.53286385</v>
      </c>
      <c r="L278" s="54"/>
      <c r="M278" s="54"/>
    </row>
    <row r="279">
      <c r="A279" s="54"/>
      <c r="B279" s="162">
        <v>45400.0</v>
      </c>
      <c r="C279" s="163"/>
      <c r="D279" s="159" t="s">
        <v>471</v>
      </c>
      <c r="E279" s="161">
        <v>408691.0</v>
      </c>
      <c r="F279" s="161">
        <v>1522.0</v>
      </c>
      <c r="G279" s="160">
        <v>724.0</v>
      </c>
      <c r="H279" s="160">
        <v>523.0</v>
      </c>
      <c r="I279" s="161">
        <v>560.01</v>
      </c>
      <c r="J279" s="102">
        <f t="shared" si="80"/>
        <v>-37.01</v>
      </c>
      <c r="K279" s="103">
        <f t="shared" si="81"/>
        <v>36.79434954</v>
      </c>
      <c r="L279" s="54"/>
      <c r="M279" s="54"/>
    </row>
    <row r="280">
      <c r="A280" s="54"/>
      <c r="B280" s="162">
        <v>45405.0</v>
      </c>
      <c r="C280" s="163"/>
      <c r="D280" s="159" t="s">
        <v>471</v>
      </c>
      <c r="E280" s="161">
        <v>410465.0</v>
      </c>
      <c r="F280" s="161">
        <v>1774.0</v>
      </c>
      <c r="G280" s="160">
        <v>735.0</v>
      </c>
      <c r="H280" s="160">
        <v>547.0</v>
      </c>
      <c r="I280" s="161">
        <v>585.0</v>
      </c>
      <c r="J280" s="102">
        <f t="shared" si="80"/>
        <v>-38</v>
      </c>
      <c r="K280" s="103">
        <f t="shared" si="81"/>
        <v>32.97632469</v>
      </c>
      <c r="L280" s="54"/>
      <c r="M280" s="54"/>
    </row>
    <row r="281">
      <c r="A281" s="551"/>
      <c r="B281" s="565" t="s">
        <v>75</v>
      </c>
      <c r="C281" s="75"/>
      <c r="D281" s="75"/>
      <c r="E281" s="75"/>
      <c r="F281" s="75"/>
      <c r="G281" s="75"/>
      <c r="H281" s="75"/>
      <c r="I281" s="76"/>
      <c r="J281" s="566"/>
      <c r="K281" s="508"/>
      <c r="L281" s="551"/>
      <c r="M281" s="551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</row>
    <row r="282">
      <c r="A282" s="54"/>
      <c r="B282" s="162">
        <v>45436.0</v>
      </c>
      <c r="C282" s="163"/>
      <c r="D282" s="159" t="s">
        <v>471</v>
      </c>
      <c r="E282" s="161">
        <v>412006.0</v>
      </c>
      <c r="F282" s="161">
        <v>1541.0</v>
      </c>
      <c r="G282" s="160">
        <v>730.0</v>
      </c>
      <c r="H282" s="160">
        <v>522.0</v>
      </c>
      <c r="I282" s="161">
        <v>542.11</v>
      </c>
      <c r="J282" s="102">
        <f t="shared" ref="J282:J284" si="82">H282-I282</f>
        <v>-20.11</v>
      </c>
      <c r="K282" s="103">
        <f t="shared" ref="K282:K284" si="83">I282/F282*100</f>
        <v>35.17910448</v>
      </c>
      <c r="L282" s="54"/>
      <c r="M282" s="54"/>
    </row>
    <row r="283">
      <c r="A283" s="54"/>
      <c r="B283" s="162">
        <v>45439.0</v>
      </c>
      <c r="C283" s="163"/>
      <c r="D283" s="159" t="s">
        <v>471</v>
      </c>
      <c r="E283" s="161">
        <v>413835.0</v>
      </c>
      <c r="F283" s="161">
        <v>1829.0</v>
      </c>
      <c r="G283" s="160">
        <v>728.0</v>
      </c>
      <c r="H283" s="160">
        <v>538.0</v>
      </c>
      <c r="I283" s="161">
        <v>569.99</v>
      </c>
      <c r="J283" s="102">
        <f t="shared" si="82"/>
        <v>-31.99</v>
      </c>
      <c r="K283" s="103">
        <f t="shared" si="83"/>
        <v>31.16402406</v>
      </c>
      <c r="L283" s="54"/>
      <c r="M283" s="54"/>
    </row>
    <row r="284">
      <c r="A284" s="54"/>
      <c r="B284" s="162">
        <v>45443.0</v>
      </c>
      <c r="C284" s="163"/>
      <c r="D284" s="159" t="s">
        <v>471</v>
      </c>
      <c r="E284" s="161">
        <v>415395.0</v>
      </c>
      <c r="F284" s="161">
        <v>1560.0</v>
      </c>
      <c r="G284" s="160">
        <v>738.0</v>
      </c>
      <c r="H284" s="160">
        <v>480.0</v>
      </c>
      <c r="I284" s="161">
        <v>517.58</v>
      </c>
      <c r="J284" s="102">
        <f t="shared" si="82"/>
        <v>-37.58</v>
      </c>
      <c r="K284" s="103">
        <f t="shared" si="83"/>
        <v>33.17820513</v>
      </c>
      <c r="L284" s="54"/>
      <c r="M284" s="54"/>
    </row>
    <row r="285">
      <c r="A285" s="551"/>
      <c r="B285" s="565" t="s">
        <v>90</v>
      </c>
      <c r="C285" s="75"/>
      <c r="D285" s="75"/>
      <c r="E285" s="75"/>
      <c r="F285" s="75"/>
      <c r="G285" s="75"/>
      <c r="H285" s="75"/>
      <c r="I285" s="76"/>
      <c r="J285" s="566"/>
      <c r="K285" s="508"/>
      <c r="L285" s="551"/>
      <c r="M285" s="551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</row>
    <row r="286">
      <c r="A286" s="54"/>
      <c r="B286" s="162">
        <v>45449.0</v>
      </c>
      <c r="C286" s="163"/>
      <c r="D286" s="159" t="s">
        <v>471</v>
      </c>
      <c r="E286" s="161">
        <v>417132.0</v>
      </c>
      <c r="F286" s="161">
        <v>1737.0</v>
      </c>
      <c r="G286" s="160">
        <v>721.0</v>
      </c>
      <c r="H286" s="160">
        <v>502.0</v>
      </c>
      <c r="I286" s="161">
        <v>534.03</v>
      </c>
      <c r="J286" s="102">
        <f t="shared" ref="J286:J288" si="84">H286-I286</f>
        <v>-32.03</v>
      </c>
      <c r="K286" s="103">
        <f t="shared" ref="K286:K288" si="85">I286/F286*100</f>
        <v>30.74438687</v>
      </c>
      <c r="L286" s="54"/>
      <c r="M286" s="54"/>
    </row>
    <row r="287">
      <c r="A287" s="54"/>
      <c r="B287" s="162">
        <v>45458.0</v>
      </c>
      <c r="C287" s="163"/>
      <c r="D287" s="159" t="s">
        <v>471</v>
      </c>
      <c r="E287" s="161">
        <v>418685.0</v>
      </c>
      <c r="F287" s="161">
        <v>1553.0</v>
      </c>
      <c r="G287" s="160">
        <v>738.0</v>
      </c>
      <c r="H287" s="160">
        <v>538.0</v>
      </c>
      <c r="I287" s="161">
        <v>570.0</v>
      </c>
      <c r="J287" s="102">
        <f t="shared" si="84"/>
        <v>-32</v>
      </c>
      <c r="K287" s="103">
        <f t="shared" si="85"/>
        <v>36.70315518</v>
      </c>
      <c r="L287" s="54"/>
      <c r="M287" s="54"/>
    </row>
    <row r="288">
      <c r="A288" s="54"/>
      <c r="B288" s="162">
        <v>45461.0</v>
      </c>
      <c r="C288" s="163"/>
      <c r="D288" s="159" t="s">
        <v>471</v>
      </c>
      <c r="E288" s="161">
        <v>420066.0</v>
      </c>
      <c r="F288" s="161">
        <v>1381.0</v>
      </c>
      <c r="G288" s="160">
        <v>741.0</v>
      </c>
      <c r="H288" s="160">
        <v>445.0</v>
      </c>
      <c r="I288" s="161">
        <v>474.0</v>
      </c>
      <c r="J288" s="102">
        <f t="shared" si="84"/>
        <v>-29</v>
      </c>
      <c r="K288" s="103">
        <f t="shared" si="85"/>
        <v>34.32295438</v>
      </c>
      <c r="L288" s="54"/>
      <c r="M288" s="54"/>
    </row>
    <row r="289">
      <c r="A289" s="551"/>
      <c r="B289" s="565" t="s">
        <v>92</v>
      </c>
      <c r="C289" s="75"/>
      <c r="D289" s="75"/>
      <c r="E289" s="75"/>
      <c r="F289" s="75"/>
      <c r="G289" s="75"/>
      <c r="H289" s="75"/>
      <c r="I289" s="76"/>
      <c r="J289" s="566"/>
      <c r="K289" s="508"/>
      <c r="L289" s="551"/>
      <c r="M289" s="551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</row>
    <row r="290">
      <c r="A290" s="54"/>
      <c r="B290" s="145">
        <v>45481.0</v>
      </c>
      <c r="C290" s="145"/>
      <c r="D290" s="100" t="s">
        <v>471</v>
      </c>
      <c r="E290" s="178">
        <v>421796.0</v>
      </c>
      <c r="F290" s="148">
        <v>1730.0</v>
      </c>
      <c r="G290" s="176">
        <v>748.0</v>
      </c>
      <c r="H290" s="176">
        <v>558.0</v>
      </c>
      <c r="I290" s="148">
        <v>589.93</v>
      </c>
      <c r="J290" s="102">
        <f t="shared" ref="J290:J292" si="86">H290-I290</f>
        <v>-31.93</v>
      </c>
      <c r="K290" s="103">
        <f t="shared" ref="K290:K292" si="87">I290/F290*100</f>
        <v>34.1</v>
      </c>
      <c r="L290" s="54"/>
      <c r="M290" s="82" t="str">
        <f>"тотал"&amp;" "&amp;B289</f>
        <v>тотал ИЮЛЬ</v>
      </c>
      <c r="N290" s="75"/>
      <c r="O290" s="76"/>
    </row>
    <row r="291">
      <c r="A291" s="54"/>
      <c r="B291" s="185">
        <v>45489.0</v>
      </c>
      <c r="C291" s="185"/>
      <c r="D291" s="100" t="s">
        <v>471</v>
      </c>
      <c r="E291" s="188">
        <v>423657.0</v>
      </c>
      <c r="F291" s="102">
        <f t="shared" ref="F291:F292" si="88">E291-E290</f>
        <v>1861</v>
      </c>
      <c r="G291" s="186">
        <v>742.0</v>
      </c>
      <c r="H291" s="186">
        <v>577.0</v>
      </c>
      <c r="I291" s="101">
        <v>579.17</v>
      </c>
      <c r="J291" s="102">
        <f t="shared" si="86"/>
        <v>-2.17</v>
      </c>
      <c r="K291" s="103">
        <f t="shared" si="87"/>
        <v>31.12144009</v>
      </c>
      <c r="L291" s="54"/>
      <c r="M291" s="83" t="s">
        <v>70</v>
      </c>
      <c r="N291" s="83" t="s">
        <v>71</v>
      </c>
      <c r="O291" s="83" t="s">
        <v>27</v>
      </c>
    </row>
    <row r="292">
      <c r="A292" s="54"/>
      <c r="B292" s="567">
        <v>45496.0</v>
      </c>
      <c r="C292" s="567"/>
      <c r="D292" s="305" t="s">
        <v>471</v>
      </c>
      <c r="E292" s="568">
        <v>425187.0</v>
      </c>
      <c r="F292" s="308">
        <f t="shared" si="88"/>
        <v>1530</v>
      </c>
      <c r="G292" s="569">
        <v>746.0</v>
      </c>
      <c r="H292" s="569">
        <v>545.0</v>
      </c>
      <c r="I292" s="307">
        <v>536.27</v>
      </c>
      <c r="J292" s="308">
        <f t="shared" si="86"/>
        <v>8.73</v>
      </c>
      <c r="K292" s="169">
        <f t="shared" si="87"/>
        <v>35.0503268</v>
      </c>
      <c r="L292" s="54"/>
      <c r="M292" s="84">
        <f>SUM(F290:F292)</f>
        <v>5121</v>
      </c>
      <c r="N292" s="84">
        <f>SUM(I290:I292)</f>
        <v>1705.37</v>
      </c>
      <c r="O292" s="85">
        <f>N292/M292*100</f>
        <v>33.30150361</v>
      </c>
    </row>
    <row r="293">
      <c r="A293" s="551"/>
      <c r="B293" s="239" t="s">
        <v>95</v>
      </c>
      <c r="J293" s="237"/>
      <c r="K293" s="570"/>
      <c r="L293" s="551"/>
      <c r="M293" s="551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</row>
    <row r="294">
      <c r="A294" s="54"/>
      <c r="B294" s="185">
        <v>45510.0</v>
      </c>
      <c r="C294" s="185"/>
      <c r="D294" s="102" t="str">
        <f>D292</f>
        <v>Тютюнинк</v>
      </c>
      <c r="E294" s="188">
        <v>426953.0</v>
      </c>
      <c r="F294" s="102">
        <f>E294-E292</f>
        <v>1766</v>
      </c>
      <c r="G294" s="186">
        <v>747.0</v>
      </c>
      <c r="H294" s="186">
        <v>553.0</v>
      </c>
      <c r="I294" s="101">
        <v>566.65</v>
      </c>
      <c r="J294" s="102">
        <f>H294-I294</f>
        <v>-13.65</v>
      </c>
      <c r="K294" s="103">
        <f>I294/F294*100</f>
        <v>32.08663647</v>
      </c>
      <c r="L294" s="54"/>
      <c r="M294" s="265"/>
      <c r="N294" s="265"/>
      <c r="O294" s="265"/>
    </row>
    <row r="295">
      <c r="A295" s="551"/>
      <c r="B295" s="239" t="s">
        <v>104</v>
      </c>
      <c r="J295" s="237"/>
      <c r="K295" s="570"/>
      <c r="L295" s="551"/>
      <c r="M295" s="551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</row>
    <row r="296">
      <c r="A296" s="54"/>
      <c r="B296" s="164" t="s">
        <v>109</v>
      </c>
      <c r="C296" s="75"/>
      <c r="D296" s="75"/>
      <c r="E296" s="75"/>
      <c r="F296" s="75"/>
      <c r="G296" s="75"/>
      <c r="H296" s="75"/>
      <c r="I296" s="76"/>
      <c r="J296" s="102"/>
      <c r="K296" s="102"/>
      <c r="L296" s="54"/>
      <c r="M296" s="54"/>
    </row>
    <row r="297">
      <c r="A297" s="551"/>
      <c r="B297" s="239" t="s">
        <v>96</v>
      </c>
      <c r="J297" s="237"/>
      <c r="K297" s="570"/>
      <c r="L297" s="551"/>
      <c r="M297" s="205" t="str">
        <f>"тотал"&amp;" "&amp;B297&amp;" "&amp;RIGHT(YEAR(B298),2)</f>
        <v>тотал ОКТЯБРЬ 24</v>
      </c>
      <c r="N297" s="75"/>
      <c r="O297" s="75"/>
      <c r="P297" s="75"/>
      <c r="Q297" s="76"/>
      <c r="R297" s="89"/>
      <c r="S297" s="89"/>
      <c r="T297" s="89"/>
      <c r="U297" s="89"/>
      <c r="V297" s="89"/>
      <c r="W297" s="89"/>
      <c r="X297" s="89"/>
      <c r="Y297" s="89"/>
      <c r="Z297" s="89"/>
      <c r="AA297" s="89"/>
    </row>
    <row r="298">
      <c r="A298" s="54"/>
      <c r="B298" s="526">
        <v>45590.0</v>
      </c>
      <c r="C298" s="526"/>
      <c r="D298" s="102"/>
      <c r="E298" s="101">
        <v>428484.0</v>
      </c>
      <c r="F298" s="102">
        <f>E298-E294</f>
        <v>1531</v>
      </c>
      <c r="G298" s="186">
        <v>743.0</v>
      </c>
      <c r="H298" s="186">
        <v>514.0</v>
      </c>
      <c r="I298" s="102">
        <f>456.31+65.61</f>
        <v>521.92</v>
      </c>
      <c r="J298" s="102">
        <f t="shared" ref="J298:J299" si="89">H298-I298</f>
        <v>-7.92</v>
      </c>
      <c r="K298" s="103">
        <f t="shared" ref="K298:K299" si="90">I298/F298*100</f>
        <v>34.09013717</v>
      </c>
      <c r="L298" s="54"/>
      <c r="M298" s="84" t="s">
        <v>70</v>
      </c>
      <c r="N298" s="84" t="s">
        <v>71</v>
      </c>
      <c r="O298" s="84" t="s">
        <v>27</v>
      </c>
      <c r="P298" s="83" t="s">
        <v>28</v>
      </c>
      <c r="Q298" s="321" t="s">
        <v>78</v>
      </c>
    </row>
    <row r="299">
      <c r="A299" s="54"/>
      <c r="B299" s="526">
        <v>45595.0</v>
      </c>
      <c r="C299" s="526"/>
      <c r="D299" s="102"/>
      <c r="E299" s="101">
        <v>430067.0</v>
      </c>
      <c r="F299" s="102">
        <f>E299-E298</f>
        <v>1583</v>
      </c>
      <c r="G299" s="186">
        <v>740.0</v>
      </c>
      <c r="H299" s="186">
        <v>558.0</v>
      </c>
      <c r="I299" s="101">
        <v>563.14</v>
      </c>
      <c r="J299" s="102">
        <f t="shared" si="89"/>
        <v>-5.14</v>
      </c>
      <c r="K299" s="103">
        <f t="shared" si="90"/>
        <v>35.57422615</v>
      </c>
      <c r="L299" s="54"/>
      <c r="M299" s="84">
        <f>SUM(F298:F299)</f>
        <v>3114</v>
      </c>
      <c r="N299" s="84">
        <f>SUM(I298:I299)</f>
        <v>1085.06</v>
      </c>
      <c r="O299" s="85">
        <f>N299/M299*100</f>
        <v>34.8445729</v>
      </c>
      <c r="P299" s="84">
        <f>(M299/100)*(O299-Q299)</f>
        <v>119.72</v>
      </c>
      <c r="Q299" s="464">
        <v>31.0</v>
      </c>
    </row>
    <row r="300">
      <c r="A300" s="551"/>
      <c r="B300" s="239" t="s">
        <v>97</v>
      </c>
      <c r="J300" s="237"/>
      <c r="K300" s="570"/>
      <c r="L300" s="551"/>
      <c r="M300" s="551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</row>
    <row r="301">
      <c r="A301" s="54"/>
      <c r="B301" s="526">
        <v>45597.0</v>
      </c>
      <c r="C301" s="526"/>
      <c r="D301" s="102"/>
      <c r="E301" s="101">
        <v>430804.0</v>
      </c>
      <c r="F301" s="102">
        <f>E301-E299</f>
        <v>737</v>
      </c>
      <c r="G301" s="186">
        <v>742.0</v>
      </c>
      <c r="H301" s="186">
        <v>261.0</v>
      </c>
      <c r="I301" s="101">
        <v>262.92</v>
      </c>
      <c r="J301" s="102">
        <f t="shared" ref="J301:J304" si="91">H301-I301</f>
        <v>-1.92</v>
      </c>
      <c r="K301" s="103">
        <f t="shared" ref="K301:K304" si="92">I301/F301*100</f>
        <v>35.6743555</v>
      </c>
      <c r="L301" s="54"/>
      <c r="M301" s="571" t="str">
        <f>"тотал"&amp;" "&amp;B300&amp;" "&amp;RIGHT(YEAR(B301),2)</f>
        <v>тотал НОЯБРЬ 24</v>
      </c>
      <c r="N301" s="75"/>
      <c r="O301" s="75"/>
      <c r="P301" s="75"/>
      <c r="Q301" s="76"/>
    </row>
    <row r="302">
      <c r="A302" s="54"/>
      <c r="B302" s="526">
        <v>45599.0</v>
      </c>
      <c r="C302" s="526"/>
      <c r="D302" s="102"/>
      <c r="E302" s="101">
        <v>432197.0</v>
      </c>
      <c r="F302" s="102">
        <f t="shared" ref="F302:F304" si="93">E302-E301</f>
        <v>1393</v>
      </c>
      <c r="G302" s="186">
        <v>469.0</v>
      </c>
      <c r="H302" s="186">
        <v>469.0</v>
      </c>
      <c r="I302" s="101">
        <v>498.33</v>
      </c>
      <c r="J302" s="102">
        <f t="shared" si="91"/>
        <v>-29.33</v>
      </c>
      <c r="K302" s="103">
        <f t="shared" si="92"/>
        <v>35.77386935</v>
      </c>
      <c r="L302" s="54"/>
      <c r="M302" s="83" t="s">
        <v>70</v>
      </c>
      <c r="N302" s="83" t="s">
        <v>71</v>
      </c>
      <c r="O302" s="83" t="s">
        <v>27</v>
      </c>
      <c r="P302" s="83" t="s">
        <v>28</v>
      </c>
      <c r="Q302" s="321" t="s">
        <v>78</v>
      </c>
    </row>
    <row r="303">
      <c r="A303" s="54"/>
      <c r="B303" s="526">
        <v>45602.0</v>
      </c>
      <c r="C303" s="526"/>
      <c r="D303" s="102"/>
      <c r="E303" s="101">
        <v>433595.0</v>
      </c>
      <c r="F303" s="102">
        <f t="shared" si="93"/>
        <v>1398</v>
      </c>
      <c r="G303" s="186">
        <v>703.0</v>
      </c>
      <c r="H303" s="186">
        <v>501.0</v>
      </c>
      <c r="I303" s="101">
        <v>513.05</v>
      </c>
      <c r="J303" s="102">
        <f t="shared" si="91"/>
        <v>-12.05</v>
      </c>
      <c r="K303" s="169">
        <f t="shared" si="92"/>
        <v>36.69885551</v>
      </c>
      <c r="L303" s="54"/>
      <c r="M303" s="84">
        <f>SUM(F301:F304)</f>
        <v>5083</v>
      </c>
      <c r="N303" s="84">
        <f>SUM(I301:I304)</f>
        <v>1802.24</v>
      </c>
      <c r="O303" s="85">
        <f>N303/M303*100</f>
        <v>35.45622664</v>
      </c>
      <c r="P303" s="84">
        <f>(M303/100)*(O303-Q303)</f>
        <v>226.51</v>
      </c>
      <c r="Q303" s="464">
        <v>31.0</v>
      </c>
    </row>
    <row r="304">
      <c r="A304" s="54"/>
      <c r="B304" s="526">
        <v>45609.0</v>
      </c>
      <c r="C304" s="526"/>
      <c r="D304" s="102"/>
      <c r="E304" s="101">
        <v>435150.0</v>
      </c>
      <c r="F304" s="102">
        <f t="shared" si="93"/>
        <v>1555</v>
      </c>
      <c r="G304" s="186">
        <v>727.0</v>
      </c>
      <c r="H304" s="186">
        <v>519.0</v>
      </c>
      <c r="I304" s="101">
        <v>527.94</v>
      </c>
      <c r="J304" s="102">
        <f t="shared" si="91"/>
        <v>-8.94</v>
      </c>
      <c r="K304" s="103">
        <f t="shared" si="92"/>
        <v>33.9511254</v>
      </c>
      <c r="L304" s="54"/>
      <c r="M304" s="54"/>
    </row>
    <row r="305">
      <c r="A305" s="551"/>
      <c r="B305" s="239" t="s">
        <v>98</v>
      </c>
      <c r="J305" s="237"/>
      <c r="K305" s="570"/>
      <c r="L305" s="551"/>
      <c r="M305" s="551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</row>
    <row r="306">
      <c r="A306" s="54"/>
      <c r="B306" s="526">
        <v>45630.0</v>
      </c>
      <c r="C306" s="526"/>
      <c r="D306" s="102"/>
      <c r="E306" s="101"/>
      <c r="F306" s="101">
        <v>1258.25</v>
      </c>
      <c r="G306" s="177"/>
      <c r="H306" s="186"/>
      <c r="I306" s="101">
        <v>502.67</v>
      </c>
      <c r="J306" s="102"/>
      <c r="K306" s="103">
        <f t="shared" ref="K306:K313" si="94">I306/F306*100</f>
        <v>39.94993046</v>
      </c>
      <c r="L306" s="54"/>
      <c r="M306" s="571" t="str">
        <f>"тотал"&amp;" "&amp;B305&amp;" "&amp;RIGHT(YEAR(B306),2)</f>
        <v>тотал ДЕКАБРЬ 24</v>
      </c>
      <c r="N306" s="75"/>
      <c r="O306" s="75"/>
      <c r="P306" s="75"/>
      <c r="Q306" s="76"/>
    </row>
    <row r="307">
      <c r="A307" s="54"/>
      <c r="B307" s="526">
        <v>45634.0</v>
      </c>
      <c r="C307" s="526"/>
      <c r="D307" s="102"/>
      <c r="E307" s="102"/>
      <c r="F307" s="101">
        <v>1258.25</v>
      </c>
      <c r="G307" s="177"/>
      <c r="H307" s="177"/>
      <c r="I307" s="101">
        <v>483.96</v>
      </c>
      <c r="J307" s="102"/>
      <c r="K307" s="103">
        <f t="shared" si="94"/>
        <v>38.46294457</v>
      </c>
      <c r="L307" s="54"/>
      <c r="M307" s="83" t="s">
        <v>70</v>
      </c>
      <c r="N307" s="83" t="s">
        <v>71</v>
      </c>
      <c r="O307" s="83" t="s">
        <v>27</v>
      </c>
      <c r="P307" s="83" t="s">
        <v>28</v>
      </c>
      <c r="Q307" s="321" t="s">
        <v>78</v>
      </c>
    </row>
    <row r="308">
      <c r="A308" s="54"/>
      <c r="B308" s="526">
        <v>45638.0</v>
      </c>
      <c r="C308" s="526"/>
      <c r="D308" s="102"/>
      <c r="E308" s="102"/>
      <c r="F308" s="101">
        <v>1258.25</v>
      </c>
      <c r="G308" s="177"/>
      <c r="H308" s="177"/>
      <c r="I308" s="101">
        <v>475.98</v>
      </c>
      <c r="J308" s="102"/>
      <c r="K308" s="103">
        <f t="shared" si="94"/>
        <v>37.82873038</v>
      </c>
      <c r="L308" s="54"/>
      <c r="M308" s="84">
        <f>SUM(F306:F309)</f>
        <v>5033</v>
      </c>
      <c r="N308" s="84">
        <f>SUM(I306:I309)</f>
        <v>1843.11</v>
      </c>
      <c r="O308" s="85">
        <f>N308/M308*100</f>
        <v>36.62050467</v>
      </c>
      <c r="P308" s="84">
        <f>(M308/100)*(O308-Q308)</f>
        <v>282.88</v>
      </c>
      <c r="Q308" s="464">
        <v>31.0</v>
      </c>
    </row>
    <row r="309">
      <c r="A309" s="54"/>
      <c r="B309" s="526">
        <v>45640.0</v>
      </c>
      <c r="C309" s="526"/>
      <c r="D309" s="102"/>
      <c r="E309" s="101">
        <v>440183.0</v>
      </c>
      <c r="F309" s="101">
        <v>1258.25</v>
      </c>
      <c r="G309" s="177"/>
      <c r="H309" s="177"/>
      <c r="I309" s="101">
        <v>380.5</v>
      </c>
      <c r="J309" s="102"/>
      <c r="K309" s="103">
        <f t="shared" si="94"/>
        <v>30.24041327</v>
      </c>
      <c r="L309" s="54"/>
      <c r="M309" s="54"/>
    </row>
    <row r="310">
      <c r="A310" s="54"/>
      <c r="B310" s="526">
        <v>45642.0</v>
      </c>
      <c r="C310" s="526"/>
      <c r="D310" s="102"/>
      <c r="E310" s="102"/>
      <c r="F310" s="101">
        <v>1096.33</v>
      </c>
      <c r="G310" s="177"/>
      <c r="H310" s="177"/>
      <c r="I310" s="101">
        <v>384.23</v>
      </c>
      <c r="J310" s="102"/>
      <c r="K310" s="103">
        <f t="shared" si="94"/>
        <v>35.0469293</v>
      </c>
      <c r="L310" s="54"/>
      <c r="M310" s="54"/>
    </row>
    <row r="311">
      <c r="A311" s="54"/>
      <c r="B311" s="526">
        <v>45643.0</v>
      </c>
      <c r="C311" s="526"/>
      <c r="D311" s="102"/>
      <c r="E311" s="102"/>
      <c r="F311" s="101">
        <v>1096.33</v>
      </c>
      <c r="G311" s="177"/>
      <c r="H311" s="177"/>
      <c r="I311" s="101">
        <v>383.5</v>
      </c>
      <c r="J311" s="102"/>
      <c r="K311" s="103">
        <f t="shared" si="94"/>
        <v>34.98034351</v>
      </c>
      <c r="L311" s="54"/>
      <c r="M311" s="54"/>
    </row>
    <row r="312">
      <c r="A312" s="54"/>
      <c r="B312" s="526">
        <v>45647.0</v>
      </c>
      <c r="C312" s="526"/>
      <c r="D312" s="102"/>
      <c r="E312" s="101">
        <v>443472.0</v>
      </c>
      <c r="F312" s="101">
        <v>1096.33</v>
      </c>
      <c r="G312" s="186">
        <v>718.0</v>
      </c>
      <c r="H312" s="186">
        <v>450.0</v>
      </c>
      <c r="I312" s="101">
        <v>459.62</v>
      </c>
      <c r="J312" s="102">
        <f t="shared" ref="J312:J313" si="95">H312-I312</f>
        <v>-9.62</v>
      </c>
      <c r="K312" s="103">
        <f t="shared" si="94"/>
        <v>41.92350843</v>
      </c>
      <c r="L312" s="54"/>
      <c r="M312" s="54"/>
    </row>
    <row r="313">
      <c r="A313" s="54"/>
      <c r="B313" s="526">
        <v>45649.0</v>
      </c>
      <c r="C313" s="526"/>
      <c r="D313" s="102"/>
      <c r="E313" s="101">
        <v>444997.0</v>
      </c>
      <c r="F313" s="102">
        <f>E313-E312</f>
        <v>1525</v>
      </c>
      <c r="G313" s="186">
        <v>719.0</v>
      </c>
      <c r="H313" s="186">
        <v>478.0</v>
      </c>
      <c r="I313" s="101">
        <v>489.04</v>
      </c>
      <c r="J313" s="102">
        <f t="shared" si="95"/>
        <v>-11.04</v>
      </c>
      <c r="K313" s="103">
        <f t="shared" si="94"/>
        <v>32.06819672</v>
      </c>
      <c r="L313" s="54"/>
      <c r="M313" s="54"/>
    </row>
    <row r="314">
      <c r="A314" s="551"/>
      <c r="B314" s="572">
        <v>2025.0</v>
      </c>
      <c r="J314" s="237"/>
      <c r="K314" s="570"/>
      <c r="L314" s="551"/>
      <c r="M314" s="551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</row>
    <row r="315">
      <c r="A315" s="89"/>
      <c r="B315" s="112" t="s">
        <v>66</v>
      </c>
      <c r="J315" s="89"/>
      <c r="K315" s="90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</row>
    <row r="316">
      <c r="A316" s="54"/>
      <c r="B316" s="526">
        <v>45673.0</v>
      </c>
      <c r="C316" s="526"/>
      <c r="D316" s="102"/>
      <c r="E316" s="101">
        <v>446250.0</v>
      </c>
      <c r="F316" s="102">
        <f>E316-E313</f>
        <v>1253</v>
      </c>
      <c r="G316" s="186">
        <v>719.0</v>
      </c>
      <c r="H316" s="186">
        <v>442.0</v>
      </c>
      <c r="I316" s="101">
        <v>459.99</v>
      </c>
      <c r="J316" s="102">
        <f t="shared" ref="J316:J319" si="96">H316-I316</f>
        <v>-17.99</v>
      </c>
      <c r="K316" s="103">
        <f t="shared" ref="K316:K319" si="97">I316/F316*100</f>
        <v>36.71109338</v>
      </c>
      <c r="L316" s="54"/>
      <c r="M316" s="571" t="str">
        <f>"тотал"&amp;" "&amp;B315&amp;" "&amp;RIGHT(YEAR(B316),2)</f>
        <v>тотал ЯНВАРЬ 25</v>
      </c>
      <c r="N316" s="75"/>
      <c r="O316" s="75"/>
      <c r="P316" s="75"/>
      <c r="Q316" s="76"/>
    </row>
    <row r="317">
      <c r="A317" s="54"/>
      <c r="B317" s="526">
        <v>45676.0</v>
      </c>
      <c r="C317" s="526"/>
      <c r="D317" s="102"/>
      <c r="E317" s="101">
        <v>447660.0</v>
      </c>
      <c r="F317" s="102">
        <f t="shared" ref="F317:F319" si="98">E317-E316</f>
        <v>1410</v>
      </c>
      <c r="G317" s="186">
        <v>721.0</v>
      </c>
      <c r="H317" s="186">
        <v>506.0</v>
      </c>
      <c r="I317" s="101">
        <v>529.57</v>
      </c>
      <c r="J317" s="102">
        <f t="shared" si="96"/>
        <v>-23.57</v>
      </c>
      <c r="K317" s="103">
        <f t="shared" si="97"/>
        <v>37.55815603</v>
      </c>
      <c r="L317" s="54"/>
      <c r="M317" s="83" t="s">
        <v>70</v>
      </c>
      <c r="N317" s="83" t="s">
        <v>71</v>
      </c>
      <c r="O317" s="83" t="s">
        <v>27</v>
      </c>
      <c r="P317" s="83" t="s">
        <v>28</v>
      </c>
      <c r="Q317" s="321" t="s">
        <v>78</v>
      </c>
    </row>
    <row r="318">
      <c r="A318" s="54"/>
      <c r="B318" s="526">
        <v>45680.0</v>
      </c>
      <c r="C318" s="526"/>
      <c r="D318" s="102"/>
      <c r="E318" s="101">
        <v>449020.0</v>
      </c>
      <c r="F318" s="102">
        <f t="shared" si="98"/>
        <v>1360</v>
      </c>
      <c r="G318" s="186">
        <v>717.0</v>
      </c>
      <c r="H318" s="186">
        <v>461.0</v>
      </c>
      <c r="I318" s="101">
        <v>486.09</v>
      </c>
      <c r="J318" s="102">
        <f t="shared" si="96"/>
        <v>-25.09</v>
      </c>
      <c r="K318" s="103">
        <f t="shared" si="97"/>
        <v>35.74191176</v>
      </c>
      <c r="L318" s="54"/>
      <c r="M318" s="84">
        <f>SUM(F316:F319)</f>
        <v>5490</v>
      </c>
      <c r="N318" s="84">
        <f>SUM(I316:I319)</f>
        <v>1957.27</v>
      </c>
      <c r="O318" s="85">
        <f>N318/M318*100</f>
        <v>35.65154827</v>
      </c>
      <c r="P318" s="84">
        <f>(M318/100)*(O318-Q318)</f>
        <v>255.37</v>
      </c>
      <c r="Q318" s="464">
        <v>31.0</v>
      </c>
    </row>
    <row r="319">
      <c r="A319" s="54"/>
      <c r="B319" s="526">
        <v>45684.0</v>
      </c>
      <c r="C319" s="526"/>
      <c r="D319" s="102"/>
      <c r="E319" s="101">
        <v>450487.0</v>
      </c>
      <c r="F319" s="102">
        <f t="shared" si="98"/>
        <v>1467</v>
      </c>
      <c r="G319" s="186">
        <v>709.0</v>
      </c>
      <c r="H319" s="186">
        <v>463.0</v>
      </c>
      <c r="I319" s="101">
        <v>481.62</v>
      </c>
      <c r="J319" s="102">
        <f t="shared" si="96"/>
        <v>-18.62</v>
      </c>
      <c r="K319" s="103">
        <f t="shared" si="97"/>
        <v>32.83026585</v>
      </c>
      <c r="L319" s="54"/>
      <c r="M319" s="54"/>
    </row>
    <row r="320">
      <c r="A320" s="68"/>
      <c r="B320" s="203" t="str">
        <f>IF(L320=4,"АПРЕЛЬ",IF(L320=5,"МАЙ",IF(L320=1,"ЯНВАРЬ",IF(L320=2,"ФЕВРАЛЬ",IF(L320=3,"МАРТ",IF(L320=6,"ИЮНЬ",IF(L320=7,"ИЮЛЬ",IF(L320=8,"АВГУСТ",IF(L320=9,"СЕНТЯБРЬ",IF(L320=10,"ОКТЯБРЬ",IF(L320=11,"НОЯБРЬ",IF(L320=12,"ДЕКАБРЬ"))))))))))))</f>
        <v>ФЕВРАЛЬ</v>
      </c>
      <c r="J320" s="88"/>
      <c r="K320" s="204"/>
      <c r="L320" s="91">
        <f>MONTH(B321)</f>
        <v>2</v>
      </c>
      <c r="M320" s="66"/>
      <c r="N320" s="66"/>
      <c r="O320" s="66"/>
      <c r="P320" s="66"/>
      <c r="Q320" s="66"/>
    </row>
    <row r="321">
      <c r="A321" s="54"/>
      <c r="B321" s="526">
        <v>45689.0</v>
      </c>
      <c r="C321" s="526"/>
      <c r="D321" s="102"/>
      <c r="E321" s="101">
        <v>451904.0</v>
      </c>
      <c r="F321" s="102">
        <f>E321-E319</f>
        <v>1417</v>
      </c>
      <c r="G321" s="186">
        <v>700.0</v>
      </c>
      <c r="H321" s="186">
        <v>490.0</v>
      </c>
      <c r="I321" s="101">
        <v>511.86</v>
      </c>
      <c r="J321" s="102">
        <f t="shared" ref="J321:J324" si="99">H321-I321</f>
        <v>-21.86</v>
      </c>
      <c r="K321" s="103">
        <f t="shared" ref="K321:K324" si="100">I321/F321*100</f>
        <v>36.12279464</v>
      </c>
      <c r="L321" s="54"/>
      <c r="M321" s="571" t="str">
        <f>"тотал"&amp;" "&amp;B320&amp;" "&amp;RIGHT(YEAR(B321),2)</f>
        <v>тотал ФЕВРАЛЬ 25</v>
      </c>
      <c r="N321" s="75"/>
      <c r="O321" s="75"/>
      <c r="P321" s="75"/>
      <c r="Q321" s="76"/>
    </row>
    <row r="322">
      <c r="A322" s="54"/>
      <c r="B322" s="526">
        <v>45707.0</v>
      </c>
      <c r="C322" s="526"/>
      <c r="D322" s="102"/>
      <c r="E322" s="101">
        <v>452561.0</v>
      </c>
      <c r="F322" s="102">
        <f t="shared" ref="F322:F324" si="101">E322-E321</f>
        <v>657</v>
      </c>
      <c r="G322" s="186">
        <v>715.0</v>
      </c>
      <c r="H322" s="186">
        <v>249.0</v>
      </c>
      <c r="I322" s="101">
        <v>250.0</v>
      </c>
      <c r="J322" s="102">
        <f t="shared" si="99"/>
        <v>-1</v>
      </c>
      <c r="K322" s="103">
        <f t="shared" si="100"/>
        <v>38.05175038</v>
      </c>
      <c r="L322" s="54"/>
      <c r="M322" s="83" t="s">
        <v>70</v>
      </c>
      <c r="N322" s="83" t="s">
        <v>71</v>
      </c>
      <c r="O322" s="83" t="s">
        <v>27</v>
      </c>
      <c r="P322" s="83" t="s">
        <v>28</v>
      </c>
      <c r="Q322" s="321" t="s">
        <v>78</v>
      </c>
    </row>
    <row r="323">
      <c r="A323" s="54"/>
      <c r="B323" s="526">
        <v>45708.0</v>
      </c>
      <c r="C323" s="526"/>
      <c r="D323" s="102"/>
      <c r="E323" s="101">
        <v>453637.0</v>
      </c>
      <c r="F323" s="102">
        <f t="shared" si="101"/>
        <v>1076</v>
      </c>
      <c r="G323" s="186">
        <v>549.0</v>
      </c>
      <c r="H323" s="186">
        <v>215.0</v>
      </c>
      <c r="I323" s="101">
        <v>231.53</v>
      </c>
      <c r="J323" s="102">
        <f t="shared" si="99"/>
        <v>-16.53</v>
      </c>
      <c r="K323" s="103">
        <f t="shared" si="100"/>
        <v>21.51765799</v>
      </c>
      <c r="L323" s="54"/>
      <c r="M323" s="84">
        <f>SUM(F321:F324)</f>
        <v>3735</v>
      </c>
      <c r="N323" s="84">
        <f>SUM(I321:I324)</f>
        <v>1292.39</v>
      </c>
      <c r="O323" s="85">
        <f>N323/M323*100</f>
        <v>34.6021419</v>
      </c>
      <c r="P323" s="84">
        <f>(M323/100)*(O323-Q323)</f>
        <v>190.565</v>
      </c>
      <c r="Q323" s="464">
        <v>29.5</v>
      </c>
    </row>
    <row r="324">
      <c r="A324" s="54"/>
      <c r="B324" s="526">
        <v>45708.0</v>
      </c>
      <c r="C324" s="526"/>
      <c r="D324" s="102"/>
      <c r="E324" s="101">
        <v>454222.0</v>
      </c>
      <c r="F324" s="102">
        <f t="shared" si="101"/>
        <v>585</v>
      </c>
      <c r="G324" s="186">
        <v>649.0</v>
      </c>
      <c r="H324" s="186">
        <v>283.0</v>
      </c>
      <c r="I324" s="101">
        <v>299.0</v>
      </c>
      <c r="J324" s="102">
        <f t="shared" si="99"/>
        <v>-16</v>
      </c>
      <c r="K324" s="103">
        <f t="shared" si="100"/>
        <v>51.11111111</v>
      </c>
      <c r="L324" s="54"/>
      <c r="M324" s="54"/>
    </row>
    <row r="325">
      <c r="A325" s="68"/>
      <c r="B325" s="203" t="str">
        <f>IF(L325=4,"АПРЕЛЬ",IF(L325=5,"МАЙ",IF(L325=1,"ЯНВАРЬ",IF(L325=2,"ФЕВРАЛЬ",IF(L325=3,"МАРТ",IF(L325=6,"ИЮНЬ",IF(L325=7,"ИЮЛЬ",IF(L325=8,"АВГУСТ",IF(L325=9,"СЕНТЯБРЬ",IF(L325=10,"ОКТЯБРЬ",IF(L325=11,"НОЯБРЬ",IF(L325=12,"ДЕКАБРЬ"))))))))))))</f>
        <v>МАРТ</v>
      </c>
      <c r="J325" s="88"/>
      <c r="K325" s="204"/>
      <c r="L325" s="91">
        <f>MONTH(B326)</f>
        <v>3</v>
      </c>
      <c r="M325" s="66"/>
      <c r="N325" s="66"/>
      <c r="O325" s="66"/>
      <c r="P325" s="66"/>
      <c r="Q325" s="66"/>
    </row>
    <row r="326">
      <c r="A326" s="54"/>
      <c r="B326" s="526">
        <v>45717.0</v>
      </c>
      <c r="C326" s="526"/>
      <c r="D326" s="102"/>
      <c r="E326" s="101">
        <v>455140.0</v>
      </c>
      <c r="F326" s="102">
        <f>E326-E324</f>
        <v>918</v>
      </c>
      <c r="G326" s="186">
        <v>711.0</v>
      </c>
      <c r="H326" s="186">
        <v>423.0</v>
      </c>
      <c r="I326" s="101">
        <v>429.47</v>
      </c>
      <c r="J326" s="102">
        <f t="shared" ref="J326:J331" si="102">H326-I326</f>
        <v>-6.47</v>
      </c>
      <c r="K326" s="103">
        <f t="shared" ref="K326:K331" si="103">I326/F326*100</f>
        <v>46.7832244</v>
      </c>
      <c r="L326" s="54"/>
      <c r="M326" s="205" t="str">
        <f>"тотал"&amp;" "&amp;B325&amp;" "&amp;RIGHT(YEAR(B326),2)</f>
        <v>тотал МАРТ 25</v>
      </c>
      <c r="N326" s="75"/>
      <c r="O326" s="75"/>
      <c r="P326" s="75"/>
      <c r="Q326" s="76"/>
    </row>
    <row r="327">
      <c r="A327" s="54"/>
      <c r="B327" s="526">
        <v>45721.0</v>
      </c>
      <c r="C327" s="526"/>
      <c r="D327" s="102"/>
      <c r="E327" s="101">
        <v>456041.0</v>
      </c>
      <c r="F327" s="102">
        <f t="shared" ref="F327:F331" si="104">E327-E326</f>
        <v>901</v>
      </c>
      <c r="G327" s="186">
        <v>712.0</v>
      </c>
      <c r="H327" s="186">
        <v>296.0</v>
      </c>
      <c r="I327" s="101">
        <v>307.98</v>
      </c>
      <c r="J327" s="102">
        <f t="shared" si="102"/>
        <v>-11.98</v>
      </c>
      <c r="K327" s="573">
        <f t="shared" si="103"/>
        <v>34.18201998</v>
      </c>
      <c r="L327" s="63"/>
      <c r="M327" s="83" t="s">
        <v>70</v>
      </c>
      <c r="N327" s="83" t="s">
        <v>71</v>
      </c>
      <c r="O327" s="83" t="s">
        <v>27</v>
      </c>
      <c r="P327" s="83" t="s">
        <v>28</v>
      </c>
      <c r="Q327" s="321" t="s">
        <v>78</v>
      </c>
    </row>
    <row r="328">
      <c r="A328" s="54"/>
      <c r="B328" s="526">
        <v>45723.0</v>
      </c>
      <c r="C328" s="526"/>
      <c r="D328" s="102"/>
      <c r="E328" s="101">
        <v>457303.0</v>
      </c>
      <c r="F328" s="102">
        <f t="shared" si="104"/>
        <v>1262</v>
      </c>
      <c r="G328" s="186">
        <v>724.0</v>
      </c>
      <c r="H328" s="186">
        <v>416.0</v>
      </c>
      <c r="I328" s="101">
        <v>417.8</v>
      </c>
      <c r="J328" s="102">
        <f t="shared" si="102"/>
        <v>-1.8</v>
      </c>
      <c r="K328" s="103">
        <f t="shared" si="103"/>
        <v>33.10618067</v>
      </c>
      <c r="L328" s="54"/>
      <c r="M328" s="84">
        <f>SUM(F326:F331)</f>
        <v>7341</v>
      </c>
      <c r="N328" s="84">
        <f>SUM(I326:I331)</f>
        <v>2571.23</v>
      </c>
      <c r="O328" s="85">
        <f>N328/M328*100</f>
        <v>35.02560959</v>
      </c>
      <c r="P328" s="84">
        <f>(M328/100)*(O328-Q328)</f>
        <v>405.635</v>
      </c>
      <c r="Q328" s="464">
        <v>29.5</v>
      </c>
    </row>
    <row r="329">
      <c r="A329" s="54"/>
      <c r="B329" s="526">
        <v>45729.0</v>
      </c>
      <c r="C329" s="526"/>
      <c r="D329" s="102"/>
      <c r="E329" s="101">
        <v>458640.0</v>
      </c>
      <c r="F329" s="102">
        <f t="shared" si="104"/>
        <v>1337</v>
      </c>
      <c r="G329" s="186">
        <v>710.0</v>
      </c>
      <c r="H329" s="186">
        <v>443.0</v>
      </c>
      <c r="I329" s="101">
        <v>447.72</v>
      </c>
      <c r="J329" s="102">
        <f t="shared" si="102"/>
        <v>-4.72</v>
      </c>
      <c r="K329" s="103">
        <f t="shared" si="103"/>
        <v>33.48691099</v>
      </c>
      <c r="L329" s="54"/>
      <c r="M329" s="54"/>
    </row>
    <row r="330">
      <c r="A330" s="54"/>
      <c r="B330" s="526">
        <v>45732.0</v>
      </c>
      <c r="C330" s="526"/>
      <c r="D330" s="102"/>
      <c r="E330" s="101">
        <v>460081.0</v>
      </c>
      <c r="F330" s="102">
        <f t="shared" si="104"/>
        <v>1441</v>
      </c>
      <c r="G330" s="186">
        <v>723.0</v>
      </c>
      <c r="H330" s="186">
        <v>457.0</v>
      </c>
      <c r="I330" s="101">
        <v>459.96</v>
      </c>
      <c r="J330" s="102">
        <f t="shared" si="102"/>
        <v>-2.96</v>
      </c>
      <c r="K330" s="103">
        <f t="shared" si="103"/>
        <v>31.91950035</v>
      </c>
      <c r="L330" s="54"/>
      <c r="M330" s="54"/>
    </row>
    <row r="331">
      <c r="A331" s="54"/>
      <c r="B331" s="526">
        <v>45741.0</v>
      </c>
      <c r="C331" s="526"/>
      <c r="D331" s="102"/>
      <c r="E331" s="101">
        <v>461563.0</v>
      </c>
      <c r="F331" s="102">
        <f t="shared" si="104"/>
        <v>1482</v>
      </c>
      <c r="G331" s="186">
        <v>717.0</v>
      </c>
      <c r="H331" s="186">
        <v>509.0</v>
      </c>
      <c r="I331" s="101">
        <v>508.3</v>
      </c>
      <c r="J331" s="102">
        <f t="shared" si="102"/>
        <v>0.7</v>
      </c>
      <c r="K331" s="103">
        <f t="shared" si="103"/>
        <v>34.29824561</v>
      </c>
      <c r="L331" s="54"/>
      <c r="M331" s="54"/>
    </row>
    <row r="332">
      <c r="A332" s="68"/>
      <c r="B332" s="203" t="str">
        <f>IF(L332=4,"АПРЕЛЬ",IF(L332=5,"МАЙ",IF(L332=1,"ЯНВАРЬ",IF(L332=2,"ФЕВРАЛЬ",IF(L332=3,"МАРТ",IF(L332=6,"ИЮНЬ",IF(L332=7,"ИЮЛЬ",IF(L332=8,"АВГУСТ",IF(L332=9,"СЕНТЯБРЬ",IF(L332=10,"ОКТЯБРЬ",IF(L332=11,"НОЯБРЬ",IF(L332=12,"ДЕКАБРЬ"))))))))))))</f>
        <v>АПРЕЛЬ</v>
      </c>
      <c r="J332" s="88"/>
      <c r="K332" s="204"/>
      <c r="L332" s="91">
        <f>MONTH(B333)</f>
        <v>4</v>
      </c>
      <c r="M332" s="66"/>
      <c r="N332" s="66"/>
      <c r="O332" s="66"/>
      <c r="P332" s="66"/>
      <c r="Q332" s="66"/>
    </row>
    <row r="333">
      <c r="A333" s="54"/>
      <c r="B333" s="526">
        <v>45749.0</v>
      </c>
      <c r="C333" s="526"/>
      <c r="D333" s="102"/>
      <c r="E333" s="101">
        <v>463015.0</v>
      </c>
      <c r="F333" s="102">
        <f>E333-E331</f>
        <v>1452</v>
      </c>
      <c r="G333" s="186">
        <v>739.0</v>
      </c>
      <c r="H333" s="186">
        <v>558.0</v>
      </c>
      <c r="I333" s="101">
        <v>550.0</v>
      </c>
      <c r="J333" s="102">
        <f t="shared" ref="J333:J337" si="105">H333-I333</f>
        <v>8</v>
      </c>
      <c r="K333" s="103">
        <f t="shared" ref="K333:K337" si="106">I333/F333*100</f>
        <v>37.87878788</v>
      </c>
      <c r="L333" s="54"/>
      <c r="M333" s="205" t="str">
        <f>"тотал"&amp;" "&amp;B332&amp;" "&amp;RIGHT(YEAR(B333),2)</f>
        <v>тотал АПРЕЛЬ 25</v>
      </c>
      <c r="N333" s="75"/>
      <c r="O333" s="75"/>
      <c r="P333" s="75"/>
      <c r="Q333" s="76"/>
    </row>
    <row r="334">
      <c r="A334" s="54"/>
      <c r="B334" s="526">
        <v>45757.0</v>
      </c>
      <c r="C334" s="526"/>
      <c r="D334" s="102"/>
      <c r="E334" s="101">
        <v>464238.0</v>
      </c>
      <c r="F334" s="102">
        <f t="shared" ref="F334:F337" si="107">E334-E333</f>
        <v>1223</v>
      </c>
      <c r="G334" s="186">
        <v>732.0</v>
      </c>
      <c r="H334" s="186">
        <v>465.0</v>
      </c>
      <c r="I334" s="101">
        <v>460.69</v>
      </c>
      <c r="J334" s="102">
        <f t="shared" si="105"/>
        <v>4.31</v>
      </c>
      <c r="K334" s="103">
        <f t="shared" si="106"/>
        <v>37.6688471</v>
      </c>
      <c r="L334" s="54"/>
      <c r="M334" s="83" t="s">
        <v>70</v>
      </c>
      <c r="N334" s="83" t="s">
        <v>71</v>
      </c>
      <c r="O334" s="83" t="s">
        <v>27</v>
      </c>
      <c r="P334" s="83" t="s">
        <v>28</v>
      </c>
      <c r="Q334" s="321" t="s">
        <v>78</v>
      </c>
    </row>
    <row r="335">
      <c r="A335" s="54"/>
      <c r="B335" s="526">
        <v>45764.0</v>
      </c>
      <c r="C335" s="526"/>
      <c r="D335" s="102"/>
      <c r="E335" s="101">
        <v>465396.0</v>
      </c>
      <c r="F335" s="102">
        <f t="shared" si="107"/>
        <v>1158</v>
      </c>
      <c r="G335" s="186">
        <v>710.0</v>
      </c>
      <c r="H335" s="186">
        <v>404.0</v>
      </c>
      <c r="I335" s="101">
        <v>400.0</v>
      </c>
      <c r="J335" s="102">
        <f t="shared" si="105"/>
        <v>4</v>
      </c>
      <c r="K335" s="103">
        <f t="shared" si="106"/>
        <v>34.54231434</v>
      </c>
      <c r="L335" s="54"/>
      <c r="M335" s="84">
        <f>SUM(F333:F337)</f>
        <v>5950</v>
      </c>
      <c r="N335" s="84">
        <f>SUM(I333:I337)</f>
        <v>2128.34</v>
      </c>
      <c r="O335" s="85">
        <f>N335/M335*100</f>
        <v>35.77042017</v>
      </c>
      <c r="P335" s="84">
        <f>(M335/100)*(O335-Q335)</f>
        <v>283.84</v>
      </c>
      <c r="Q335" s="464">
        <v>31.0</v>
      </c>
    </row>
    <row r="336">
      <c r="A336" s="54"/>
      <c r="B336" s="526">
        <v>45771.0</v>
      </c>
      <c r="C336" s="526"/>
      <c r="D336" s="102"/>
      <c r="E336" s="101">
        <v>466640.0</v>
      </c>
      <c r="F336" s="102">
        <f t="shared" si="107"/>
        <v>1244</v>
      </c>
      <c r="G336" s="186">
        <v>741.0</v>
      </c>
      <c r="H336" s="186">
        <v>421.0</v>
      </c>
      <c r="I336" s="101">
        <v>415.31</v>
      </c>
      <c r="J336" s="102">
        <f t="shared" si="105"/>
        <v>5.69</v>
      </c>
      <c r="K336" s="103">
        <f t="shared" si="106"/>
        <v>33.38504823</v>
      </c>
      <c r="L336" s="54"/>
      <c r="M336" s="54"/>
    </row>
    <row r="337">
      <c r="A337" s="54"/>
      <c r="B337" s="526">
        <v>45777.0</v>
      </c>
      <c r="C337" s="526"/>
      <c r="D337" s="102"/>
      <c r="E337" s="101">
        <v>467513.0</v>
      </c>
      <c r="F337" s="102">
        <f t="shared" si="107"/>
        <v>873</v>
      </c>
      <c r="G337" s="186">
        <v>739.0</v>
      </c>
      <c r="H337" s="186">
        <v>309.0</v>
      </c>
      <c r="I337" s="101">
        <v>302.34</v>
      </c>
      <c r="J337" s="102">
        <f t="shared" si="105"/>
        <v>6.66</v>
      </c>
      <c r="K337" s="103">
        <f t="shared" si="106"/>
        <v>34.63230241</v>
      </c>
      <c r="L337" s="54"/>
      <c r="M337" s="54"/>
    </row>
    <row r="338">
      <c r="A338" s="68"/>
      <c r="B338" s="203" t="str">
        <f>IF(L338=4,"АПРЕЛЬ",IF(L338=5,"МАЙ",IF(L338=1,"ЯНВАРЬ",IF(L338=2,"ФЕВРАЛЬ",IF(L338=3,"МАРТ",IF(L338=6,"ИЮНЬ",IF(L338=7,"ИЮЛЬ",IF(L338=8,"АВГУСТ",IF(L338=9,"СЕНТЯБРЬ",IF(L338=10,"ОКТЯБРЬ",IF(L338=11,"НОЯБРЬ",IF(L338=12,"ДЕКАБРЬ"))))))))))))</f>
        <v>МАЙ</v>
      </c>
      <c r="J338" s="88"/>
      <c r="K338" s="204"/>
      <c r="L338" s="91">
        <f>MONTH(B339)</f>
        <v>5</v>
      </c>
      <c r="M338" s="205" t="str">
        <f>"тотал"&amp;" "&amp;B338&amp;" "&amp;RIGHT(YEAR(B339),2)</f>
        <v>тотал МАЙ 25</v>
      </c>
      <c r="N338" s="75"/>
      <c r="O338" s="75"/>
      <c r="P338" s="75"/>
      <c r="Q338" s="76"/>
    </row>
    <row r="339">
      <c r="A339" s="54"/>
      <c r="B339" s="526">
        <v>45793.0</v>
      </c>
      <c r="C339" s="100" t="s">
        <v>472</v>
      </c>
      <c r="D339" s="178" t="s">
        <v>273</v>
      </c>
      <c r="E339" s="101">
        <v>468842.0</v>
      </c>
      <c r="F339" s="102">
        <f>E339-E337</f>
        <v>1329</v>
      </c>
      <c r="G339" s="186">
        <v>746.0</v>
      </c>
      <c r="H339" s="186">
        <v>446.0</v>
      </c>
      <c r="I339" s="101">
        <v>445.07</v>
      </c>
      <c r="J339" s="102">
        <f t="shared" ref="J339:J340" si="108">H339-I339</f>
        <v>0.93</v>
      </c>
      <c r="K339" s="103">
        <f t="shared" ref="K339:K340" si="109">I339/F339*100</f>
        <v>33.48908954</v>
      </c>
      <c r="L339" s="54"/>
      <c r="M339" s="84" t="s">
        <v>70</v>
      </c>
      <c r="N339" s="84" t="s">
        <v>71</v>
      </c>
      <c r="O339" s="84" t="s">
        <v>27</v>
      </c>
      <c r="P339" s="83" t="s">
        <v>28</v>
      </c>
      <c r="Q339" s="321" t="s">
        <v>78</v>
      </c>
    </row>
    <row r="340">
      <c r="A340" s="54"/>
      <c r="B340" s="526">
        <v>45804.0</v>
      </c>
      <c r="C340" s="178" t="s">
        <v>472</v>
      </c>
      <c r="D340" s="178" t="s">
        <v>273</v>
      </c>
      <c r="E340" s="101">
        <v>470436.0</v>
      </c>
      <c r="F340" s="102">
        <f>E340-E339</f>
        <v>1594</v>
      </c>
      <c r="G340" s="186">
        <v>743.0</v>
      </c>
      <c r="H340" s="186">
        <v>485.0</v>
      </c>
      <c r="I340" s="101">
        <v>494.43</v>
      </c>
      <c r="J340" s="102">
        <f t="shared" si="108"/>
        <v>-9.43</v>
      </c>
      <c r="K340" s="103">
        <f t="shared" si="109"/>
        <v>31.01819322</v>
      </c>
      <c r="L340" s="54"/>
      <c r="M340" s="84">
        <f>SUM(F339:F340)</f>
        <v>2923</v>
      </c>
      <c r="N340" s="84">
        <f>SUM(I339:I340)</f>
        <v>939.5</v>
      </c>
      <c r="O340" s="85">
        <f>N340/M340*100</f>
        <v>32.14163531</v>
      </c>
      <c r="P340" s="84">
        <f>(M340/100)*(O340-Q340)</f>
        <v>33.37</v>
      </c>
      <c r="Q340" s="464">
        <v>31.0</v>
      </c>
    </row>
    <row r="341">
      <c r="A341" s="68"/>
      <c r="B341" s="203" t="str">
        <f>IF(L341=4,"АПРЕЛЬ",IF(L341=5,"МАЙ",IF(L341=1,"ЯНВАРЬ",IF(L341=2,"ФЕВРАЛЬ",IF(L341=3,"МАРТ",IF(L341=6,"ИЮНЬ",IF(L341=7,"ИЮЛЬ",IF(L341=8,"АВГУСТ",IF(L341=9,"СЕНТЯБРЬ",IF(L341=10,"ОКТЯБРЬ",IF(L341=11,"НОЯБРЬ",IF(L341=12,"ДЕКАБРЬ"))))))))))))</f>
        <v>ИЮНЬ</v>
      </c>
      <c r="J341" s="88"/>
      <c r="K341" s="204"/>
      <c r="L341" s="91">
        <f>MONTH(B342)</f>
        <v>6</v>
      </c>
      <c r="M341" s="205" t="str">
        <f>"тотал"&amp;" "&amp;B341&amp;" "&amp;RIGHT(YEAR(B342),2)</f>
        <v>тотал ИЮНЬ 25</v>
      </c>
      <c r="N341" s="75"/>
      <c r="O341" s="75"/>
      <c r="P341" s="75"/>
      <c r="Q341" s="76"/>
    </row>
    <row r="342">
      <c r="A342" s="54"/>
      <c r="B342" s="526">
        <v>45814.0</v>
      </c>
      <c r="C342" s="178" t="s">
        <v>472</v>
      </c>
      <c r="D342" s="178" t="s">
        <v>273</v>
      </c>
      <c r="E342" s="101">
        <v>471944.0</v>
      </c>
      <c r="F342" s="102">
        <f>E342-E340</f>
        <v>1508</v>
      </c>
      <c r="G342" s="186">
        <v>734.0</v>
      </c>
      <c r="H342" s="186">
        <v>471.0</v>
      </c>
      <c r="I342" s="101">
        <v>463.88</v>
      </c>
      <c r="J342" s="102">
        <f t="shared" ref="J342:J343" si="110">H342-I342</f>
        <v>7.12</v>
      </c>
      <c r="K342" s="103">
        <f t="shared" ref="K342:K343" si="111">I342/F342*100</f>
        <v>30.76127321</v>
      </c>
      <c r="L342" s="54"/>
      <c r="M342" s="83" t="s">
        <v>70</v>
      </c>
      <c r="N342" s="83" t="s">
        <v>71</v>
      </c>
      <c r="O342" s="83" t="s">
        <v>27</v>
      </c>
      <c r="P342" s="83" t="s">
        <v>28</v>
      </c>
      <c r="Q342" s="321" t="s">
        <v>78</v>
      </c>
    </row>
    <row r="343">
      <c r="A343" s="54"/>
      <c r="B343" s="526">
        <v>45821.0</v>
      </c>
      <c r="C343" s="178" t="s">
        <v>472</v>
      </c>
      <c r="D343" s="178" t="s">
        <v>122</v>
      </c>
      <c r="E343" s="101">
        <v>473036.0</v>
      </c>
      <c r="F343" s="102">
        <f>E343-E342</f>
        <v>1092</v>
      </c>
      <c r="G343" s="186">
        <v>743.0</v>
      </c>
      <c r="H343" s="186">
        <v>353.0</v>
      </c>
      <c r="I343" s="101">
        <v>356.71</v>
      </c>
      <c r="J343" s="102">
        <f t="shared" si="110"/>
        <v>-3.71</v>
      </c>
      <c r="K343" s="103">
        <f t="shared" si="111"/>
        <v>32.66575092</v>
      </c>
      <c r="L343" s="54"/>
      <c r="M343" s="84">
        <f>SUM(F342:F346)</f>
        <v>4591</v>
      </c>
      <c r="N343" s="84">
        <f>SUM(I342:I346)</f>
        <v>1525.49</v>
      </c>
      <c r="O343" s="85">
        <f>N343/M343*100</f>
        <v>33.22783707</v>
      </c>
      <c r="P343" s="84">
        <f>(M343/100)*(O343-Q343)</f>
        <v>102.28</v>
      </c>
      <c r="Q343" s="464">
        <v>31.0</v>
      </c>
    </row>
    <row r="344">
      <c r="A344" s="68"/>
      <c r="B344" s="203" t="str">
        <f>IF(L344=4,"АПРЕЛЬ",IF(L344=5,"МАЙ",IF(L344=1,"ЯНВАРЬ",IF(L344=2,"ФЕВРАЛЬ",IF(L344=3,"МАРТ",IF(L344=6,"ИЮНЬ",IF(L344=7,"ИЮЛЬ",IF(L344=8,"АВГУСТ",IF(L344=9,"СЕНТЯБРЬ",IF(L344=10,"ОКТЯБРЬ",IF(L344=11,"НОЯБРЬ",IF(L344=12,"ДЕКАБРЬ"))))))))))))</f>
        <v>ИЮЛЬ</v>
      </c>
      <c r="J344" s="88"/>
      <c r="K344" s="204"/>
      <c r="L344" s="91">
        <f>MONTH(B345)</f>
        <v>7</v>
      </c>
      <c r="M344" s="205" t="str">
        <f>"тотал"&amp;" "&amp;B344&amp;" "&amp;RIGHT(YEAR(B345),2)</f>
        <v>тотал ИЮЛЬ 25</v>
      </c>
      <c r="N344" s="75"/>
      <c r="O344" s="75"/>
      <c r="P344" s="75"/>
      <c r="Q344" s="76"/>
    </row>
    <row r="345">
      <c r="A345" s="54"/>
      <c r="B345" s="526">
        <v>45839.0</v>
      </c>
      <c r="C345" s="178" t="s">
        <v>99</v>
      </c>
      <c r="D345" s="178" t="s">
        <v>131</v>
      </c>
      <c r="E345" s="101">
        <v>474300.0</v>
      </c>
      <c r="F345" s="102">
        <f>E345-E343</f>
        <v>1264</v>
      </c>
      <c r="G345" s="186">
        <v>599.0</v>
      </c>
      <c r="H345" s="186">
        <v>296.0</v>
      </c>
      <c r="I345" s="101">
        <v>300.0</v>
      </c>
      <c r="J345" s="102">
        <f t="shared" ref="J345:J350" si="112">H345-I345</f>
        <v>-4</v>
      </c>
      <c r="K345" s="103">
        <f t="shared" ref="K345:K350" si="113">I345/F345*100</f>
        <v>23.73417722</v>
      </c>
      <c r="L345" s="54"/>
      <c r="M345" s="83" t="s">
        <v>70</v>
      </c>
      <c r="N345" s="83" t="s">
        <v>71</v>
      </c>
      <c r="O345" s="83" t="s">
        <v>27</v>
      </c>
      <c r="P345" s="83" t="s">
        <v>28</v>
      </c>
      <c r="Q345" s="321" t="s">
        <v>78</v>
      </c>
    </row>
    <row r="346">
      <c r="A346" s="54"/>
      <c r="B346" s="526">
        <v>45849.0</v>
      </c>
      <c r="C346" s="178" t="s">
        <v>126</v>
      </c>
      <c r="D346" s="178" t="s">
        <v>273</v>
      </c>
      <c r="E346" s="101">
        <v>475027.0</v>
      </c>
      <c r="F346" s="102">
        <f t="shared" ref="F346:F350" si="114">E346-E345</f>
        <v>727</v>
      </c>
      <c r="G346" s="186">
        <v>743.0</v>
      </c>
      <c r="H346" s="186">
        <v>417.0</v>
      </c>
      <c r="I346" s="101">
        <v>404.9</v>
      </c>
      <c r="J346" s="102">
        <f t="shared" si="112"/>
        <v>12.1</v>
      </c>
      <c r="K346" s="103">
        <f t="shared" si="113"/>
        <v>55.69463549</v>
      </c>
      <c r="L346" s="54"/>
      <c r="M346" s="84">
        <f>SUM(F345:F350)</f>
        <v>7625</v>
      </c>
      <c r="N346" s="84">
        <f>SUM(I345:I350)</f>
        <v>2314.8</v>
      </c>
      <c r="O346" s="85">
        <f>N346/M346*100</f>
        <v>30.35803279</v>
      </c>
      <c r="P346" s="84">
        <f>(M346/100)*(O346-Q346)</f>
        <v>27.3</v>
      </c>
      <c r="Q346" s="464">
        <v>30.0</v>
      </c>
    </row>
    <row r="347">
      <c r="A347" s="54"/>
      <c r="B347" s="526">
        <v>45857.0</v>
      </c>
      <c r="C347" s="178" t="s">
        <v>127</v>
      </c>
      <c r="D347" s="178" t="s">
        <v>273</v>
      </c>
      <c r="E347" s="101">
        <v>476403.0</v>
      </c>
      <c r="F347" s="102">
        <f t="shared" si="114"/>
        <v>1376</v>
      </c>
      <c r="G347" s="186">
        <v>735.0</v>
      </c>
      <c r="H347" s="186">
        <v>399.0</v>
      </c>
      <c r="I347" s="101">
        <v>399.62</v>
      </c>
      <c r="J347" s="102">
        <f t="shared" si="112"/>
        <v>-0.62</v>
      </c>
      <c r="K347" s="103">
        <f t="shared" si="113"/>
        <v>29.04215116</v>
      </c>
      <c r="L347" s="54"/>
      <c r="M347" s="54"/>
    </row>
    <row r="348">
      <c r="A348" s="54"/>
      <c r="B348" s="526">
        <v>45860.0</v>
      </c>
      <c r="C348" s="178" t="s">
        <v>126</v>
      </c>
      <c r="D348" s="178" t="s">
        <v>273</v>
      </c>
      <c r="E348" s="101">
        <v>478073.0</v>
      </c>
      <c r="F348" s="102">
        <f t="shared" si="114"/>
        <v>1670</v>
      </c>
      <c r="G348" s="186">
        <v>740.0</v>
      </c>
      <c r="H348" s="186">
        <v>500.0</v>
      </c>
      <c r="I348" s="101">
        <v>491.58</v>
      </c>
      <c r="J348" s="102">
        <f t="shared" si="112"/>
        <v>8.42</v>
      </c>
      <c r="K348" s="103">
        <f t="shared" si="113"/>
        <v>29.43592814</v>
      </c>
      <c r="L348" s="54"/>
      <c r="M348" s="60"/>
    </row>
    <row r="349">
      <c r="A349" s="54"/>
      <c r="B349" s="526">
        <v>45865.0</v>
      </c>
      <c r="C349" s="178" t="s">
        <v>127</v>
      </c>
      <c r="D349" s="178" t="s">
        <v>273</v>
      </c>
      <c r="E349" s="101">
        <v>479116.0</v>
      </c>
      <c r="F349" s="102">
        <f t="shared" si="114"/>
        <v>1043</v>
      </c>
      <c r="G349" s="186">
        <v>727.0</v>
      </c>
      <c r="H349" s="186">
        <v>284.0</v>
      </c>
      <c r="I349" s="101">
        <v>275.7</v>
      </c>
      <c r="J349" s="102">
        <f t="shared" si="112"/>
        <v>8.3</v>
      </c>
      <c r="K349" s="103">
        <f t="shared" si="113"/>
        <v>26.43336529</v>
      </c>
      <c r="L349" s="54"/>
      <c r="M349" s="60"/>
    </row>
    <row r="350">
      <c r="A350" s="54"/>
      <c r="B350" s="526">
        <v>45868.0</v>
      </c>
      <c r="C350" s="178" t="s">
        <v>126</v>
      </c>
      <c r="D350" s="178" t="s">
        <v>273</v>
      </c>
      <c r="E350" s="101">
        <v>480661.0</v>
      </c>
      <c r="F350" s="102">
        <f t="shared" si="114"/>
        <v>1545</v>
      </c>
      <c r="G350" s="186">
        <v>729.0</v>
      </c>
      <c r="H350" s="186">
        <v>435.0</v>
      </c>
      <c r="I350" s="101">
        <v>443.0</v>
      </c>
      <c r="J350" s="102">
        <f t="shared" si="112"/>
        <v>-8</v>
      </c>
      <c r="K350" s="103">
        <f t="shared" si="113"/>
        <v>28.67313916</v>
      </c>
      <c r="L350" s="54"/>
      <c r="M350" s="60"/>
    </row>
    <row r="351">
      <c r="A351" s="68"/>
      <c r="B351" s="203" t="str">
        <f>IF(L351=4,"АПРЕЛЬ",IF(L351=5,"МАЙ",IF(L351=1,"ЯНВАРЬ",IF(L351=2,"ФЕВРАЛЬ",IF(L351=3,"МАРТ",IF(L351=6,"ИЮНЬ",IF(L351=7,"ИЮЛЬ",IF(L351=8,"АВГУСТ",IF(L351=9,"СЕНТЯБРЬ",IF(L351=10,"ОКТЯБРЬ",IF(L351=11,"НОЯБРЬ",IF(L351=12,"ДЕКАБРЬ"))))))))))))</f>
        <v>АВГУСТ</v>
      </c>
      <c r="J351" s="88"/>
      <c r="K351" s="204"/>
      <c r="L351" s="91">
        <f>MONTH(B352)</f>
        <v>8</v>
      </c>
      <c r="M351" s="66"/>
      <c r="N351" s="66"/>
      <c r="O351" s="66"/>
      <c r="P351" s="66"/>
      <c r="Q351" s="66"/>
    </row>
    <row r="352">
      <c r="A352" s="54"/>
      <c r="B352" s="526">
        <v>45872.0</v>
      </c>
      <c r="C352" s="178" t="s">
        <v>127</v>
      </c>
      <c r="D352" s="178" t="s">
        <v>273</v>
      </c>
      <c r="E352" s="101">
        <v>481557.0</v>
      </c>
      <c r="F352" s="102">
        <f>E352-E350</f>
        <v>896</v>
      </c>
      <c r="G352" s="186">
        <v>736.0</v>
      </c>
      <c r="H352" s="186">
        <v>262.0</v>
      </c>
      <c r="I352" s="101">
        <v>265.01</v>
      </c>
      <c r="J352" s="102">
        <f t="shared" ref="J352:J363" si="115">H352-I352</f>
        <v>-3.01</v>
      </c>
      <c r="K352" s="103">
        <f t="shared" ref="K352:K363" si="116">I352/F352*100</f>
        <v>29.57700893</v>
      </c>
      <c r="L352" s="54"/>
      <c r="M352" s="205" t="str">
        <f>"тотал"&amp;" "&amp;B351&amp;" "&amp;RIGHT(YEAR(B352),2)</f>
        <v>тотал АВГУСТ 25</v>
      </c>
      <c r="N352" s="75"/>
      <c r="O352" s="75"/>
      <c r="P352" s="75"/>
      <c r="Q352" s="76"/>
    </row>
    <row r="353">
      <c r="A353" s="54"/>
      <c r="B353" s="526">
        <v>45875.0</v>
      </c>
      <c r="C353" s="178" t="s">
        <v>127</v>
      </c>
      <c r="D353" s="178" t="s">
        <v>273</v>
      </c>
      <c r="E353" s="101">
        <v>483282.0</v>
      </c>
      <c r="F353" s="102">
        <f t="shared" ref="F353:F363" si="117">E353-E352</f>
        <v>1725</v>
      </c>
      <c r="G353" s="186">
        <v>730.0</v>
      </c>
      <c r="H353" s="186">
        <v>481.0</v>
      </c>
      <c r="I353" s="102">
        <f>9.13--480.67</f>
        <v>489.8</v>
      </c>
      <c r="J353" s="102">
        <f t="shared" si="115"/>
        <v>-8.8</v>
      </c>
      <c r="K353" s="103">
        <f t="shared" si="116"/>
        <v>28.3942029</v>
      </c>
      <c r="L353" s="54"/>
      <c r="M353" s="83" t="s">
        <v>70</v>
      </c>
      <c r="N353" s="83" t="s">
        <v>71</v>
      </c>
      <c r="O353" s="83" t="s">
        <v>27</v>
      </c>
      <c r="P353" s="83" t="s">
        <v>28</v>
      </c>
      <c r="Q353" s="321" t="s">
        <v>78</v>
      </c>
    </row>
    <row r="354">
      <c r="A354" s="54"/>
      <c r="B354" s="526">
        <v>45877.0</v>
      </c>
      <c r="C354" s="178" t="s">
        <v>123</v>
      </c>
      <c r="D354" s="178" t="s">
        <v>273</v>
      </c>
      <c r="E354" s="101">
        <v>484968.0</v>
      </c>
      <c r="F354" s="102">
        <f t="shared" si="117"/>
        <v>1686</v>
      </c>
      <c r="G354" s="186">
        <v>719.0</v>
      </c>
      <c r="H354" s="186">
        <v>465.0</v>
      </c>
      <c r="I354" s="101">
        <v>475.0</v>
      </c>
      <c r="J354" s="102">
        <f t="shared" si="115"/>
        <v>-10</v>
      </c>
      <c r="K354" s="103">
        <f t="shared" si="116"/>
        <v>28.17319098</v>
      </c>
      <c r="L354" s="54"/>
      <c r="M354" s="84">
        <f>SUM(F352:F363)</f>
        <v>17167</v>
      </c>
      <c r="N354" s="84">
        <f>SUM(I352:I363)</f>
        <v>4889.94</v>
      </c>
      <c r="O354" s="85">
        <f>N354/M354*100</f>
        <v>28.48453428</v>
      </c>
      <c r="P354" s="84">
        <f>(M354/100)*(O354-Q354)</f>
        <v>83.18</v>
      </c>
      <c r="Q354" s="464">
        <v>28.0</v>
      </c>
    </row>
    <row r="355">
      <c r="A355" s="54"/>
      <c r="B355" s="526">
        <v>45879.0</v>
      </c>
      <c r="C355" s="178" t="s">
        <v>123</v>
      </c>
      <c r="D355" s="178" t="s">
        <v>273</v>
      </c>
      <c r="E355" s="101">
        <v>486524.0</v>
      </c>
      <c r="F355" s="102">
        <f t="shared" si="117"/>
        <v>1556</v>
      </c>
      <c r="G355" s="186">
        <v>725.0</v>
      </c>
      <c r="H355" s="186">
        <v>456.0</v>
      </c>
      <c r="I355" s="101">
        <v>463.0</v>
      </c>
      <c r="J355" s="102">
        <f t="shared" si="115"/>
        <v>-7</v>
      </c>
      <c r="K355" s="103">
        <f t="shared" si="116"/>
        <v>29.75578406</v>
      </c>
      <c r="L355" s="54"/>
      <c r="M355" s="54"/>
    </row>
    <row r="356">
      <c r="A356" s="54"/>
      <c r="B356" s="526">
        <v>45882.0</v>
      </c>
      <c r="C356" s="178" t="s">
        <v>126</v>
      </c>
      <c r="D356" s="178" t="s">
        <v>273</v>
      </c>
      <c r="E356" s="101">
        <v>488154.0</v>
      </c>
      <c r="F356" s="102">
        <f t="shared" si="117"/>
        <v>1630</v>
      </c>
      <c r="G356" s="186">
        <v>724.0</v>
      </c>
      <c r="H356" s="186">
        <v>466.0</v>
      </c>
      <c r="I356" s="101">
        <v>475.22</v>
      </c>
      <c r="J356" s="102">
        <f t="shared" si="115"/>
        <v>-9.22</v>
      </c>
      <c r="K356" s="103">
        <f t="shared" si="116"/>
        <v>29.15460123</v>
      </c>
      <c r="L356" s="54"/>
      <c r="M356" s="54"/>
    </row>
    <row r="357">
      <c r="A357" s="54"/>
      <c r="B357" s="526">
        <v>45885.0</v>
      </c>
      <c r="C357" s="178" t="s">
        <v>123</v>
      </c>
      <c r="D357" s="178" t="s">
        <v>273</v>
      </c>
      <c r="E357" s="101">
        <v>489801.0</v>
      </c>
      <c r="F357" s="102">
        <f t="shared" si="117"/>
        <v>1647</v>
      </c>
      <c r="G357" s="186">
        <v>724.0</v>
      </c>
      <c r="H357" s="186">
        <v>459.0</v>
      </c>
      <c r="I357" s="101">
        <v>468.18</v>
      </c>
      <c r="J357" s="102">
        <f t="shared" si="115"/>
        <v>-9.18</v>
      </c>
      <c r="K357" s="103">
        <f t="shared" si="116"/>
        <v>28.42622951</v>
      </c>
      <c r="L357" s="54"/>
      <c r="M357" s="54"/>
    </row>
    <row r="358">
      <c r="A358" s="54"/>
      <c r="B358" s="526">
        <v>45893.0</v>
      </c>
      <c r="C358" s="178" t="s">
        <v>276</v>
      </c>
      <c r="D358" s="178" t="s">
        <v>473</v>
      </c>
      <c r="E358" s="101">
        <v>491022.0</v>
      </c>
      <c r="F358" s="102">
        <f t="shared" si="117"/>
        <v>1221</v>
      </c>
      <c r="G358" s="186">
        <v>745.0</v>
      </c>
      <c r="H358" s="186">
        <v>367.0</v>
      </c>
      <c r="I358" s="101">
        <v>360.09</v>
      </c>
      <c r="J358" s="102">
        <f t="shared" si="115"/>
        <v>6.91</v>
      </c>
      <c r="K358" s="103">
        <f t="shared" si="116"/>
        <v>29.49140049</v>
      </c>
      <c r="L358" s="54"/>
      <c r="M358" s="54"/>
    </row>
    <row r="359">
      <c r="A359" s="54"/>
      <c r="B359" s="526">
        <v>45895.0</v>
      </c>
      <c r="C359" s="178" t="s">
        <v>276</v>
      </c>
      <c r="D359" s="178" t="s">
        <v>473</v>
      </c>
      <c r="E359" s="101">
        <v>492868.0</v>
      </c>
      <c r="F359" s="102">
        <f t="shared" si="117"/>
        <v>1846</v>
      </c>
      <c r="G359" s="186">
        <v>627.0</v>
      </c>
      <c r="H359" s="186">
        <v>395.0</v>
      </c>
      <c r="I359" s="101">
        <v>400.0</v>
      </c>
      <c r="J359" s="102">
        <f t="shared" si="115"/>
        <v>-5</v>
      </c>
      <c r="K359" s="103">
        <f t="shared" si="116"/>
        <v>21.66847237</v>
      </c>
      <c r="L359" s="54"/>
      <c r="M359" s="54"/>
    </row>
    <row r="360">
      <c r="A360" s="54"/>
      <c r="B360" s="526">
        <v>45896.0</v>
      </c>
      <c r="C360" s="178" t="s">
        <v>276</v>
      </c>
      <c r="D360" s="178" t="s">
        <v>473</v>
      </c>
      <c r="E360" s="101">
        <v>493929.0</v>
      </c>
      <c r="F360" s="102">
        <f t="shared" si="117"/>
        <v>1061</v>
      </c>
      <c r="G360" s="186">
        <v>679.0</v>
      </c>
      <c r="H360" s="186">
        <v>351.0</v>
      </c>
      <c r="I360" s="101">
        <v>350.0</v>
      </c>
      <c r="J360" s="102">
        <f t="shared" si="115"/>
        <v>1</v>
      </c>
      <c r="K360" s="103">
        <f t="shared" si="116"/>
        <v>32.98774741</v>
      </c>
      <c r="L360" s="54"/>
      <c r="M360" s="54"/>
    </row>
    <row r="361">
      <c r="A361" s="54"/>
      <c r="B361" s="526">
        <v>45898.0</v>
      </c>
      <c r="C361" s="178" t="s">
        <v>276</v>
      </c>
      <c r="D361" s="178" t="s">
        <v>473</v>
      </c>
      <c r="E361" s="101">
        <v>495289.0</v>
      </c>
      <c r="F361" s="102">
        <f t="shared" si="117"/>
        <v>1360</v>
      </c>
      <c r="G361" s="186">
        <v>649.0</v>
      </c>
      <c r="H361" s="186">
        <v>347.0</v>
      </c>
      <c r="I361" s="101">
        <v>350.0</v>
      </c>
      <c r="J361" s="102">
        <f t="shared" si="115"/>
        <v>-3</v>
      </c>
      <c r="K361" s="103">
        <f t="shared" si="116"/>
        <v>25.73529412</v>
      </c>
      <c r="L361" s="54"/>
      <c r="M361" s="54"/>
    </row>
    <row r="362">
      <c r="A362" s="54"/>
      <c r="B362" s="526">
        <v>45899.0</v>
      </c>
      <c r="C362" s="178" t="s">
        <v>276</v>
      </c>
      <c r="D362" s="178" t="s">
        <v>473</v>
      </c>
      <c r="E362" s="101">
        <v>496533.0</v>
      </c>
      <c r="F362" s="102">
        <f t="shared" si="117"/>
        <v>1244</v>
      </c>
      <c r="G362" s="186">
        <v>711.0</v>
      </c>
      <c r="H362" s="186">
        <v>405.0</v>
      </c>
      <c r="I362" s="101">
        <v>400.0</v>
      </c>
      <c r="J362" s="102">
        <f t="shared" si="115"/>
        <v>5</v>
      </c>
      <c r="K362" s="103">
        <f t="shared" si="116"/>
        <v>32.15434084</v>
      </c>
      <c r="L362" s="54"/>
      <c r="M362" s="54"/>
    </row>
    <row r="363">
      <c r="A363" s="54"/>
      <c r="B363" s="526">
        <v>45900.0</v>
      </c>
      <c r="C363" s="178" t="s">
        <v>276</v>
      </c>
      <c r="D363" s="178" t="s">
        <v>473</v>
      </c>
      <c r="E363" s="101">
        <v>497828.0</v>
      </c>
      <c r="F363" s="102">
        <f t="shared" si="117"/>
        <v>1295</v>
      </c>
      <c r="G363" s="186">
        <v>745.0</v>
      </c>
      <c r="H363" s="186">
        <v>405.0</v>
      </c>
      <c r="I363" s="101">
        <v>393.64</v>
      </c>
      <c r="J363" s="102">
        <f t="shared" si="115"/>
        <v>11.36</v>
      </c>
      <c r="K363" s="103">
        <f t="shared" si="116"/>
        <v>30.3969112</v>
      </c>
      <c r="L363" s="54"/>
      <c r="M363" s="54"/>
    </row>
    <row r="364">
      <c r="A364" s="68"/>
      <c r="B364" s="203" t="str">
        <f>IF(L364=4,"АПРЕЛЬ",IF(L364=5,"МАЙ",IF(L364=1,"ЯНВАРЬ",IF(L364=2,"ФЕВРАЛЬ",IF(L364=3,"МАРТ",IF(L364=6,"ИЮНЬ",IF(L364=7,"ИЮЛЬ",IF(L364=8,"АВГУСТ",IF(L364=9,"СЕНТЯБРЬ",IF(L364=10,"ОКТЯБРЬ",IF(L364=11,"НОЯБРЬ",IF(L364=12,"ДЕКАБРЬ"))))))))))))</f>
        <v>СЕНТЯБРЬ</v>
      </c>
      <c r="J364" s="88"/>
      <c r="K364" s="204"/>
      <c r="L364" s="91">
        <f>MONTH(B365)</f>
        <v>9</v>
      </c>
      <c r="M364" s="66"/>
      <c r="N364" s="66"/>
      <c r="O364" s="66"/>
      <c r="P364" s="66"/>
      <c r="Q364" s="66"/>
    </row>
    <row r="365">
      <c r="A365" s="54"/>
      <c r="B365" s="526">
        <v>45902.0</v>
      </c>
      <c r="C365" s="178" t="s">
        <v>276</v>
      </c>
      <c r="D365" s="178" t="s">
        <v>473</v>
      </c>
      <c r="E365" s="101">
        <v>499188.0</v>
      </c>
      <c r="F365" s="102">
        <f>E365-E363</f>
        <v>1360</v>
      </c>
      <c r="G365" s="186">
        <v>739.0</v>
      </c>
      <c r="H365" s="186">
        <v>381.0</v>
      </c>
      <c r="I365" s="101">
        <v>376.25</v>
      </c>
      <c r="J365" s="102">
        <f t="shared" ref="J365:J374" si="118">H365-I365</f>
        <v>4.75</v>
      </c>
      <c r="K365" s="103">
        <f t="shared" ref="K365:K374" si="119">I365/F365*100</f>
        <v>27.66544118</v>
      </c>
      <c r="L365" s="54"/>
      <c r="M365" s="205" t="str">
        <f>"тотал"&amp;" "&amp;B364&amp;" "&amp;RIGHT(YEAR(B365),2)</f>
        <v>тотал СЕНТЯБРЬ 25</v>
      </c>
      <c r="N365" s="75"/>
      <c r="O365" s="75"/>
      <c r="P365" s="75"/>
      <c r="Q365" s="76"/>
    </row>
    <row r="366">
      <c r="A366" s="54"/>
      <c r="B366" s="526">
        <v>45904.0</v>
      </c>
      <c r="C366" s="178" t="s">
        <v>276</v>
      </c>
      <c r="D366" s="178" t="s">
        <v>473</v>
      </c>
      <c r="E366" s="101">
        <v>500877.0</v>
      </c>
      <c r="F366" s="102">
        <f t="shared" ref="F366:F374" si="120">E366-E365</f>
        <v>1689</v>
      </c>
      <c r="G366" s="186">
        <v>667.0</v>
      </c>
      <c r="H366" s="186">
        <v>397.0</v>
      </c>
      <c r="I366" s="101">
        <v>400.0</v>
      </c>
      <c r="J366" s="102">
        <f t="shared" si="118"/>
        <v>-3</v>
      </c>
      <c r="K366" s="103">
        <f t="shared" si="119"/>
        <v>23.68265246</v>
      </c>
      <c r="L366" s="54"/>
      <c r="M366" s="83" t="s">
        <v>70</v>
      </c>
      <c r="N366" s="83" t="s">
        <v>71</v>
      </c>
      <c r="O366" s="83" t="s">
        <v>27</v>
      </c>
      <c r="P366" s="83" t="s">
        <v>28</v>
      </c>
      <c r="Q366" s="321" t="s">
        <v>78</v>
      </c>
    </row>
    <row r="367">
      <c r="A367" s="54"/>
      <c r="B367" s="526">
        <v>45905.0</v>
      </c>
      <c r="C367" s="178" t="s">
        <v>276</v>
      </c>
      <c r="D367" s="178" t="s">
        <v>473</v>
      </c>
      <c r="E367" s="101">
        <v>501938.0</v>
      </c>
      <c r="F367" s="102">
        <f t="shared" si="120"/>
        <v>1061</v>
      </c>
      <c r="G367" s="186">
        <v>711.0</v>
      </c>
      <c r="H367" s="186">
        <v>354.0</v>
      </c>
      <c r="I367" s="101">
        <v>350.0</v>
      </c>
      <c r="J367" s="102">
        <f t="shared" si="118"/>
        <v>4</v>
      </c>
      <c r="K367" s="103">
        <f t="shared" si="119"/>
        <v>32.98774741</v>
      </c>
      <c r="L367" s="54"/>
      <c r="M367" s="84">
        <f>SUM(F365:F374)</f>
        <v>12743</v>
      </c>
      <c r="N367" s="84">
        <f>SUM(I365:I374)</f>
        <v>3647.25</v>
      </c>
      <c r="O367" s="85">
        <f>N367/M367*100</f>
        <v>28.62159617</v>
      </c>
      <c r="P367" s="84">
        <f>(M367/100)*(O367-Q367)</f>
        <v>15.495</v>
      </c>
      <c r="Q367" s="464">
        <v>28.5</v>
      </c>
    </row>
    <row r="368">
      <c r="A368" s="54"/>
      <c r="B368" s="526">
        <v>45909.0</v>
      </c>
      <c r="C368" s="178" t="s">
        <v>276</v>
      </c>
      <c r="D368" s="178" t="s">
        <v>473</v>
      </c>
      <c r="E368" s="101">
        <v>503504.0</v>
      </c>
      <c r="F368" s="102">
        <f t="shared" si="120"/>
        <v>1566</v>
      </c>
      <c r="G368" s="186">
        <v>628.0</v>
      </c>
      <c r="H368" s="186">
        <v>347.0</v>
      </c>
      <c r="I368" s="101">
        <v>350.0</v>
      </c>
      <c r="J368" s="102">
        <f t="shared" si="118"/>
        <v>-3</v>
      </c>
      <c r="K368" s="103">
        <f t="shared" si="119"/>
        <v>22.34993614</v>
      </c>
      <c r="L368" s="54"/>
      <c r="M368" s="54"/>
    </row>
    <row r="369">
      <c r="A369" s="54"/>
      <c r="B369" s="526">
        <v>45911.0</v>
      </c>
      <c r="C369" s="178" t="s">
        <v>276</v>
      </c>
      <c r="D369" s="178" t="s">
        <v>473</v>
      </c>
      <c r="E369" s="101">
        <v>504617.0</v>
      </c>
      <c r="F369" s="102">
        <f t="shared" si="120"/>
        <v>1113</v>
      </c>
      <c r="G369" s="186">
        <v>739.0</v>
      </c>
      <c r="H369" s="186">
        <v>391.0</v>
      </c>
      <c r="I369" s="101">
        <v>391.34</v>
      </c>
      <c r="J369" s="102">
        <f t="shared" si="118"/>
        <v>-0.34</v>
      </c>
      <c r="K369" s="103">
        <f t="shared" si="119"/>
        <v>35.16082659</v>
      </c>
      <c r="L369" s="54"/>
      <c r="M369" s="54"/>
    </row>
    <row r="370">
      <c r="A370" s="54"/>
      <c r="B370" s="526">
        <v>45912.0</v>
      </c>
      <c r="C370" s="178" t="s">
        <v>276</v>
      </c>
      <c r="D370" s="178" t="s">
        <v>473</v>
      </c>
      <c r="E370" s="101">
        <v>506212.0</v>
      </c>
      <c r="F370" s="102">
        <f t="shared" si="120"/>
        <v>1595</v>
      </c>
      <c r="G370" s="186">
        <v>712.0</v>
      </c>
      <c r="H370" s="186">
        <v>404.0</v>
      </c>
      <c r="I370" s="101">
        <v>400.0</v>
      </c>
      <c r="J370" s="102">
        <f t="shared" si="118"/>
        <v>4</v>
      </c>
      <c r="K370" s="103">
        <f t="shared" si="119"/>
        <v>25.07836991</v>
      </c>
      <c r="L370" s="54"/>
      <c r="M370" s="54"/>
    </row>
    <row r="371">
      <c r="A371" s="54"/>
      <c r="B371" s="526">
        <v>45914.0</v>
      </c>
      <c r="C371" s="178" t="s">
        <v>276</v>
      </c>
      <c r="D371" s="178" t="s">
        <v>473</v>
      </c>
      <c r="E371" s="101">
        <v>507885.0</v>
      </c>
      <c r="F371" s="102">
        <f t="shared" si="120"/>
        <v>1673</v>
      </c>
      <c r="G371" s="186">
        <v>740.0</v>
      </c>
      <c r="H371" s="186">
        <v>503.0</v>
      </c>
      <c r="I371" s="101">
        <v>500.0</v>
      </c>
      <c r="J371" s="102">
        <f t="shared" si="118"/>
        <v>3</v>
      </c>
      <c r="K371" s="103">
        <f t="shared" si="119"/>
        <v>29.88643156</v>
      </c>
      <c r="L371" s="54"/>
      <c r="M371" s="54"/>
    </row>
    <row r="372">
      <c r="A372" s="336">
        <v>8394.0</v>
      </c>
      <c r="B372" s="574">
        <v>45919.0</v>
      </c>
      <c r="C372" s="210" t="s">
        <v>99</v>
      </c>
      <c r="D372" s="210" t="s">
        <v>474</v>
      </c>
      <c r="E372" s="338">
        <v>508685.0</v>
      </c>
      <c r="F372" s="102">
        <f t="shared" si="120"/>
        <v>800</v>
      </c>
      <c r="G372" s="338">
        <v>688.0</v>
      </c>
      <c r="H372" s="338">
        <v>208.0</v>
      </c>
      <c r="I372" s="211">
        <f>143.78--56.22</f>
        <v>200</v>
      </c>
      <c r="J372" s="339">
        <f t="shared" si="118"/>
        <v>8</v>
      </c>
      <c r="K372" s="340">
        <f t="shared" si="119"/>
        <v>25</v>
      </c>
      <c r="L372" s="54"/>
      <c r="M372" s="54"/>
    </row>
    <row r="373">
      <c r="A373" s="54"/>
      <c r="B373" s="575">
        <v>45921.0</v>
      </c>
      <c r="C373" s="210" t="s">
        <v>99</v>
      </c>
      <c r="D373" s="178" t="s">
        <v>273</v>
      </c>
      <c r="E373" s="101">
        <v>509243.0</v>
      </c>
      <c r="F373" s="102">
        <f t="shared" si="120"/>
        <v>558</v>
      </c>
      <c r="G373" s="186">
        <v>741.0</v>
      </c>
      <c r="H373" s="186">
        <v>240.0</v>
      </c>
      <c r="I373" s="101">
        <v>235.47</v>
      </c>
      <c r="J373" s="339">
        <f t="shared" si="118"/>
        <v>4.53</v>
      </c>
      <c r="K373" s="340">
        <f t="shared" si="119"/>
        <v>42.19892473</v>
      </c>
      <c r="L373" s="54"/>
      <c r="M373" s="54"/>
    </row>
    <row r="374">
      <c r="A374" s="54"/>
      <c r="B374" s="575">
        <v>45926.0</v>
      </c>
      <c r="C374" s="210" t="s">
        <v>99</v>
      </c>
      <c r="D374" s="178" t="s">
        <v>273</v>
      </c>
      <c r="E374" s="101">
        <v>510571.0</v>
      </c>
      <c r="F374" s="102">
        <f t="shared" si="120"/>
        <v>1328</v>
      </c>
      <c r="G374" s="186">
        <v>739.0</v>
      </c>
      <c r="H374" s="186">
        <v>454.0</v>
      </c>
      <c r="I374" s="101">
        <v>444.19</v>
      </c>
      <c r="J374" s="339">
        <f t="shared" si="118"/>
        <v>9.81</v>
      </c>
      <c r="K374" s="340">
        <f t="shared" si="119"/>
        <v>33.44804217</v>
      </c>
      <c r="L374" s="54"/>
      <c r="M374" s="54"/>
    </row>
    <row r="375">
      <c r="A375" s="68"/>
      <c r="B375" s="203" t="str">
        <f>IF(L375=4,"АПРЕЛЬ",IF(L375=5,"МАЙ",IF(L375=1,"ЯНВАРЬ",IF(L375=2,"ФЕВРАЛЬ",IF(L375=3,"МАРТ",IF(L375=6,"ИЮНЬ",IF(L375=7,"ИЮЛЬ",IF(L375=8,"АВГУСТ",IF(L375=9,"СЕНТЯБРЬ",IF(L375=10,"ОКТЯБРЬ",IF(L375=11,"НОЯБРЬ",IF(L375=12,"ДЕКАБРЬ"))))))))))))</f>
        <v>ОКТЯБРЬ</v>
      </c>
      <c r="J375" s="88"/>
      <c r="K375" s="204"/>
      <c r="L375" s="91">
        <f>MONTH(B376)</f>
        <v>10</v>
      </c>
      <c r="M375" s="66"/>
      <c r="N375" s="66"/>
      <c r="O375" s="66"/>
      <c r="P375" s="66"/>
      <c r="Q375" s="66"/>
    </row>
    <row r="376">
      <c r="A376" s="54"/>
      <c r="B376" s="575">
        <v>45932.0</v>
      </c>
      <c r="C376" s="210" t="s">
        <v>99</v>
      </c>
      <c r="D376" s="178" t="s">
        <v>273</v>
      </c>
      <c r="E376" s="101">
        <v>511513.0</v>
      </c>
      <c r="F376" s="102">
        <f>E376-E374</f>
        <v>942</v>
      </c>
      <c r="G376" s="186">
        <v>726.0</v>
      </c>
      <c r="H376" s="186">
        <v>409.0</v>
      </c>
      <c r="I376" s="101">
        <v>400.38</v>
      </c>
      <c r="J376" s="339">
        <f t="shared" ref="J376:J377" si="121">H376-I376</f>
        <v>8.62</v>
      </c>
      <c r="K376" s="340">
        <f t="shared" ref="K376:K377" si="122">I376/F376*100</f>
        <v>42.50318471</v>
      </c>
      <c r="L376" s="54"/>
      <c r="M376" s="205" t="str">
        <f>"тотал"&amp;" "&amp;B375&amp;" "&amp;RIGHT(YEAR(B376),2)</f>
        <v>тотал ОКТЯБРЬ 25</v>
      </c>
      <c r="N376" s="75"/>
      <c r="O376" s="75"/>
      <c r="P376" s="75"/>
      <c r="Q376" s="76"/>
    </row>
    <row r="377">
      <c r="A377" s="54"/>
      <c r="B377" s="575">
        <v>45939.0</v>
      </c>
      <c r="C377" s="210" t="s">
        <v>99</v>
      </c>
      <c r="D377" s="178" t="s">
        <v>273</v>
      </c>
      <c r="E377" s="101">
        <v>512929.0</v>
      </c>
      <c r="F377" s="102">
        <f>E377-E376</f>
        <v>1416</v>
      </c>
      <c r="G377" s="186">
        <v>729.0</v>
      </c>
      <c r="H377" s="186">
        <v>460.0</v>
      </c>
      <c r="I377" s="101">
        <v>456.53</v>
      </c>
      <c r="J377" s="339">
        <f t="shared" si="121"/>
        <v>3.47</v>
      </c>
      <c r="K377" s="340">
        <f t="shared" si="122"/>
        <v>32.24081921</v>
      </c>
      <c r="L377" s="54"/>
      <c r="M377" s="83" t="s">
        <v>70</v>
      </c>
      <c r="N377" s="83" t="s">
        <v>71</v>
      </c>
      <c r="O377" s="83" t="s">
        <v>27</v>
      </c>
      <c r="P377" s="83" t="s">
        <v>28</v>
      </c>
      <c r="Q377" s="321" t="s">
        <v>78</v>
      </c>
    </row>
    <row r="378">
      <c r="A378" s="54"/>
      <c r="B378" s="350"/>
      <c r="C378" s="350"/>
      <c r="D378" s="102"/>
      <c r="E378" s="102"/>
      <c r="F378" s="102"/>
      <c r="G378" s="177"/>
      <c r="H378" s="177"/>
      <c r="I378" s="102"/>
      <c r="J378" s="102"/>
      <c r="K378" s="103"/>
      <c r="L378" s="54"/>
      <c r="M378" s="84">
        <f>SUM(F376:F385)</f>
        <v>2358</v>
      </c>
      <c r="N378" s="84">
        <f>SUM(I376:I385)</f>
        <v>856.91</v>
      </c>
      <c r="O378" s="85">
        <f>N378/M378*100</f>
        <v>36.34054283</v>
      </c>
      <c r="P378" s="84">
        <f>(M378/100)*(O378-Q378)</f>
        <v>184.88</v>
      </c>
      <c r="Q378" s="464">
        <v>28.5</v>
      </c>
    </row>
    <row r="379">
      <c r="A379" s="54"/>
      <c r="B379" s="350"/>
      <c r="C379" s="350"/>
      <c r="D379" s="102"/>
      <c r="E379" s="102"/>
      <c r="F379" s="102"/>
      <c r="G379" s="177"/>
      <c r="H379" s="177"/>
      <c r="I379" s="102"/>
      <c r="J379" s="102"/>
      <c r="K379" s="103"/>
      <c r="L379" s="54"/>
      <c r="M379" s="54"/>
    </row>
    <row r="380">
      <c r="A380" s="54"/>
      <c r="B380" s="350"/>
      <c r="C380" s="350"/>
      <c r="D380" s="102"/>
      <c r="E380" s="102"/>
      <c r="F380" s="102"/>
      <c r="G380" s="177"/>
      <c r="H380" s="177"/>
      <c r="I380" s="102"/>
      <c r="J380" s="102"/>
      <c r="K380" s="103"/>
      <c r="L380" s="54"/>
      <c r="M380" s="54"/>
    </row>
    <row r="381">
      <c r="A381" s="54"/>
      <c r="B381" s="350"/>
      <c r="C381" s="350"/>
      <c r="D381" s="102"/>
      <c r="E381" s="102"/>
      <c r="F381" s="102"/>
      <c r="G381" s="177"/>
      <c r="H381" s="177"/>
      <c r="I381" s="102"/>
      <c r="J381" s="102"/>
      <c r="K381" s="103"/>
      <c r="L381" s="54"/>
      <c r="M381" s="54"/>
    </row>
    <row r="382">
      <c r="A382" s="54"/>
      <c r="B382" s="350"/>
      <c r="C382" s="350"/>
      <c r="D382" s="102"/>
      <c r="E382" s="102"/>
      <c r="F382" s="102"/>
      <c r="G382" s="177"/>
      <c r="H382" s="177"/>
      <c r="I382" s="102"/>
      <c r="J382" s="102"/>
      <c r="K382" s="103"/>
      <c r="L382" s="54"/>
      <c r="M382" s="54"/>
    </row>
    <row r="383">
      <c r="A383" s="54"/>
      <c r="B383" s="350"/>
      <c r="C383" s="350"/>
      <c r="D383" s="102"/>
      <c r="E383" s="102"/>
      <c r="F383" s="102"/>
      <c r="G383" s="177"/>
      <c r="H383" s="177"/>
      <c r="I383" s="102"/>
      <c r="J383" s="102"/>
      <c r="K383" s="103"/>
      <c r="L383" s="54"/>
      <c r="M383" s="54"/>
    </row>
    <row r="384">
      <c r="A384" s="54"/>
      <c r="B384" s="350"/>
      <c r="C384" s="350"/>
      <c r="D384" s="102"/>
      <c r="E384" s="102"/>
      <c r="F384" s="102"/>
      <c r="G384" s="177"/>
      <c r="H384" s="177"/>
      <c r="I384" s="102"/>
      <c r="J384" s="102"/>
      <c r="K384" s="103"/>
      <c r="L384" s="54"/>
      <c r="M384" s="54"/>
    </row>
    <row r="385">
      <c r="A385" s="54"/>
      <c r="B385" s="140"/>
      <c r="C385" s="140"/>
      <c r="D385" s="54"/>
      <c r="E385" s="54"/>
      <c r="F385" s="54"/>
      <c r="G385" s="141"/>
      <c r="H385" s="141"/>
      <c r="I385" s="54"/>
      <c r="J385" s="54"/>
      <c r="K385" s="63"/>
      <c r="L385" s="54"/>
      <c r="M385" s="54"/>
    </row>
    <row r="386">
      <c r="A386" s="54"/>
      <c r="B386" s="140"/>
      <c r="C386" s="140"/>
      <c r="D386" s="54"/>
      <c r="E386" s="54"/>
      <c r="F386" s="54"/>
      <c r="G386" s="141"/>
      <c r="H386" s="141"/>
      <c r="I386" s="54"/>
      <c r="J386" s="54"/>
      <c r="K386" s="63"/>
      <c r="L386" s="54"/>
      <c r="M386" s="54"/>
    </row>
    <row r="387">
      <c r="A387" s="54"/>
      <c r="B387" s="140"/>
      <c r="C387" s="140"/>
      <c r="D387" s="54"/>
      <c r="E387" s="54"/>
      <c r="F387" s="54"/>
      <c r="G387" s="141"/>
      <c r="H387" s="141"/>
      <c r="I387" s="54"/>
      <c r="J387" s="54"/>
      <c r="K387" s="63"/>
      <c r="L387" s="54"/>
      <c r="M387" s="54"/>
    </row>
    <row r="388">
      <c r="A388" s="54"/>
      <c r="B388" s="140"/>
      <c r="C388" s="140"/>
      <c r="D388" s="54"/>
      <c r="E388" s="54"/>
      <c r="F388" s="54"/>
      <c r="G388" s="141"/>
      <c r="H388" s="141"/>
      <c r="I388" s="54"/>
      <c r="J388" s="54"/>
      <c r="K388" s="63"/>
      <c r="L388" s="54"/>
      <c r="M388" s="54"/>
    </row>
    <row r="389">
      <c r="A389" s="54"/>
      <c r="B389" s="140"/>
      <c r="C389" s="140"/>
      <c r="D389" s="54"/>
      <c r="E389" s="54"/>
      <c r="F389" s="54"/>
      <c r="G389" s="141"/>
      <c r="H389" s="141"/>
      <c r="I389" s="54"/>
      <c r="J389" s="54"/>
      <c r="K389" s="63"/>
      <c r="L389" s="54"/>
      <c r="M389" s="54"/>
    </row>
    <row r="390">
      <c r="A390" s="54"/>
      <c r="B390" s="140"/>
      <c r="C390" s="140"/>
      <c r="D390" s="54"/>
      <c r="E390" s="54"/>
      <c r="F390" s="54"/>
      <c r="G390" s="141"/>
      <c r="H390" s="141"/>
      <c r="I390" s="54"/>
      <c r="J390" s="54"/>
      <c r="K390" s="63"/>
      <c r="L390" s="54"/>
      <c r="M390" s="54"/>
    </row>
    <row r="391">
      <c r="A391" s="54"/>
      <c r="B391" s="140"/>
      <c r="C391" s="140"/>
      <c r="D391" s="54"/>
      <c r="E391" s="54"/>
      <c r="F391" s="54"/>
      <c r="G391" s="141"/>
      <c r="H391" s="141"/>
      <c r="I391" s="54"/>
      <c r="J391" s="54"/>
      <c r="K391" s="63"/>
      <c r="L391" s="54"/>
      <c r="M391" s="54"/>
    </row>
    <row r="392">
      <c r="A392" s="54"/>
      <c r="B392" s="140"/>
      <c r="C392" s="140"/>
      <c r="D392" s="54"/>
      <c r="E392" s="54"/>
      <c r="F392" s="54"/>
      <c r="G392" s="141"/>
      <c r="H392" s="141"/>
      <c r="I392" s="54"/>
      <c r="J392" s="54"/>
      <c r="K392" s="63"/>
      <c r="L392" s="54"/>
      <c r="M392" s="54"/>
    </row>
    <row r="393">
      <c r="A393" s="54"/>
      <c r="B393" s="140"/>
      <c r="C393" s="140"/>
      <c r="D393" s="54"/>
      <c r="E393" s="54"/>
      <c r="F393" s="54"/>
      <c r="G393" s="141"/>
      <c r="H393" s="141"/>
      <c r="I393" s="54"/>
      <c r="J393" s="54"/>
      <c r="K393" s="63"/>
      <c r="L393" s="54"/>
      <c r="M393" s="54"/>
    </row>
    <row r="394">
      <c r="A394" s="54"/>
      <c r="B394" s="140"/>
      <c r="C394" s="140"/>
      <c r="D394" s="54"/>
      <c r="E394" s="54"/>
      <c r="F394" s="54"/>
      <c r="G394" s="141"/>
      <c r="H394" s="141"/>
      <c r="I394" s="54"/>
      <c r="J394" s="54"/>
      <c r="K394" s="63"/>
      <c r="L394" s="54"/>
      <c r="M394" s="54"/>
    </row>
    <row r="395">
      <c r="A395" s="54"/>
      <c r="B395" s="140"/>
      <c r="C395" s="140"/>
      <c r="D395" s="54"/>
      <c r="E395" s="54"/>
      <c r="F395" s="54"/>
      <c r="G395" s="141"/>
      <c r="H395" s="141"/>
      <c r="I395" s="54"/>
      <c r="J395" s="54"/>
      <c r="K395" s="63"/>
      <c r="L395" s="54"/>
      <c r="M395" s="54"/>
    </row>
    <row r="396">
      <c r="A396" s="54"/>
      <c r="B396" s="140"/>
      <c r="C396" s="140"/>
      <c r="D396" s="54"/>
      <c r="E396" s="54"/>
      <c r="F396" s="54"/>
      <c r="G396" s="141"/>
      <c r="H396" s="141"/>
      <c r="I396" s="54"/>
      <c r="J396" s="54"/>
      <c r="K396" s="63"/>
      <c r="L396" s="54"/>
      <c r="M396" s="54"/>
    </row>
    <row r="397">
      <c r="A397" s="54"/>
      <c r="B397" s="140"/>
      <c r="C397" s="140"/>
      <c r="D397" s="54"/>
      <c r="E397" s="54"/>
      <c r="F397" s="54"/>
      <c r="G397" s="141"/>
      <c r="H397" s="141"/>
      <c r="I397" s="54"/>
      <c r="J397" s="54"/>
      <c r="K397" s="63"/>
      <c r="L397" s="54"/>
      <c r="M397" s="54"/>
    </row>
    <row r="398">
      <c r="A398" s="54"/>
      <c r="B398" s="140"/>
      <c r="C398" s="140"/>
      <c r="D398" s="54"/>
      <c r="E398" s="54"/>
      <c r="F398" s="54"/>
      <c r="G398" s="141"/>
      <c r="H398" s="141"/>
      <c r="I398" s="54"/>
      <c r="J398" s="54"/>
      <c r="K398" s="63"/>
      <c r="L398" s="54"/>
      <c r="M398" s="54"/>
    </row>
    <row r="399">
      <c r="A399" s="54"/>
      <c r="B399" s="140"/>
      <c r="C399" s="140"/>
      <c r="D399" s="54"/>
      <c r="E399" s="54"/>
      <c r="F399" s="54"/>
      <c r="G399" s="141"/>
      <c r="H399" s="141"/>
      <c r="I399" s="54"/>
      <c r="J399" s="54"/>
      <c r="K399" s="63"/>
      <c r="L399" s="54"/>
      <c r="M399" s="54"/>
    </row>
    <row r="400">
      <c r="A400" s="54"/>
      <c r="B400" s="140"/>
      <c r="C400" s="140"/>
      <c r="D400" s="54"/>
      <c r="E400" s="54"/>
      <c r="F400" s="54"/>
      <c r="G400" s="141"/>
      <c r="H400" s="141"/>
      <c r="I400" s="54"/>
      <c r="J400" s="54"/>
      <c r="K400" s="63"/>
      <c r="L400" s="54"/>
      <c r="M400" s="54"/>
    </row>
    <row r="401">
      <c r="A401" s="54"/>
      <c r="B401" s="140"/>
      <c r="C401" s="140"/>
      <c r="D401" s="54"/>
      <c r="E401" s="54"/>
      <c r="F401" s="54"/>
      <c r="G401" s="141"/>
      <c r="H401" s="141"/>
      <c r="I401" s="54"/>
      <c r="J401" s="54"/>
      <c r="K401" s="63"/>
      <c r="L401" s="54"/>
      <c r="M401" s="54"/>
    </row>
    <row r="402">
      <c r="A402" s="54"/>
      <c r="B402" s="140"/>
      <c r="C402" s="140"/>
      <c r="D402" s="54"/>
      <c r="E402" s="54"/>
      <c r="F402" s="54"/>
      <c r="G402" s="141"/>
      <c r="H402" s="141"/>
      <c r="I402" s="54"/>
      <c r="J402" s="54"/>
      <c r="K402" s="63"/>
      <c r="L402" s="54"/>
      <c r="M402" s="54"/>
    </row>
    <row r="403">
      <c r="A403" s="54"/>
      <c r="B403" s="140"/>
      <c r="C403" s="140"/>
      <c r="D403" s="54"/>
      <c r="E403" s="54"/>
      <c r="F403" s="54"/>
      <c r="G403" s="141"/>
      <c r="H403" s="141"/>
      <c r="I403" s="54"/>
      <c r="J403" s="54"/>
      <c r="K403" s="63"/>
      <c r="L403" s="54"/>
      <c r="M403" s="54"/>
    </row>
    <row r="404">
      <c r="A404" s="54"/>
      <c r="B404" s="140"/>
      <c r="C404" s="140"/>
      <c r="D404" s="54"/>
      <c r="E404" s="54"/>
      <c r="F404" s="54"/>
      <c r="G404" s="141"/>
      <c r="H404" s="141"/>
      <c r="I404" s="54"/>
      <c r="J404" s="54"/>
      <c r="K404" s="63"/>
      <c r="L404" s="54"/>
      <c r="M404" s="54"/>
    </row>
    <row r="405">
      <c r="A405" s="54"/>
      <c r="B405" s="140"/>
      <c r="C405" s="140"/>
      <c r="D405" s="54"/>
      <c r="E405" s="54"/>
      <c r="F405" s="54"/>
      <c r="G405" s="141"/>
      <c r="H405" s="141"/>
      <c r="I405" s="54"/>
      <c r="J405" s="54"/>
      <c r="K405" s="63"/>
      <c r="L405" s="54"/>
      <c r="M405" s="54"/>
    </row>
    <row r="406">
      <c r="A406" s="54"/>
      <c r="B406" s="140"/>
      <c r="C406" s="140"/>
      <c r="D406" s="54"/>
      <c r="E406" s="54"/>
      <c r="F406" s="54"/>
      <c r="G406" s="141"/>
      <c r="H406" s="141"/>
      <c r="I406" s="54"/>
      <c r="J406" s="54"/>
      <c r="K406" s="63"/>
      <c r="L406" s="54"/>
      <c r="M406" s="54"/>
    </row>
    <row r="407">
      <c r="A407" s="54"/>
      <c r="B407" s="140"/>
      <c r="C407" s="140"/>
      <c r="D407" s="54"/>
      <c r="E407" s="54"/>
      <c r="F407" s="54"/>
      <c r="G407" s="141"/>
      <c r="H407" s="141"/>
      <c r="I407" s="54"/>
      <c r="J407" s="54"/>
      <c r="K407" s="63"/>
      <c r="L407" s="54"/>
      <c r="M407" s="54"/>
    </row>
    <row r="408">
      <c r="A408" s="54"/>
      <c r="B408" s="140"/>
      <c r="C408" s="140"/>
      <c r="D408" s="54"/>
      <c r="E408" s="54"/>
      <c r="F408" s="54"/>
      <c r="G408" s="141"/>
      <c r="H408" s="141"/>
      <c r="I408" s="54"/>
      <c r="J408" s="54"/>
      <c r="K408" s="63"/>
      <c r="L408" s="54"/>
      <c r="M408" s="54"/>
    </row>
    <row r="409">
      <c r="A409" s="54"/>
      <c r="B409" s="140"/>
      <c r="C409" s="140"/>
      <c r="D409" s="54"/>
      <c r="E409" s="54"/>
      <c r="F409" s="54"/>
      <c r="G409" s="141"/>
      <c r="H409" s="141"/>
      <c r="I409" s="54"/>
      <c r="J409" s="54"/>
      <c r="K409" s="63"/>
      <c r="L409" s="54"/>
      <c r="M409" s="54"/>
    </row>
    <row r="410">
      <c r="A410" s="54"/>
      <c r="B410" s="140"/>
      <c r="C410" s="140"/>
      <c r="D410" s="54"/>
      <c r="E410" s="54"/>
      <c r="F410" s="54"/>
      <c r="G410" s="141"/>
      <c r="H410" s="141"/>
      <c r="I410" s="54"/>
      <c r="J410" s="54"/>
      <c r="K410" s="63"/>
      <c r="L410" s="54"/>
      <c r="M410" s="54"/>
    </row>
    <row r="411">
      <c r="A411" s="54"/>
      <c r="B411" s="140"/>
      <c r="C411" s="140"/>
      <c r="D411" s="54"/>
      <c r="E411" s="54"/>
      <c r="F411" s="54"/>
      <c r="G411" s="141"/>
      <c r="H411" s="141"/>
      <c r="I411" s="54"/>
      <c r="J411" s="54"/>
      <c r="K411" s="63"/>
      <c r="L411" s="54"/>
      <c r="M411" s="54"/>
    </row>
    <row r="412">
      <c r="A412" s="54"/>
      <c r="B412" s="140"/>
      <c r="C412" s="140"/>
      <c r="D412" s="54"/>
      <c r="E412" s="54"/>
      <c r="F412" s="54"/>
      <c r="G412" s="141"/>
      <c r="H412" s="141"/>
      <c r="I412" s="54"/>
      <c r="J412" s="54"/>
      <c r="K412" s="63"/>
      <c r="L412" s="54"/>
      <c r="M412" s="54"/>
    </row>
    <row r="413">
      <c r="A413" s="54"/>
      <c r="B413" s="140"/>
      <c r="C413" s="140"/>
      <c r="D413" s="54"/>
      <c r="E413" s="54"/>
      <c r="F413" s="54"/>
      <c r="G413" s="141"/>
      <c r="H413" s="141"/>
      <c r="I413" s="54"/>
      <c r="J413" s="54"/>
      <c r="K413" s="63"/>
      <c r="L413" s="54"/>
      <c r="M413" s="54"/>
    </row>
    <row r="414">
      <c r="A414" s="54"/>
      <c r="B414" s="140"/>
      <c r="C414" s="140"/>
      <c r="D414" s="54"/>
      <c r="E414" s="54"/>
      <c r="F414" s="54"/>
      <c r="G414" s="141"/>
      <c r="H414" s="141"/>
      <c r="I414" s="54"/>
      <c r="J414" s="54"/>
      <c r="K414" s="63"/>
      <c r="L414" s="54"/>
      <c r="M414" s="54"/>
    </row>
    <row r="415">
      <c r="A415" s="54"/>
      <c r="B415" s="140"/>
      <c r="C415" s="140"/>
      <c r="D415" s="54"/>
      <c r="E415" s="54"/>
      <c r="F415" s="54"/>
      <c r="G415" s="141"/>
      <c r="H415" s="141"/>
      <c r="I415" s="54"/>
      <c r="J415" s="54"/>
      <c r="K415" s="63"/>
      <c r="L415" s="54"/>
      <c r="M415" s="54"/>
    </row>
    <row r="416">
      <c r="A416" s="54"/>
      <c r="B416" s="140"/>
      <c r="C416" s="140"/>
      <c r="D416" s="54"/>
      <c r="E416" s="54"/>
      <c r="F416" s="54"/>
      <c r="G416" s="141"/>
      <c r="H416" s="141"/>
      <c r="I416" s="54"/>
      <c r="J416" s="54"/>
      <c r="K416" s="63"/>
      <c r="L416" s="54"/>
      <c r="M416" s="54"/>
    </row>
    <row r="417">
      <c r="A417" s="54"/>
      <c r="B417" s="140"/>
      <c r="C417" s="140"/>
      <c r="D417" s="54"/>
      <c r="E417" s="54"/>
      <c r="F417" s="54"/>
      <c r="G417" s="141"/>
      <c r="H417" s="141"/>
      <c r="I417" s="54"/>
      <c r="J417" s="54"/>
      <c r="K417" s="63"/>
      <c r="L417" s="54"/>
      <c r="M417" s="54"/>
    </row>
    <row r="418">
      <c r="A418" s="54"/>
      <c r="B418" s="140"/>
      <c r="C418" s="140"/>
      <c r="D418" s="54"/>
      <c r="E418" s="54"/>
      <c r="F418" s="54"/>
      <c r="G418" s="141"/>
      <c r="H418" s="141"/>
      <c r="I418" s="54"/>
      <c r="J418" s="54"/>
      <c r="K418" s="63"/>
      <c r="L418" s="54"/>
      <c r="M418" s="54"/>
    </row>
    <row r="419">
      <c r="A419" s="54"/>
      <c r="B419" s="140"/>
      <c r="C419" s="140"/>
      <c r="D419" s="54"/>
      <c r="E419" s="54"/>
      <c r="F419" s="54"/>
      <c r="G419" s="141"/>
      <c r="H419" s="141"/>
      <c r="I419" s="54"/>
      <c r="J419" s="54"/>
      <c r="K419" s="63"/>
      <c r="L419" s="54"/>
      <c r="M419" s="54"/>
    </row>
    <row r="420">
      <c r="A420" s="54"/>
      <c r="B420" s="140"/>
      <c r="C420" s="140"/>
      <c r="D420" s="54"/>
      <c r="E420" s="54"/>
      <c r="F420" s="54"/>
      <c r="G420" s="141"/>
      <c r="H420" s="141"/>
      <c r="I420" s="54"/>
      <c r="J420" s="54"/>
      <c r="K420" s="63"/>
      <c r="L420" s="54"/>
      <c r="M420" s="54"/>
    </row>
    <row r="421">
      <c r="A421" s="54"/>
      <c r="B421" s="140"/>
      <c r="C421" s="140"/>
      <c r="D421" s="54"/>
      <c r="E421" s="54"/>
      <c r="F421" s="54"/>
      <c r="G421" s="141"/>
      <c r="H421" s="141"/>
      <c r="I421" s="54"/>
      <c r="J421" s="54"/>
      <c r="K421" s="63"/>
      <c r="L421" s="54"/>
      <c r="M421" s="54"/>
    </row>
    <row r="422">
      <c r="A422" s="54"/>
      <c r="B422" s="140"/>
      <c r="C422" s="140"/>
      <c r="D422" s="54"/>
      <c r="E422" s="54"/>
      <c r="F422" s="54"/>
      <c r="G422" s="141"/>
      <c r="H422" s="141"/>
      <c r="I422" s="54"/>
      <c r="J422" s="54"/>
      <c r="K422" s="63"/>
      <c r="L422" s="54"/>
      <c r="M422" s="54"/>
    </row>
    <row r="423">
      <c r="A423" s="54"/>
      <c r="B423" s="140"/>
      <c r="C423" s="140"/>
      <c r="D423" s="54"/>
      <c r="E423" s="54"/>
      <c r="F423" s="54"/>
      <c r="G423" s="141"/>
      <c r="H423" s="141"/>
      <c r="I423" s="54"/>
      <c r="J423" s="54"/>
      <c r="K423" s="63"/>
      <c r="L423" s="54"/>
      <c r="M423" s="54"/>
    </row>
    <row r="424">
      <c r="A424" s="54"/>
      <c r="B424" s="140"/>
      <c r="C424" s="140"/>
      <c r="D424" s="54"/>
      <c r="E424" s="54"/>
      <c r="F424" s="54"/>
      <c r="G424" s="141"/>
      <c r="H424" s="141"/>
      <c r="I424" s="54"/>
      <c r="J424" s="54"/>
      <c r="K424" s="63"/>
      <c r="L424" s="54"/>
      <c r="M424" s="54"/>
    </row>
    <row r="425">
      <c r="A425" s="54"/>
      <c r="B425" s="140"/>
      <c r="C425" s="140"/>
      <c r="D425" s="54"/>
      <c r="E425" s="54"/>
      <c r="F425" s="54"/>
      <c r="G425" s="141"/>
      <c r="H425" s="141"/>
      <c r="I425" s="54"/>
      <c r="J425" s="54"/>
      <c r="K425" s="63"/>
      <c r="L425" s="54"/>
      <c r="M425" s="54"/>
    </row>
    <row r="426">
      <c r="A426" s="54"/>
      <c r="B426" s="140"/>
      <c r="C426" s="140"/>
      <c r="D426" s="54"/>
      <c r="E426" s="54"/>
      <c r="F426" s="54"/>
      <c r="G426" s="141"/>
      <c r="H426" s="141"/>
      <c r="I426" s="54"/>
      <c r="J426" s="54"/>
      <c r="K426" s="63"/>
      <c r="L426" s="54"/>
      <c r="M426" s="54"/>
    </row>
    <row r="427">
      <c r="A427" s="54"/>
      <c r="B427" s="140"/>
      <c r="C427" s="140"/>
      <c r="D427" s="54"/>
      <c r="E427" s="54"/>
      <c r="F427" s="54"/>
      <c r="G427" s="141"/>
      <c r="H427" s="141"/>
      <c r="I427" s="54"/>
      <c r="J427" s="54"/>
      <c r="K427" s="63"/>
      <c r="L427" s="54"/>
      <c r="M427" s="54"/>
    </row>
    <row r="428">
      <c r="A428" s="54"/>
      <c r="B428" s="140"/>
      <c r="C428" s="140"/>
      <c r="D428" s="54"/>
      <c r="E428" s="54"/>
      <c r="F428" s="54"/>
      <c r="G428" s="141"/>
      <c r="H428" s="141"/>
      <c r="I428" s="54"/>
      <c r="J428" s="54"/>
      <c r="K428" s="63"/>
      <c r="L428" s="54"/>
      <c r="M428" s="54"/>
    </row>
    <row r="429">
      <c r="A429" s="54"/>
      <c r="B429" s="140"/>
      <c r="C429" s="140"/>
      <c r="D429" s="54"/>
      <c r="E429" s="54"/>
      <c r="F429" s="54"/>
      <c r="G429" s="141"/>
      <c r="H429" s="141"/>
      <c r="I429" s="54"/>
      <c r="J429" s="54"/>
      <c r="K429" s="63"/>
      <c r="L429" s="54"/>
      <c r="M429" s="54"/>
    </row>
    <row r="430">
      <c r="A430" s="54"/>
      <c r="B430" s="140"/>
      <c r="C430" s="140"/>
      <c r="D430" s="54"/>
      <c r="E430" s="54"/>
      <c r="F430" s="54"/>
      <c r="G430" s="141"/>
      <c r="H430" s="141"/>
      <c r="I430" s="54"/>
      <c r="J430" s="54"/>
      <c r="K430" s="63"/>
      <c r="L430" s="54"/>
      <c r="M430" s="54"/>
    </row>
    <row r="431">
      <c r="A431" s="54"/>
      <c r="B431" s="140"/>
      <c r="C431" s="140"/>
      <c r="D431" s="54"/>
      <c r="E431" s="54"/>
      <c r="F431" s="54"/>
      <c r="G431" s="141"/>
      <c r="H431" s="141"/>
      <c r="I431" s="54"/>
      <c r="J431" s="54"/>
      <c r="K431" s="63"/>
      <c r="L431" s="54"/>
      <c r="M431" s="54"/>
    </row>
    <row r="432">
      <c r="A432" s="54"/>
      <c r="B432" s="140"/>
      <c r="C432" s="140"/>
      <c r="D432" s="54"/>
      <c r="E432" s="54"/>
      <c r="F432" s="54"/>
      <c r="G432" s="141"/>
      <c r="H432" s="141"/>
      <c r="I432" s="54"/>
      <c r="J432" s="54"/>
      <c r="K432" s="63"/>
      <c r="L432" s="54"/>
      <c r="M432" s="54"/>
    </row>
    <row r="433">
      <c r="A433" s="54"/>
      <c r="B433" s="140"/>
      <c r="C433" s="140"/>
      <c r="D433" s="54"/>
      <c r="E433" s="54"/>
      <c r="F433" s="54"/>
      <c r="G433" s="141"/>
      <c r="H433" s="141"/>
      <c r="I433" s="54"/>
      <c r="J433" s="54"/>
      <c r="K433" s="63"/>
      <c r="L433" s="54"/>
      <c r="M433" s="54"/>
    </row>
    <row r="434">
      <c r="A434" s="54"/>
      <c r="B434" s="140"/>
      <c r="C434" s="140"/>
      <c r="D434" s="54"/>
      <c r="E434" s="54"/>
      <c r="F434" s="54"/>
      <c r="G434" s="141"/>
      <c r="H434" s="141"/>
      <c r="I434" s="54"/>
      <c r="J434" s="54"/>
      <c r="K434" s="63"/>
      <c r="L434" s="54"/>
      <c r="M434" s="54"/>
    </row>
    <row r="435">
      <c r="A435" s="54"/>
      <c r="B435" s="140"/>
      <c r="C435" s="140"/>
      <c r="D435" s="54"/>
      <c r="E435" s="54"/>
      <c r="F435" s="54"/>
      <c r="G435" s="141"/>
      <c r="H435" s="141"/>
      <c r="I435" s="54"/>
      <c r="J435" s="54"/>
      <c r="K435" s="63"/>
      <c r="L435" s="54"/>
      <c r="M435" s="54"/>
    </row>
    <row r="436">
      <c r="A436" s="54"/>
      <c r="B436" s="140"/>
      <c r="C436" s="140"/>
      <c r="D436" s="54"/>
      <c r="E436" s="54"/>
      <c r="F436" s="54"/>
      <c r="G436" s="141"/>
      <c r="H436" s="141"/>
      <c r="I436" s="54"/>
      <c r="J436" s="54"/>
      <c r="K436" s="63"/>
      <c r="L436" s="54"/>
      <c r="M436" s="54"/>
    </row>
    <row r="437">
      <c r="A437" s="54"/>
      <c r="B437" s="140"/>
      <c r="C437" s="140"/>
      <c r="D437" s="54"/>
      <c r="E437" s="54"/>
      <c r="F437" s="54"/>
      <c r="G437" s="141"/>
      <c r="H437" s="141"/>
      <c r="I437" s="54"/>
      <c r="J437" s="54"/>
      <c r="K437" s="63"/>
      <c r="L437" s="54"/>
      <c r="M437" s="54"/>
    </row>
    <row r="438">
      <c r="A438" s="54"/>
      <c r="B438" s="140"/>
      <c r="C438" s="140"/>
      <c r="D438" s="54"/>
      <c r="E438" s="54"/>
      <c r="F438" s="54"/>
      <c r="G438" s="141"/>
      <c r="H438" s="141"/>
      <c r="I438" s="54"/>
      <c r="J438" s="54"/>
      <c r="K438" s="63"/>
      <c r="L438" s="54"/>
      <c r="M438" s="54"/>
    </row>
    <row r="439">
      <c r="A439" s="54"/>
      <c r="B439" s="140"/>
      <c r="C439" s="140"/>
      <c r="D439" s="54"/>
      <c r="E439" s="54"/>
      <c r="F439" s="54"/>
      <c r="G439" s="141"/>
      <c r="H439" s="141"/>
      <c r="I439" s="54"/>
      <c r="J439" s="54"/>
      <c r="K439" s="63"/>
      <c r="L439" s="54"/>
      <c r="M439" s="54"/>
    </row>
    <row r="440">
      <c r="A440" s="54"/>
      <c r="B440" s="140"/>
      <c r="C440" s="140"/>
      <c r="D440" s="54"/>
      <c r="E440" s="54"/>
      <c r="F440" s="54"/>
      <c r="G440" s="141"/>
      <c r="H440" s="141"/>
      <c r="I440" s="54"/>
      <c r="J440" s="54"/>
      <c r="K440" s="63"/>
      <c r="L440" s="54"/>
      <c r="M440" s="54"/>
    </row>
    <row r="441">
      <c r="A441" s="54"/>
      <c r="B441" s="140"/>
      <c r="C441" s="140"/>
      <c r="D441" s="54"/>
      <c r="E441" s="54"/>
      <c r="F441" s="54"/>
      <c r="G441" s="141"/>
      <c r="H441" s="141"/>
      <c r="I441" s="54"/>
      <c r="J441" s="54"/>
      <c r="K441" s="63"/>
      <c r="L441" s="54"/>
      <c r="M441" s="54"/>
    </row>
    <row r="442">
      <c r="A442" s="54"/>
      <c r="B442" s="140"/>
      <c r="C442" s="140"/>
      <c r="D442" s="54"/>
      <c r="E442" s="54"/>
      <c r="F442" s="54"/>
      <c r="G442" s="141"/>
      <c r="H442" s="141"/>
      <c r="I442" s="54"/>
      <c r="J442" s="54"/>
      <c r="K442" s="63"/>
      <c r="L442" s="54"/>
      <c r="M442" s="54"/>
    </row>
    <row r="443">
      <c r="A443" s="54"/>
      <c r="B443" s="140"/>
      <c r="C443" s="140"/>
      <c r="D443" s="54"/>
      <c r="E443" s="54"/>
      <c r="F443" s="54"/>
      <c r="G443" s="141"/>
      <c r="H443" s="141"/>
      <c r="I443" s="54"/>
      <c r="J443" s="54"/>
      <c r="K443" s="63"/>
      <c r="L443" s="54"/>
      <c r="M443" s="54"/>
    </row>
    <row r="444">
      <c r="A444" s="54"/>
      <c r="B444" s="140"/>
      <c r="C444" s="140"/>
      <c r="D444" s="54"/>
      <c r="E444" s="54"/>
      <c r="F444" s="54"/>
      <c r="G444" s="141"/>
      <c r="H444" s="141"/>
      <c r="I444" s="54"/>
      <c r="J444" s="54"/>
      <c r="K444" s="63"/>
      <c r="L444" s="54"/>
      <c r="M444" s="54"/>
    </row>
    <row r="445">
      <c r="A445" s="54"/>
      <c r="B445" s="140"/>
      <c r="C445" s="140"/>
      <c r="D445" s="54"/>
      <c r="E445" s="54"/>
      <c r="F445" s="54"/>
      <c r="G445" s="141"/>
      <c r="H445" s="141"/>
      <c r="I445" s="54"/>
      <c r="J445" s="54"/>
      <c r="K445" s="63"/>
      <c r="L445" s="54"/>
      <c r="M445" s="54"/>
    </row>
    <row r="446">
      <c r="A446" s="54"/>
      <c r="B446" s="140"/>
      <c r="C446" s="140"/>
      <c r="D446" s="54"/>
      <c r="E446" s="54"/>
      <c r="F446" s="54"/>
      <c r="G446" s="141"/>
      <c r="H446" s="141"/>
      <c r="I446" s="54"/>
      <c r="J446" s="54"/>
      <c r="K446" s="63"/>
      <c r="L446" s="54"/>
      <c r="M446" s="54"/>
    </row>
    <row r="447">
      <c r="A447" s="54"/>
      <c r="B447" s="140"/>
      <c r="C447" s="140"/>
      <c r="D447" s="54"/>
      <c r="E447" s="54"/>
      <c r="F447" s="54"/>
      <c r="G447" s="141"/>
      <c r="H447" s="141"/>
      <c r="I447" s="54"/>
      <c r="J447" s="54"/>
      <c r="K447" s="63"/>
      <c r="L447" s="54"/>
      <c r="M447" s="54"/>
    </row>
    <row r="448">
      <c r="A448" s="54"/>
      <c r="B448" s="140"/>
      <c r="C448" s="140"/>
      <c r="D448" s="54"/>
      <c r="E448" s="54"/>
      <c r="F448" s="54"/>
      <c r="G448" s="141"/>
      <c r="H448" s="141"/>
      <c r="I448" s="54"/>
      <c r="J448" s="54"/>
      <c r="K448" s="63"/>
      <c r="L448" s="54"/>
      <c r="M448" s="54"/>
    </row>
    <row r="449">
      <c r="A449" s="54"/>
      <c r="B449" s="140"/>
      <c r="C449" s="140"/>
      <c r="D449" s="54"/>
      <c r="E449" s="54"/>
      <c r="F449" s="54"/>
      <c r="G449" s="141"/>
      <c r="H449" s="141"/>
      <c r="I449" s="54"/>
      <c r="J449" s="54"/>
      <c r="K449" s="63"/>
      <c r="L449" s="54"/>
      <c r="M449" s="54"/>
    </row>
    <row r="450">
      <c r="A450" s="54"/>
      <c r="B450" s="140"/>
      <c r="C450" s="140"/>
      <c r="D450" s="54"/>
      <c r="E450" s="54"/>
      <c r="F450" s="54"/>
      <c r="G450" s="141"/>
      <c r="H450" s="141"/>
      <c r="I450" s="54"/>
      <c r="J450" s="54"/>
      <c r="K450" s="63"/>
      <c r="L450" s="54"/>
      <c r="M450" s="54"/>
    </row>
    <row r="451">
      <c r="A451" s="54"/>
      <c r="B451" s="140"/>
      <c r="C451" s="140"/>
      <c r="D451" s="54"/>
      <c r="E451" s="54"/>
      <c r="F451" s="54"/>
      <c r="G451" s="141"/>
      <c r="H451" s="141"/>
      <c r="I451" s="54"/>
      <c r="J451" s="54"/>
      <c r="K451" s="63"/>
      <c r="L451" s="54"/>
      <c r="M451" s="54"/>
    </row>
    <row r="452">
      <c r="A452" s="54"/>
      <c r="B452" s="140"/>
      <c r="C452" s="140"/>
      <c r="D452" s="54"/>
      <c r="E452" s="54"/>
      <c r="F452" s="54"/>
      <c r="G452" s="141"/>
      <c r="H452" s="141"/>
      <c r="I452" s="54"/>
      <c r="J452" s="54"/>
      <c r="K452" s="63"/>
      <c r="L452" s="54"/>
      <c r="M452" s="54"/>
    </row>
    <row r="453">
      <c r="A453" s="54"/>
      <c r="B453" s="140"/>
      <c r="C453" s="140"/>
      <c r="D453" s="54"/>
      <c r="E453" s="54"/>
      <c r="F453" s="54"/>
      <c r="G453" s="141"/>
      <c r="H453" s="141"/>
      <c r="I453" s="54"/>
      <c r="J453" s="54"/>
      <c r="K453" s="63"/>
      <c r="L453" s="54"/>
      <c r="M453" s="54"/>
    </row>
    <row r="454">
      <c r="A454" s="54"/>
      <c r="B454" s="140"/>
      <c r="C454" s="140"/>
      <c r="D454" s="54"/>
      <c r="E454" s="54"/>
      <c r="F454" s="54"/>
      <c r="G454" s="141"/>
      <c r="H454" s="141"/>
      <c r="I454" s="54"/>
      <c r="J454" s="54"/>
      <c r="K454" s="63"/>
      <c r="L454" s="54"/>
      <c r="M454" s="54"/>
    </row>
    <row r="455">
      <c r="A455" s="54"/>
      <c r="B455" s="140"/>
      <c r="C455" s="140"/>
      <c r="D455" s="54"/>
      <c r="E455" s="54"/>
      <c r="F455" s="54"/>
      <c r="G455" s="141"/>
      <c r="H455" s="141"/>
      <c r="I455" s="54"/>
      <c r="J455" s="54"/>
      <c r="K455" s="63"/>
      <c r="L455" s="54"/>
      <c r="M455" s="54"/>
    </row>
    <row r="456">
      <c r="A456" s="54"/>
      <c r="B456" s="140"/>
      <c r="C456" s="140"/>
      <c r="D456" s="54"/>
      <c r="E456" s="54"/>
      <c r="F456" s="54"/>
      <c r="G456" s="141"/>
      <c r="H456" s="141"/>
      <c r="I456" s="54"/>
      <c r="J456" s="54"/>
      <c r="K456" s="63"/>
      <c r="L456" s="54"/>
      <c r="M456" s="54"/>
    </row>
    <row r="457">
      <c r="A457" s="54"/>
      <c r="B457" s="140"/>
      <c r="C457" s="140"/>
      <c r="D457" s="54"/>
      <c r="E457" s="54"/>
      <c r="F457" s="54"/>
      <c r="G457" s="141"/>
      <c r="H457" s="141"/>
      <c r="I457" s="54"/>
      <c r="J457" s="54"/>
      <c r="K457" s="63"/>
      <c r="L457" s="54"/>
      <c r="M457" s="54"/>
    </row>
    <row r="458">
      <c r="A458" s="54"/>
      <c r="B458" s="140"/>
      <c r="C458" s="140"/>
      <c r="D458" s="54"/>
      <c r="E458" s="54"/>
      <c r="F458" s="54"/>
      <c r="G458" s="141"/>
      <c r="H458" s="141"/>
      <c r="I458" s="54"/>
      <c r="J458" s="54"/>
      <c r="K458" s="63"/>
      <c r="L458" s="54"/>
      <c r="M458" s="54"/>
    </row>
    <row r="459">
      <c r="A459" s="54"/>
      <c r="B459" s="140"/>
      <c r="C459" s="140"/>
      <c r="D459" s="54"/>
      <c r="E459" s="54"/>
      <c r="F459" s="54"/>
      <c r="G459" s="141"/>
      <c r="H459" s="141"/>
      <c r="I459" s="54"/>
      <c r="J459" s="54"/>
      <c r="K459" s="63"/>
      <c r="L459" s="54"/>
      <c r="M459" s="54"/>
    </row>
    <row r="460">
      <c r="A460" s="54"/>
      <c r="B460" s="140"/>
      <c r="C460" s="140"/>
      <c r="D460" s="54"/>
      <c r="E460" s="54"/>
      <c r="F460" s="54"/>
      <c r="G460" s="141"/>
      <c r="H460" s="141"/>
      <c r="I460" s="54"/>
      <c r="J460" s="54"/>
      <c r="K460" s="63"/>
      <c r="L460" s="54"/>
      <c r="M460" s="54"/>
    </row>
    <row r="461">
      <c r="A461" s="54"/>
      <c r="B461" s="140"/>
      <c r="C461" s="140"/>
      <c r="D461" s="54"/>
      <c r="E461" s="54"/>
      <c r="F461" s="54"/>
      <c r="G461" s="141"/>
      <c r="H461" s="141"/>
      <c r="I461" s="54"/>
      <c r="J461" s="54"/>
      <c r="K461" s="63"/>
      <c r="L461" s="54"/>
      <c r="M461" s="54"/>
    </row>
    <row r="462">
      <c r="A462" s="54"/>
      <c r="B462" s="140"/>
      <c r="C462" s="140"/>
      <c r="D462" s="54"/>
      <c r="E462" s="54"/>
      <c r="F462" s="54"/>
      <c r="G462" s="141"/>
      <c r="H462" s="141"/>
      <c r="I462" s="54"/>
      <c r="J462" s="54"/>
      <c r="K462" s="63"/>
      <c r="L462" s="54"/>
      <c r="M462" s="54"/>
    </row>
    <row r="463">
      <c r="A463" s="54"/>
      <c r="B463" s="140"/>
      <c r="C463" s="140"/>
      <c r="D463" s="54"/>
      <c r="E463" s="54"/>
      <c r="F463" s="54"/>
      <c r="G463" s="141"/>
      <c r="H463" s="141"/>
      <c r="I463" s="54"/>
      <c r="J463" s="54"/>
      <c r="K463" s="63"/>
      <c r="L463" s="54"/>
      <c r="M463" s="54"/>
    </row>
    <row r="464">
      <c r="A464" s="54"/>
      <c r="B464" s="140"/>
      <c r="C464" s="140"/>
      <c r="D464" s="54"/>
      <c r="E464" s="54"/>
      <c r="F464" s="54"/>
      <c r="G464" s="141"/>
      <c r="H464" s="141"/>
      <c r="I464" s="54"/>
      <c r="J464" s="54"/>
      <c r="K464" s="63"/>
      <c r="L464" s="54"/>
      <c r="M464" s="54"/>
    </row>
    <row r="465">
      <c r="A465" s="54"/>
      <c r="B465" s="140"/>
      <c r="C465" s="140"/>
      <c r="D465" s="54"/>
      <c r="E465" s="54"/>
      <c r="F465" s="54"/>
      <c r="G465" s="141"/>
      <c r="H465" s="141"/>
      <c r="I465" s="54"/>
      <c r="J465" s="54"/>
      <c r="K465" s="63"/>
      <c r="L465" s="54"/>
      <c r="M465" s="54"/>
    </row>
    <row r="466">
      <c r="A466" s="54"/>
      <c r="B466" s="140"/>
      <c r="C466" s="140"/>
      <c r="D466" s="54"/>
      <c r="E466" s="54"/>
      <c r="F466" s="54"/>
      <c r="G466" s="141"/>
      <c r="H466" s="141"/>
      <c r="I466" s="54"/>
      <c r="J466" s="54"/>
      <c r="K466" s="63"/>
      <c r="L466" s="54"/>
      <c r="M466" s="54"/>
    </row>
    <row r="467">
      <c r="A467" s="54"/>
      <c r="B467" s="140"/>
      <c r="C467" s="140"/>
      <c r="D467" s="54"/>
      <c r="E467" s="54"/>
      <c r="F467" s="54"/>
      <c r="G467" s="141"/>
      <c r="H467" s="141"/>
      <c r="I467" s="54"/>
      <c r="J467" s="54"/>
      <c r="K467" s="63"/>
      <c r="L467" s="54"/>
      <c r="M467" s="54"/>
    </row>
    <row r="468">
      <c r="A468" s="54"/>
      <c r="B468" s="140"/>
      <c r="C468" s="140"/>
      <c r="D468" s="54"/>
      <c r="E468" s="54"/>
      <c r="F468" s="54"/>
      <c r="G468" s="141"/>
      <c r="H468" s="141"/>
      <c r="I468" s="54"/>
      <c r="J468" s="54"/>
      <c r="K468" s="63"/>
      <c r="L468" s="54"/>
      <c r="M468" s="54"/>
    </row>
    <row r="469">
      <c r="A469" s="54"/>
      <c r="B469" s="140"/>
      <c r="C469" s="140"/>
      <c r="D469" s="54"/>
      <c r="E469" s="54"/>
      <c r="F469" s="54"/>
      <c r="G469" s="141"/>
      <c r="H469" s="141"/>
      <c r="I469" s="54"/>
      <c r="J469" s="54"/>
      <c r="K469" s="63"/>
      <c r="L469" s="54"/>
      <c r="M469" s="54"/>
    </row>
    <row r="470">
      <c r="A470" s="54"/>
      <c r="B470" s="140"/>
      <c r="C470" s="140"/>
      <c r="D470" s="54"/>
      <c r="E470" s="54"/>
      <c r="F470" s="54"/>
      <c r="G470" s="141"/>
      <c r="H470" s="141"/>
      <c r="I470" s="54"/>
      <c r="J470" s="54"/>
      <c r="K470" s="63"/>
      <c r="L470" s="54"/>
      <c r="M470" s="54"/>
    </row>
    <row r="471">
      <c r="A471" s="54"/>
      <c r="B471" s="140"/>
      <c r="C471" s="140"/>
      <c r="D471" s="54"/>
      <c r="E471" s="54"/>
      <c r="F471" s="54"/>
      <c r="G471" s="141"/>
      <c r="H471" s="141"/>
      <c r="I471" s="54"/>
      <c r="J471" s="54"/>
      <c r="K471" s="63"/>
      <c r="L471" s="54"/>
      <c r="M471" s="54"/>
    </row>
    <row r="472">
      <c r="A472" s="54"/>
      <c r="B472" s="140"/>
      <c r="C472" s="140"/>
      <c r="D472" s="54"/>
      <c r="E472" s="54"/>
      <c r="F472" s="54"/>
      <c r="G472" s="141"/>
      <c r="H472" s="141"/>
      <c r="I472" s="54"/>
      <c r="J472" s="54"/>
      <c r="K472" s="63"/>
      <c r="L472" s="54"/>
      <c r="M472" s="54"/>
    </row>
    <row r="473">
      <c r="A473" s="54"/>
      <c r="B473" s="140"/>
      <c r="C473" s="140"/>
      <c r="D473" s="54"/>
      <c r="E473" s="54"/>
      <c r="F473" s="54"/>
      <c r="G473" s="141"/>
      <c r="H473" s="141"/>
      <c r="I473" s="54"/>
      <c r="J473" s="54"/>
      <c r="K473" s="63"/>
      <c r="L473" s="54"/>
      <c r="M473" s="54"/>
    </row>
    <row r="474">
      <c r="A474" s="54"/>
      <c r="B474" s="140"/>
      <c r="C474" s="140"/>
      <c r="D474" s="54"/>
      <c r="E474" s="54"/>
      <c r="F474" s="54"/>
      <c r="G474" s="141"/>
      <c r="H474" s="141"/>
      <c r="I474" s="54"/>
      <c r="J474" s="54"/>
      <c r="K474" s="63"/>
      <c r="L474" s="54"/>
      <c r="M474" s="54"/>
    </row>
    <row r="475">
      <c r="A475" s="54"/>
      <c r="B475" s="140"/>
      <c r="C475" s="140"/>
      <c r="D475" s="54"/>
      <c r="E475" s="54"/>
      <c r="F475" s="54"/>
      <c r="G475" s="141"/>
      <c r="H475" s="141"/>
      <c r="I475" s="54"/>
      <c r="J475" s="54"/>
      <c r="K475" s="63"/>
      <c r="L475" s="54"/>
      <c r="M475" s="54"/>
    </row>
    <row r="476">
      <c r="A476" s="54"/>
      <c r="B476" s="140"/>
      <c r="C476" s="140"/>
      <c r="D476" s="54"/>
      <c r="E476" s="54"/>
      <c r="F476" s="54"/>
      <c r="G476" s="141"/>
      <c r="H476" s="141"/>
      <c r="I476" s="54"/>
      <c r="J476" s="54"/>
      <c r="K476" s="63"/>
      <c r="L476" s="54"/>
      <c r="M476" s="54"/>
    </row>
    <row r="477">
      <c r="A477" s="54"/>
      <c r="B477" s="140"/>
      <c r="C477" s="140"/>
      <c r="D477" s="54"/>
      <c r="E477" s="54"/>
      <c r="F477" s="54"/>
      <c r="G477" s="141"/>
      <c r="H477" s="141"/>
      <c r="I477" s="54"/>
      <c r="J477" s="54"/>
      <c r="K477" s="63"/>
      <c r="L477" s="54"/>
      <c r="M477" s="54"/>
    </row>
    <row r="478">
      <c r="A478" s="54"/>
      <c r="B478" s="140"/>
      <c r="C478" s="140"/>
      <c r="D478" s="54"/>
      <c r="E478" s="54"/>
      <c r="F478" s="54"/>
      <c r="G478" s="141"/>
      <c r="H478" s="141"/>
      <c r="I478" s="54"/>
      <c r="J478" s="54"/>
      <c r="K478" s="63"/>
      <c r="L478" s="54"/>
      <c r="M478" s="54"/>
    </row>
    <row r="479">
      <c r="A479" s="54"/>
      <c r="B479" s="140"/>
      <c r="C479" s="140"/>
      <c r="D479" s="54"/>
      <c r="E479" s="54"/>
      <c r="F479" s="54"/>
      <c r="G479" s="141"/>
      <c r="H479" s="141"/>
      <c r="I479" s="54"/>
      <c r="J479" s="54"/>
      <c r="K479" s="63"/>
      <c r="L479" s="54"/>
      <c r="M479" s="54"/>
    </row>
    <row r="480">
      <c r="A480" s="54"/>
      <c r="B480" s="140"/>
      <c r="C480" s="140"/>
      <c r="D480" s="54"/>
      <c r="E480" s="54"/>
      <c r="F480" s="54"/>
      <c r="G480" s="141"/>
      <c r="H480" s="141"/>
      <c r="I480" s="54"/>
      <c r="J480" s="54"/>
      <c r="K480" s="63"/>
      <c r="L480" s="54"/>
      <c r="M480" s="54"/>
    </row>
    <row r="481">
      <c r="A481" s="54"/>
      <c r="B481" s="140"/>
      <c r="C481" s="140"/>
      <c r="D481" s="54"/>
      <c r="E481" s="54"/>
      <c r="F481" s="54"/>
      <c r="G481" s="141"/>
      <c r="H481" s="141"/>
      <c r="I481" s="54"/>
      <c r="J481" s="54"/>
      <c r="K481" s="63"/>
      <c r="L481" s="54"/>
      <c r="M481" s="54"/>
    </row>
    <row r="482">
      <c r="A482" s="54"/>
      <c r="B482" s="140"/>
      <c r="C482" s="140"/>
      <c r="D482" s="54"/>
      <c r="E482" s="54"/>
      <c r="F482" s="54"/>
      <c r="G482" s="141"/>
      <c r="H482" s="141"/>
      <c r="I482" s="54"/>
      <c r="J482" s="54"/>
      <c r="K482" s="63"/>
      <c r="L482" s="54"/>
      <c r="M482" s="54"/>
    </row>
    <row r="483">
      <c r="A483" s="54"/>
      <c r="B483" s="140"/>
      <c r="C483" s="140"/>
      <c r="D483" s="54"/>
      <c r="E483" s="54"/>
      <c r="F483" s="54"/>
      <c r="G483" s="141"/>
      <c r="H483" s="141"/>
      <c r="I483" s="54"/>
      <c r="J483" s="54"/>
      <c r="K483" s="63"/>
      <c r="L483" s="54"/>
      <c r="M483" s="54"/>
    </row>
    <row r="484">
      <c r="A484" s="54"/>
      <c r="B484" s="140"/>
      <c r="C484" s="140"/>
      <c r="D484" s="54"/>
      <c r="E484" s="54"/>
      <c r="F484" s="54"/>
      <c r="G484" s="141"/>
      <c r="H484" s="141"/>
      <c r="I484" s="54"/>
      <c r="J484" s="54"/>
      <c r="K484" s="63"/>
      <c r="L484" s="54"/>
      <c r="M484" s="54"/>
    </row>
    <row r="485">
      <c r="A485" s="54"/>
      <c r="B485" s="140"/>
      <c r="C485" s="140"/>
      <c r="D485" s="54"/>
      <c r="E485" s="54"/>
      <c r="F485" s="54"/>
      <c r="G485" s="141"/>
      <c r="H485" s="141"/>
      <c r="I485" s="54"/>
      <c r="J485" s="54"/>
      <c r="K485" s="63"/>
      <c r="L485" s="54"/>
      <c r="M485" s="54"/>
    </row>
    <row r="486">
      <c r="A486" s="54"/>
      <c r="B486" s="140"/>
      <c r="C486" s="140"/>
      <c r="D486" s="54"/>
      <c r="E486" s="54"/>
      <c r="F486" s="54"/>
      <c r="G486" s="141"/>
      <c r="H486" s="141"/>
      <c r="I486" s="54"/>
      <c r="J486" s="54"/>
      <c r="K486" s="63"/>
      <c r="L486" s="54"/>
      <c r="M486" s="54"/>
    </row>
    <row r="487">
      <c r="A487" s="54"/>
      <c r="B487" s="140"/>
      <c r="C487" s="140"/>
      <c r="D487" s="54"/>
      <c r="E487" s="54"/>
      <c r="F487" s="54"/>
      <c r="G487" s="141"/>
      <c r="H487" s="141"/>
      <c r="I487" s="54"/>
      <c r="J487" s="54"/>
      <c r="K487" s="63"/>
      <c r="L487" s="54"/>
      <c r="M487" s="54"/>
    </row>
    <row r="488">
      <c r="A488" s="54"/>
      <c r="B488" s="140"/>
      <c r="C488" s="140"/>
      <c r="D488" s="54"/>
      <c r="E488" s="54"/>
      <c r="F488" s="54"/>
      <c r="G488" s="141"/>
      <c r="H488" s="141"/>
      <c r="I488" s="54"/>
      <c r="J488" s="54"/>
      <c r="K488" s="63"/>
      <c r="L488" s="54"/>
      <c r="M488" s="54"/>
    </row>
    <row r="489">
      <c r="A489" s="54"/>
      <c r="B489" s="140"/>
      <c r="C489" s="140"/>
      <c r="D489" s="54"/>
      <c r="E489" s="54"/>
      <c r="F489" s="54"/>
      <c r="G489" s="141"/>
      <c r="H489" s="141"/>
      <c r="I489" s="54"/>
      <c r="J489" s="54"/>
      <c r="K489" s="63"/>
      <c r="L489" s="54"/>
      <c r="M489" s="54"/>
    </row>
    <row r="490">
      <c r="A490" s="54"/>
      <c r="B490" s="140"/>
      <c r="C490" s="140"/>
      <c r="D490" s="54"/>
      <c r="E490" s="54"/>
      <c r="F490" s="54"/>
      <c r="G490" s="141"/>
      <c r="H490" s="141"/>
      <c r="I490" s="54"/>
      <c r="J490" s="54"/>
      <c r="K490" s="63"/>
      <c r="L490" s="54"/>
      <c r="M490" s="54"/>
    </row>
    <row r="491">
      <c r="A491" s="54"/>
      <c r="B491" s="140"/>
      <c r="C491" s="140"/>
      <c r="D491" s="54"/>
      <c r="E491" s="54"/>
      <c r="F491" s="54"/>
      <c r="G491" s="141"/>
      <c r="H491" s="141"/>
      <c r="I491" s="54"/>
      <c r="J491" s="54"/>
      <c r="K491" s="63"/>
      <c r="L491" s="54"/>
      <c r="M491" s="54"/>
    </row>
    <row r="492">
      <c r="A492" s="54"/>
      <c r="B492" s="140"/>
      <c r="C492" s="140"/>
      <c r="D492" s="54"/>
      <c r="E492" s="54"/>
      <c r="F492" s="54"/>
      <c r="G492" s="141"/>
      <c r="H492" s="141"/>
      <c r="I492" s="54"/>
      <c r="J492" s="54"/>
      <c r="K492" s="63"/>
      <c r="L492" s="54"/>
      <c r="M492" s="54"/>
    </row>
    <row r="493">
      <c r="A493" s="54"/>
      <c r="B493" s="140"/>
      <c r="C493" s="140"/>
      <c r="D493" s="54"/>
      <c r="E493" s="54"/>
      <c r="F493" s="54"/>
      <c r="G493" s="141"/>
      <c r="H493" s="141"/>
      <c r="I493" s="54"/>
      <c r="J493" s="54"/>
      <c r="K493" s="63"/>
      <c r="L493" s="54"/>
      <c r="M493" s="54"/>
    </row>
    <row r="494">
      <c r="A494" s="54"/>
      <c r="B494" s="140"/>
      <c r="C494" s="140"/>
      <c r="D494" s="54"/>
      <c r="E494" s="54"/>
      <c r="F494" s="54"/>
      <c r="G494" s="141"/>
      <c r="H494" s="141"/>
      <c r="I494" s="54"/>
      <c r="J494" s="54"/>
      <c r="K494" s="63"/>
      <c r="L494" s="54"/>
      <c r="M494" s="54"/>
    </row>
    <row r="495">
      <c r="A495" s="54"/>
      <c r="B495" s="140"/>
      <c r="C495" s="140"/>
      <c r="D495" s="54"/>
      <c r="E495" s="54"/>
      <c r="F495" s="54"/>
      <c r="G495" s="141"/>
      <c r="H495" s="141"/>
      <c r="I495" s="54"/>
      <c r="J495" s="54"/>
      <c r="K495" s="63"/>
      <c r="L495" s="54"/>
      <c r="M495" s="54"/>
    </row>
    <row r="496">
      <c r="A496" s="54"/>
      <c r="B496" s="140"/>
      <c r="C496" s="140"/>
      <c r="D496" s="54"/>
      <c r="E496" s="54"/>
      <c r="F496" s="54"/>
      <c r="G496" s="141"/>
      <c r="H496" s="141"/>
      <c r="I496" s="54"/>
      <c r="J496" s="54"/>
      <c r="K496" s="63"/>
      <c r="L496" s="54"/>
      <c r="M496" s="54"/>
    </row>
    <row r="497">
      <c r="A497" s="54"/>
      <c r="B497" s="140"/>
      <c r="C497" s="140"/>
      <c r="D497" s="54"/>
      <c r="E497" s="54"/>
      <c r="F497" s="54"/>
      <c r="G497" s="141"/>
      <c r="H497" s="141"/>
      <c r="I497" s="54"/>
      <c r="J497" s="54"/>
      <c r="K497" s="63"/>
      <c r="L497" s="54"/>
      <c r="M497" s="54"/>
    </row>
    <row r="498">
      <c r="A498" s="54"/>
      <c r="B498" s="140"/>
      <c r="C498" s="140"/>
      <c r="D498" s="54"/>
      <c r="E498" s="54"/>
      <c r="F498" s="54"/>
      <c r="G498" s="141"/>
      <c r="H498" s="141"/>
      <c r="I498" s="54"/>
      <c r="J498" s="54"/>
      <c r="K498" s="63"/>
      <c r="L498" s="54"/>
      <c r="M498" s="54"/>
    </row>
    <row r="499">
      <c r="A499" s="54"/>
      <c r="B499" s="140"/>
      <c r="C499" s="140"/>
      <c r="D499" s="54"/>
      <c r="E499" s="54"/>
      <c r="F499" s="54"/>
      <c r="G499" s="141"/>
      <c r="H499" s="141"/>
      <c r="I499" s="54"/>
      <c r="J499" s="54"/>
      <c r="K499" s="63"/>
      <c r="L499" s="54"/>
      <c r="M499" s="54"/>
    </row>
    <row r="500">
      <c r="A500" s="54"/>
      <c r="B500" s="140"/>
      <c r="C500" s="140"/>
      <c r="D500" s="54"/>
      <c r="E500" s="54"/>
      <c r="F500" s="54"/>
      <c r="G500" s="141"/>
      <c r="H500" s="141"/>
      <c r="I500" s="54"/>
      <c r="J500" s="54"/>
      <c r="K500" s="63"/>
      <c r="L500" s="54"/>
      <c r="M500" s="54"/>
    </row>
    <row r="501">
      <c r="A501" s="54"/>
      <c r="B501" s="140"/>
      <c r="C501" s="140"/>
      <c r="D501" s="54"/>
      <c r="E501" s="54"/>
      <c r="F501" s="54"/>
      <c r="G501" s="141"/>
      <c r="H501" s="141"/>
      <c r="I501" s="54"/>
      <c r="J501" s="54"/>
      <c r="K501" s="63"/>
      <c r="L501" s="54"/>
      <c r="M501" s="54"/>
    </row>
    <row r="502">
      <c r="A502" s="54"/>
      <c r="B502" s="140"/>
      <c r="C502" s="140"/>
      <c r="D502" s="54"/>
      <c r="E502" s="54"/>
      <c r="F502" s="54"/>
      <c r="G502" s="141"/>
      <c r="H502" s="141"/>
      <c r="I502" s="54"/>
      <c r="J502" s="54"/>
      <c r="K502" s="63"/>
      <c r="L502" s="54"/>
      <c r="M502" s="54"/>
    </row>
    <row r="503">
      <c r="A503" s="54"/>
      <c r="B503" s="140"/>
      <c r="C503" s="140"/>
      <c r="D503" s="54"/>
      <c r="E503" s="54"/>
      <c r="F503" s="54"/>
      <c r="G503" s="141"/>
      <c r="H503" s="141"/>
      <c r="I503" s="54"/>
      <c r="J503" s="54"/>
      <c r="K503" s="63"/>
      <c r="L503" s="54"/>
      <c r="M503" s="54"/>
    </row>
    <row r="504">
      <c r="A504" s="54"/>
      <c r="B504" s="140"/>
      <c r="C504" s="140"/>
      <c r="D504" s="54"/>
      <c r="E504" s="54"/>
      <c r="F504" s="54"/>
      <c r="G504" s="141"/>
      <c r="H504" s="141"/>
      <c r="I504" s="54"/>
      <c r="J504" s="54"/>
      <c r="K504" s="63"/>
      <c r="L504" s="54"/>
      <c r="M504" s="54"/>
    </row>
    <row r="505">
      <c r="A505" s="54"/>
      <c r="B505" s="140"/>
      <c r="C505" s="140"/>
      <c r="D505" s="54"/>
      <c r="E505" s="54"/>
      <c r="F505" s="54"/>
      <c r="G505" s="141"/>
      <c r="H505" s="141"/>
      <c r="I505" s="54"/>
      <c r="J505" s="54"/>
      <c r="K505" s="63"/>
      <c r="L505" s="54"/>
      <c r="M505" s="54"/>
    </row>
    <row r="506">
      <c r="A506" s="54"/>
      <c r="B506" s="140"/>
      <c r="C506" s="140"/>
      <c r="D506" s="54"/>
      <c r="E506" s="54"/>
      <c r="F506" s="54"/>
      <c r="G506" s="141"/>
      <c r="H506" s="141"/>
      <c r="I506" s="54"/>
      <c r="J506" s="54"/>
      <c r="K506" s="63"/>
      <c r="L506" s="54"/>
      <c r="M506" s="54"/>
    </row>
    <row r="507">
      <c r="A507" s="54"/>
      <c r="B507" s="140"/>
      <c r="C507" s="140"/>
      <c r="D507" s="54"/>
      <c r="E507" s="54"/>
      <c r="F507" s="54"/>
      <c r="G507" s="141"/>
      <c r="H507" s="141"/>
      <c r="I507" s="54"/>
      <c r="J507" s="54"/>
      <c r="K507" s="63"/>
      <c r="L507" s="54"/>
      <c r="M507" s="54"/>
    </row>
    <row r="508">
      <c r="A508" s="54"/>
      <c r="B508" s="140"/>
      <c r="C508" s="140"/>
      <c r="D508" s="54"/>
      <c r="E508" s="54"/>
      <c r="F508" s="54"/>
      <c r="G508" s="141"/>
      <c r="H508" s="141"/>
      <c r="I508" s="54"/>
      <c r="J508" s="54"/>
      <c r="K508" s="63"/>
      <c r="L508" s="54"/>
      <c r="M508" s="54"/>
    </row>
    <row r="509">
      <c r="A509" s="54"/>
      <c r="B509" s="140"/>
      <c r="C509" s="140"/>
      <c r="D509" s="54"/>
      <c r="E509" s="54"/>
      <c r="F509" s="54"/>
      <c r="G509" s="141"/>
      <c r="H509" s="141"/>
      <c r="I509" s="54"/>
      <c r="J509" s="54"/>
      <c r="K509" s="63"/>
      <c r="L509" s="54"/>
      <c r="M509" s="54"/>
    </row>
    <row r="510">
      <c r="A510" s="54"/>
      <c r="B510" s="140"/>
      <c r="C510" s="140"/>
      <c r="D510" s="54"/>
      <c r="E510" s="54"/>
      <c r="F510" s="54"/>
      <c r="G510" s="141"/>
      <c r="H510" s="141"/>
      <c r="I510" s="54"/>
      <c r="J510" s="54"/>
      <c r="K510" s="63"/>
      <c r="L510" s="54"/>
      <c r="M510" s="54"/>
    </row>
    <row r="511">
      <c r="A511" s="54"/>
      <c r="B511" s="140"/>
      <c r="C511" s="140"/>
      <c r="D511" s="54"/>
      <c r="E511" s="54"/>
      <c r="F511" s="54"/>
      <c r="G511" s="141"/>
      <c r="H511" s="141"/>
      <c r="I511" s="54"/>
      <c r="J511" s="54"/>
      <c r="K511" s="63"/>
      <c r="L511" s="54"/>
      <c r="M511" s="54"/>
    </row>
    <row r="512">
      <c r="A512" s="54"/>
      <c r="B512" s="140"/>
      <c r="C512" s="140"/>
      <c r="D512" s="54"/>
      <c r="E512" s="54"/>
      <c r="F512" s="54"/>
      <c r="G512" s="141"/>
      <c r="H512" s="141"/>
      <c r="I512" s="54"/>
      <c r="J512" s="54"/>
      <c r="K512" s="63"/>
      <c r="L512" s="54"/>
      <c r="M512" s="54"/>
    </row>
    <row r="513">
      <c r="A513" s="54"/>
      <c r="B513" s="140"/>
      <c r="C513" s="140"/>
      <c r="D513" s="54"/>
      <c r="E513" s="54"/>
      <c r="F513" s="54"/>
      <c r="G513" s="141"/>
      <c r="H513" s="141"/>
      <c r="I513" s="54"/>
      <c r="J513" s="54"/>
      <c r="K513" s="63"/>
      <c r="L513" s="54"/>
      <c r="M513" s="54"/>
    </row>
    <row r="514">
      <c r="A514" s="54"/>
      <c r="B514" s="140"/>
      <c r="C514" s="140"/>
      <c r="D514" s="54"/>
      <c r="E514" s="54"/>
      <c r="F514" s="54"/>
      <c r="G514" s="141"/>
      <c r="H514" s="141"/>
      <c r="I514" s="54"/>
      <c r="J514" s="54"/>
      <c r="K514" s="63"/>
      <c r="L514" s="54"/>
      <c r="M514" s="54"/>
    </row>
    <row r="515">
      <c r="A515" s="54"/>
      <c r="B515" s="140"/>
      <c r="C515" s="140"/>
      <c r="D515" s="54"/>
      <c r="E515" s="54"/>
      <c r="F515" s="54"/>
      <c r="G515" s="141"/>
      <c r="H515" s="141"/>
      <c r="I515" s="54"/>
      <c r="J515" s="54"/>
      <c r="K515" s="63"/>
      <c r="L515" s="54"/>
      <c r="M515" s="54"/>
    </row>
    <row r="516">
      <c r="A516" s="54"/>
      <c r="B516" s="140"/>
      <c r="C516" s="140"/>
      <c r="D516" s="54"/>
      <c r="E516" s="54"/>
      <c r="F516" s="54"/>
      <c r="G516" s="141"/>
      <c r="H516" s="141"/>
      <c r="I516" s="54"/>
      <c r="J516" s="54"/>
      <c r="K516" s="63"/>
      <c r="L516" s="54"/>
      <c r="M516" s="54"/>
    </row>
    <row r="517">
      <c r="A517" s="54"/>
      <c r="B517" s="140"/>
      <c r="C517" s="140"/>
      <c r="D517" s="54"/>
      <c r="E517" s="54"/>
      <c r="F517" s="54"/>
      <c r="G517" s="141"/>
      <c r="H517" s="141"/>
      <c r="I517" s="54"/>
      <c r="J517" s="54"/>
      <c r="K517" s="63"/>
      <c r="L517" s="54"/>
      <c r="M517" s="54"/>
    </row>
    <row r="518">
      <c r="A518" s="54"/>
      <c r="B518" s="140"/>
      <c r="C518" s="140"/>
      <c r="D518" s="54"/>
      <c r="E518" s="54"/>
      <c r="F518" s="54"/>
      <c r="G518" s="141"/>
      <c r="H518" s="141"/>
      <c r="I518" s="54"/>
      <c r="J518" s="54"/>
      <c r="K518" s="63"/>
      <c r="L518" s="54"/>
      <c r="M518" s="54"/>
    </row>
    <row r="519">
      <c r="A519" s="54"/>
      <c r="B519" s="140"/>
      <c r="C519" s="140"/>
      <c r="D519" s="54"/>
      <c r="E519" s="54"/>
      <c r="F519" s="54"/>
      <c r="G519" s="141"/>
      <c r="H519" s="141"/>
      <c r="I519" s="54"/>
      <c r="J519" s="54"/>
      <c r="K519" s="63"/>
      <c r="L519" s="54"/>
      <c r="M519" s="54"/>
    </row>
    <row r="520">
      <c r="A520" s="54"/>
      <c r="B520" s="140"/>
      <c r="C520" s="140"/>
      <c r="D520" s="54"/>
      <c r="E520" s="54"/>
      <c r="F520" s="54"/>
      <c r="G520" s="141"/>
      <c r="H520" s="141"/>
      <c r="I520" s="54"/>
      <c r="J520" s="54"/>
      <c r="K520" s="63"/>
      <c r="L520" s="54"/>
      <c r="M520" s="54"/>
    </row>
    <row r="521">
      <c r="A521" s="54"/>
      <c r="B521" s="140"/>
      <c r="C521" s="140"/>
      <c r="D521" s="54"/>
      <c r="E521" s="54"/>
      <c r="F521" s="54"/>
      <c r="G521" s="141"/>
      <c r="H521" s="141"/>
      <c r="I521" s="54"/>
      <c r="J521" s="54"/>
      <c r="K521" s="63"/>
      <c r="L521" s="54"/>
      <c r="M521" s="54"/>
    </row>
    <row r="522">
      <c r="A522" s="54"/>
      <c r="B522" s="140"/>
      <c r="C522" s="140"/>
      <c r="D522" s="54"/>
      <c r="E522" s="54"/>
      <c r="F522" s="54"/>
      <c r="G522" s="141"/>
      <c r="H522" s="141"/>
      <c r="I522" s="54"/>
      <c r="J522" s="54"/>
      <c r="K522" s="63"/>
      <c r="L522" s="54"/>
      <c r="M522" s="54"/>
    </row>
    <row r="523">
      <c r="A523" s="54"/>
      <c r="B523" s="140"/>
      <c r="C523" s="140"/>
      <c r="D523" s="54"/>
      <c r="E523" s="54"/>
      <c r="F523" s="54"/>
      <c r="G523" s="141"/>
      <c r="H523" s="141"/>
      <c r="I523" s="54"/>
      <c r="J523" s="54"/>
      <c r="K523" s="63"/>
      <c r="L523" s="54"/>
      <c r="M523" s="54"/>
    </row>
    <row r="524">
      <c r="A524" s="54"/>
      <c r="B524" s="140"/>
      <c r="C524" s="140"/>
      <c r="D524" s="54"/>
      <c r="E524" s="54"/>
      <c r="F524" s="54"/>
      <c r="G524" s="141"/>
      <c r="H524" s="141"/>
      <c r="I524" s="54"/>
      <c r="J524" s="54"/>
      <c r="K524" s="63"/>
      <c r="L524" s="54"/>
      <c r="M524" s="54"/>
    </row>
    <row r="525">
      <c r="A525" s="54"/>
      <c r="B525" s="140"/>
      <c r="C525" s="140"/>
      <c r="D525" s="54"/>
      <c r="E525" s="54"/>
      <c r="F525" s="54"/>
      <c r="G525" s="141"/>
      <c r="H525" s="141"/>
      <c r="I525" s="54"/>
      <c r="J525" s="54"/>
      <c r="K525" s="63"/>
      <c r="L525" s="54"/>
      <c r="M525" s="54"/>
    </row>
    <row r="526">
      <c r="A526" s="54"/>
      <c r="B526" s="140"/>
      <c r="C526" s="140"/>
      <c r="D526" s="54"/>
      <c r="E526" s="54"/>
      <c r="F526" s="54"/>
      <c r="G526" s="141"/>
      <c r="H526" s="141"/>
      <c r="I526" s="54"/>
      <c r="J526" s="54"/>
      <c r="K526" s="63"/>
      <c r="L526" s="54"/>
      <c r="M526" s="54"/>
    </row>
    <row r="527">
      <c r="A527" s="54"/>
      <c r="B527" s="140"/>
      <c r="C527" s="140"/>
      <c r="D527" s="54"/>
      <c r="E527" s="54"/>
      <c r="F527" s="54"/>
      <c r="G527" s="141"/>
      <c r="H527" s="141"/>
      <c r="I527" s="54"/>
      <c r="J527" s="54"/>
      <c r="K527" s="63"/>
      <c r="L527" s="54"/>
      <c r="M527" s="54"/>
    </row>
    <row r="528">
      <c r="A528" s="54"/>
      <c r="B528" s="140"/>
      <c r="C528" s="140"/>
      <c r="D528" s="54"/>
      <c r="E528" s="54"/>
      <c r="F528" s="54"/>
      <c r="G528" s="141"/>
      <c r="H528" s="141"/>
      <c r="I528" s="54"/>
      <c r="J528" s="54"/>
      <c r="K528" s="63"/>
      <c r="L528" s="54"/>
      <c r="M528" s="54"/>
    </row>
    <row r="529">
      <c r="A529" s="54"/>
      <c r="B529" s="140"/>
      <c r="C529" s="140"/>
      <c r="D529" s="54"/>
      <c r="E529" s="54"/>
      <c r="F529" s="54"/>
      <c r="G529" s="141"/>
      <c r="H529" s="141"/>
      <c r="I529" s="54"/>
      <c r="J529" s="54"/>
      <c r="K529" s="63"/>
      <c r="L529" s="54"/>
      <c r="M529" s="54"/>
    </row>
    <row r="530">
      <c r="A530" s="54"/>
      <c r="B530" s="140"/>
      <c r="C530" s="140"/>
      <c r="D530" s="54"/>
      <c r="E530" s="54"/>
      <c r="F530" s="54"/>
      <c r="G530" s="141"/>
      <c r="H530" s="141"/>
      <c r="I530" s="54"/>
      <c r="J530" s="54"/>
      <c r="K530" s="63"/>
      <c r="L530" s="54"/>
      <c r="M530" s="54"/>
    </row>
    <row r="531">
      <c r="A531" s="54"/>
      <c r="B531" s="140"/>
      <c r="C531" s="140"/>
      <c r="D531" s="54"/>
      <c r="E531" s="54"/>
      <c r="F531" s="54"/>
      <c r="G531" s="141"/>
      <c r="H531" s="141"/>
      <c r="I531" s="54"/>
      <c r="J531" s="54"/>
      <c r="K531" s="63"/>
      <c r="L531" s="54"/>
      <c r="M531" s="54"/>
    </row>
    <row r="532">
      <c r="A532" s="54"/>
      <c r="B532" s="140"/>
      <c r="C532" s="140"/>
      <c r="D532" s="54"/>
      <c r="E532" s="54"/>
      <c r="F532" s="54"/>
      <c r="G532" s="141"/>
      <c r="H532" s="141"/>
      <c r="I532" s="54"/>
      <c r="J532" s="54"/>
      <c r="K532" s="63"/>
      <c r="L532" s="54"/>
      <c r="M532" s="54"/>
    </row>
    <row r="533">
      <c r="A533" s="54"/>
      <c r="B533" s="140"/>
      <c r="C533" s="140"/>
      <c r="D533" s="54"/>
      <c r="E533" s="54"/>
      <c r="F533" s="54"/>
      <c r="G533" s="141"/>
      <c r="H533" s="141"/>
      <c r="I533" s="54"/>
      <c r="J533" s="54"/>
      <c r="K533" s="63"/>
      <c r="L533" s="54"/>
      <c r="M533" s="54"/>
    </row>
    <row r="534">
      <c r="A534" s="54"/>
      <c r="B534" s="140"/>
      <c r="C534" s="140"/>
      <c r="D534" s="54"/>
      <c r="E534" s="54"/>
      <c r="F534" s="54"/>
      <c r="G534" s="141"/>
      <c r="H534" s="141"/>
      <c r="I534" s="54"/>
      <c r="J534" s="54"/>
      <c r="K534" s="63"/>
      <c r="L534" s="54"/>
      <c r="M534" s="54"/>
    </row>
    <row r="535">
      <c r="A535" s="54"/>
      <c r="B535" s="140"/>
      <c r="C535" s="140"/>
      <c r="D535" s="54"/>
      <c r="E535" s="54"/>
      <c r="F535" s="54"/>
      <c r="G535" s="141"/>
      <c r="H535" s="141"/>
      <c r="I535" s="54"/>
      <c r="J535" s="54"/>
      <c r="K535" s="63"/>
      <c r="L535" s="54"/>
      <c r="M535" s="54"/>
    </row>
    <row r="536">
      <c r="A536" s="54"/>
      <c r="B536" s="140"/>
      <c r="C536" s="140"/>
      <c r="D536" s="54"/>
      <c r="E536" s="54"/>
      <c r="F536" s="54"/>
      <c r="G536" s="141"/>
      <c r="H536" s="141"/>
      <c r="I536" s="54"/>
      <c r="J536" s="54"/>
      <c r="K536" s="63"/>
      <c r="L536" s="54"/>
      <c r="M536" s="54"/>
    </row>
    <row r="537">
      <c r="A537" s="54"/>
      <c r="B537" s="140"/>
      <c r="C537" s="140"/>
      <c r="D537" s="54"/>
      <c r="E537" s="54"/>
      <c r="F537" s="54"/>
      <c r="G537" s="141"/>
      <c r="H537" s="141"/>
      <c r="I537" s="54"/>
      <c r="J537" s="54"/>
      <c r="K537" s="63"/>
      <c r="L537" s="54"/>
      <c r="M537" s="54"/>
    </row>
    <row r="538">
      <c r="A538" s="54"/>
      <c r="B538" s="140"/>
      <c r="C538" s="140"/>
      <c r="D538" s="54"/>
      <c r="E538" s="54"/>
      <c r="F538" s="54"/>
      <c r="G538" s="141"/>
      <c r="H538" s="141"/>
      <c r="I538" s="54"/>
      <c r="J538" s="54"/>
      <c r="K538" s="63"/>
      <c r="L538" s="54"/>
      <c r="M538" s="54"/>
    </row>
    <row r="539">
      <c r="A539" s="54"/>
      <c r="B539" s="140"/>
      <c r="C539" s="140"/>
      <c r="D539" s="54"/>
      <c r="E539" s="54"/>
      <c r="F539" s="54"/>
      <c r="G539" s="141"/>
      <c r="H539" s="141"/>
      <c r="I539" s="54"/>
      <c r="J539" s="54"/>
      <c r="K539" s="63"/>
      <c r="L539" s="54"/>
      <c r="M539" s="54"/>
    </row>
    <row r="540">
      <c r="A540" s="54"/>
      <c r="B540" s="140"/>
      <c r="C540" s="140"/>
      <c r="D540" s="54"/>
      <c r="E540" s="54"/>
      <c r="F540" s="54"/>
      <c r="G540" s="141"/>
      <c r="H540" s="141"/>
      <c r="I540" s="54"/>
      <c r="J540" s="54"/>
      <c r="K540" s="63"/>
      <c r="L540" s="54"/>
      <c r="M540" s="54"/>
    </row>
    <row r="541">
      <c r="A541" s="54"/>
      <c r="B541" s="140"/>
      <c r="C541" s="140"/>
      <c r="D541" s="54"/>
      <c r="E541" s="54"/>
      <c r="F541" s="54"/>
      <c r="G541" s="141"/>
      <c r="H541" s="141"/>
      <c r="I541" s="54"/>
      <c r="J541" s="54"/>
      <c r="K541" s="63"/>
      <c r="L541" s="54"/>
      <c r="M541" s="54"/>
    </row>
    <row r="542">
      <c r="A542" s="54"/>
      <c r="B542" s="140"/>
      <c r="C542" s="140"/>
      <c r="D542" s="54"/>
      <c r="E542" s="54"/>
      <c r="F542" s="54"/>
      <c r="G542" s="141"/>
      <c r="H542" s="141"/>
      <c r="I542" s="54"/>
      <c r="J542" s="54"/>
      <c r="K542" s="63"/>
      <c r="L542" s="54"/>
      <c r="M542" s="54"/>
    </row>
    <row r="543">
      <c r="A543" s="54"/>
      <c r="B543" s="140"/>
      <c r="C543" s="140"/>
      <c r="D543" s="54"/>
      <c r="E543" s="54"/>
      <c r="F543" s="54"/>
      <c r="G543" s="141"/>
      <c r="H543" s="141"/>
      <c r="I543" s="54"/>
      <c r="J543" s="54"/>
      <c r="K543" s="63"/>
      <c r="L543" s="54"/>
      <c r="M543" s="54"/>
    </row>
    <row r="544">
      <c r="A544" s="54"/>
      <c r="B544" s="140"/>
      <c r="C544" s="140"/>
      <c r="D544" s="54"/>
      <c r="E544" s="54"/>
      <c r="F544" s="54"/>
      <c r="G544" s="141"/>
      <c r="H544" s="141"/>
      <c r="I544" s="54"/>
      <c r="J544" s="54"/>
      <c r="K544" s="63"/>
      <c r="L544" s="54"/>
      <c r="M544" s="54"/>
    </row>
    <row r="545">
      <c r="A545" s="54"/>
      <c r="B545" s="140"/>
      <c r="C545" s="140"/>
      <c r="D545" s="54"/>
      <c r="E545" s="54"/>
      <c r="F545" s="54"/>
      <c r="G545" s="141"/>
      <c r="H545" s="141"/>
      <c r="I545" s="54"/>
      <c r="J545" s="54"/>
      <c r="K545" s="63"/>
      <c r="L545" s="54"/>
      <c r="M545" s="54"/>
    </row>
    <row r="546">
      <c r="A546" s="54"/>
      <c r="B546" s="140"/>
      <c r="C546" s="140"/>
      <c r="D546" s="54"/>
      <c r="E546" s="54"/>
      <c r="F546" s="54"/>
      <c r="G546" s="141"/>
      <c r="H546" s="141"/>
      <c r="I546" s="54"/>
      <c r="J546" s="54"/>
      <c r="K546" s="63"/>
      <c r="L546" s="54"/>
      <c r="M546" s="54"/>
    </row>
    <row r="547">
      <c r="A547" s="54"/>
      <c r="B547" s="140"/>
      <c r="C547" s="140"/>
      <c r="D547" s="54"/>
      <c r="E547" s="54"/>
      <c r="F547" s="54"/>
      <c r="G547" s="141"/>
      <c r="H547" s="141"/>
      <c r="I547" s="54"/>
      <c r="J547" s="54"/>
      <c r="K547" s="63"/>
      <c r="L547" s="54"/>
      <c r="M547" s="54"/>
    </row>
    <row r="548">
      <c r="A548" s="54"/>
      <c r="B548" s="140"/>
      <c r="C548" s="140"/>
      <c r="D548" s="54"/>
      <c r="E548" s="54"/>
      <c r="F548" s="54"/>
      <c r="G548" s="141"/>
      <c r="H548" s="141"/>
      <c r="I548" s="54"/>
      <c r="J548" s="54"/>
      <c r="K548" s="63"/>
      <c r="L548" s="54"/>
      <c r="M548" s="54"/>
    </row>
    <row r="549">
      <c r="A549" s="54"/>
      <c r="B549" s="140"/>
      <c r="C549" s="140"/>
      <c r="D549" s="54"/>
      <c r="E549" s="54"/>
      <c r="F549" s="54"/>
      <c r="G549" s="141"/>
      <c r="H549" s="141"/>
      <c r="I549" s="54"/>
      <c r="J549" s="54"/>
      <c r="K549" s="63"/>
      <c r="L549" s="54"/>
      <c r="M549" s="54"/>
    </row>
    <row r="550">
      <c r="A550" s="54"/>
      <c r="B550" s="140"/>
      <c r="C550" s="140"/>
      <c r="D550" s="54"/>
      <c r="E550" s="54"/>
      <c r="F550" s="54"/>
      <c r="G550" s="141"/>
      <c r="H550" s="141"/>
      <c r="I550" s="54"/>
      <c r="J550" s="54"/>
      <c r="K550" s="63"/>
      <c r="L550" s="54"/>
      <c r="M550" s="54"/>
    </row>
    <row r="551">
      <c r="A551" s="54"/>
      <c r="B551" s="140"/>
      <c r="C551" s="140"/>
      <c r="D551" s="54"/>
      <c r="E551" s="54"/>
      <c r="F551" s="54"/>
      <c r="G551" s="141"/>
      <c r="H551" s="141"/>
      <c r="I551" s="54"/>
      <c r="J551" s="54"/>
      <c r="K551" s="63"/>
      <c r="L551" s="54"/>
      <c r="M551" s="54"/>
    </row>
    <row r="552">
      <c r="A552" s="54"/>
      <c r="B552" s="140"/>
      <c r="C552" s="140"/>
      <c r="D552" s="54"/>
      <c r="E552" s="54"/>
      <c r="F552" s="54"/>
      <c r="G552" s="141"/>
      <c r="H552" s="141"/>
      <c r="I552" s="54"/>
      <c r="J552" s="54"/>
      <c r="K552" s="63"/>
      <c r="L552" s="54"/>
      <c r="M552" s="54"/>
    </row>
    <row r="553">
      <c r="A553" s="54"/>
      <c r="B553" s="140"/>
      <c r="C553" s="140"/>
      <c r="D553" s="54"/>
      <c r="E553" s="54"/>
      <c r="F553" s="54"/>
      <c r="G553" s="141"/>
      <c r="H553" s="141"/>
      <c r="I553" s="54"/>
      <c r="J553" s="54"/>
      <c r="K553" s="63"/>
      <c r="L553" s="54"/>
      <c r="M553" s="54"/>
    </row>
    <row r="554">
      <c r="A554" s="54"/>
      <c r="B554" s="140"/>
      <c r="C554" s="140"/>
      <c r="D554" s="54"/>
      <c r="E554" s="54"/>
      <c r="F554" s="54"/>
      <c r="G554" s="141"/>
      <c r="H554" s="141"/>
      <c r="I554" s="54"/>
      <c r="J554" s="54"/>
      <c r="K554" s="63"/>
      <c r="L554" s="54"/>
      <c r="M554" s="54"/>
    </row>
    <row r="555">
      <c r="A555" s="54"/>
      <c r="B555" s="140"/>
      <c r="C555" s="140"/>
      <c r="D555" s="54"/>
      <c r="E555" s="54"/>
      <c r="F555" s="54"/>
      <c r="G555" s="141"/>
      <c r="H555" s="141"/>
      <c r="I555" s="54"/>
      <c r="J555" s="54"/>
      <c r="K555" s="63"/>
      <c r="L555" s="54"/>
      <c r="M555" s="54"/>
    </row>
    <row r="556">
      <c r="A556" s="54"/>
      <c r="B556" s="140"/>
      <c r="C556" s="140"/>
      <c r="D556" s="54"/>
      <c r="E556" s="54"/>
      <c r="F556" s="54"/>
      <c r="G556" s="141"/>
      <c r="H556" s="141"/>
      <c r="I556" s="54"/>
      <c r="J556" s="54"/>
      <c r="K556" s="63"/>
      <c r="L556" s="54"/>
      <c r="M556" s="54"/>
    </row>
    <row r="557">
      <c r="A557" s="54"/>
      <c r="B557" s="140"/>
      <c r="C557" s="140"/>
      <c r="D557" s="54"/>
      <c r="E557" s="54"/>
      <c r="F557" s="54"/>
      <c r="G557" s="141"/>
      <c r="H557" s="141"/>
      <c r="I557" s="54"/>
      <c r="J557" s="54"/>
      <c r="K557" s="63"/>
      <c r="L557" s="54"/>
      <c r="M557" s="54"/>
    </row>
    <row r="558">
      <c r="A558" s="54"/>
      <c r="B558" s="140"/>
      <c r="C558" s="140"/>
      <c r="D558" s="54"/>
      <c r="E558" s="54"/>
      <c r="F558" s="54"/>
      <c r="G558" s="141"/>
      <c r="H558" s="141"/>
      <c r="I558" s="54"/>
      <c r="J558" s="54"/>
      <c r="K558" s="63"/>
      <c r="L558" s="54"/>
      <c r="M558" s="54"/>
    </row>
    <row r="559">
      <c r="A559" s="54"/>
      <c r="B559" s="140"/>
      <c r="C559" s="140"/>
      <c r="D559" s="54"/>
      <c r="E559" s="54"/>
      <c r="F559" s="54"/>
      <c r="G559" s="141"/>
      <c r="H559" s="141"/>
      <c r="I559" s="54"/>
      <c r="J559" s="54"/>
      <c r="K559" s="63"/>
      <c r="L559" s="54"/>
      <c r="M559" s="54"/>
    </row>
    <row r="560">
      <c r="A560" s="54"/>
      <c r="B560" s="140"/>
      <c r="C560" s="140"/>
      <c r="D560" s="54"/>
      <c r="E560" s="54"/>
      <c r="F560" s="54"/>
      <c r="G560" s="141"/>
      <c r="H560" s="141"/>
      <c r="I560" s="54"/>
      <c r="J560" s="54"/>
      <c r="K560" s="63"/>
      <c r="L560" s="54"/>
      <c r="M560" s="54"/>
    </row>
    <row r="561">
      <c r="A561" s="54"/>
      <c r="B561" s="140"/>
      <c r="C561" s="140"/>
      <c r="D561" s="54"/>
      <c r="E561" s="54"/>
      <c r="F561" s="54"/>
      <c r="G561" s="141"/>
      <c r="H561" s="141"/>
      <c r="I561" s="54"/>
      <c r="J561" s="54"/>
      <c r="K561" s="63"/>
      <c r="L561" s="54"/>
      <c r="M561" s="54"/>
    </row>
    <row r="562">
      <c r="A562" s="54"/>
      <c r="B562" s="140"/>
      <c r="C562" s="140"/>
      <c r="D562" s="54"/>
      <c r="E562" s="54"/>
      <c r="F562" s="54"/>
      <c r="G562" s="141"/>
      <c r="H562" s="141"/>
      <c r="I562" s="54"/>
      <c r="J562" s="54"/>
      <c r="K562" s="63"/>
      <c r="L562" s="54"/>
      <c r="M562" s="54"/>
    </row>
    <row r="563">
      <c r="A563" s="54"/>
      <c r="B563" s="140"/>
      <c r="C563" s="140"/>
      <c r="D563" s="54"/>
      <c r="E563" s="54"/>
      <c r="F563" s="54"/>
      <c r="G563" s="141"/>
      <c r="H563" s="141"/>
      <c r="I563" s="54"/>
      <c r="J563" s="54"/>
      <c r="K563" s="63"/>
      <c r="L563" s="54"/>
      <c r="M563" s="54"/>
    </row>
    <row r="564">
      <c r="A564" s="54"/>
      <c r="B564" s="140"/>
      <c r="C564" s="140"/>
      <c r="D564" s="54"/>
      <c r="E564" s="54"/>
      <c r="F564" s="54"/>
      <c r="G564" s="141"/>
      <c r="H564" s="141"/>
      <c r="I564" s="54"/>
      <c r="J564" s="54"/>
      <c r="K564" s="63"/>
      <c r="L564" s="54"/>
      <c r="M564" s="54"/>
    </row>
    <row r="565">
      <c r="A565" s="54"/>
      <c r="B565" s="140"/>
      <c r="C565" s="140"/>
      <c r="D565" s="54"/>
      <c r="E565" s="54"/>
      <c r="F565" s="54"/>
      <c r="G565" s="141"/>
      <c r="H565" s="141"/>
      <c r="I565" s="54"/>
      <c r="J565" s="54"/>
      <c r="K565" s="63"/>
      <c r="L565" s="54"/>
      <c r="M565" s="54"/>
    </row>
    <row r="566">
      <c r="A566" s="54"/>
      <c r="B566" s="140"/>
      <c r="C566" s="140"/>
      <c r="D566" s="54"/>
      <c r="E566" s="54"/>
      <c r="F566" s="54"/>
      <c r="G566" s="141"/>
      <c r="H566" s="141"/>
      <c r="I566" s="54"/>
      <c r="J566" s="54"/>
      <c r="K566" s="63"/>
      <c r="L566" s="54"/>
      <c r="M566" s="54"/>
    </row>
    <row r="567">
      <c r="A567" s="54"/>
      <c r="B567" s="140"/>
      <c r="C567" s="140"/>
      <c r="D567" s="54"/>
      <c r="E567" s="54"/>
      <c r="F567" s="54"/>
      <c r="G567" s="141"/>
      <c r="H567" s="141"/>
      <c r="I567" s="54"/>
      <c r="J567" s="54"/>
      <c r="K567" s="63"/>
      <c r="L567" s="54"/>
      <c r="M567" s="54"/>
    </row>
    <row r="568">
      <c r="A568" s="54"/>
      <c r="B568" s="140"/>
      <c r="C568" s="140"/>
      <c r="D568" s="54"/>
      <c r="E568" s="54"/>
      <c r="F568" s="54"/>
      <c r="G568" s="141"/>
      <c r="H568" s="141"/>
      <c r="I568" s="54"/>
      <c r="J568" s="54"/>
      <c r="K568" s="63"/>
      <c r="L568" s="54"/>
      <c r="M568" s="54"/>
    </row>
    <row r="569">
      <c r="A569" s="54"/>
      <c r="B569" s="140"/>
      <c r="C569" s="140"/>
      <c r="D569" s="54"/>
      <c r="E569" s="54"/>
      <c r="F569" s="54"/>
      <c r="G569" s="141"/>
      <c r="H569" s="141"/>
      <c r="I569" s="54"/>
      <c r="J569" s="54"/>
      <c r="K569" s="63"/>
      <c r="L569" s="54"/>
      <c r="M569" s="54"/>
    </row>
    <row r="570">
      <c r="A570" s="54"/>
      <c r="B570" s="140"/>
      <c r="C570" s="140"/>
      <c r="D570" s="54"/>
      <c r="E570" s="54"/>
      <c r="F570" s="54"/>
      <c r="G570" s="141"/>
      <c r="H570" s="141"/>
      <c r="I570" s="54"/>
      <c r="J570" s="54"/>
      <c r="K570" s="63"/>
      <c r="L570" s="54"/>
      <c r="M570" s="54"/>
    </row>
    <row r="571">
      <c r="A571" s="54"/>
      <c r="B571" s="140"/>
      <c r="C571" s="140"/>
      <c r="D571" s="54"/>
      <c r="E571" s="54"/>
      <c r="F571" s="54"/>
      <c r="G571" s="141"/>
      <c r="H571" s="141"/>
      <c r="I571" s="54"/>
      <c r="J571" s="54"/>
      <c r="K571" s="63"/>
      <c r="L571" s="54"/>
      <c r="M571" s="54"/>
    </row>
    <row r="572">
      <c r="A572" s="54"/>
      <c r="B572" s="140"/>
      <c r="C572" s="140"/>
      <c r="D572" s="54"/>
      <c r="E572" s="54"/>
      <c r="F572" s="54"/>
      <c r="G572" s="141"/>
      <c r="H572" s="141"/>
      <c r="I572" s="54"/>
      <c r="J572" s="54"/>
      <c r="K572" s="63"/>
      <c r="L572" s="54"/>
      <c r="M572" s="54"/>
    </row>
    <row r="573">
      <c r="A573" s="54"/>
      <c r="B573" s="140"/>
      <c r="C573" s="140"/>
      <c r="D573" s="54"/>
      <c r="E573" s="54"/>
      <c r="F573" s="54"/>
      <c r="G573" s="141"/>
      <c r="H573" s="141"/>
      <c r="I573" s="54"/>
      <c r="J573" s="54"/>
      <c r="K573" s="63"/>
      <c r="L573" s="54"/>
      <c r="M573" s="54"/>
    </row>
    <row r="574">
      <c r="A574" s="54"/>
      <c r="B574" s="140"/>
      <c r="C574" s="140"/>
      <c r="D574" s="54"/>
      <c r="E574" s="54"/>
      <c r="F574" s="54"/>
      <c r="G574" s="141"/>
      <c r="H574" s="141"/>
      <c r="I574" s="54"/>
      <c r="J574" s="54"/>
      <c r="K574" s="63"/>
      <c r="L574" s="54"/>
      <c r="M574" s="54"/>
    </row>
    <row r="575">
      <c r="A575" s="54"/>
      <c r="B575" s="140"/>
      <c r="C575" s="140"/>
      <c r="D575" s="54"/>
      <c r="E575" s="54"/>
      <c r="F575" s="54"/>
      <c r="G575" s="141"/>
      <c r="H575" s="141"/>
      <c r="I575" s="54"/>
      <c r="J575" s="54"/>
      <c r="K575" s="63"/>
      <c r="L575" s="54"/>
      <c r="M575" s="54"/>
    </row>
    <row r="576">
      <c r="A576" s="54"/>
      <c r="B576" s="140"/>
      <c r="C576" s="140"/>
      <c r="D576" s="54"/>
      <c r="E576" s="54"/>
      <c r="F576" s="54"/>
      <c r="G576" s="141"/>
      <c r="H576" s="141"/>
      <c r="I576" s="54"/>
      <c r="J576" s="54"/>
      <c r="K576" s="63"/>
      <c r="L576" s="54"/>
      <c r="M576" s="54"/>
    </row>
    <row r="577">
      <c r="A577" s="54"/>
      <c r="B577" s="140"/>
      <c r="C577" s="140"/>
      <c r="D577" s="54"/>
      <c r="E577" s="54"/>
      <c r="F577" s="54"/>
      <c r="G577" s="141"/>
      <c r="H577" s="141"/>
      <c r="I577" s="54"/>
      <c r="J577" s="54"/>
      <c r="K577" s="63"/>
      <c r="L577" s="54"/>
      <c r="M577" s="54"/>
    </row>
    <row r="578">
      <c r="A578" s="54"/>
      <c r="B578" s="140"/>
      <c r="C578" s="140"/>
      <c r="D578" s="54"/>
      <c r="E578" s="54"/>
      <c r="F578" s="54"/>
      <c r="G578" s="141"/>
      <c r="H578" s="141"/>
      <c r="I578" s="54"/>
      <c r="J578" s="54"/>
      <c r="K578" s="63"/>
      <c r="L578" s="54"/>
      <c r="M578" s="54"/>
    </row>
    <row r="579">
      <c r="A579" s="54"/>
      <c r="B579" s="140"/>
      <c r="C579" s="140"/>
      <c r="D579" s="54"/>
      <c r="E579" s="54"/>
      <c r="F579" s="54"/>
      <c r="G579" s="141"/>
      <c r="H579" s="141"/>
      <c r="I579" s="54"/>
      <c r="J579" s="54"/>
      <c r="K579" s="63"/>
      <c r="L579" s="54"/>
      <c r="M579" s="54"/>
    </row>
    <row r="580">
      <c r="A580" s="54"/>
      <c r="B580" s="140"/>
      <c r="C580" s="140"/>
      <c r="D580" s="54"/>
      <c r="E580" s="54"/>
      <c r="F580" s="54"/>
      <c r="G580" s="141"/>
      <c r="H580" s="141"/>
      <c r="I580" s="54"/>
      <c r="J580" s="54"/>
      <c r="K580" s="63"/>
      <c r="L580" s="54"/>
      <c r="M580" s="54"/>
    </row>
    <row r="581">
      <c r="A581" s="54"/>
      <c r="B581" s="140"/>
      <c r="C581" s="140"/>
      <c r="D581" s="54"/>
      <c r="E581" s="54"/>
      <c r="F581" s="54"/>
      <c r="G581" s="141"/>
      <c r="H581" s="141"/>
      <c r="I581" s="54"/>
      <c r="J581" s="54"/>
      <c r="K581" s="63"/>
      <c r="L581" s="54"/>
      <c r="M581" s="54"/>
    </row>
    <row r="582">
      <c r="A582" s="54"/>
      <c r="B582" s="140"/>
      <c r="C582" s="140"/>
      <c r="D582" s="54"/>
      <c r="E582" s="54"/>
      <c r="F582" s="54"/>
      <c r="G582" s="141"/>
      <c r="H582" s="141"/>
      <c r="I582" s="54"/>
      <c r="J582" s="54"/>
      <c r="K582" s="63"/>
      <c r="L582" s="54"/>
      <c r="M582" s="54"/>
    </row>
    <row r="583">
      <c r="A583" s="54"/>
      <c r="B583" s="140"/>
      <c r="C583" s="140"/>
      <c r="D583" s="54"/>
      <c r="E583" s="54"/>
      <c r="F583" s="54"/>
      <c r="G583" s="141"/>
      <c r="H583" s="141"/>
      <c r="I583" s="54"/>
      <c r="J583" s="54"/>
      <c r="K583" s="63"/>
      <c r="L583" s="54"/>
      <c r="M583" s="54"/>
    </row>
    <row r="584">
      <c r="A584" s="54"/>
      <c r="B584" s="140"/>
      <c r="C584" s="140"/>
      <c r="D584" s="54"/>
      <c r="E584" s="54"/>
      <c r="F584" s="54"/>
      <c r="G584" s="141"/>
      <c r="H584" s="141"/>
      <c r="I584" s="54"/>
      <c r="J584" s="54"/>
      <c r="K584" s="63"/>
      <c r="L584" s="54"/>
      <c r="M584" s="54"/>
    </row>
    <row r="585">
      <c r="A585" s="54"/>
      <c r="B585" s="140"/>
      <c r="C585" s="140"/>
      <c r="D585" s="54"/>
      <c r="E585" s="54"/>
      <c r="F585" s="54"/>
      <c r="G585" s="141"/>
      <c r="H585" s="141"/>
      <c r="I585" s="54"/>
      <c r="J585" s="54"/>
      <c r="K585" s="63"/>
      <c r="L585" s="54"/>
      <c r="M585" s="54"/>
    </row>
    <row r="586">
      <c r="A586" s="54"/>
      <c r="B586" s="140"/>
      <c r="C586" s="140"/>
      <c r="D586" s="54"/>
      <c r="E586" s="54"/>
      <c r="F586" s="54"/>
      <c r="G586" s="141"/>
      <c r="H586" s="141"/>
      <c r="I586" s="54"/>
      <c r="J586" s="54"/>
      <c r="K586" s="63"/>
      <c r="L586" s="54"/>
      <c r="M586" s="54"/>
    </row>
    <row r="587">
      <c r="A587" s="54"/>
      <c r="B587" s="140"/>
      <c r="C587" s="140"/>
      <c r="D587" s="54"/>
      <c r="E587" s="54"/>
      <c r="F587" s="54"/>
      <c r="G587" s="141"/>
      <c r="H587" s="141"/>
      <c r="I587" s="54"/>
      <c r="J587" s="54"/>
      <c r="K587" s="63"/>
      <c r="L587" s="54"/>
      <c r="M587" s="54"/>
    </row>
    <row r="588">
      <c r="A588" s="54"/>
      <c r="B588" s="140"/>
      <c r="C588" s="140"/>
      <c r="D588" s="54"/>
      <c r="E588" s="54"/>
      <c r="F588" s="54"/>
      <c r="G588" s="141"/>
      <c r="H588" s="141"/>
      <c r="I588" s="54"/>
      <c r="J588" s="54"/>
      <c r="K588" s="63"/>
      <c r="L588" s="54"/>
      <c r="M588" s="54"/>
    </row>
    <row r="589">
      <c r="A589" s="54"/>
      <c r="B589" s="140"/>
      <c r="C589" s="140"/>
      <c r="D589" s="54"/>
      <c r="E589" s="54"/>
      <c r="F589" s="54"/>
      <c r="G589" s="141"/>
      <c r="H589" s="141"/>
      <c r="I589" s="54"/>
      <c r="J589" s="54"/>
      <c r="K589" s="63"/>
      <c r="L589" s="54"/>
      <c r="M589" s="54"/>
    </row>
    <row r="590">
      <c r="A590" s="54"/>
      <c r="B590" s="140"/>
      <c r="C590" s="140"/>
      <c r="D590" s="54"/>
      <c r="E590" s="54"/>
      <c r="F590" s="54"/>
      <c r="G590" s="141"/>
      <c r="H590" s="141"/>
      <c r="I590" s="54"/>
      <c r="J590" s="54"/>
      <c r="K590" s="63"/>
      <c r="L590" s="54"/>
      <c r="M590" s="54"/>
    </row>
    <row r="591">
      <c r="A591" s="54"/>
      <c r="B591" s="140"/>
      <c r="C591" s="140"/>
      <c r="D591" s="54"/>
      <c r="E591" s="54"/>
      <c r="F591" s="54"/>
      <c r="G591" s="141"/>
      <c r="H591" s="141"/>
      <c r="I591" s="54"/>
      <c r="J591" s="54"/>
      <c r="K591" s="63"/>
      <c r="L591" s="54"/>
      <c r="M591" s="54"/>
    </row>
    <row r="592">
      <c r="A592" s="54"/>
      <c r="B592" s="140"/>
      <c r="C592" s="140"/>
      <c r="D592" s="54"/>
      <c r="E592" s="54"/>
      <c r="F592" s="54"/>
      <c r="G592" s="141"/>
      <c r="H592" s="141"/>
      <c r="I592" s="54"/>
      <c r="J592" s="54"/>
      <c r="K592" s="63"/>
      <c r="L592" s="54"/>
      <c r="M592" s="54"/>
    </row>
    <row r="593">
      <c r="A593" s="54"/>
      <c r="B593" s="140"/>
      <c r="C593" s="140"/>
      <c r="D593" s="54"/>
      <c r="E593" s="54"/>
      <c r="F593" s="54"/>
      <c r="G593" s="141"/>
      <c r="H593" s="141"/>
      <c r="I593" s="54"/>
      <c r="J593" s="54"/>
      <c r="K593" s="63"/>
      <c r="L593" s="54"/>
      <c r="M593" s="54"/>
    </row>
    <row r="594">
      <c r="A594" s="54"/>
      <c r="B594" s="140"/>
      <c r="C594" s="140"/>
      <c r="D594" s="54"/>
      <c r="E594" s="54"/>
      <c r="F594" s="54"/>
      <c r="G594" s="141"/>
      <c r="H594" s="141"/>
      <c r="I594" s="54"/>
      <c r="J594" s="54"/>
      <c r="K594" s="63"/>
      <c r="L594" s="54"/>
      <c r="M594" s="54"/>
    </row>
    <row r="595">
      <c r="A595" s="54"/>
      <c r="B595" s="140"/>
      <c r="C595" s="140"/>
      <c r="D595" s="54"/>
      <c r="E595" s="54"/>
      <c r="F595" s="54"/>
      <c r="G595" s="141"/>
      <c r="H595" s="141"/>
      <c r="I595" s="54"/>
      <c r="J595" s="54"/>
      <c r="K595" s="63"/>
      <c r="L595" s="54"/>
      <c r="M595" s="54"/>
    </row>
    <row r="596">
      <c r="A596" s="54"/>
      <c r="B596" s="140"/>
      <c r="C596" s="140"/>
      <c r="D596" s="54"/>
      <c r="E596" s="54"/>
      <c r="F596" s="54"/>
      <c r="G596" s="141"/>
      <c r="H596" s="141"/>
      <c r="I596" s="54"/>
      <c r="J596" s="54"/>
      <c r="K596" s="63"/>
      <c r="L596" s="54"/>
      <c r="M596" s="54"/>
    </row>
    <row r="597">
      <c r="A597" s="54"/>
      <c r="B597" s="140"/>
      <c r="C597" s="140"/>
      <c r="D597" s="54"/>
      <c r="E597" s="54"/>
      <c r="F597" s="54"/>
      <c r="G597" s="141"/>
      <c r="H597" s="141"/>
      <c r="I597" s="54"/>
      <c r="J597" s="54"/>
      <c r="K597" s="63"/>
      <c r="L597" s="54"/>
      <c r="M597" s="54"/>
    </row>
    <row r="598">
      <c r="A598" s="54"/>
      <c r="B598" s="140"/>
      <c r="C598" s="140"/>
      <c r="D598" s="54"/>
      <c r="E598" s="54"/>
      <c r="F598" s="54"/>
      <c r="G598" s="141"/>
      <c r="H598" s="141"/>
      <c r="I598" s="54"/>
      <c r="J598" s="54"/>
      <c r="K598" s="63"/>
      <c r="L598" s="54"/>
      <c r="M598" s="54"/>
    </row>
    <row r="599">
      <c r="A599" s="54"/>
      <c r="B599" s="140"/>
      <c r="C599" s="140"/>
      <c r="D599" s="54"/>
      <c r="E599" s="54"/>
      <c r="F599" s="54"/>
      <c r="G599" s="141"/>
      <c r="H599" s="141"/>
      <c r="I599" s="54"/>
      <c r="J599" s="54"/>
      <c r="K599" s="63"/>
      <c r="L599" s="54"/>
      <c r="M599" s="54"/>
    </row>
    <row r="600">
      <c r="A600" s="54"/>
      <c r="B600" s="140"/>
      <c r="C600" s="140"/>
      <c r="D600" s="54"/>
      <c r="E600" s="54"/>
      <c r="F600" s="54"/>
      <c r="G600" s="141"/>
      <c r="H600" s="141"/>
      <c r="I600" s="54"/>
      <c r="J600" s="54"/>
      <c r="K600" s="63"/>
      <c r="L600" s="54"/>
      <c r="M600" s="54"/>
    </row>
    <row r="601">
      <c r="A601" s="54"/>
      <c r="B601" s="140"/>
      <c r="C601" s="140"/>
      <c r="D601" s="54"/>
      <c r="E601" s="54"/>
      <c r="F601" s="54"/>
      <c r="G601" s="141"/>
      <c r="H601" s="141"/>
      <c r="I601" s="54"/>
      <c r="J601" s="54"/>
      <c r="K601" s="63"/>
      <c r="L601" s="54"/>
      <c r="M601" s="54"/>
    </row>
    <row r="602">
      <c r="A602" s="54"/>
      <c r="B602" s="140"/>
      <c r="C602" s="140"/>
      <c r="D602" s="54"/>
      <c r="E602" s="54"/>
      <c r="F602" s="54"/>
      <c r="G602" s="141"/>
      <c r="H602" s="141"/>
      <c r="I602" s="54"/>
      <c r="J602" s="54"/>
      <c r="K602" s="63"/>
      <c r="L602" s="54"/>
      <c r="M602" s="54"/>
    </row>
    <row r="603">
      <c r="A603" s="54"/>
      <c r="B603" s="140"/>
      <c r="C603" s="140"/>
      <c r="D603" s="54"/>
      <c r="E603" s="54"/>
      <c r="F603" s="54"/>
      <c r="G603" s="141"/>
      <c r="H603" s="141"/>
      <c r="I603" s="54"/>
      <c r="J603" s="54"/>
      <c r="K603" s="63"/>
      <c r="L603" s="54"/>
      <c r="M603" s="54"/>
    </row>
    <row r="604">
      <c r="A604" s="54"/>
      <c r="B604" s="140"/>
      <c r="C604" s="140"/>
      <c r="D604" s="54"/>
      <c r="E604" s="54"/>
      <c r="F604" s="54"/>
      <c r="G604" s="141"/>
      <c r="H604" s="141"/>
      <c r="I604" s="54"/>
      <c r="J604" s="54"/>
      <c r="K604" s="63"/>
      <c r="L604" s="54"/>
      <c r="M604" s="54"/>
    </row>
    <row r="605">
      <c r="A605" s="54"/>
      <c r="B605" s="140"/>
      <c r="C605" s="140"/>
      <c r="D605" s="54"/>
      <c r="E605" s="54"/>
      <c r="F605" s="54"/>
      <c r="G605" s="141"/>
      <c r="H605" s="141"/>
      <c r="I605" s="54"/>
      <c r="J605" s="54"/>
      <c r="K605" s="63"/>
      <c r="L605" s="54"/>
      <c r="M605" s="54"/>
    </row>
    <row r="606">
      <c r="A606" s="54"/>
      <c r="B606" s="140"/>
      <c r="C606" s="140"/>
      <c r="D606" s="54"/>
      <c r="E606" s="54"/>
      <c r="F606" s="54"/>
      <c r="G606" s="141"/>
      <c r="H606" s="141"/>
      <c r="I606" s="54"/>
      <c r="J606" s="54"/>
      <c r="K606" s="63"/>
      <c r="L606" s="54"/>
      <c r="M606" s="54"/>
    </row>
    <row r="607">
      <c r="A607" s="54"/>
      <c r="B607" s="140"/>
      <c r="C607" s="140"/>
      <c r="D607" s="54"/>
      <c r="E607" s="54"/>
      <c r="F607" s="54"/>
      <c r="G607" s="141"/>
      <c r="H607" s="141"/>
      <c r="I607" s="54"/>
      <c r="J607" s="54"/>
      <c r="K607" s="63"/>
      <c r="L607" s="54"/>
      <c r="M607" s="54"/>
    </row>
    <row r="608">
      <c r="A608" s="54"/>
      <c r="B608" s="140"/>
      <c r="C608" s="140"/>
      <c r="D608" s="54"/>
      <c r="E608" s="54"/>
      <c r="F608" s="54"/>
      <c r="G608" s="141"/>
      <c r="H608" s="141"/>
      <c r="I608" s="54"/>
      <c r="J608" s="54"/>
      <c r="K608" s="63"/>
      <c r="L608" s="54"/>
      <c r="M608" s="54"/>
    </row>
    <row r="609">
      <c r="A609" s="54"/>
      <c r="B609" s="140"/>
      <c r="C609" s="140"/>
      <c r="D609" s="54"/>
      <c r="E609" s="54"/>
      <c r="F609" s="54"/>
      <c r="G609" s="141"/>
      <c r="H609" s="141"/>
      <c r="I609" s="54"/>
      <c r="J609" s="54"/>
      <c r="K609" s="63"/>
      <c r="L609" s="54"/>
      <c r="M609" s="54"/>
    </row>
    <row r="610">
      <c r="A610" s="54"/>
      <c r="B610" s="140"/>
      <c r="C610" s="140"/>
      <c r="D610" s="54"/>
      <c r="E610" s="54"/>
      <c r="F610" s="54"/>
      <c r="G610" s="141"/>
      <c r="H610" s="141"/>
      <c r="I610" s="54"/>
      <c r="J610" s="54"/>
      <c r="K610" s="63"/>
      <c r="L610" s="54"/>
      <c r="M610" s="54"/>
    </row>
    <row r="611">
      <c r="A611" s="54"/>
      <c r="B611" s="140"/>
      <c r="C611" s="140"/>
      <c r="D611" s="54"/>
      <c r="E611" s="54"/>
      <c r="F611" s="54"/>
      <c r="G611" s="141"/>
      <c r="H611" s="141"/>
      <c r="I611" s="54"/>
      <c r="J611" s="54"/>
      <c r="K611" s="63"/>
      <c r="L611" s="54"/>
      <c r="M611" s="54"/>
    </row>
    <row r="612">
      <c r="A612" s="54"/>
      <c r="B612" s="140"/>
      <c r="C612" s="140"/>
      <c r="D612" s="54"/>
      <c r="E612" s="54"/>
      <c r="F612" s="54"/>
      <c r="G612" s="141"/>
      <c r="H612" s="141"/>
      <c r="I612" s="54"/>
      <c r="J612" s="54"/>
      <c r="K612" s="63"/>
      <c r="L612" s="54"/>
      <c r="M612" s="54"/>
    </row>
    <row r="613">
      <c r="A613" s="54"/>
      <c r="B613" s="140"/>
      <c r="C613" s="140"/>
      <c r="D613" s="54"/>
      <c r="E613" s="54"/>
      <c r="F613" s="54"/>
      <c r="G613" s="141"/>
      <c r="H613" s="141"/>
      <c r="I613" s="54"/>
      <c r="J613" s="54"/>
      <c r="K613" s="63"/>
      <c r="L613" s="54"/>
      <c r="M613" s="54"/>
    </row>
    <row r="614">
      <c r="A614" s="54"/>
      <c r="B614" s="140"/>
      <c r="C614" s="140"/>
      <c r="D614" s="54"/>
      <c r="E614" s="54"/>
      <c r="F614" s="54"/>
      <c r="G614" s="141"/>
      <c r="H614" s="141"/>
      <c r="I614" s="54"/>
      <c r="J614" s="54"/>
      <c r="K614" s="63"/>
      <c r="L614" s="54"/>
      <c r="M614" s="54"/>
    </row>
    <row r="615">
      <c r="A615" s="54"/>
      <c r="B615" s="140"/>
      <c r="C615" s="140"/>
      <c r="D615" s="54"/>
      <c r="E615" s="54"/>
      <c r="F615" s="54"/>
      <c r="G615" s="141"/>
      <c r="H615" s="141"/>
      <c r="I615" s="54"/>
      <c r="J615" s="54"/>
      <c r="K615" s="63"/>
      <c r="L615" s="54"/>
      <c r="M615" s="54"/>
    </row>
    <row r="616">
      <c r="A616" s="54"/>
      <c r="B616" s="140"/>
      <c r="C616" s="140"/>
      <c r="D616" s="54"/>
      <c r="E616" s="54"/>
      <c r="F616" s="54"/>
      <c r="G616" s="141"/>
      <c r="H616" s="141"/>
      <c r="I616" s="54"/>
      <c r="J616" s="54"/>
      <c r="K616" s="63"/>
      <c r="L616" s="54"/>
      <c r="M616" s="54"/>
    </row>
    <row r="617">
      <c r="A617" s="54"/>
      <c r="B617" s="140"/>
      <c r="C617" s="140"/>
      <c r="D617" s="54"/>
      <c r="E617" s="54"/>
      <c r="F617" s="54"/>
      <c r="G617" s="141"/>
      <c r="H617" s="141"/>
      <c r="I617" s="54"/>
      <c r="J617" s="54"/>
      <c r="K617" s="63"/>
      <c r="L617" s="54"/>
      <c r="M617" s="54"/>
    </row>
    <row r="618">
      <c r="A618" s="54"/>
      <c r="B618" s="140"/>
      <c r="C618" s="140"/>
      <c r="D618" s="54"/>
      <c r="E618" s="54"/>
      <c r="F618" s="54"/>
      <c r="G618" s="141"/>
      <c r="H618" s="141"/>
      <c r="I618" s="54"/>
      <c r="J618" s="54"/>
      <c r="K618" s="63"/>
      <c r="L618" s="54"/>
      <c r="M618" s="54"/>
    </row>
    <row r="619">
      <c r="A619" s="54"/>
      <c r="B619" s="140"/>
      <c r="C619" s="140"/>
      <c r="D619" s="54"/>
      <c r="E619" s="54"/>
      <c r="F619" s="54"/>
      <c r="G619" s="141"/>
      <c r="H619" s="141"/>
      <c r="I619" s="54"/>
      <c r="J619" s="54"/>
      <c r="K619" s="63"/>
      <c r="L619" s="54"/>
      <c r="M619" s="54"/>
    </row>
    <row r="620">
      <c r="A620" s="54"/>
      <c r="B620" s="140"/>
      <c r="C620" s="140"/>
      <c r="D620" s="54"/>
      <c r="E620" s="54"/>
      <c r="F620" s="54"/>
      <c r="G620" s="141"/>
      <c r="H620" s="141"/>
      <c r="I620" s="54"/>
      <c r="J620" s="54"/>
      <c r="K620" s="63"/>
      <c r="L620" s="54"/>
      <c r="M620" s="54"/>
    </row>
    <row r="621">
      <c r="A621" s="54"/>
      <c r="B621" s="140"/>
      <c r="C621" s="140"/>
      <c r="D621" s="54"/>
      <c r="E621" s="54"/>
      <c r="F621" s="54"/>
      <c r="G621" s="141"/>
      <c r="H621" s="141"/>
      <c r="I621" s="54"/>
      <c r="J621" s="54"/>
      <c r="K621" s="63"/>
      <c r="L621" s="54"/>
      <c r="M621" s="54"/>
    </row>
    <row r="622">
      <c r="A622" s="54"/>
      <c r="B622" s="140"/>
      <c r="C622" s="140"/>
      <c r="D622" s="54"/>
      <c r="E622" s="54"/>
      <c r="F622" s="54"/>
      <c r="G622" s="141"/>
      <c r="H622" s="141"/>
      <c r="I622" s="54"/>
      <c r="J622" s="54"/>
      <c r="K622" s="63"/>
      <c r="L622" s="54"/>
      <c r="M622" s="54"/>
    </row>
    <row r="623">
      <c r="A623" s="54"/>
      <c r="B623" s="140"/>
      <c r="C623" s="140"/>
      <c r="D623" s="54"/>
      <c r="E623" s="54"/>
      <c r="F623" s="54"/>
      <c r="G623" s="141"/>
      <c r="H623" s="141"/>
      <c r="I623" s="54"/>
      <c r="J623" s="54"/>
      <c r="K623" s="63"/>
      <c r="L623" s="54"/>
      <c r="M623" s="54"/>
    </row>
    <row r="624">
      <c r="A624" s="54"/>
      <c r="B624" s="140"/>
      <c r="C624" s="140"/>
      <c r="D624" s="54"/>
      <c r="E624" s="54"/>
      <c r="F624" s="54"/>
      <c r="G624" s="141"/>
      <c r="H624" s="141"/>
      <c r="I624" s="54"/>
      <c r="J624" s="54"/>
      <c r="K624" s="63"/>
      <c r="L624" s="54"/>
      <c r="M624" s="54"/>
    </row>
    <row r="625">
      <c r="A625" s="54"/>
      <c r="B625" s="140"/>
      <c r="C625" s="140"/>
      <c r="D625" s="54"/>
      <c r="E625" s="54"/>
      <c r="F625" s="54"/>
      <c r="G625" s="141"/>
      <c r="H625" s="141"/>
      <c r="I625" s="54"/>
      <c r="J625" s="54"/>
      <c r="K625" s="63"/>
      <c r="L625" s="54"/>
      <c r="M625" s="54"/>
    </row>
    <row r="626">
      <c r="A626" s="54"/>
      <c r="B626" s="140"/>
      <c r="C626" s="140"/>
      <c r="D626" s="54"/>
      <c r="E626" s="54"/>
      <c r="F626" s="54"/>
      <c r="G626" s="141"/>
      <c r="H626" s="141"/>
      <c r="I626" s="54"/>
      <c r="J626" s="54"/>
      <c r="K626" s="63"/>
      <c r="L626" s="54"/>
      <c r="M626" s="54"/>
    </row>
    <row r="627">
      <c r="A627" s="54"/>
      <c r="B627" s="140"/>
      <c r="C627" s="140"/>
      <c r="D627" s="54"/>
      <c r="E627" s="54"/>
      <c r="F627" s="54"/>
      <c r="G627" s="141"/>
      <c r="H627" s="141"/>
      <c r="I627" s="54"/>
      <c r="J627" s="54"/>
      <c r="K627" s="63"/>
      <c r="L627" s="54"/>
      <c r="M627" s="54"/>
    </row>
    <row r="628">
      <c r="A628" s="54"/>
      <c r="B628" s="140"/>
      <c r="C628" s="140"/>
      <c r="D628" s="54"/>
      <c r="E628" s="54"/>
      <c r="F628" s="54"/>
      <c r="G628" s="141"/>
      <c r="H628" s="141"/>
      <c r="I628" s="54"/>
      <c r="J628" s="54"/>
      <c r="K628" s="63"/>
      <c r="L628" s="54"/>
      <c r="M628" s="54"/>
    </row>
    <row r="629">
      <c r="A629" s="54"/>
      <c r="B629" s="140"/>
      <c r="C629" s="140"/>
      <c r="D629" s="54"/>
      <c r="E629" s="54"/>
      <c r="F629" s="54"/>
      <c r="G629" s="141"/>
      <c r="H629" s="141"/>
      <c r="I629" s="54"/>
      <c r="J629" s="54"/>
      <c r="K629" s="63"/>
      <c r="L629" s="54"/>
      <c r="M629" s="54"/>
    </row>
    <row r="630">
      <c r="A630" s="54"/>
      <c r="B630" s="140"/>
      <c r="C630" s="140"/>
      <c r="D630" s="54"/>
      <c r="E630" s="54"/>
      <c r="F630" s="54"/>
      <c r="G630" s="141"/>
      <c r="H630" s="141"/>
      <c r="I630" s="54"/>
      <c r="J630" s="54"/>
      <c r="K630" s="63"/>
      <c r="L630" s="54"/>
      <c r="M630" s="54"/>
    </row>
    <row r="631">
      <c r="A631" s="54"/>
      <c r="B631" s="140"/>
      <c r="C631" s="140"/>
      <c r="D631" s="54"/>
      <c r="E631" s="54"/>
      <c r="F631" s="54"/>
      <c r="G631" s="141"/>
      <c r="H631" s="141"/>
      <c r="I631" s="54"/>
      <c r="J631" s="54"/>
      <c r="K631" s="63"/>
      <c r="L631" s="54"/>
      <c r="M631" s="54"/>
    </row>
    <row r="632">
      <c r="A632" s="54"/>
      <c r="B632" s="140"/>
      <c r="C632" s="140"/>
      <c r="D632" s="54"/>
      <c r="E632" s="54"/>
      <c r="F632" s="54"/>
      <c r="G632" s="141"/>
      <c r="H632" s="141"/>
      <c r="I632" s="54"/>
      <c r="J632" s="54"/>
      <c r="K632" s="63"/>
      <c r="L632" s="54"/>
      <c r="M632" s="54"/>
    </row>
    <row r="633">
      <c r="A633" s="54"/>
      <c r="B633" s="140"/>
      <c r="C633" s="140"/>
      <c r="D633" s="54"/>
      <c r="E633" s="54"/>
      <c r="F633" s="54"/>
      <c r="G633" s="141"/>
      <c r="H633" s="141"/>
      <c r="I633" s="54"/>
      <c r="J633" s="54"/>
      <c r="K633" s="63"/>
      <c r="L633" s="54"/>
      <c r="M633" s="54"/>
    </row>
    <row r="634">
      <c r="A634" s="54"/>
      <c r="B634" s="140"/>
      <c r="C634" s="140"/>
      <c r="D634" s="54"/>
      <c r="E634" s="54"/>
      <c r="F634" s="54"/>
      <c r="G634" s="141"/>
      <c r="H634" s="141"/>
      <c r="I634" s="54"/>
      <c r="J634" s="54"/>
      <c r="K634" s="63"/>
      <c r="L634" s="54"/>
      <c r="M634" s="54"/>
    </row>
    <row r="635">
      <c r="A635" s="54"/>
      <c r="B635" s="140"/>
      <c r="C635" s="140"/>
      <c r="D635" s="54"/>
      <c r="E635" s="54"/>
      <c r="F635" s="54"/>
      <c r="G635" s="141"/>
      <c r="H635" s="141"/>
      <c r="I635" s="54"/>
      <c r="J635" s="54"/>
      <c r="K635" s="63"/>
      <c r="L635" s="54"/>
      <c r="M635" s="54"/>
    </row>
    <row r="636">
      <c r="A636" s="54"/>
      <c r="B636" s="140"/>
      <c r="C636" s="140"/>
      <c r="D636" s="54"/>
      <c r="E636" s="54"/>
      <c r="F636" s="54"/>
      <c r="G636" s="141"/>
      <c r="H636" s="141"/>
      <c r="I636" s="54"/>
      <c r="J636" s="54"/>
      <c r="K636" s="63"/>
      <c r="L636" s="54"/>
      <c r="M636" s="54"/>
    </row>
    <row r="637">
      <c r="A637" s="54"/>
      <c r="B637" s="140"/>
      <c r="C637" s="140"/>
      <c r="D637" s="54"/>
      <c r="E637" s="54"/>
      <c r="F637" s="54"/>
      <c r="G637" s="141"/>
      <c r="H637" s="141"/>
      <c r="I637" s="54"/>
      <c r="J637" s="54"/>
      <c r="K637" s="63"/>
      <c r="L637" s="54"/>
      <c r="M637" s="54"/>
    </row>
    <row r="638">
      <c r="A638" s="54"/>
      <c r="B638" s="140"/>
      <c r="C638" s="140"/>
      <c r="D638" s="54"/>
      <c r="E638" s="54"/>
      <c r="F638" s="54"/>
      <c r="G638" s="141"/>
      <c r="H638" s="141"/>
      <c r="I638" s="54"/>
      <c r="J638" s="54"/>
      <c r="K638" s="63"/>
      <c r="L638" s="54"/>
      <c r="M638" s="54"/>
    </row>
    <row r="639">
      <c r="A639" s="54"/>
      <c r="B639" s="140"/>
      <c r="C639" s="140"/>
      <c r="D639" s="54"/>
      <c r="E639" s="54"/>
      <c r="F639" s="54"/>
      <c r="G639" s="141"/>
      <c r="H639" s="141"/>
      <c r="I639" s="54"/>
      <c r="J639" s="54"/>
      <c r="K639" s="63"/>
      <c r="L639" s="54"/>
      <c r="M639" s="54"/>
    </row>
    <row r="640">
      <c r="A640" s="54"/>
      <c r="B640" s="140"/>
      <c r="C640" s="140"/>
      <c r="D640" s="54"/>
      <c r="E640" s="54"/>
      <c r="F640" s="54"/>
      <c r="G640" s="141"/>
      <c r="H640" s="141"/>
      <c r="I640" s="54"/>
      <c r="J640" s="54"/>
      <c r="K640" s="63"/>
      <c r="L640" s="54"/>
      <c r="M640" s="54"/>
    </row>
    <row r="641">
      <c r="A641" s="54"/>
      <c r="B641" s="140"/>
      <c r="C641" s="140"/>
      <c r="D641" s="54"/>
      <c r="E641" s="54"/>
      <c r="F641" s="54"/>
      <c r="G641" s="141"/>
      <c r="H641" s="141"/>
      <c r="I641" s="54"/>
      <c r="J641" s="54"/>
      <c r="K641" s="63"/>
      <c r="L641" s="54"/>
      <c r="M641" s="54"/>
    </row>
    <row r="642">
      <c r="A642" s="54"/>
      <c r="B642" s="140"/>
      <c r="C642" s="140"/>
      <c r="D642" s="54"/>
      <c r="E642" s="54"/>
      <c r="F642" s="54"/>
      <c r="G642" s="141"/>
      <c r="H642" s="141"/>
      <c r="I642" s="54"/>
      <c r="J642" s="54"/>
      <c r="K642" s="63"/>
      <c r="L642" s="54"/>
      <c r="M642" s="54"/>
    </row>
    <row r="643">
      <c r="A643" s="54"/>
      <c r="B643" s="140"/>
      <c r="C643" s="140"/>
      <c r="D643" s="54"/>
      <c r="E643" s="54"/>
      <c r="F643" s="54"/>
      <c r="G643" s="141"/>
      <c r="H643" s="141"/>
      <c r="I643" s="54"/>
      <c r="J643" s="54"/>
      <c r="K643" s="63"/>
      <c r="L643" s="54"/>
      <c r="M643" s="54"/>
    </row>
    <row r="644">
      <c r="A644" s="54"/>
      <c r="B644" s="140"/>
      <c r="C644" s="140"/>
      <c r="D644" s="54"/>
      <c r="E644" s="54"/>
      <c r="F644" s="54"/>
      <c r="G644" s="141"/>
      <c r="H644" s="141"/>
      <c r="I644" s="54"/>
      <c r="J644" s="54"/>
      <c r="K644" s="63"/>
      <c r="L644" s="54"/>
      <c r="M644" s="54"/>
    </row>
    <row r="645">
      <c r="A645" s="54"/>
      <c r="B645" s="140"/>
      <c r="C645" s="140"/>
      <c r="D645" s="54"/>
      <c r="E645" s="54"/>
      <c r="F645" s="54"/>
      <c r="G645" s="141"/>
      <c r="H645" s="141"/>
      <c r="I645" s="54"/>
      <c r="J645" s="54"/>
      <c r="K645" s="63"/>
      <c r="L645" s="54"/>
      <c r="M645" s="54"/>
    </row>
    <row r="646">
      <c r="A646" s="54"/>
      <c r="B646" s="140"/>
      <c r="C646" s="140"/>
      <c r="D646" s="54"/>
      <c r="E646" s="54"/>
      <c r="F646" s="54"/>
      <c r="G646" s="141"/>
      <c r="H646" s="141"/>
      <c r="I646" s="54"/>
      <c r="J646" s="54"/>
      <c r="K646" s="63"/>
      <c r="L646" s="54"/>
      <c r="M646" s="54"/>
    </row>
    <row r="647">
      <c r="A647" s="54"/>
      <c r="B647" s="140"/>
      <c r="C647" s="140"/>
      <c r="D647" s="54"/>
      <c r="E647" s="54"/>
      <c r="F647" s="54"/>
      <c r="G647" s="141"/>
      <c r="H647" s="141"/>
      <c r="I647" s="54"/>
      <c r="J647" s="54"/>
      <c r="K647" s="63"/>
      <c r="L647" s="54"/>
      <c r="M647" s="54"/>
    </row>
    <row r="648">
      <c r="A648" s="54"/>
      <c r="B648" s="140"/>
      <c r="C648" s="140"/>
      <c r="D648" s="54"/>
      <c r="E648" s="54"/>
      <c r="F648" s="54"/>
      <c r="G648" s="141"/>
      <c r="H648" s="141"/>
      <c r="I648" s="54"/>
      <c r="J648" s="54"/>
      <c r="K648" s="63"/>
      <c r="L648" s="54"/>
      <c r="M648" s="54"/>
    </row>
    <row r="649">
      <c r="A649" s="54"/>
      <c r="B649" s="140"/>
      <c r="C649" s="140"/>
      <c r="D649" s="54"/>
      <c r="E649" s="54"/>
      <c r="F649" s="54"/>
      <c r="G649" s="141"/>
      <c r="H649" s="141"/>
      <c r="I649" s="54"/>
      <c r="J649" s="54"/>
      <c r="K649" s="63"/>
      <c r="L649" s="54"/>
      <c r="M649" s="54"/>
    </row>
    <row r="650">
      <c r="A650" s="54"/>
      <c r="B650" s="140"/>
      <c r="C650" s="140"/>
      <c r="D650" s="54"/>
      <c r="E650" s="54"/>
      <c r="F650" s="54"/>
      <c r="G650" s="141"/>
      <c r="H650" s="141"/>
      <c r="I650" s="54"/>
      <c r="J650" s="54"/>
      <c r="K650" s="63"/>
      <c r="L650" s="54"/>
      <c r="M650" s="54"/>
    </row>
    <row r="651">
      <c r="A651" s="54"/>
      <c r="B651" s="140"/>
      <c r="C651" s="140"/>
      <c r="D651" s="54"/>
      <c r="E651" s="54"/>
      <c r="F651" s="54"/>
      <c r="G651" s="141"/>
      <c r="H651" s="141"/>
      <c r="I651" s="54"/>
      <c r="J651" s="54"/>
      <c r="K651" s="63"/>
      <c r="L651" s="54"/>
      <c r="M651" s="54"/>
    </row>
    <row r="652">
      <c r="A652" s="54"/>
      <c r="B652" s="140"/>
      <c r="C652" s="140"/>
      <c r="D652" s="54"/>
      <c r="E652" s="54"/>
      <c r="F652" s="54"/>
      <c r="G652" s="141"/>
      <c r="H652" s="141"/>
      <c r="I652" s="54"/>
      <c r="J652" s="54"/>
      <c r="K652" s="63"/>
      <c r="L652" s="54"/>
      <c r="M652" s="54"/>
    </row>
    <row r="653">
      <c r="A653" s="54"/>
      <c r="B653" s="140"/>
      <c r="C653" s="140"/>
      <c r="D653" s="54"/>
      <c r="E653" s="54"/>
      <c r="F653" s="54"/>
      <c r="G653" s="141"/>
      <c r="H653" s="141"/>
      <c r="I653" s="54"/>
      <c r="J653" s="54"/>
      <c r="K653" s="63"/>
      <c r="L653" s="54"/>
      <c r="M653" s="54"/>
    </row>
    <row r="654">
      <c r="A654" s="54"/>
      <c r="B654" s="140"/>
      <c r="C654" s="140"/>
      <c r="D654" s="54"/>
      <c r="E654" s="54"/>
      <c r="F654" s="54"/>
      <c r="G654" s="141"/>
      <c r="H654" s="141"/>
      <c r="I654" s="54"/>
      <c r="J654" s="54"/>
      <c r="K654" s="63"/>
      <c r="L654" s="54"/>
      <c r="M654" s="54"/>
    </row>
    <row r="655">
      <c r="A655" s="54"/>
      <c r="B655" s="140"/>
      <c r="C655" s="140"/>
      <c r="D655" s="54"/>
      <c r="E655" s="54"/>
      <c r="F655" s="54"/>
      <c r="G655" s="141"/>
      <c r="H655" s="141"/>
      <c r="I655" s="54"/>
      <c r="J655" s="54"/>
      <c r="K655" s="63"/>
      <c r="L655" s="54"/>
      <c r="M655" s="54"/>
    </row>
    <row r="656">
      <c r="A656" s="54"/>
      <c r="B656" s="140"/>
      <c r="C656" s="140"/>
      <c r="D656" s="54"/>
      <c r="E656" s="54"/>
      <c r="F656" s="54"/>
      <c r="G656" s="141"/>
      <c r="H656" s="141"/>
      <c r="I656" s="54"/>
      <c r="J656" s="54"/>
      <c r="K656" s="63"/>
      <c r="L656" s="54"/>
      <c r="M656" s="54"/>
    </row>
    <row r="657">
      <c r="A657" s="54"/>
      <c r="B657" s="140"/>
      <c r="C657" s="140"/>
      <c r="D657" s="54"/>
      <c r="E657" s="54"/>
      <c r="F657" s="54"/>
      <c r="G657" s="141"/>
      <c r="H657" s="141"/>
      <c r="I657" s="54"/>
      <c r="J657" s="54"/>
      <c r="K657" s="63"/>
      <c r="L657" s="54"/>
      <c r="M657" s="54"/>
    </row>
    <row r="658">
      <c r="A658" s="54"/>
      <c r="B658" s="140"/>
      <c r="C658" s="140"/>
      <c r="D658" s="54"/>
      <c r="E658" s="54"/>
      <c r="F658" s="54"/>
      <c r="G658" s="141"/>
      <c r="H658" s="141"/>
      <c r="I658" s="54"/>
      <c r="J658" s="54"/>
      <c r="K658" s="63"/>
      <c r="L658" s="54"/>
      <c r="M658" s="54"/>
    </row>
    <row r="659">
      <c r="A659" s="54"/>
      <c r="B659" s="140"/>
      <c r="C659" s="140"/>
      <c r="D659" s="54"/>
      <c r="E659" s="54"/>
      <c r="F659" s="54"/>
      <c r="G659" s="141"/>
      <c r="H659" s="141"/>
      <c r="I659" s="54"/>
      <c r="J659" s="54"/>
      <c r="K659" s="63"/>
      <c r="L659" s="54"/>
      <c r="M659" s="54"/>
    </row>
    <row r="660">
      <c r="A660" s="54"/>
      <c r="B660" s="140"/>
      <c r="C660" s="140"/>
      <c r="D660" s="54"/>
      <c r="E660" s="54"/>
      <c r="F660" s="54"/>
      <c r="G660" s="141"/>
      <c r="H660" s="141"/>
      <c r="I660" s="54"/>
      <c r="J660" s="54"/>
      <c r="K660" s="63"/>
      <c r="L660" s="54"/>
      <c r="M660" s="54"/>
    </row>
    <row r="661">
      <c r="A661" s="54"/>
      <c r="B661" s="140"/>
      <c r="C661" s="140"/>
      <c r="D661" s="54"/>
      <c r="E661" s="54"/>
      <c r="F661" s="54"/>
      <c r="G661" s="141"/>
      <c r="H661" s="141"/>
      <c r="I661" s="54"/>
      <c r="J661" s="54"/>
      <c r="K661" s="63"/>
      <c r="L661" s="54"/>
      <c r="M661" s="54"/>
    </row>
    <row r="662">
      <c r="A662" s="54"/>
      <c r="B662" s="140"/>
      <c r="C662" s="140"/>
      <c r="D662" s="54"/>
      <c r="E662" s="54"/>
      <c r="F662" s="54"/>
      <c r="G662" s="141"/>
      <c r="H662" s="141"/>
      <c r="I662" s="54"/>
      <c r="J662" s="54"/>
      <c r="K662" s="63"/>
      <c r="L662" s="54"/>
      <c r="M662" s="54"/>
    </row>
    <row r="663">
      <c r="A663" s="54"/>
      <c r="B663" s="140"/>
      <c r="C663" s="140"/>
      <c r="D663" s="54"/>
      <c r="E663" s="54"/>
      <c r="F663" s="54"/>
      <c r="G663" s="141"/>
      <c r="H663" s="141"/>
      <c r="I663" s="54"/>
      <c r="J663" s="54"/>
      <c r="K663" s="63"/>
      <c r="L663" s="54"/>
      <c r="M663" s="54"/>
    </row>
    <row r="664">
      <c r="A664" s="54"/>
      <c r="B664" s="140"/>
      <c r="C664" s="140"/>
      <c r="D664" s="54"/>
      <c r="E664" s="54"/>
      <c r="F664" s="54"/>
      <c r="G664" s="141"/>
      <c r="H664" s="141"/>
      <c r="I664" s="54"/>
      <c r="J664" s="54"/>
      <c r="K664" s="63"/>
      <c r="L664" s="54"/>
      <c r="M664" s="54"/>
    </row>
    <row r="665">
      <c r="A665" s="54"/>
      <c r="B665" s="140"/>
      <c r="C665" s="140"/>
      <c r="D665" s="54"/>
      <c r="E665" s="54"/>
      <c r="F665" s="54"/>
      <c r="G665" s="141"/>
      <c r="H665" s="141"/>
      <c r="I665" s="54"/>
      <c r="J665" s="54"/>
      <c r="K665" s="63"/>
      <c r="L665" s="54"/>
      <c r="M665" s="54"/>
    </row>
    <row r="666">
      <c r="A666" s="54"/>
      <c r="B666" s="140"/>
      <c r="C666" s="140"/>
      <c r="D666" s="54"/>
      <c r="E666" s="54"/>
      <c r="F666" s="54"/>
      <c r="G666" s="141"/>
      <c r="H666" s="141"/>
      <c r="I666" s="54"/>
      <c r="J666" s="54"/>
      <c r="K666" s="63"/>
      <c r="L666" s="54"/>
      <c r="M666" s="54"/>
    </row>
    <row r="667">
      <c r="A667" s="54"/>
      <c r="B667" s="140"/>
      <c r="C667" s="140"/>
      <c r="D667" s="54"/>
      <c r="E667" s="54"/>
      <c r="F667" s="54"/>
      <c r="G667" s="141"/>
      <c r="H667" s="141"/>
      <c r="I667" s="54"/>
      <c r="J667" s="54"/>
      <c r="K667" s="63"/>
      <c r="L667" s="54"/>
      <c r="M667" s="54"/>
    </row>
    <row r="668">
      <c r="A668" s="54"/>
      <c r="B668" s="140"/>
      <c r="C668" s="140"/>
      <c r="D668" s="54"/>
      <c r="E668" s="54"/>
      <c r="F668" s="54"/>
      <c r="G668" s="141"/>
      <c r="H668" s="141"/>
      <c r="I668" s="54"/>
      <c r="J668" s="54"/>
      <c r="K668" s="63"/>
      <c r="L668" s="54"/>
      <c r="M668" s="54"/>
    </row>
    <row r="669">
      <c r="A669" s="54"/>
      <c r="B669" s="140"/>
      <c r="C669" s="140"/>
      <c r="D669" s="54"/>
      <c r="E669" s="54"/>
      <c r="F669" s="54"/>
      <c r="G669" s="141"/>
      <c r="H669" s="141"/>
      <c r="I669" s="54"/>
      <c r="J669" s="54"/>
      <c r="K669" s="63"/>
      <c r="L669" s="54"/>
      <c r="M669" s="54"/>
    </row>
    <row r="670">
      <c r="A670" s="54"/>
      <c r="B670" s="140"/>
      <c r="C670" s="140"/>
      <c r="D670" s="54"/>
      <c r="E670" s="54"/>
      <c r="F670" s="54"/>
      <c r="G670" s="141"/>
      <c r="H670" s="141"/>
      <c r="I670" s="54"/>
      <c r="J670" s="54"/>
      <c r="K670" s="63"/>
      <c r="L670" s="54"/>
      <c r="M670" s="54"/>
    </row>
    <row r="671">
      <c r="A671" s="54"/>
      <c r="B671" s="140"/>
      <c r="C671" s="140"/>
      <c r="D671" s="54"/>
      <c r="E671" s="54"/>
      <c r="F671" s="54"/>
      <c r="G671" s="141"/>
      <c r="H671" s="141"/>
      <c r="I671" s="54"/>
      <c r="J671" s="54"/>
      <c r="K671" s="63"/>
      <c r="L671" s="54"/>
      <c r="M671" s="54"/>
    </row>
    <row r="672">
      <c r="A672" s="54"/>
      <c r="B672" s="140"/>
      <c r="C672" s="140"/>
      <c r="D672" s="54"/>
      <c r="E672" s="54"/>
      <c r="F672" s="54"/>
      <c r="G672" s="141"/>
      <c r="H672" s="141"/>
      <c r="I672" s="54"/>
      <c r="J672" s="54"/>
      <c r="K672" s="63"/>
      <c r="L672" s="54"/>
      <c r="M672" s="54"/>
    </row>
    <row r="673">
      <c r="A673" s="54"/>
      <c r="B673" s="140"/>
      <c r="C673" s="140"/>
      <c r="D673" s="54"/>
      <c r="E673" s="54"/>
      <c r="F673" s="54"/>
      <c r="G673" s="141"/>
      <c r="H673" s="141"/>
      <c r="I673" s="54"/>
      <c r="J673" s="54"/>
      <c r="K673" s="63"/>
      <c r="L673" s="54"/>
      <c r="M673" s="54"/>
    </row>
    <row r="674">
      <c r="A674" s="54"/>
      <c r="B674" s="140"/>
      <c r="C674" s="140"/>
      <c r="D674" s="54"/>
      <c r="E674" s="54"/>
      <c r="F674" s="54"/>
      <c r="G674" s="141"/>
      <c r="H674" s="141"/>
      <c r="I674" s="54"/>
      <c r="J674" s="54"/>
      <c r="K674" s="63"/>
      <c r="L674" s="54"/>
      <c r="M674" s="54"/>
    </row>
    <row r="675">
      <c r="A675" s="54"/>
      <c r="B675" s="140"/>
      <c r="C675" s="140"/>
      <c r="D675" s="54"/>
      <c r="E675" s="54"/>
      <c r="F675" s="54"/>
      <c r="G675" s="141"/>
      <c r="H675" s="141"/>
      <c r="I675" s="54"/>
      <c r="J675" s="54"/>
      <c r="K675" s="63"/>
      <c r="L675" s="54"/>
      <c r="M675" s="54"/>
    </row>
    <row r="676">
      <c r="A676" s="54"/>
      <c r="B676" s="140"/>
      <c r="C676" s="140"/>
      <c r="D676" s="54"/>
      <c r="E676" s="54"/>
      <c r="F676" s="54"/>
      <c r="G676" s="141"/>
      <c r="H676" s="141"/>
      <c r="I676" s="54"/>
      <c r="J676" s="54"/>
      <c r="K676" s="63"/>
      <c r="L676" s="54"/>
      <c r="M676" s="54"/>
    </row>
    <row r="677">
      <c r="A677" s="54"/>
      <c r="B677" s="140"/>
      <c r="C677" s="140"/>
      <c r="D677" s="54"/>
      <c r="E677" s="54"/>
      <c r="F677" s="54"/>
      <c r="G677" s="141"/>
      <c r="H677" s="141"/>
      <c r="I677" s="54"/>
      <c r="J677" s="54"/>
      <c r="K677" s="63"/>
      <c r="L677" s="54"/>
      <c r="M677" s="54"/>
    </row>
    <row r="678">
      <c r="A678" s="54"/>
      <c r="B678" s="140"/>
      <c r="C678" s="140"/>
      <c r="D678" s="54"/>
      <c r="E678" s="54"/>
      <c r="F678" s="54"/>
      <c r="G678" s="141"/>
      <c r="H678" s="141"/>
      <c r="I678" s="54"/>
      <c r="J678" s="54"/>
      <c r="K678" s="63"/>
      <c r="L678" s="54"/>
      <c r="M678" s="54"/>
    </row>
    <row r="679">
      <c r="A679" s="54"/>
      <c r="B679" s="140"/>
      <c r="C679" s="140"/>
      <c r="D679" s="54"/>
      <c r="E679" s="54"/>
      <c r="F679" s="54"/>
      <c r="G679" s="141"/>
      <c r="H679" s="141"/>
      <c r="I679" s="54"/>
      <c r="J679" s="54"/>
      <c r="K679" s="63"/>
      <c r="L679" s="54"/>
      <c r="M679" s="54"/>
    </row>
    <row r="680">
      <c r="A680" s="54"/>
      <c r="B680" s="140"/>
      <c r="C680" s="140"/>
      <c r="D680" s="54"/>
      <c r="E680" s="54"/>
      <c r="F680" s="54"/>
      <c r="G680" s="141"/>
      <c r="H680" s="141"/>
      <c r="I680" s="54"/>
      <c r="J680" s="54"/>
      <c r="K680" s="63"/>
      <c r="L680" s="54"/>
      <c r="M680" s="54"/>
    </row>
    <row r="681">
      <c r="A681" s="54"/>
      <c r="B681" s="140"/>
      <c r="C681" s="140"/>
      <c r="D681" s="54"/>
      <c r="E681" s="54"/>
      <c r="F681" s="54"/>
      <c r="G681" s="141"/>
      <c r="H681" s="141"/>
      <c r="I681" s="54"/>
      <c r="J681" s="54"/>
      <c r="K681" s="63"/>
      <c r="L681" s="54"/>
      <c r="M681" s="54"/>
    </row>
    <row r="682">
      <c r="A682" s="54"/>
      <c r="B682" s="140"/>
      <c r="C682" s="140"/>
      <c r="D682" s="54"/>
      <c r="E682" s="54"/>
      <c r="F682" s="54"/>
      <c r="G682" s="141"/>
      <c r="H682" s="141"/>
      <c r="I682" s="54"/>
      <c r="J682" s="54"/>
      <c r="K682" s="63"/>
      <c r="L682" s="54"/>
      <c r="M682" s="54"/>
    </row>
    <row r="683">
      <c r="A683" s="54"/>
      <c r="B683" s="140"/>
      <c r="C683" s="140"/>
      <c r="D683" s="54"/>
      <c r="E683" s="54"/>
      <c r="F683" s="54"/>
      <c r="G683" s="141"/>
      <c r="H683" s="141"/>
      <c r="I683" s="54"/>
      <c r="J683" s="54"/>
      <c r="K683" s="63"/>
      <c r="L683" s="54"/>
      <c r="M683" s="54"/>
    </row>
    <row r="684">
      <c r="A684" s="54"/>
      <c r="B684" s="140"/>
      <c r="C684" s="140"/>
      <c r="D684" s="54"/>
      <c r="E684" s="54"/>
      <c r="F684" s="54"/>
      <c r="G684" s="141"/>
      <c r="H684" s="141"/>
      <c r="I684" s="54"/>
      <c r="J684" s="54"/>
      <c r="K684" s="63"/>
      <c r="L684" s="54"/>
      <c r="M684" s="54"/>
    </row>
    <row r="685">
      <c r="A685" s="54"/>
      <c r="B685" s="140"/>
      <c r="C685" s="140"/>
      <c r="D685" s="54"/>
      <c r="E685" s="54"/>
      <c r="F685" s="54"/>
      <c r="G685" s="141"/>
      <c r="H685" s="141"/>
      <c r="I685" s="54"/>
      <c r="J685" s="54"/>
      <c r="K685" s="63"/>
      <c r="L685" s="54"/>
      <c r="M685" s="54"/>
    </row>
    <row r="686">
      <c r="A686" s="54"/>
      <c r="B686" s="140"/>
      <c r="C686" s="140"/>
      <c r="D686" s="54"/>
      <c r="E686" s="54"/>
      <c r="F686" s="54"/>
      <c r="G686" s="141"/>
      <c r="H686" s="141"/>
      <c r="I686" s="54"/>
      <c r="J686" s="54"/>
      <c r="K686" s="63"/>
      <c r="L686" s="54"/>
      <c r="M686" s="54"/>
    </row>
    <row r="687">
      <c r="A687" s="54"/>
      <c r="B687" s="140"/>
      <c r="C687" s="140"/>
      <c r="D687" s="54"/>
      <c r="E687" s="54"/>
      <c r="F687" s="54"/>
      <c r="G687" s="141"/>
      <c r="H687" s="141"/>
      <c r="I687" s="54"/>
      <c r="J687" s="54"/>
      <c r="K687" s="63"/>
      <c r="L687" s="54"/>
      <c r="M687" s="54"/>
    </row>
    <row r="688">
      <c r="A688" s="54"/>
      <c r="B688" s="140"/>
      <c r="C688" s="140"/>
      <c r="D688" s="54"/>
      <c r="E688" s="54"/>
      <c r="F688" s="54"/>
      <c r="G688" s="141"/>
      <c r="H688" s="141"/>
      <c r="I688" s="54"/>
      <c r="J688" s="54"/>
      <c r="K688" s="63"/>
      <c r="L688" s="54"/>
      <c r="M688" s="54"/>
    </row>
    <row r="689">
      <c r="A689" s="54"/>
      <c r="B689" s="140"/>
      <c r="C689" s="140"/>
      <c r="D689" s="54"/>
      <c r="E689" s="54"/>
      <c r="F689" s="54"/>
      <c r="G689" s="141"/>
      <c r="H689" s="141"/>
      <c r="I689" s="54"/>
      <c r="J689" s="54"/>
      <c r="K689" s="63"/>
      <c r="L689" s="54"/>
      <c r="M689" s="54"/>
    </row>
    <row r="690">
      <c r="A690" s="54"/>
      <c r="B690" s="140"/>
      <c r="C690" s="140"/>
      <c r="D690" s="54"/>
      <c r="E690" s="54"/>
      <c r="F690" s="54"/>
      <c r="G690" s="141"/>
      <c r="H690" s="141"/>
      <c r="I690" s="54"/>
      <c r="J690" s="54"/>
      <c r="K690" s="63"/>
      <c r="L690" s="54"/>
      <c r="M690" s="54"/>
    </row>
    <row r="691">
      <c r="A691" s="54"/>
      <c r="B691" s="140"/>
      <c r="C691" s="140"/>
      <c r="D691" s="54"/>
      <c r="E691" s="54"/>
      <c r="F691" s="54"/>
      <c r="G691" s="141"/>
      <c r="H691" s="141"/>
      <c r="I691" s="54"/>
      <c r="J691" s="54"/>
      <c r="K691" s="63"/>
      <c r="L691" s="54"/>
      <c r="M691" s="54"/>
    </row>
    <row r="692">
      <c r="A692" s="54"/>
      <c r="B692" s="140"/>
      <c r="C692" s="140"/>
      <c r="D692" s="54"/>
      <c r="E692" s="54"/>
      <c r="F692" s="54"/>
      <c r="G692" s="141"/>
      <c r="H692" s="141"/>
      <c r="I692" s="54"/>
      <c r="J692" s="54"/>
      <c r="K692" s="63"/>
      <c r="L692" s="54"/>
      <c r="M692" s="54"/>
    </row>
    <row r="693">
      <c r="A693" s="54"/>
      <c r="B693" s="140"/>
      <c r="C693" s="140"/>
      <c r="D693" s="54"/>
      <c r="E693" s="54"/>
      <c r="F693" s="54"/>
      <c r="G693" s="141"/>
      <c r="H693" s="141"/>
      <c r="I693" s="54"/>
      <c r="J693" s="54"/>
      <c r="K693" s="63"/>
      <c r="L693" s="54"/>
      <c r="M693" s="54"/>
    </row>
    <row r="694">
      <c r="A694" s="54"/>
      <c r="B694" s="140"/>
      <c r="C694" s="140"/>
      <c r="D694" s="54"/>
      <c r="E694" s="54"/>
      <c r="F694" s="54"/>
      <c r="G694" s="141"/>
      <c r="H694" s="141"/>
      <c r="I694" s="54"/>
      <c r="J694" s="54"/>
      <c r="K694" s="63"/>
      <c r="L694" s="54"/>
      <c r="M694" s="54"/>
    </row>
    <row r="695">
      <c r="A695" s="54"/>
      <c r="B695" s="140"/>
      <c r="C695" s="140"/>
      <c r="D695" s="54"/>
      <c r="E695" s="54"/>
      <c r="F695" s="54"/>
      <c r="G695" s="141"/>
      <c r="H695" s="141"/>
      <c r="I695" s="54"/>
      <c r="J695" s="54"/>
      <c r="K695" s="63"/>
      <c r="L695" s="54"/>
      <c r="M695" s="54"/>
    </row>
    <row r="696">
      <c r="A696" s="54"/>
      <c r="B696" s="140"/>
      <c r="C696" s="140"/>
      <c r="D696" s="54"/>
      <c r="E696" s="54"/>
      <c r="F696" s="54"/>
      <c r="G696" s="141"/>
      <c r="H696" s="141"/>
      <c r="I696" s="54"/>
      <c r="J696" s="54"/>
      <c r="K696" s="63"/>
      <c r="L696" s="54"/>
      <c r="M696" s="54"/>
    </row>
    <row r="697">
      <c r="A697" s="54"/>
      <c r="B697" s="140"/>
      <c r="C697" s="140"/>
      <c r="D697" s="54"/>
      <c r="E697" s="54"/>
      <c r="F697" s="54"/>
      <c r="G697" s="141"/>
      <c r="H697" s="141"/>
      <c r="I697" s="54"/>
      <c r="J697" s="54"/>
      <c r="K697" s="63"/>
      <c r="L697" s="54"/>
      <c r="M697" s="54"/>
    </row>
    <row r="698">
      <c r="A698" s="54"/>
      <c r="B698" s="140"/>
      <c r="C698" s="140"/>
      <c r="D698" s="54"/>
      <c r="E698" s="54"/>
      <c r="F698" s="54"/>
      <c r="G698" s="141"/>
      <c r="H698" s="141"/>
      <c r="I698" s="54"/>
      <c r="J698" s="54"/>
      <c r="K698" s="63"/>
      <c r="L698" s="54"/>
      <c r="M698" s="54"/>
    </row>
    <row r="699">
      <c r="A699" s="54"/>
      <c r="B699" s="140"/>
      <c r="C699" s="140"/>
      <c r="D699" s="54"/>
      <c r="E699" s="54"/>
      <c r="F699" s="54"/>
      <c r="G699" s="141"/>
      <c r="H699" s="141"/>
      <c r="I699" s="54"/>
      <c r="J699" s="54"/>
      <c r="K699" s="63"/>
      <c r="L699" s="54"/>
      <c r="M699" s="54"/>
    </row>
    <row r="700">
      <c r="A700" s="54"/>
      <c r="B700" s="140"/>
      <c r="C700" s="140"/>
      <c r="D700" s="54"/>
      <c r="E700" s="54"/>
      <c r="F700" s="54"/>
      <c r="G700" s="141"/>
      <c r="H700" s="141"/>
      <c r="I700" s="54"/>
      <c r="J700" s="54"/>
      <c r="K700" s="63"/>
      <c r="L700" s="54"/>
      <c r="M700" s="54"/>
    </row>
    <row r="701">
      <c r="A701" s="54"/>
      <c r="B701" s="140"/>
      <c r="C701" s="140"/>
      <c r="D701" s="54"/>
      <c r="E701" s="54"/>
      <c r="F701" s="54"/>
      <c r="G701" s="141"/>
      <c r="H701" s="141"/>
      <c r="I701" s="54"/>
      <c r="J701" s="54"/>
      <c r="K701" s="63"/>
      <c r="L701" s="54"/>
      <c r="M701" s="54"/>
    </row>
    <row r="702">
      <c r="A702" s="54"/>
      <c r="B702" s="140"/>
      <c r="C702" s="140"/>
      <c r="D702" s="54"/>
      <c r="E702" s="54"/>
      <c r="F702" s="54"/>
      <c r="G702" s="141"/>
      <c r="H702" s="141"/>
      <c r="I702" s="54"/>
      <c r="J702" s="54"/>
      <c r="K702" s="63"/>
      <c r="L702" s="54"/>
      <c r="M702" s="54"/>
    </row>
    <row r="703">
      <c r="A703" s="54"/>
      <c r="B703" s="140"/>
      <c r="C703" s="140"/>
      <c r="D703" s="54"/>
      <c r="E703" s="54"/>
      <c r="F703" s="54"/>
      <c r="G703" s="141"/>
      <c r="H703" s="141"/>
      <c r="I703" s="54"/>
      <c r="J703" s="54"/>
      <c r="K703" s="63"/>
      <c r="L703" s="54"/>
      <c r="M703" s="54"/>
    </row>
    <row r="704">
      <c r="A704" s="54"/>
      <c r="B704" s="140"/>
      <c r="C704" s="140"/>
      <c r="D704" s="54"/>
      <c r="E704" s="54"/>
      <c r="F704" s="54"/>
      <c r="G704" s="141"/>
      <c r="H704" s="141"/>
      <c r="I704" s="54"/>
      <c r="J704" s="54"/>
      <c r="K704" s="63"/>
      <c r="L704" s="54"/>
      <c r="M704" s="54"/>
    </row>
    <row r="705">
      <c r="A705" s="54"/>
      <c r="B705" s="140"/>
      <c r="C705" s="140"/>
      <c r="D705" s="54"/>
      <c r="E705" s="54"/>
      <c r="F705" s="54"/>
      <c r="G705" s="141"/>
      <c r="H705" s="141"/>
      <c r="I705" s="54"/>
      <c r="J705" s="54"/>
      <c r="K705" s="63"/>
      <c r="L705" s="54"/>
      <c r="M705" s="54"/>
    </row>
    <row r="706">
      <c r="A706" s="54"/>
      <c r="B706" s="140"/>
      <c r="C706" s="140"/>
      <c r="D706" s="54"/>
      <c r="E706" s="54"/>
      <c r="F706" s="54"/>
      <c r="G706" s="141"/>
      <c r="H706" s="141"/>
      <c r="I706" s="54"/>
      <c r="J706" s="54"/>
      <c r="K706" s="63"/>
      <c r="L706" s="54"/>
      <c r="M706" s="54"/>
    </row>
    <row r="707">
      <c r="A707" s="54"/>
      <c r="B707" s="140"/>
      <c r="C707" s="140"/>
      <c r="D707" s="54"/>
      <c r="E707" s="54"/>
      <c r="F707" s="54"/>
      <c r="G707" s="141"/>
      <c r="H707" s="141"/>
      <c r="I707" s="54"/>
      <c r="J707" s="54"/>
      <c r="K707" s="63"/>
      <c r="L707" s="54"/>
      <c r="M707" s="54"/>
    </row>
    <row r="708">
      <c r="A708" s="54"/>
      <c r="B708" s="140"/>
      <c r="C708" s="140"/>
      <c r="D708" s="54"/>
      <c r="E708" s="54"/>
      <c r="F708" s="54"/>
      <c r="G708" s="141"/>
      <c r="H708" s="141"/>
      <c r="I708" s="54"/>
      <c r="J708" s="54"/>
      <c r="K708" s="63"/>
      <c r="L708" s="54"/>
      <c r="M708" s="54"/>
    </row>
    <row r="709">
      <c r="A709" s="54"/>
      <c r="B709" s="140"/>
      <c r="C709" s="140"/>
      <c r="D709" s="54"/>
      <c r="E709" s="54"/>
      <c r="F709" s="54"/>
      <c r="G709" s="141"/>
      <c r="H709" s="141"/>
      <c r="I709" s="54"/>
      <c r="J709" s="54"/>
      <c r="K709" s="63"/>
      <c r="L709" s="54"/>
      <c r="M709" s="54"/>
    </row>
    <row r="710">
      <c r="A710" s="54"/>
      <c r="B710" s="140"/>
      <c r="C710" s="140"/>
      <c r="D710" s="54"/>
      <c r="E710" s="54"/>
      <c r="F710" s="54"/>
      <c r="G710" s="141"/>
      <c r="H710" s="141"/>
      <c r="I710" s="54"/>
      <c r="J710" s="54"/>
      <c r="K710" s="63"/>
      <c r="L710" s="54"/>
      <c r="M710" s="54"/>
    </row>
    <row r="711">
      <c r="A711" s="54"/>
      <c r="B711" s="140"/>
      <c r="C711" s="140"/>
      <c r="D711" s="54"/>
      <c r="E711" s="54"/>
      <c r="F711" s="54"/>
      <c r="G711" s="141"/>
      <c r="H711" s="141"/>
      <c r="I711" s="54"/>
      <c r="J711" s="54"/>
      <c r="K711" s="63"/>
      <c r="L711" s="54"/>
      <c r="M711" s="54"/>
    </row>
    <row r="712">
      <c r="A712" s="54"/>
      <c r="B712" s="140"/>
      <c r="C712" s="140"/>
      <c r="D712" s="54"/>
      <c r="E712" s="54"/>
      <c r="F712" s="54"/>
      <c r="G712" s="141"/>
      <c r="H712" s="141"/>
      <c r="I712" s="54"/>
      <c r="J712" s="54"/>
      <c r="K712" s="63"/>
      <c r="L712" s="54"/>
      <c r="M712" s="54"/>
    </row>
    <row r="713">
      <c r="A713" s="54"/>
      <c r="B713" s="140"/>
      <c r="C713" s="140"/>
      <c r="D713" s="54"/>
      <c r="E713" s="54"/>
      <c r="F713" s="54"/>
      <c r="G713" s="141"/>
      <c r="H713" s="141"/>
      <c r="I713" s="54"/>
      <c r="J713" s="54"/>
      <c r="K713" s="63"/>
      <c r="L713" s="54"/>
      <c r="M713" s="54"/>
    </row>
    <row r="714">
      <c r="A714" s="54"/>
      <c r="B714" s="140"/>
      <c r="C714" s="140"/>
      <c r="D714" s="54"/>
      <c r="E714" s="54"/>
      <c r="F714" s="54"/>
      <c r="G714" s="141"/>
      <c r="H714" s="141"/>
      <c r="I714" s="54"/>
      <c r="J714" s="54"/>
      <c r="K714" s="63"/>
      <c r="L714" s="54"/>
      <c r="M714" s="54"/>
    </row>
    <row r="715">
      <c r="A715" s="54"/>
      <c r="B715" s="140"/>
      <c r="C715" s="140"/>
      <c r="D715" s="54"/>
      <c r="E715" s="54"/>
      <c r="F715" s="54"/>
      <c r="G715" s="141"/>
      <c r="H715" s="141"/>
      <c r="I715" s="54"/>
      <c r="J715" s="54"/>
      <c r="K715" s="63"/>
      <c r="L715" s="54"/>
      <c r="M715" s="54"/>
    </row>
    <row r="716">
      <c r="A716" s="54"/>
      <c r="B716" s="140"/>
      <c r="C716" s="140"/>
      <c r="D716" s="54"/>
      <c r="E716" s="54"/>
      <c r="F716" s="54"/>
      <c r="G716" s="141"/>
      <c r="H716" s="141"/>
      <c r="I716" s="54"/>
      <c r="J716" s="54"/>
      <c r="K716" s="63"/>
      <c r="L716" s="54"/>
      <c r="M716" s="54"/>
    </row>
    <row r="717">
      <c r="A717" s="54"/>
      <c r="B717" s="140"/>
      <c r="C717" s="140"/>
      <c r="D717" s="54"/>
      <c r="E717" s="54"/>
      <c r="F717" s="54"/>
      <c r="G717" s="141"/>
      <c r="H717" s="141"/>
      <c r="I717" s="54"/>
      <c r="J717" s="54"/>
      <c r="K717" s="63"/>
      <c r="L717" s="54"/>
      <c r="M717" s="54"/>
    </row>
    <row r="718">
      <c r="A718" s="54"/>
      <c r="B718" s="140"/>
      <c r="C718" s="140"/>
      <c r="D718" s="54"/>
      <c r="E718" s="54"/>
      <c r="F718" s="54"/>
      <c r="G718" s="141"/>
      <c r="H718" s="141"/>
      <c r="I718" s="54"/>
      <c r="J718" s="54"/>
      <c r="K718" s="63"/>
      <c r="L718" s="54"/>
      <c r="M718" s="54"/>
    </row>
    <row r="719">
      <c r="A719" s="54"/>
      <c r="B719" s="140"/>
      <c r="C719" s="140"/>
      <c r="D719" s="54"/>
      <c r="E719" s="54"/>
      <c r="F719" s="54"/>
      <c r="G719" s="141"/>
      <c r="H719" s="141"/>
      <c r="I719" s="54"/>
      <c r="J719" s="54"/>
      <c r="K719" s="63"/>
      <c r="L719" s="54"/>
      <c r="M719" s="54"/>
    </row>
    <row r="720">
      <c r="A720" s="54"/>
      <c r="B720" s="140"/>
      <c r="C720" s="140"/>
      <c r="D720" s="54"/>
      <c r="E720" s="54"/>
      <c r="F720" s="54"/>
      <c r="G720" s="141"/>
      <c r="H720" s="141"/>
      <c r="I720" s="54"/>
      <c r="J720" s="54"/>
      <c r="K720" s="63"/>
      <c r="L720" s="54"/>
      <c r="M720" s="54"/>
    </row>
    <row r="721">
      <c r="A721" s="54"/>
      <c r="B721" s="140"/>
      <c r="C721" s="140"/>
      <c r="D721" s="54"/>
      <c r="E721" s="54"/>
      <c r="F721" s="54"/>
      <c r="G721" s="141"/>
      <c r="H721" s="141"/>
      <c r="I721" s="54"/>
      <c r="J721" s="54"/>
      <c r="K721" s="63"/>
      <c r="L721" s="54"/>
      <c r="M721" s="54"/>
    </row>
    <row r="722">
      <c r="A722" s="54"/>
      <c r="B722" s="140"/>
      <c r="C722" s="140"/>
      <c r="D722" s="54"/>
      <c r="E722" s="54"/>
      <c r="F722" s="54"/>
      <c r="G722" s="141"/>
      <c r="H722" s="141"/>
      <c r="I722" s="54"/>
      <c r="J722" s="54"/>
      <c r="K722" s="63"/>
      <c r="L722" s="54"/>
      <c r="M722" s="54"/>
    </row>
    <row r="723">
      <c r="A723" s="54"/>
      <c r="B723" s="140"/>
      <c r="C723" s="140"/>
      <c r="D723" s="54"/>
      <c r="E723" s="54"/>
      <c r="F723" s="54"/>
      <c r="G723" s="141"/>
      <c r="H723" s="141"/>
      <c r="I723" s="54"/>
      <c r="J723" s="54"/>
      <c r="K723" s="63"/>
      <c r="L723" s="54"/>
      <c r="M723" s="54"/>
    </row>
    <row r="724">
      <c r="A724" s="54"/>
      <c r="B724" s="140"/>
      <c r="C724" s="140"/>
      <c r="D724" s="54"/>
      <c r="E724" s="54"/>
      <c r="F724" s="54"/>
      <c r="G724" s="141"/>
      <c r="H724" s="141"/>
      <c r="I724" s="54"/>
      <c r="J724" s="54"/>
      <c r="K724" s="63"/>
      <c r="L724" s="54"/>
      <c r="M724" s="54"/>
    </row>
    <row r="725">
      <c r="A725" s="54"/>
      <c r="B725" s="140"/>
      <c r="C725" s="140"/>
      <c r="D725" s="54"/>
      <c r="E725" s="54"/>
      <c r="F725" s="54"/>
      <c r="G725" s="141"/>
      <c r="H725" s="141"/>
      <c r="I725" s="54"/>
      <c r="J725" s="54"/>
      <c r="K725" s="63"/>
      <c r="L725" s="54"/>
      <c r="M725" s="54"/>
    </row>
    <row r="726">
      <c r="A726" s="54"/>
      <c r="B726" s="140"/>
      <c r="C726" s="140"/>
      <c r="D726" s="54"/>
      <c r="E726" s="54"/>
      <c r="F726" s="54"/>
      <c r="G726" s="141"/>
      <c r="H726" s="141"/>
      <c r="I726" s="54"/>
      <c r="J726" s="54"/>
      <c r="K726" s="63"/>
      <c r="L726" s="54"/>
      <c r="M726" s="54"/>
    </row>
    <row r="727">
      <c r="A727" s="54"/>
      <c r="B727" s="140"/>
      <c r="C727" s="140"/>
      <c r="D727" s="54"/>
      <c r="E727" s="54"/>
      <c r="F727" s="54"/>
      <c r="G727" s="141"/>
      <c r="H727" s="141"/>
      <c r="I727" s="54"/>
      <c r="J727" s="54"/>
      <c r="K727" s="63"/>
      <c r="L727" s="54"/>
      <c r="M727" s="54"/>
    </row>
    <row r="728">
      <c r="A728" s="54"/>
      <c r="B728" s="140"/>
      <c r="C728" s="140"/>
      <c r="D728" s="54"/>
      <c r="E728" s="54"/>
      <c r="F728" s="54"/>
      <c r="G728" s="141"/>
      <c r="H728" s="141"/>
      <c r="I728" s="54"/>
      <c r="J728" s="54"/>
      <c r="K728" s="63"/>
      <c r="L728" s="54"/>
      <c r="M728" s="54"/>
    </row>
    <row r="729">
      <c r="A729" s="54"/>
      <c r="B729" s="140"/>
      <c r="C729" s="140"/>
      <c r="D729" s="54"/>
      <c r="E729" s="54"/>
      <c r="F729" s="54"/>
      <c r="G729" s="141"/>
      <c r="H729" s="141"/>
      <c r="I729" s="54"/>
      <c r="J729" s="54"/>
      <c r="K729" s="63"/>
      <c r="L729" s="54"/>
      <c r="M729" s="54"/>
    </row>
    <row r="730">
      <c r="A730" s="54"/>
      <c r="B730" s="140"/>
      <c r="C730" s="140"/>
      <c r="D730" s="54"/>
      <c r="E730" s="54"/>
      <c r="F730" s="54"/>
      <c r="G730" s="141"/>
      <c r="H730" s="141"/>
      <c r="I730" s="54"/>
      <c r="J730" s="54"/>
      <c r="K730" s="63"/>
      <c r="L730" s="54"/>
      <c r="M730" s="54"/>
    </row>
    <row r="731">
      <c r="A731" s="54"/>
      <c r="B731" s="140"/>
      <c r="C731" s="140"/>
      <c r="D731" s="54"/>
      <c r="E731" s="54"/>
      <c r="F731" s="54"/>
      <c r="G731" s="141"/>
      <c r="H731" s="141"/>
      <c r="I731" s="54"/>
      <c r="J731" s="54"/>
      <c r="K731" s="63"/>
      <c r="L731" s="54"/>
      <c r="M731" s="54"/>
    </row>
    <row r="732">
      <c r="A732" s="54"/>
      <c r="B732" s="140"/>
      <c r="C732" s="140"/>
      <c r="D732" s="54"/>
      <c r="E732" s="54"/>
      <c r="F732" s="54"/>
      <c r="G732" s="141"/>
      <c r="H732" s="141"/>
      <c r="I732" s="54"/>
      <c r="J732" s="54"/>
      <c r="K732" s="63"/>
      <c r="L732" s="54"/>
      <c r="M732" s="54"/>
    </row>
    <row r="733">
      <c r="A733" s="54"/>
      <c r="B733" s="140"/>
      <c r="C733" s="140"/>
      <c r="D733" s="54"/>
      <c r="E733" s="54"/>
      <c r="F733" s="54"/>
      <c r="G733" s="141"/>
      <c r="H733" s="141"/>
      <c r="I733" s="54"/>
      <c r="J733" s="54"/>
      <c r="K733" s="63"/>
      <c r="L733" s="54"/>
      <c r="M733" s="54"/>
    </row>
    <row r="734">
      <c r="A734" s="54"/>
      <c r="B734" s="140"/>
      <c r="C734" s="140"/>
      <c r="D734" s="54"/>
      <c r="E734" s="54"/>
      <c r="F734" s="54"/>
      <c r="G734" s="141"/>
      <c r="H734" s="141"/>
      <c r="I734" s="54"/>
      <c r="J734" s="54"/>
      <c r="K734" s="63"/>
      <c r="L734" s="54"/>
      <c r="M734" s="54"/>
    </row>
    <row r="735">
      <c r="A735" s="54"/>
      <c r="B735" s="140"/>
      <c r="C735" s="140"/>
      <c r="D735" s="54"/>
      <c r="E735" s="54"/>
      <c r="F735" s="54"/>
      <c r="G735" s="141"/>
      <c r="H735" s="141"/>
      <c r="I735" s="54"/>
      <c r="J735" s="54"/>
      <c r="K735" s="63"/>
      <c r="L735" s="54"/>
      <c r="M735" s="54"/>
    </row>
    <row r="736">
      <c r="A736" s="54"/>
      <c r="B736" s="140"/>
      <c r="C736" s="140"/>
      <c r="D736" s="54"/>
      <c r="E736" s="54"/>
      <c r="F736" s="54"/>
      <c r="G736" s="141"/>
      <c r="H736" s="141"/>
      <c r="I736" s="54"/>
      <c r="J736" s="54"/>
      <c r="K736" s="63"/>
      <c r="L736" s="54"/>
      <c r="M736" s="54"/>
    </row>
    <row r="737">
      <c r="A737" s="54"/>
      <c r="B737" s="140"/>
      <c r="C737" s="140"/>
      <c r="D737" s="54"/>
      <c r="E737" s="54"/>
      <c r="F737" s="54"/>
      <c r="G737" s="141"/>
      <c r="H737" s="141"/>
      <c r="I737" s="54"/>
      <c r="J737" s="54"/>
      <c r="K737" s="63"/>
      <c r="L737" s="54"/>
      <c r="M737" s="54"/>
    </row>
    <row r="738">
      <c r="A738" s="54"/>
      <c r="B738" s="140"/>
      <c r="C738" s="140"/>
      <c r="D738" s="54"/>
      <c r="E738" s="54"/>
      <c r="F738" s="54"/>
      <c r="G738" s="141"/>
      <c r="H738" s="141"/>
      <c r="I738" s="54"/>
      <c r="J738" s="54"/>
      <c r="K738" s="63"/>
      <c r="L738" s="54"/>
      <c r="M738" s="54"/>
    </row>
    <row r="739">
      <c r="A739" s="54"/>
      <c r="B739" s="140"/>
      <c r="C739" s="140"/>
      <c r="D739" s="54"/>
      <c r="E739" s="54"/>
      <c r="F739" s="54"/>
      <c r="G739" s="141"/>
      <c r="H739" s="141"/>
      <c r="I739" s="54"/>
      <c r="J739" s="54"/>
      <c r="K739" s="63"/>
      <c r="L739" s="54"/>
      <c r="M739" s="54"/>
    </row>
    <row r="740">
      <c r="A740" s="54"/>
      <c r="B740" s="140"/>
      <c r="C740" s="140"/>
      <c r="D740" s="54"/>
      <c r="E740" s="54"/>
      <c r="F740" s="54"/>
      <c r="G740" s="141"/>
      <c r="H740" s="141"/>
      <c r="I740" s="54"/>
      <c r="J740" s="54"/>
      <c r="K740" s="63"/>
      <c r="L740" s="54"/>
      <c r="M740" s="54"/>
    </row>
    <row r="741">
      <c r="A741" s="54"/>
      <c r="B741" s="140"/>
      <c r="C741" s="140"/>
      <c r="D741" s="54"/>
      <c r="E741" s="54"/>
      <c r="F741" s="54"/>
      <c r="G741" s="141"/>
      <c r="H741" s="141"/>
      <c r="I741" s="54"/>
      <c r="J741" s="54"/>
      <c r="K741" s="63"/>
      <c r="L741" s="54"/>
      <c r="M741" s="54"/>
    </row>
    <row r="742">
      <c r="A742" s="54"/>
      <c r="B742" s="140"/>
      <c r="C742" s="140"/>
      <c r="D742" s="54"/>
      <c r="E742" s="54"/>
      <c r="F742" s="54"/>
      <c r="G742" s="141"/>
      <c r="H742" s="141"/>
      <c r="I742" s="54"/>
      <c r="J742" s="54"/>
      <c r="K742" s="63"/>
      <c r="L742" s="54"/>
      <c r="M742" s="54"/>
    </row>
    <row r="743">
      <c r="A743" s="54"/>
      <c r="B743" s="140"/>
      <c r="C743" s="140"/>
      <c r="D743" s="54"/>
      <c r="E743" s="54"/>
      <c r="F743" s="54"/>
      <c r="G743" s="141"/>
      <c r="H743" s="141"/>
      <c r="I743" s="54"/>
      <c r="J743" s="54"/>
      <c r="K743" s="63"/>
      <c r="L743" s="54"/>
      <c r="M743" s="54"/>
    </row>
    <row r="744">
      <c r="A744" s="54"/>
      <c r="B744" s="140"/>
      <c r="C744" s="140"/>
      <c r="D744" s="54"/>
      <c r="E744" s="54"/>
      <c r="F744" s="54"/>
      <c r="G744" s="141"/>
      <c r="H744" s="141"/>
      <c r="I744" s="54"/>
      <c r="J744" s="54"/>
      <c r="K744" s="63"/>
      <c r="L744" s="54"/>
      <c r="M744" s="54"/>
    </row>
    <row r="745">
      <c r="A745" s="54"/>
      <c r="B745" s="140"/>
      <c r="C745" s="140"/>
      <c r="D745" s="54"/>
      <c r="E745" s="54"/>
      <c r="F745" s="54"/>
      <c r="G745" s="141"/>
      <c r="H745" s="141"/>
      <c r="I745" s="54"/>
      <c r="J745" s="54"/>
      <c r="K745" s="63"/>
      <c r="L745" s="54"/>
      <c r="M745" s="54"/>
    </row>
    <row r="746">
      <c r="A746" s="54"/>
      <c r="B746" s="140"/>
      <c r="C746" s="140"/>
      <c r="D746" s="54"/>
      <c r="E746" s="54"/>
      <c r="F746" s="54"/>
      <c r="G746" s="141"/>
      <c r="H746" s="141"/>
      <c r="I746" s="54"/>
      <c r="J746" s="54"/>
      <c r="K746" s="63"/>
      <c r="L746" s="54"/>
      <c r="M746" s="54"/>
    </row>
    <row r="747">
      <c r="A747" s="54"/>
      <c r="B747" s="140"/>
      <c r="C747" s="140"/>
      <c r="D747" s="54"/>
      <c r="E747" s="54"/>
      <c r="F747" s="54"/>
      <c r="G747" s="141"/>
      <c r="H747" s="141"/>
      <c r="I747" s="54"/>
      <c r="J747" s="54"/>
      <c r="K747" s="63"/>
      <c r="L747" s="54"/>
      <c r="M747" s="54"/>
    </row>
    <row r="748">
      <c r="A748" s="54"/>
      <c r="B748" s="140"/>
      <c r="C748" s="140"/>
      <c r="D748" s="54"/>
      <c r="E748" s="54"/>
      <c r="F748" s="54"/>
      <c r="G748" s="141"/>
      <c r="H748" s="141"/>
      <c r="I748" s="54"/>
      <c r="J748" s="54"/>
      <c r="K748" s="63"/>
      <c r="L748" s="54"/>
      <c r="M748" s="54"/>
    </row>
    <row r="749">
      <c r="A749" s="54"/>
      <c r="B749" s="140"/>
      <c r="C749" s="140"/>
      <c r="D749" s="54"/>
      <c r="E749" s="54"/>
      <c r="F749" s="54"/>
      <c r="G749" s="141"/>
      <c r="H749" s="141"/>
      <c r="I749" s="54"/>
      <c r="J749" s="54"/>
      <c r="K749" s="63"/>
      <c r="L749" s="54"/>
      <c r="M749" s="54"/>
    </row>
    <row r="750">
      <c r="A750" s="54"/>
      <c r="B750" s="140"/>
      <c r="C750" s="140"/>
      <c r="D750" s="54"/>
      <c r="E750" s="54"/>
      <c r="F750" s="54"/>
      <c r="G750" s="141"/>
      <c r="H750" s="141"/>
      <c r="I750" s="54"/>
      <c r="J750" s="54"/>
      <c r="K750" s="63"/>
      <c r="L750" s="54"/>
      <c r="M750" s="54"/>
    </row>
    <row r="751">
      <c r="A751" s="54"/>
      <c r="B751" s="140"/>
      <c r="C751" s="140"/>
      <c r="D751" s="54"/>
      <c r="E751" s="54"/>
      <c r="F751" s="54"/>
      <c r="G751" s="141"/>
      <c r="H751" s="141"/>
      <c r="I751" s="54"/>
      <c r="J751" s="54"/>
      <c r="K751" s="63"/>
      <c r="L751" s="54"/>
      <c r="M751" s="54"/>
    </row>
    <row r="752">
      <c r="A752" s="54"/>
      <c r="B752" s="140"/>
      <c r="C752" s="140"/>
      <c r="D752" s="54"/>
      <c r="E752" s="54"/>
      <c r="F752" s="54"/>
      <c r="G752" s="141"/>
      <c r="H752" s="141"/>
      <c r="I752" s="54"/>
      <c r="J752" s="54"/>
      <c r="K752" s="63"/>
      <c r="L752" s="54"/>
      <c r="M752" s="54"/>
    </row>
    <row r="753">
      <c r="A753" s="54"/>
      <c r="B753" s="140"/>
      <c r="C753" s="140"/>
      <c r="D753" s="54"/>
      <c r="E753" s="54"/>
      <c r="F753" s="54"/>
      <c r="G753" s="141"/>
      <c r="H753" s="141"/>
      <c r="I753" s="54"/>
      <c r="J753" s="54"/>
      <c r="K753" s="63"/>
      <c r="L753" s="54"/>
      <c r="M753" s="54"/>
    </row>
    <row r="754">
      <c r="A754" s="54"/>
      <c r="B754" s="140"/>
      <c r="C754" s="140"/>
      <c r="D754" s="54"/>
      <c r="E754" s="54"/>
      <c r="F754" s="54"/>
      <c r="G754" s="141"/>
      <c r="H754" s="141"/>
      <c r="I754" s="54"/>
      <c r="J754" s="54"/>
      <c r="K754" s="63"/>
      <c r="L754" s="54"/>
      <c r="M754" s="54"/>
    </row>
    <row r="755">
      <c r="A755" s="54"/>
      <c r="B755" s="140"/>
      <c r="C755" s="140"/>
      <c r="D755" s="54"/>
      <c r="E755" s="54"/>
      <c r="F755" s="54"/>
      <c r="G755" s="141"/>
      <c r="H755" s="141"/>
      <c r="I755" s="54"/>
      <c r="J755" s="54"/>
      <c r="K755" s="63"/>
      <c r="L755" s="54"/>
      <c r="M755" s="54"/>
    </row>
    <row r="756">
      <c r="A756" s="54"/>
      <c r="B756" s="140"/>
      <c r="C756" s="140"/>
      <c r="D756" s="54"/>
      <c r="E756" s="54"/>
      <c r="F756" s="54"/>
      <c r="G756" s="141"/>
      <c r="H756" s="141"/>
      <c r="I756" s="54"/>
      <c r="J756" s="54"/>
      <c r="K756" s="63"/>
      <c r="L756" s="54"/>
      <c r="M756" s="54"/>
    </row>
    <row r="757">
      <c r="A757" s="54"/>
      <c r="B757" s="140"/>
      <c r="C757" s="140"/>
      <c r="D757" s="54"/>
      <c r="E757" s="54"/>
      <c r="F757" s="54"/>
      <c r="G757" s="141"/>
      <c r="H757" s="141"/>
      <c r="I757" s="54"/>
      <c r="J757" s="54"/>
      <c r="K757" s="63"/>
      <c r="L757" s="54"/>
      <c r="M757" s="54"/>
    </row>
    <row r="758">
      <c r="A758" s="54"/>
      <c r="B758" s="140"/>
      <c r="C758" s="140"/>
      <c r="D758" s="54"/>
      <c r="E758" s="54"/>
      <c r="F758" s="54"/>
      <c r="G758" s="141"/>
      <c r="H758" s="141"/>
      <c r="I758" s="54"/>
      <c r="J758" s="54"/>
      <c r="K758" s="63"/>
      <c r="L758" s="54"/>
      <c r="M758" s="54"/>
    </row>
    <row r="759">
      <c r="A759" s="54"/>
      <c r="B759" s="140"/>
      <c r="C759" s="140"/>
      <c r="D759" s="54"/>
      <c r="E759" s="54"/>
      <c r="F759" s="54"/>
      <c r="G759" s="141"/>
      <c r="H759" s="141"/>
      <c r="I759" s="54"/>
      <c r="J759" s="54"/>
      <c r="K759" s="63"/>
      <c r="L759" s="54"/>
      <c r="M759" s="54"/>
    </row>
    <row r="760">
      <c r="A760" s="54"/>
      <c r="B760" s="140"/>
      <c r="C760" s="140"/>
      <c r="D760" s="54"/>
      <c r="E760" s="54"/>
      <c r="F760" s="54"/>
      <c r="G760" s="141"/>
      <c r="H760" s="141"/>
      <c r="I760" s="54"/>
      <c r="J760" s="54"/>
      <c r="K760" s="63"/>
      <c r="L760" s="54"/>
      <c r="M760" s="54"/>
    </row>
    <row r="761">
      <c r="A761" s="54"/>
      <c r="B761" s="140"/>
      <c r="C761" s="140"/>
      <c r="D761" s="54"/>
      <c r="E761" s="54"/>
      <c r="F761" s="54"/>
      <c r="G761" s="141"/>
      <c r="H761" s="141"/>
      <c r="I761" s="54"/>
      <c r="J761" s="54"/>
      <c r="K761" s="63"/>
      <c r="L761" s="54"/>
      <c r="M761" s="54"/>
    </row>
    <row r="762">
      <c r="A762" s="54"/>
      <c r="B762" s="140"/>
      <c r="C762" s="140"/>
      <c r="D762" s="54"/>
      <c r="E762" s="54"/>
      <c r="F762" s="54"/>
      <c r="G762" s="141"/>
      <c r="H762" s="141"/>
      <c r="I762" s="54"/>
      <c r="J762" s="54"/>
      <c r="K762" s="63"/>
      <c r="L762" s="54"/>
      <c r="M762" s="54"/>
    </row>
    <row r="763">
      <c r="A763" s="54"/>
      <c r="B763" s="140"/>
      <c r="C763" s="140"/>
      <c r="D763" s="54"/>
      <c r="E763" s="54"/>
      <c r="F763" s="54"/>
      <c r="G763" s="141"/>
      <c r="H763" s="141"/>
      <c r="I763" s="54"/>
      <c r="J763" s="54"/>
      <c r="K763" s="63"/>
      <c r="L763" s="54"/>
      <c r="M763" s="54"/>
    </row>
    <row r="764">
      <c r="A764" s="54"/>
      <c r="B764" s="140"/>
      <c r="C764" s="140"/>
      <c r="D764" s="54"/>
      <c r="E764" s="54"/>
      <c r="F764" s="54"/>
      <c r="G764" s="141"/>
      <c r="H764" s="141"/>
      <c r="I764" s="54"/>
      <c r="J764" s="54"/>
      <c r="K764" s="63"/>
      <c r="L764" s="54"/>
      <c r="M764" s="54"/>
    </row>
    <row r="765">
      <c r="A765" s="54"/>
      <c r="B765" s="140"/>
      <c r="C765" s="140"/>
      <c r="D765" s="54"/>
      <c r="E765" s="54"/>
      <c r="F765" s="54"/>
      <c r="G765" s="141"/>
      <c r="H765" s="141"/>
      <c r="I765" s="54"/>
      <c r="J765" s="54"/>
      <c r="K765" s="63"/>
      <c r="L765" s="54"/>
      <c r="M765" s="54"/>
    </row>
    <row r="766">
      <c r="A766" s="54"/>
      <c r="B766" s="140"/>
      <c r="C766" s="140"/>
      <c r="D766" s="54"/>
      <c r="E766" s="54"/>
      <c r="F766" s="54"/>
      <c r="G766" s="141"/>
      <c r="H766" s="141"/>
      <c r="I766" s="54"/>
      <c r="J766" s="54"/>
      <c r="K766" s="63"/>
      <c r="L766" s="54"/>
      <c r="M766" s="54"/>
    </row>
    <row r="767">
      <c r="A767" s="54"/>
      <c r="B767" s="140"/>
      <c r="C767" s="140"/>
      <c r="D767" s="54"/>
      <c r="E767" s="54"/>
      <c r="F767" s="54"/>
      <c r="G767" s="141"/>
      <c r="H767" s="141"/>
      <c r="I767" s="54"/>
      <c r="J767" s="54"/>
      <c r="K767" s="63"/>
      <c r="L767" s="54"/>
      <c r="M767" s="54"/>
    </row>
    <row r="768">
      <c r="A768" s="54"/>
      <c r="B768" s="140"/>
      <c r="C768" s="140"/>
      <c r="D768" s="54"/>
      <c r="E768" s="54"/>
      <c r="F768" s="54"/>
      <c r="G768" s="141"/>
      <c r="H768" s="141"/>
      <c r="I768" s="54"/>
      <c r="J768" s="54"/>
      <c r="K768" s="63"/>
      <c r="L768" s="54"/>
      <c r="M768" s="54"/>
    </row>
    <row r="769">
      <c r="A769" s="54"/>
      <c r="B769" s="140"/>
      <c r="C769" s="140"/>
      <c r="D769" s="54"/>
      <c r="E769" s="54"/>
      <c r="F769" s="54"/>
      <c r="G769" s="141"/>
      <c r="H769" s="141"/>
      <c r="I769" s="54"/>
      <c r="J769" s="54"/>
      <c r="K769" s="63"/>
      <c r="L769" s="54"/>
      <c r="M769" s="54"/>
    </row>
    <row r="770">
      <c r="A770" s="54"/>
      <c r="B770" s="140"/>
      <c r="C770" s="140"/>
      <c r="D770" s="54"/>
      <c r="E770" s="54"/>
      <c r="F770" s="54"/>
      <c r="G770" s="141"/>
      <c r="H770" s="141"/>
      <c r="I770" s="54"/>
      <c r="J770" s="54"/>
      <c r="K770" s="63"/>
      <c r="L770" s="54"/>
      <c r="M770" s="54"/>
    </row>
    <row r="771">
      <c r="A771" s="54"/>
      <c r="B771" s="140"/>
      <c r="C771" s="140"/>
      <c r="D771" s="54"/>
      <c r="E771" s="54"/>
      <c r="F771" s="54"/>
      <c r="G771" s="141"/>
      <c r="H771" s="141"/>
      <c r="I771" s="54"/>
      <c r="J771" s="54"/>
      <c r="K771" s="63"/>
      <c r="L771" s="54"/>
      <c r="M771" s="54"/>
    </row>
    <row r="772">
      <c r="A772" s="54"/>
      <c r="B772" s="140"/>
      <c r="C772" s="140"/>
      <c r="D772" s="54"/>
      <c r="E772" s="54"/>
      <c r="F772" s="54"/>
      <c r="G772" s="141"/>
      <c r="H772" s="141"/>
      <c r="I772" s="54"/>
      <c r="J772" s="54"/>
      <c r="K772" s="63"/>
      <c r="L772" s="54"/>
      <c r="M772" s="54"/>
    </row>
    <row r="773">
      <c r="A773" s="54"/>
      <c r="B773" s="140"/>
      <c r="C773" s="140"/>
      <c r="D773" s="54"/>
      <c r="E773" s="54"/>
      <c r="F773" s="54"/>
      <c r="G773" s="141"/>
      <c r="H773" s="141"/>
      <c r="I773" s="54"/>
      <c r="J773" s="54"/>
      <c r="K773" s="63"/>
      <c r="L773" s="54"/>
      <c r="M773" s="54"/>
    </row>
    <row r="774">
      <c r="A774" s="54"/>
      <c r="B774" s="140"/>
      <c r="C774" s="140"/>
      <c r="D774" s="54"/>
      <c r="E774" s="54"/>
      <c r="F774" s="54"/>
      <c r="G774" s="141"/>
      <c r="H774" s="141"/>
      <c r="I774" s="54"/>
      <c r="J774" s="54"/>
      <c r="K774" s="63"/>
      <c r="L774" s="54"/>
      <c r="M774" s="54"/>
    </row>
    <row r="775">
      <c r="A775" s="54"/>
      <c r="B775" s="140"/>
      <c r="C775" s="140"/>
      <c r="D775" s="54"/>
      <c r="E775" s="54"/>
      <c r="F775" s="54"/>
      <c r="G775" s="141"/>
      <c r="H775" s="141"/>
      <c r="I775" s="54"/>
      <c r="J775" s="54"/>
      <c r="K775" s="63"/>
      <c r="L775" s="54"/>
      <c r="M775" s="54"/>
    </row>
    <row r="776">
      <c r="A776" s="54"/>
      <c r="B776" s="140"/>
      <c r="C776" s="140"/>
      <c r="D776" s="54"/>
      <c r="E776" s="54"/>
      <c r="F776" s="54"/>
      <c r="G776" s="141"/>
      <c r="H776" s="141"/>
      <c r="I776" s="54"/>
      <c r="J776" s="54"/>
      <c r="K776" s="63"/>
      <c r="L776" s="54"/>
      <c r="M776" s="54"/>
    </row>
    <row r="777">
      <c r="A777" s="54"/>
      <c r="B777" s="140"/>
      <c r="C777" s="140"/>
      <c r="D777" s="54"/>
      <c r="E777" s="54"/>
      <c r="F777" s="54"/>
      <c r="G777" s="141"/>
      <c r="H777" s="141"/>
      <c r="I777" s="54"/>
      <c r="J777" s="54"/>
      <c r="K777" s="63"/>
      <c r="L777" s="54"/>
      <c r="M777" s="54"/>
    </row>
    <row r="778">
      <c r="A778" s="54"/>
      <c r="B778" s="140"/>
      <c r="C778" s="140"/>
      <c r="D778" s="54"/>
      <c r="E778" s="54"/>
      <c r="F778" s="54"/>
      <c r="G778" s="141"/>
      <c r="H778" s="141"/>
      <c r="I778" s="54"/>
      <c r="J778" s="54"/>
      <c r="K778" s="63"/>
      <c r="L778" s="54"/>
      <c r="M778" s="54"/>
    </row>
    <row r="779">
      <c r="A779" s="54"/>
      <c r="B779" s="140"/>
      <c r="C779" s="140"/>
      <c r="D779" s="54"/>
      <c r="E779" s="54"/>
      <c r="F779" s="54"/>
      <c r="G779" s="141"/>
      <c r="H779" s="141"/>
      <c r="I779" s="54"/>
      <c r="J779" s="54"/>
      <c r="K779" s="63"/>
      <c r="L779" s="54"/>
      <c r="M779" s="54"/>
    </row>
    <row r="780">
      <c r="A780" s="54"/>
      <c r="B780" s="140"/>
      <c r="C780" s="140"/>
      <c r="D780" s="54"/>
      <c r="E780" s="54"/>
      <c r="F780" s="54"/>
      <c r="G780" s="141"/>
      <c r="H780" s="141"/>
      <c r="I780" s="54"/>
      <c r="J780" s="54"/>
      <c r="K780" s="63"/>
      <c r="L780" s="54"/>
      <c r="M780" s="54"/>
    </row>
    <row r="781">
      <c r="A781" s="54"/>
      <c r="B781" s="140"/>
      <c r="C781" s="140"/>
      <c r="D781" s="54"/>
      <c r="E781" s="54"/>
      <c r="F781" s="54"/>
      <c r="G781" s="141"/>
      <c r="H781" s="141"/>
      <c r="I781" s="54"/>
      <c r="J781" s="54"/>
      <c r="K781" s="63"/>
      <c r="L781" s="54"/>
      <c r="M781" s="54"/>
    </row>
    <row r="782">
      <c r="A782" s="54"/>
      <c r="B782" s="140"/>
      <c r="C782" s="140"/>
      <c r="D782" s="54"/>
      <c r="E782" s="54"/>
      <c r="F782" s="54"/>
      <c r="G782" s="141"/>
      <c r="H782" s="141"/>
      <c r="I782" s="54"/>
      <c r="J782" s="54"/>
      <c r="K782" s="63"/>
      <c r="L782" s="54"/>
      <c r="M782" s="54"/>
    </row>
    <row r="783">
      <c r="A783" s="54"/>
      <c r="B783" s="140"/>
      <c r="C783" s="140"/>
      <c r="D783" s="54"/>
      <c r="E783" s="54"/>
      <c r="F783" s="54"/>
      <c r="G783" s="141"/>
      <c r="H783" s="141"/>
      <c r="I783" s="54"/>
      <c r="J783" s="54"/>
      <c r="K783" s="63"/>
      <c r="L783" s="54"/>
      <c r="M783" s="54"/>
    </row>
    <row r="784">
      <c r="A784" s="54"/>
      <c r="B784" s="140"/>
      <c r="C784" s="140"/>
      <c r="D784" s="54"/>
      <c r="E784" s="54"/>
      <c r="F784" s="54"/>
      <c r="G784" s="141"/>
      <c r="H784" s="141"/>
      <c r="I784" s="54"/>
      <c r="J784" s="54"/>
      <c r="K784" s="63"/>
      <c r="L784" s="54"/>
      <c r="M784" s="54"/>
    </row>
    <row r="785">
      <c r="A785" s="54"/>
      <c r="B785" s="140"/>
      <c r="C785" s="140"/>
      <c r="D785" s="54"/>
      <c r="E785" s="54"/>
      <c r="F785" s="54"/>
      <c r="G785" s="141"/>
      <c r="H785" s="141"/>
      <c r="I785" s="54"/>
      <c r="J785" s="54"/>
      <c r="K785" s="63"/>
      <c r="L785" s="54"/>
      <c r="M785" s="54"/>
    </row>
    <row r="786">
      <c r="A786" s="54"/>
      <c r="B786" s="140"/>
      <c r="C786" s="140"/>
      <c r="D786" s="54"/>
      <c r="E786" s="54"/>
      <c r="F786" s="54"/>
      <c r="G786" s="141"/>
      <c r="H786" s="141"/>
      <c r="I786" s="54"/>
      <c r="J786" s="54"/>
      <c r="K786" s="63"/>
      <c r="L786" s="54"/>
      <c r="M786" s="54"/>
    </row>
    <row r="787">
      <c r="A787" s="54"/>
      <c r="B787" s="140"/>
      <c r="C787" s="140"/>
      <c r="D787" s="54"/>
      <c r="E787" s="54"/>
      <c r="F787" s="54"/>
      <c r="G787" s="141"/>
      <c r="H787" s="141"/>
      <c r="I787" s="54"/>
      <c r="J787" s="54"/>
      <c r="K787" s="63"/>
      <c r="L787" s="54"/>
      <c r="M787" s="54"/>
    </row>
    <row r="788">
      <c r="A788" s="54"/>
      <c r="B788" s="140"/>
      <c r="C788" s="140"/>
      <c r="D788" s="54"/>
      <c r="E788" s="54"/>
      <c r="F788" s="54"/>
      <c r="G788" s="141"/>
      <c r="H788" s="141"/>
      <c r="I788" s="54"/>
      <c r="J788" s="54"/>
      <c r="K788" s="63"/>
      <c r="L788" s="54"/>
      <c r="M788" s="54"/>
    </row>
    <row r="789">
      <c r="A789" s="54"/>
      <c r="B789" s="140"/>
      <c r="C789" s="140"/>
      <c r="D789" s="54"/>
      <c r="E789" s="54"/>
      <c r="F789" s="54"/>
      <c r="G789" s="141"/>
      <c r="H789" s="141"/>
      <c r="I789" s="54"/>
      <c r="J789" s="54"/>
      <c r="K789" s="63"/>
      <c r="L789" s="54"/>
      <c r="M789" s="54"/>
    </row>
    <row r="790">
      <c r="A790" s="54"/>
      <c r="B790" s="140"/>
      <c r="C790" s="140"/>
      <c r="D790" s="54"/>
      <c r="E790" s="54"/>
      <c r="F790" s="54"/>
      <c r="G790" s="141"/>
      <c r="H790" s="141"/>
      <c r="I790" s="54"/>
      <c r="J790" s="54"/>
      <c r="K790" s="63"/>
      <c r="L790" s="54"/>
      <c r="M790" s="54"/>
    </row>
    <row r="791">
      <c r="A791" s="54"/>
      <c r="B791" s="140"/>
      <c r="C791" s="140"/>
      <c r="D791" s="54"/>
      <c r="E791" s="54"/>
      <c r="F791" s="54"/>
      <c r="G791" s="141"/>
      <c r="H791" s="141"/>
      <c r="I791" s="54"/>
      <c r="J791" s="54"/>
      <c r="K791" s="63"/>
      <c r="L791" s="54"/>
      <c r="M791" s="54"/>
    </row>
    <row r="792">
      <c r="A792" s="54"/>
      <c r="B792" s="140"/>
      <c r="C792" s="140"/>
      <c r="D792" s="54"/>
      <c r="E792" s="54"/>
      <c r="F792" s="54"/>
      <c r="G792" s="141"/>
      <c r="H792" s="141"/>
      <c r="I792" s="54"/>
      <c r="J792" s="54"/>
      <c r="K792" s="63"/>
      <c r="L792" s="54"/>
      <c r="M792" s="54"/>
    </row>
    <row r="793">
      <c r="A793" s="54"/>
      <c r="B793" s="140"/>
      <c r="C793" s="140"/>
      <c r="D793" s="54"/>
      <c r="E793" s="54"/>
      <c r="F793" s="54"/>
      <c r="G793" s="141"/>
      <c r="H793" s="141"/>
      <c r="I793" s="54"/>
      <c r="J793" s="54"/>
      <c r="K793" s="63"/>
      <c r="L793" s="54"/>
      <c r="M793" s="54"/>
    </row>
    <row r="794">
      <c r="A794" s="54"/>
      <c r="B794" s="140"/>
      <c r="C794" s="140"/>
      <c r="D794" s="54"/>
      <c r="E794" s="54"/>
      <c r="F794" s="54"/>
      <c r="G794" s="141"/>
      <c r="H794" s="141"/>
      <c r="I794" s="54"/>
      <c r="J794" s="54"/>
      <c r="K794" s="63"/>
      <c r="L794" s="54"/>
      <c r="M794" s="54"/>
    </row>
    <row r="795">
      <c r="A795" s="54"/>
      <c r="B795" s="140"/>
      <c r="C795" s="140"/>
      <c r="D795" s="54"/>
      <c r="E795" s="54"/>
      <c r="F795" s="54"/>
      <c r="G795" s="141"/>
      <c r="H795" s="141"/>
      <c r="I795" s="54"/>
      <c r="J795" s="54"/>
      <c r="K795" s="63"/>
      <c r="L795" s="54"/>
      <c r="M795" s="54"/>
    </row>
    <row r="796">
      <c r="A796" s="54"/>
      <c r="B796" s="140"/>
      <c r="C796" s="140"/>
      <c r="D796" s="54"/>
      <c r="E796" s="54"/>
      <c r="F796" s="54"/>
      <c r="G796" s="141"/>
      <c r="H796" s="141"/>
      <c r="I796" s="54"/>
      <c r="J796" s="54"/>
      <c r="K796" s="63"/>
      <c r="L796" s="54"/>
      <c r="M796" s="54"/>
    </row>
    <row r="797">
      <c r="A797" s="54"/>
      <c r="B797" s="140"/>
      <c r="C797" s="140"/>
      <c r="D797" s="54"/>
      <c r="E797" s="54"/>
      <c r="F797" s="54"/>
      <c r="G797" s="141"/>
      <c r="H797" s="141"/>
      <c r="I797" s="54"/>
      <c r="J797" s="54"/>
      <c r="K797" s="63"/>
      <c r="L797" s="54"/>
      <c r="M797" s="54"/>
    </row>
    <row r="798">
      <c r="A798" s="54"/>
      <c r="B798" s="140"/>
      <c r="C798" s="140"/>
      <c r="D798" s="54"/>
      <c r="E798" s="54"/>
      <c r="F798" s="54"/>
      <c r="G798" s="141"/>
      <c r="H798" s="141"/>
      <c r="I798" s="54"/>
      <c r="J798" s="54"/>
      <c r="K798" s="63"/>
      <c r="L798" s="54"/>
      <c r="M798" s="54"/>
    </row>
    <row r="799">
      <c r="A799" s="54"/>
      <c r="B799" s="140"/>
      <c r="C799" s="140"/>
      <c r="D799" s="54"/>
      <c r="E799" s="54"/>
      <c r="F799" s="54"/>
      <c r="G799" s="141"/>
      <c r="H799" s="141"/>
      <c r="I799" s="54"/>
      <c r="J799" s="54"/>
      <c r="K799" s="63"/>
      <c r="L799" s="54"/>
      <c r="M799" s="54"/>
    </row>
    <row r="800">
      <c r="A800" s="54"/>
      <c r="B800" s="140"/>
      <c r="C800" s="140"/>
      <c r="D800" s="54"/>
      <c r="E800" s="54"/>
      <c r="F800" s="54"/>
      <c r="G800" s="141"/>
      <c r="H800" s="141"/>
      <c r="I800" s="54"/>
      <c r="J800" s="54"/>
      <c r="K800" s="63"/>
      <c r="L800" s="54"/>
      <c r="M800" s="54"/>
    </row>
    <row r="801">
      <c r="A801" s="54"/>
      <c r="B801" s="140"/>
      <c r="C801" s="140"/>
      <c r="D801" s="54"/>
      <c r="E801" s="54"/>
      <c r="F801" s="54"/>
      <c r="G801" s="141"/>
      <c r="H801" s="141"/>
      <c r="I801" s="54"/>
      <c r="J801" s="54"/>
      <c r="K801" s="63"/>
      <c r="L801" s="54"/>
      <c r="M801" s="54"/>
    </row>
    <row r="802">
      <c r="A802" s="54"/>
      <c r="B802" s="140"/>
      <c r="C802" s="140"/>
      <c r="D802" s="54"/>
      <c r="E802" s="54"/>
      <c r="F802" s="54"/>
      <c r="G802" s="141"/>
      <c r="H802" s="141"/>
      <c r="I802" s="54"/>
      <c r="J802" s="54"/>
      <c r="K802" s="63"/>
      <c r="L802" s="54"/>
      <c r="M802" s="54"/>
    </row>
    <row r="803">
      <c r="A803" s="54"/>
      <c r="B803" s="140"/>
      <c r="C803" s="140"/>
      <c r="D803" s="54"/>
      <c r="E803" s="54"/>
      <c r="F803" s="54"/>
      <c r="G803" s="141"/>
      <c r="H803" s="141"/>
      <c r="I803" s="54"/>
      <c r="J803" s="54"/>
      <c r="K803" s="63"/>
      <c r="L803" s="54"/>
      <c r="M803" s="54"/>
    </row>
    <row r="804">
      <c r="A804" s="54"/>
      <c r="B804" s="140"/>
      <c r="C804" s="140"/>
      <c r="D804" s="54"/>
      <c r="E804" s="54"/>
      <c r="F804" s="54"/>
      <c r="G804" s="141"/>
      <c r="H804" s="141"/>
      <c r="I804" s="54"/>
      <c r="J804" s="54"/>
      <c r="K804" s="63"/>
      <c r="L804" s="54"/>
      <c r="M804" s="54"/>
    </row>
    <row r="805">
      <c r="A805" s="54"/>
      <c r="B805" s="140"/>
      <c r="C805" s="140"/>
      <c r="D805" s="54"/>
      <c r="E805" s="54"/>
      <c r="F805" s="54"/>
      <c r="G805" s="141"/>
      <c r="H805" s="141"/>
      <c r="I805" s="54"/>
      <c r="J805" s="54"/>
      <c r="K805" s="63"/>
      <c r="L805" s="54"/>
      <c r="M805" s="54"/>
    </row>
    <row r="806">
      <c r="A806" s="54"/>
      <c r="B806" s="140"/>
      <c r="C806" s="140"/>
      <c r="D806" s="54"/>
      <c r="E806" s="54"/>
      <c r="F806" s="54"/>
      <c r="G806" s="141"/>
      <c r="H806" s="141"/>
      <c r="I806" s="54"/>
      <c r="J806" s="54"/>
      <c r="K806" s="63"/>
      <c r="L806" s="54"/>
      <c r="M806" s="54"/>
    </row>
    <row r="807">
      <c r="A807" s="54"/>
      <c r="B807" s="140"/>
      <c r="C807" s="140"/>
      <c r="D807" s="54"/>
      <c r="E807" s="54"/>
      <c r="F807" s="54"/>
      <c r="G807" s="141"/>
      <c r="H807" s="141"/>
      <c r="I807" s="54"/>
      <c r="J807" s="54"/>
      <c r="K807" s="63"/>
      <c r="L807" s="54"/>
      <c r="M807" s="54"/>
    </row>
    <row r="808">
      <c r="A808" s="54"/>
      <c r="B808" s="140"/>
      <c r="C808" s="140"/>
      <c r="D808" s="54"/>
      <c r="E808" s="54"/>
      <c r="F808" s="54"/>
      <c r="G808" s="141"/>
      <c r="H808" s="141"/>
      <c r="I808" s="54"/>
      <c r="J808" s="54"/>
      <c r="K808" s="63"/>
      <c r="L808" s="54"/>
      <c r="M808" s="54"/>
    </row>
    <row r="809">
      <c r="A809" s="54"/>
      <c r="B809" s="140"/>
      <c r="C809" s="140"/>
      <c r="D809" s="54"/>
      <c r="E809" s="54"/>
      <c r="F809" s="54"/>
      <c r="G809" s="141"/>
      <c r="H809" s="141"/>
      <c r="I809" s="54"/>
      <c r="J809" s="54"/>
      <c r="K809" s="63"/>
      <c r="L809" s="54"/>
      <c r="M809" s="54"/>
    </row>
    <row r="810">
      <c r="A810" s="54"/>
      <c r="B810" s="140"/>
      <c r="C810" s="140"/>
      <c r="D810" s="54"/>
      <c r="E810" s="54"/>
      <c r="F810" s="54"/>
      <c r="G810" s="141"/>
      <c r="H810" s="141"/>
      <c r="I810" s="54"/>
      <c r="J810" s="54"/>
      <c r="K810" s="63"/>
      <c r="L810" s="54"/>
      <c r="M810" s="54"/>
    </row>
    <row r="811">
      <c r="A811" s="54"/>
      <c r="B811" s="140"/>
      <c r="C811" s="140"/>
      <c r="D811" s="54"/>
      <c r="E811" s="54"/>
      <c r="F811" s="54"/>
      <c r="G811" s="141"/>
      <c r="H811" s="141"/>
      <c r="I811" s="54"/>
      <c r="J811" s="54"/>
      <c r="K811" s="63"/>
      <c r="L811" s="54"/>
      <c r="M811" s="54"/>
    </row>
    <row r="812">
      <c r="A812" s="54"/>
      <c r="B812" s="140"/>
      <c r="C812" s="140"/>
      <c r="D812" s="54"/>
      <c r="E812" s="54"/>
      <c r="F812" s="54"/>
      <c r="G812" s="141"/>
      <c r="H812" s="141"/>
      <c r="I812" s="54"/>
      <c r="J812" s="54"/>
      <c r="K812" s="63"/>
      <c r="L812" s="54"/>
      <c r="M812" s="54"/>
    </row>
    <row r="813">
      <c r="A813" s="54"/>
      <c r="B813" s="140"/>
      <c r="C813" s="140"/>
      <c r="D813" s="54"/>
      <c r="E813" s="54"/>
      <c r="F813" s="54"/>
      <c r="G813" s="141"/>
      <c r="H813" s="141"/>
      <c r="I813" s="54"/>
      <c r="J813" s="54"/>
      <c r="K813" s="63"/>
      <c r="L813" s="54"/>
      <c r="M813" s="54"/>
    </row>
    <row r="814">
      <c r="A814" s="54"/>
      <c r="B814" s="140"/>
      <c r="C814" s="140"/>
      <c r="D814" s="54"/>
      <c r="E814" s="54"/>
      <c r="F814" s="54"/>
      <c r="G814" s="141"/>
      <c r="H814" s="141"/>
      <c r="I814" s="54"/>
      <c r="J814" s="54"/>
      <c r="K814" s="63"/>
      <c r="L814" s="54"/>
      <c r="M814" s="54"/>
    </row>
    <row r="815">
      <c r="A815" s="54"/>
      <c r="B815" s="140"/>
      <c r="C815" s="140"/>
      <c r="D815" s="54"/>
      <c r="E815" s="54"/>
      <c r="F815" s="54"/>
      <c r="G815" s="141"/>
      <c r="H815" s="141"/>
      <c r="I815" s="54"/>
      <c r="J815" s="54"/>
      <c r="K815" s="63"/>
      <c r="L815" s="54"/>
      <c r="M815" s="54"/>
    </row>
    <row r="816">
      <c r="A816" s="54"/>
      <c r="B816" s="140"/>
      <c r="C816" s="140"/>
      <c r="D816" s="54"/>
      <c r="E816" s="54"/>
      <c r="F816" s="54"/>
      <c r="G816" s="141"/>
      <c r="H816" s="141"/>
      <c r="I816" s="54"/>
      <c r="J816" s="54"/>
      <c r="K816" s="63"/>
      <c r="L816" s="54"/>
      <c r="M816" s="54"/>
    </row>
    <row r="817">
      <c r="A817" s="54"/>
      <c r="B817" s="140"/>
      <c r="C817" s="140"/>
      <c r="D817" s="54"/>
      <c r="E817" s="54"/>
      <c r="F817" s="54"/>
      <c r="G817" s="141"/>
      <c r="H817" s="141"/>
      <c r="I817" s="54"/>
      <c r="J817" s="54"/>
      <c r="K817" s="63"/>
      <c r="L817" s="54"/>
      <c r="M817" s="54"/>
    </row>
    <row r="818">
      <c r="A818" s="54"/>
      <c r="B818" s="140"/>
      <c r="C818" s="140"/>
      <c r="D818" s="54"/>
      <c r="E818" s="54"/>
      <c r="F818" s="54"/>
      <c r="G818" s="141"/>
      <c r="H818" s="141"/>
      <c r="I818" s="54"/>
      <c r="J818" s="54"/>
      <c r="K818" s="63"/>
      <c r="L818" s="54"/>
      <c r="M818" s="54"/>
    </row>
    <row r="819">
      <c r="A819" s="54"/>
      <c r="B819" s="140"/>
      <c r="C819" s="140"/>
      <c r="D819" s="54"/>
      <c r="E819" s="54"/>
      <c r="F819" s="54"/>
      <c r="G819" s="141"/>
      <c r="H819" s="141"/>
      <c r="I819" s="54"/>
      <c r="J819" s="54"/>
      <c r="K819" s="63"/>
      <c r="L819" s="54"/>
      <c r="M819" s="54"/>
    </row>
    <row r="820">
      <c r="A820" s="54"/>
      <c r="B820" s="140"/>
      <c r="C820" s="140"/>
      <c r="D820" s="54"/>
      <c r="E820" s="54"/>
      <c r="F820" s="54"/>
      <c r="G820" s="141"/>
      <c r="H820" s="141"/>
      <c r="I820" s="54"/>
      <c r="J820" s="54"/>
      <c r="K820" s="63"/>
      <c r="L820" s="54"/>
      <c r="M820" s="54"/>
    </row>
    <row r="821">
      <c r="A821" s="54"/>
      <c r="B821" s="140"/>
      <c r="C821" s="140"/>
      <c r="D821" s="54"/>
      <c r="E821" s="54"/>
      <c r="F821" s="54"/>
      <c r="G821" s="141"/>
      <c r="H821" s="141"/>
      <c r="I821" s="54"/>
      <c r="J821" s="54"/>
      <c r="K821" s="63"/>
      <c r="L821" s="54"/>
      <c r="M821" s="54"/>
    </row>
    <row r="822">
      <c r="A822" s="54"/>
      <c r="B822" s="140"/>
      <c r="C822" s="140"/>
      <c r="D822" s="54"/>
      <c r="E822" s="54"/>
      <c r="F822" s="54"/>
      <c r="G822" s="141"/>
      <c r="H822" s="141"/>
      <c r="I822" s="54"/>
      <c r="J822" s="54"/>
      <c r="K822" s="63"/>
      <c r="L822" s="54"/>
      <c r="M822" s="54"/>
    </row>
    <row r="823">
      <c r="A823" s="54"/>
      <c r="B823" s="140"/>
      <c r="C823" s="140"/>
      <c r="D823" s="54"/>
      <c r="E823" s="54"/>
      <c r="F823" s="54"/>
      <c r="G823" s="141"/>
      <c r="H823" s="141"/>
      <c r="I823" s="54"/>
      <c r="J823" s="54"/>
      <c r="K823" s="63"/>
      <c r="L823" s="54"/>
      <c r="M823" s="54"/>
    </row>
    <row r="824">
      <c r="A824" s="54"/>
      <c r="B824" s="140"/>
      <c r="C824" s="140"/>
      <c r="D824" s="54"/>
      <c r="E824" s="54"/>
      <c r="F824" s="54"/>
      <c r="G824" s="141"/>
      <c r="H824" s="141"/>
      <c r="I824" s="54"/>
      <c r="J824" s="54"/>
      <c r="K824" s="63"/>
      <c r="L824" s="54"/>
      <c r="M824" s="54"/>
    </row>
    <row r="825">
      <c r="A825" s="54"/>
      <c r="B825" s="140"/>
      <c r="C825" s="140"/>
      <c r="D825" s="54"/>
      <c r="E825" s="54"/>
      <c r="F825" s="54"/>
      <c r="G825" s="141"/>
      <c r="H825" s="141"/>
      <c r="I825" s="54"/>
      <c r="J825" s="54"/>
      <c r="K825" s="63"/>
      <c r="L825" s="54"/>
      <c r="M825" s="54"/>
    </row>
    <row r="826">
      <c r="A826" s="54"/>
      <c r="B826" s="140"/>
      <c r="C826" s="140"/>
      <c r="D826" s="54"/>
      <c r="E826" s="54"/>
      <c r="F826" s="54"/>
      <c r="G826" s="141"/>
      <c r="H826" s="141"/>
      <c r="I826" s="54"/>
      <c r="J826" s="54"/>
      <c r="K826" s="63"/>
      <c r="L826" s="54"/>
      <c r="M826" s="54"/>
    </row>
    <row r="827">
      <c r="A827" s="54"/>
      <c r="B827" s="140"/>
      <c r="C827" s="140"/>
      <c r="D827" s="54"/>
      <c r="E827" s="54"/>
      <c r="F827" s="54"/>
      <c r="G827" s="141"/>
      <c r="H827" s="141"/>
      <c r="I827" s="54"/>
      <c r="J827" s="54"/>
      <c r="K827" s="63"/>
      <c r="L827" s="54"/>
      <c r="M827" s="54"/>
    </row>
    <row r="828">
      <c r="A828" s="54"/>
      <c r="B828" s="140"/>
      <c r="C828" s="140"/>
      <c r="D828" s="54"/>
      <c r="E828" s="54"/>
      <c r="F828" s="54"/>
      <c r="G828" s="141"/>
      <c r="H828" s="141"/>
      <c r="I828" s="54"/>
      <c r="J828" s="54"/>
      <c r="K828" s="63"/>
      <c r="L828" s="54"/>
      <c r="M828" s="54"/>
    </row>
    <row r="829">
      <c r="A829" s="54"/>
      <c r="B829" s="140"/>
      <c r="C829" s="140"/>
      <c r="D829" s="54"/>
      <c r="E829" s="54"/>
      <c r="F829" s="54"/>
      <c r="G829" s="141"/>
      <c r="H829" s="141"/>
      <c r="I829" s="54"/>
      <c r="J829" s="54"/>
      <c r="K829" s="63"/>
      <c r="L829" s="54"/>
      <c r="M829" s="54"/>
    </row>
    <row r="830">
      <c r="A830" s="54"/>
      <c r="B830" s="140"/>
      <c r="C830" s="140"/>
      <c r="D830" s="54"/>
      <c r="E830" s="54"/>
      <c r="F830" s="54"/>
      <c r="G830" s="141"/>
      <c r="H830" s="141"/>
      <c r="I830" s="54"/>
      <c r="J830" s="54"/>
      <c r="K830" s="63"/>
      <c r="L830" s="54"/>
      <c r="M830" s="54"/>
    </row>
    <row r="831">
      <c r="A831" s="54"/>
      <c r="B831" s="140"/>
      <c r="C831" s="140"/>
      <c r="D831" s="54"/>
      <c r="E831" s="54"/>
      <c r="F831" s="54"/>
      <c r="G831" s="141"/>
      <c r="H831" s="141"/>
      <c r="I831" s="54"/>
      <c r="J831" s="54"/>
      <c r="K831" s="63"/>
      <c r="L831" s="54"/>
      <c r="M831" s="54"/>
    </row>
    <row r="832">
      <c r="A832" s="54"/>
      <c r="B832" s="140"/>
      <c r="C832" s="140"/>
      <c r="D832" s="54"/>
      <c r="E832" s="54"/>
      <c r="F832" s="54"/>
      <c r="G832" s="141"/>
      <c r="H832" s="141"/>
      <c r="I832" s="54"/>
      <c r="J832" s="54"/>
      <c r="K832" s="63"/>
      <c r="L832" s="54"/>
      <c r="M832" s="54"/>
    </row>
    <row r="833">
      <c r="A833" s="54"/>
      <c r="B833" s="140"/>
      <c r="C833" s="140"/>
      <c r="D833" s="54"/>
      <c r="E833" s="54"/>
      <c r="F833" s="54"/>
      <c r="G833" s="141"/>
      <c r="H833" s="141"/>
      <c r="I833" s="54"/>
      <c r="J833" s="54"/>
      <c r="K833" s="63"/>
      <c r="L833" s="54"/>
      <c r="M833" s="54"/>
    </row>
    <row r="834">
      <c r="A834" s="54"/>
      <c r="B834" s="140"/>
      <c r="C834" s="140"/>
      <c r="D834" s="54"/>
      <c r="E834" s="54"/>
      <c r="F834" s="54"/>
      <c r="G834" s="141"/>
      <c r="H834" s="141"/>
      <c r="I834" s="54"/>
      <c r="J834" s="54"/>
      <c r="K834" s="63"/>
      <c r="L834" s="54"/>
      <c r="M834" s="54"/>
    </row>
    <row r="835">
      <c r="A835" s="54"/>
      <c r="B835" s="140"/>
      <c r="C835" s="140"/>
      <c r="D835" s="54"/>
      <c r="E835" s="54"/>
      <c r="F835" s="54"/>
      <c r="G835" s="141"/>
      <c r="H835" s="141"/>
      <c r="I835" s="54"/>
      <c r="J835" s="54"/>
      <c r="K835" s="63"/>
      <c r="L835" s="54"/>
      <c r="M835" s="54"/>
    </row>
    <row r="836">
      <c r="A836" s="54"/>
      <c r="B836" s="140"/>
      <c r="C836" s="140"/>
      <c r="D836" s="54"/>
      <c r="E836" s="54"/>
      <c r="F836" s="54"/>
      <c r="G836" s="141"/>
      <c r="H836" s="141"/>
      <c r="I836" s="54"/>
      <c r="J836" s="54"/>
      <c r="K836" s="63"/>
      <c r="L836" s="54"/>
      <c r="M836" s="54"/>
    </row>
    <row r="837">
      <c r="A837" s="54"/>
      <c r="B837" s="140"/>
      <c r="C837" s="140"/>
      <c r="D837" s="54"/>
      <c r="E837" s="54"/>
      <c r="F837" s="54"/>
      <c r="G837" s="141"/>
      <c r="H837" s="141"/>
      <c r="I837" s="54"/>
      <c r="J837" s="54"/>
      <c r="K837" s="63"/>
      <c r="L837" s="54"/>
      <c r="M837" s="54"/>
    </row>
    <row r="838">
      <c r="A838" s="54"/>
      <c r="B838" s="140"/>
      <c r="C838" s="140"/>
      <c r="D838" s="54"/>
      <c r="E838" s="54"/>
      <c r="F838" s="54"/>
      <c r="G838" s="141"/>
      <c r="H838" s="141"/>
      <c r="I838" s="54"/>
      <c r="J838" s="54"/>
      <c r="K838" s="63"/>
      <c r="L838" s="54"/>
      <c r="M838" s="54"/>
    </row>
    <row r="839">
      <c r="A839" s="54"/>
      <c r="B839" s="140"/>
      <c r="C839" s="140"/>
      <c r="D839" s="54"/>
      <c r="E839" s="54"/>
      <c r="F839" s="54"/>
      <c r="G839" s="141"/>
      <c r="H839" s="141"/>
      <c r="I839" s="54"/>
      <c r="J839" s="54"/>
      <c r="K839" s="63"/>
      <c r="L839" s="54"/>
      <c r="M839" s="54"/>
    </row>
    <row r="840">
      <c r="A840" s="54"/>
      <c r="B840" s="140"/>
      <c r="C840" s="140"/>
      <c r="D840" s="54"/>
      <c r="E840" s="54"/>
      <c r="F840" s="54"/>
      <c r="G840" s="141"/>
      <c r="H840" s="141"/>
      <c r="I840" s="54"/>
      <c r="J840" s="54"/>
      <c r="K840" s="63"/>
      <c r="L840" s="54"/>
      <c r="M840" s="54"/>
    </row>
    <row r="841">
      <c r="A841" s="54"/>
      <c r="B841" s="140"/>
      <c r="C841" s="140"/>
      <c r="D841" s="54"/>
      <c r="E841" s="54"/>
      <c r="F841" s="54"/>
      <c r="G841" s="141"/>
      <c r="H841" s="141"/>
      <c r="I841" s="54"/>
      <c r="J841" s="54"/>
      <c r="K841" s="63"/>
      <c r="L841" s="54"/>
      <c r="M841" s="54"/>
    </row>
    <row r="842">
      <c r="A842" s="54"/>
      <c r="B842" s="140"/>
      <c r="C842" s="140"/>
      <c r="D842" s="54"/>
      <c r="E842" s="54"/>
      <c r="F842" s="54"/>
      <c r="G842" s="141"/>
      <c r="H842" s="141"/>
      <c r="I842" s="54"/>
      <c r="J842" s="54"/>
      <c r="K842" s="63"/>
      <c r="L842" s="54"/>
      <c r="M842" s="54"/>
    </row>
    <row r="843">
      <c r="A843" s="54"/>
      <c r="B843" s="140"/>
      <c r="C843" s="140"/>
      <c r="D843" s="54"/>
      <c r="E843" s="54"/>
      <c r="F843" s="54"/>
      <c r="G843" s="141"/>
      <c r="H843" s="141"/>
      <c r="I843" s="54"/>
      <c r="J843" s="54"/>
      <c r="K843" s="63"/>
      <c r="L843" s="54"/>
      <c r="M843" s="54"/>
    </row>
    <row r="844">
      <c r="A844" s="54"/>
      <c r="B844" s="140"/>
      <c r="C844" s="140"/>
      <c r="D844" s="54"/>
      <c r="E844" s="54"/>
      <c r="F844" s="54"/>
      <c r="G844" s="141"/>
      <c r="H844" s="141"/>
      <c r="I844" s="54"/>
      <c r="J844" s="54"/>
      <c r="K844" s="63"/>
      <c r="L844" s="54"/>
      <c r="M844" s="54"/>
    </row>
    <row r="845">
      <c r="A845" s="54"/>
      <c r="B845" s="140"/>
      <c r="C845" s="140"/>
      <c r="D845" s="54"/>
      <c r="E845" s="54"/>
      <c r="F845" s="54"/>
      <c r="G845" s="141"/>
      <c r="H845" s="141"/>
      <c r="I845" s="54"/>
      <c r="J845" s="54"/>
      <c r="K845" s="63"/>
      <c r="L845" s="54"/>
      <c r="M845" s="54"/>
    </row>
    <row r="846">
      <c r="A846" s="54"/>
      <c r="B846" s="140"/>
      <c r="C846" s="140"/>
      <c r="D846" s="54"/>
      <c r="E846" s="54"/>
      <c r="F846" s="54"/>
      <c r="G846" s="141"/>
      <c r="H846" s="141"/>
      <c r="I846" s="54"/>
      <c r="J846" s="54"/>
      <c r="K846" s="63"/>
      <c r="L846" s="54"/>
      <c r="M846" s="54"/>
    </row>
    <row r="847">
      <c r="A847" s="54"/>
      <c r="B847" s="140"/>
      <c r="C847" s="140"/>
      <c r="D847" s="54"/>
      <c r="E847" s="54"/>
      <c r="F847" s="54"/>
      <c r="G847" s="141"/>
      <c r="H847" s="141"/>
      <c r="I847" s="54"/>
      <c r="J847" s="54"/>
      <c r="K847" s="63"/>
      <c r="L847" s="54"/>
      <c r="M847" s="54"/>
    </row>
    <row r="848">
      <c r="A848" s="54"/>
      <c r="B848" s="140"/>
      <c r="C848" s="140"/>
      <c r="D848" s="54"/>
      <c r="E848" s="54"/>
      <c r="F848" s="54"/>
      <c r="G848" s="141"/>
      <c r="H848" s="141"/>
      <c r="I848" s="54"/>
      <c r="J848" s="54"/>
      <c r="K848" s="63"/>
      <c r="L848" s="54"/>
      <c r="M848" s="54"/>
    </row>
    <row r="849">
      <c r="A849" s="54"/>
      <c r="B849" s="140"/>
      <c r="C849" s="140"/>
      <c r="D849" s="54"/>
      <c r="E849" s="54"/>
      <c r="F849" s="54"/>
      <c r="G849" s="141"/>
      <c r="H849" s="141"/>
      <c r="I849" s="54"/>
      <c r="J849" s="54"/>
      <c r="K849" s="63"/>
      <c r="L849" s="54"/>
      <c r="M849" s="54"/>
    </row>
    <row r="850">
      <c r="A850" s="54"/>
      <c r="B850" s="140"/>
      <c r="C850" s="140"/>
      <c r="D850" s="54"/>
      <c r="E850" s="54"/>
      <c r="F850" s="54"/>
      <c r="G850" s="141"/>
      <c r="H850" s="141"/>
      <c r="I850" s="54"/>
      <c r="J850" s="54"/>
      <c r="K850" s="63"/>
      <c r="L850" s="54"/>
      <c r="M850" s="54"/>
    </row>
    <row r="851">
      <c r="A851" s="54"/>
      <c r="B851" s="140"/>
      <c r="C851" s="140"/>
      <c r="D851" s="54"/>
      <c r="E851" s="54"/>
      <c r="F851" s="54"/>
      <c r="G851" s="141"/>
      <c r="H851" s="141"/>
      <c r="I851" s="54"/>
      <c r="J851" s="54"/>
      <c r="K851" s="63"/>
      <c r="L851" s="54"/>
      <c r="M851" s="54"/>
    </row>
    <row r="852">
      <c r="A852" s="54"/>
      <c r="B852" s="140"/>
      <c r="C852" s="140"/>
      <c r="D852" s="54"/>
      <c r="E852" s="54"/>
      <c r="F852" s="54"/>
      <c r="G852" s="141"/>
      <c r="H852" s="141"/>
      <c r="I852" s="54"/>
      <c r="J852" s="54"/>
      <c r="K852" s="63"/>
      <c r="L852" s="54"/>
      <c r="M852" s="54"/>
    </row>
    <row r="853">
      <c r="A853" s="54"/>
      <c r="B853" s="140"/>
      <c r="C853" s="140"/>
      <c r="D853" s="54"/>
      <c r="E853" s="54"/>
      <c r="F853" s="54"/>
      <c r="G853" s="141"/>
      <c r="H853" s="141"/>
      <c r="I853" s="54"/>
      <c r="J853" s="54"/>
      <c r="K853" s="63"/>
      <c r="L853" s="54"/>
      <c r="M853" s="54"/>
    </row>
    <row r="854">
      <c r="A854" s="54"/>
      <c r="B854" s="140"/>
      <c r="C854" s="140"/>
      <c r="D854" s="54"/>
      <c r="E854" s="54"/>
      <c r="F854" s="54"/>
      <c r="G854" s="141"/>
      <c r="H854" s="141"/>
      <c r="I854" s="54"/>
      <c r="J854" s="54"/>
      <c r="K854" s="63"/>
      <c r="L854" s="54"/>
      <c r="M854" s="54"/>
    </row>
    <row r="855">
      <c r="A855" s="54"/>
      <c r="B855" s="140"/>
      <c r="C855" s="140"/>
      <c r="D855" s="54"/>
      <c r="E855" s="54"/>
      <c r="F855" s="54"/>
      <c r="G855" s="141"/>
      <c r="H855" s="141"/>
      <c r="I855" s="54"/>
      <c r="J855" s="54"/>
      <c r="K855" s="63"/>
      <c r="L855" s="54"/>
      <c r="M855" s="54"/>
    </row>
    <row r="856">
      <c r="A856" s="54"/>
      <c r="B856" s="140"/>
      <c r="C856" s="140"/>
      <c r="D856" s="54"/>
      <c r="E856" s="54"/>
      <c r="F856" s="54"/>
      <c r="G856" s="141"/>
      <c r="H856" s="141"/>
      <c r="I856" s="54"/>
      <c r="J856" s="54"/>
      <c r="K856" s="63"/>
      <c r="L856" s="54"/>
      <c r="M856" s="54"/>
    </row>
    <row r="857">
      <c r="A857" s="54"/>
      <c r="B857" s="140"/>
      <c r="C857" s="140"/>
      <c r="D857" s="54"/>
      <c r="E857" s="54"/>
      <c r="F857" s="54"/>
      <c r="G857" s="141"/>
      <c r="H857" s="141"/>
      <c r="I857" s="54"/>
      <c r="J857" s="54"/>
      <c r="K857" s="63"/>
      <c r="L857" s="54"/>
      <c r="M857" s="54"/>
    </row>
    <row r="858">
      <c r="A858" s="54"/>
      <c r="B858" s="140"/>
      <c r="C858" s="140"/>
      <c r="D858" s="54"/>
      <c r="E858" s="54"/>
      <c r="F858" s="54"/>
      <c r="G858" s="141"/>
      <c r="H858" s="141"/>
      <c r="I858" s="54"/>
      <c r="J858" s="54"/>
      <c r="K858" s="63"/>
      <c r="L858" s="54"/>
      <c r="M858" s="54"/>
    </row>
    <row r="859">
      <c r="A859" s="54"/>
      <c r="B859" s="140"/>
      <c r="C859" s="140"/>
      <c r="D859" s="54"/>
      <c r="E859" s="54"/>
      <c r="F859" s="54"/>
      <c r="G859" s="141"/>
      <c r="H859" s="141"/>
      <c r="I859" s="54"/>
      <c r="J859" s="54"/>
      <c r="K859" s="63"/>
      <c r="L859" s="54"/>
      <c r="M859" s="54"/>
    </row>
    <row r="860">
      <c r="A860" s="54"/>
      <c r="B860" s="140"/>
      <c r="C860" s="140"/>
      <c r="D860" s="54"/>
      <c r="E860" s="54"/>
      <c r="F860" s="54"/>
      <c r="G860" s="141"/>
      <c r="H860" s="141"/>
      <c r="I860" s="54"/>
      <c r="J860" s="54"/>
      <c r="K860" s="63"/>
      <c r="L860" s="54"/>
      <c r="M860" s="54"/>
    </row>
    <row r="861">
      <c r="A861" s="54"/>
      <c r="B861" s="140"/>
      <c r="C861" s="140"/>
      <c r="D861" s="54"/>
      <c r="E861" s="54"/>
      <c r="F861" s="54"/>
      <c r="G861" s="141"/>
      <c r="H861" s="141"/>
      <c r="I861" s="54"/>
      <c r="J861" s="54"/>
      <c r="K861" s="63"/>
      <c r="L861" s="54"/>
      <c r="M861" s="54"/>
    </row>
    <row r="862">
      <c r="A862" s="54"/>
      <c r="B862" s="140"/>
      <c r="C862" s="140"/>
      <c r="D862" s="54"/>
      <c r="E862" s="54"/>
      <c r="F862" s="54"/>
      <c r="G862" s="141"/>
      <c r="H862" s="141"/>
      <c r="I862" s="54"/>
      <c r="J862" s="54"/>
      <c r="K862" s="63"/>
      <c r="L862" s="54"/>
      <c r="M862" s="54"/>
    </row>
    <row r="863">
      <c r="A863" s="54"/>
      <c r="B863" s="140"/>
      <c r="C863" s="140"/>
      <c r="D863" s="54"/>
      <c r="E863" s="54"/>
      <c r="F863" s="54"/>
      <c r="G863" s="141"/>
      <c r="H863" s="141"/>
      <c r="I863" s="54"/>
      <c r="J863" s="54"/>
      <c r="K863" s="63"/>
      <c r="L863" s="54"/>
      <c r="M863" s="54"/>
    </row>
    <row r="864">
      <c r="A864" s="54"/>
      <c r="B864" s="140"/>
      <c r="C864" s="140"/>
      <c r="D864" s="54"/>
      <c r="E864" s="54"/>
      <c r="F864" s="54"/>
      <c r="G864" s="141"/>
      <c r="H864" s="141"/>
      <c r="I864" s="54"/>
      <c r="J864" s="54"/>
      <c r="K864" s="63"/>
      <c r="L864" s="54"/>
      <c r="M864" s="54"/>
    </row>
    <row r="865">
      <c r="A865" s="54"/>
      <c r="B865" s="140"/>
      <c r="C865" s="140"/>
      <c r="D865" s="54"/>
      <c r="E865" s="54"/>
      <c r="F865" s="54"/>
      <c r="G865" s="141"/>
      <c r="H865" s="141"/>
      <c r="I865" s="54"/>
      <c r="J865" s="54"/>
      <c r="K865" s="63"/>
      <c r="L865" s="54"/>
      <c r="M865" s="54"/>
    </row>
    <row r="866">
      <c r="A866" s="54"/>
      <c r="B866" s="140"/>
      <c r="C866" s="140"/>
      <c r="D866" s="54"/>
      <c r="E866" s="54"/>
      <c r="F866" s="54"/>
      <c r="G866" s="141"/>
      <c r="H866" s="141"/>
      <c r="I866" s="54"/>
      <c r="J866" s="54"/>
      <c r="K866" s="63"/>
      <c r="L866" s="54"/>
      <c r="M866" s="54"/>
    </row>
    <row r="867">
      <c r="A867" s="54"/>
      <c r="B867" s="140"/>
      <c r="C867" s="140"/>
      <c r="D867" s="54"/>
      <c r="E867" s="54"/>
      <c r="F867" s="54"/>
      <c r="G867" s="141"/>
      <c r="H867" s="141"/>
      <c r="I867" s="54"/>
      <c r="J867" s="54"/>
      <c r="K867" s="63"/>
      <c r="L867" s="54"/>
      <c r="M867" s="54"/>
    </row>
    <row r="868">
      <c r="A868" s="54"/>
      <c r="B868" s="140"/>
      <c r="C868" s="140"/>
      <c r="D868" s="54"/>
      <c r="E868" s="54"/>
      <c r="F868" s="54"/>
      <c r="G868" s="141"/>
      <c r="H868" s="141"/>
      <c r="I868" s="54"/>
      <c r="J868" s="54"/>
      <c r="K868" s="63"/>
      <c r="L868" s="54"/>
      <c r="M868" s="54"/>
    </row>
    <row r="869">
      <c r="A869" s="54"/>
      <c r="B869" s="140"/>
      <c r="C869" s="140"/>
      <c r="D869" s="54"/>
      <c r="E869" s="54"/>
      <c r="F869" s="54"/>
      <c r="G869" s="141"/>
      <c r="H869" s="141"/>
      <c r="I869" s="54"/>
      <c r="J869" s="54"/>
      <c r="K869" s="63"/>
      <c r="L869" s="54"/>
      <c r="M869" s="54"/>
    </row>
    <row r="870">
      <c r="A870" s="54"/>
      <c r="B870" s="140"/>
      <c r="C870" s="140"/>
      <c r="D870" s="54"/>
      <c r="E870" s="54"/>
      <c r="F870" s="54"/>
      <c r="G870" s="141"/>
      <c r="H870" s="141"/>
      <c r="I870" s="54"/>
      <c r="J870" s="54"/>
      <c r="K870" s="63"/>
      <c r="L870" s="54"/>
      <c r="M870" s="54"/>
    </row>
    <row r="871">
      <c r="A871" s="54"/>
      <c r="B871" s="140"/>
      <c r="C871" s="140"/>
      <c r="D871" s="54"/>
      <c r="E871" s="54"/>
      <c r="F871" s="54"/>
      <c r="G871" s="141"/>
      <c r="H871" s="141"/>
      <c r="I871" s="54"/>
      <c r="J871" s="54"/>
      <c r="K871" s="63"/>
      <c r="L871" s="54"/>
      <c r="M871" s="54"/>
    </row>
    <row r="872">
      <c r="A872" s="54"/>
      <c r="B872" s="140"/>
      <c r="C872" s="140"/>
      <c r="D872" s="54"/>
      <c r="E872" s="54"/>
      <c r="F872" s="54"/>
      <c r="G872" s="141"/>
      <c r="H872" s="141"/>
      <c r="I872" s="54"/>
      <c r="J872" s="54"/>
      <c r="K872" s="63"/>
      <c r="L872" s="54"/>
      <c r="M872" s="54"/>
    </row>
    <row r="873">
      <c r="A873" s="54"/>
      <c r="B873" s="140"/>
      <c r="C873" s="140"/>
      <c r="D873" s="54"/>
      <c r="E873" s="54"/>
      <c r="F873" s="54"/>
      <c r="G873" s="141"/>
      <c r="H873" s="141"/>
      <c r="I873" s="54"/>
      <c r="J873" s="54"/>
      <c r="K873" s="63"/>
      <c r="L873" s="54"/>
      <c r="M873" s="54"/>
    </row>
    <row r="874">
      <c r="A874" s="54"/>
      <c r="B874" s="140"/>
      <c r="C874" s="140"/>
      <c r="D874" s="54"/>
      <c r="E874" s="54"/>
      <c r="F874" s="54"/>
      <c r="G874" s="141"/>
      <c r="H874" s="141"/>
      <c r="I874" s="54"/>
      <c r="J874" s="54"/>
      <c r="K874" s="63"/>
      <c r="L874" s="54"/>
      <c r="M874" s="54"/>
    </row>
    <row r="875">
      <c r="A875" s="54"/>
      <c r="B875" s="140"/>
      <c r="C875" s="140"/>
      <c r="D875" s="54"/>
      <c r="E875" s="54"/>
      <c r="F875" s="54"/>
      <c r="G875" s="141"/>
      <c r="H875" s="141"/>
      <c r="I875" s="54"/>
      <c r="J875" s="54"/>
      <c r="K875" s="63"/>
      <c r="L875" s="54"/>
      <c r="M875" s="54"/>
    </row>
    <row r="876">
      <c r="A876" s="54"/>
      <c r="B876" s="140"/>
      <c r="C876" s="140"/>
      <c r="D876" s="54"/>
      <c r="E876" s="54"/>
      <c r="F876" s="54"/>
      <c r="G876" s="141"/>
      <c r="H876" s="141"/>
      <c r="I876" s="54"/>
      <c r="J876" s="54"/>
      <c r="K876" s="63"/>
      <c r="L876" s="54"/>
      <c r="M876" s="54"/>
    </row>
    <row r="877">
      <c r="A877" s="54"/>
      <c r="B877" s="140"/>
      <c r="C877" s="140"/>
      <c r="D877" s="54"/>
      <c r="E877" s="54"/>
      <c r="F877" s="54"/>
      <c r="G877" s="141"/>
      <c r="H877" s="141"/>
      <c r="I877" s="54"/>
      <c r="J877" s="54"/>
      <c r="K877" s="63"/>
      <c r="L877" s="54"/>
      <c r="M877" s="54"/>
    </row>
    <row r="878">
      <c r="A878" s="54"/>
      <c r="B878" s="140"/>
      <c r="C878" s="140"/>
      <c r="D878" s="54"/>
      <c r="E878" s="54"/>
      <c r="F878" s="54"/>
      <c r="G878" s="141"/>
      <c r="H878" s="141"/>
      <c r="I878" s="54"/>
      <c r="J878" s="54"/>
      <c r="K878" s="63"/>
      <c r="L878" s="54"/>
      <c r="M878" s="54"/>
    </row>
    <row r="879">
      <c r="A879" s="54"/>
      <c r="B879" s="140"/>
      <c r="C879" s="140"/>
      <c r="D879" s="54"/>
      <c r="E879" s="54"/>
      <c r="F879" s="54"/>
      <c r="G879" s="141"/>
      <c r="H879" s="141"/>
      <c r="I879" s="54"/>
      <c r="J879" s="54"/>
      <c r="K879" s="63"/>
      <c r="L879" s="54"/>
      <c r="M879" s="54"/>
    </row>
    <row r="880">
      <c r="A880" s="54"/>
      <c r="B880" s="140"/>
      <c r="C880" s="140"/>
      <c r="D880" s="54"/>
      <c r="E880" s="54"/>
      <c r="F880" s="54"/>
      <c r="G880" s="141"/>
      <c r="H880" s="141"/>
      <c r="I880" s="54"/>
      <c r="J880" s="54"/>
      <c r="K880" s="63"/>
      <c r="L880" s="54"/>
      <c r="M880" s="54"/>
    </row>
    <row r="881">
      <c r="A881" s="54"/>
      <c r="B881" s="140"/>
      <c r="C881" s="140"/>
      <c r="D881" s="54"/>
      <c r="E881" s="54"/>
      <c r="F881" s="54"/>
      <c r="G881" s="141"/>
      <c r="H881" s="141"/>
      <c r="I881" s="54"/>
      <c r="J881" s="54"/>
      <c r="K881" s="63"/>
      <c r="L881" s="54"/>
      <c r="M881" s="54"/>
    </row>
    <row r="882">
      <c r="A882" s="54"/>
      <c r="B882" s="140"/>
      <c r="C882" s="140"/>
      <c r="D882" s="54"/>
      <c r="E882" s="54"/>
      <c r="F882" s="54"/>
      <c r="G882" s="141"/>
      <c r="H882" s="141"/>
      <c r="I882" s="54"/>
      <c r="J882" s="54"/>
      <c r="K882" s="63"/>
      <c r="L882" s="54"/>
      <c r="M882" s="54"/>
    </row>
    <row r="883">
      <c r="A883" s="54"/>
      <c r="B883" s="140"/>
      <c r="C883" s="140"/>
      <c r="D883" s="54"/>
      <c r="E883" s="54"/>
      <c r="F883" s="54"/>
      <c r="G883" s="141"/>
      <c r="H883" s="141"/>
      <c r="I883" s="54"/>
      <c r="J883" s="54"/>
      <c r="K883" s="63"/>
      <c r="L883" s="54"/>
      <c r="M883" s="54"/>
    </row>
    <row r="884">
      <c r="A884" s="54"/>
      <c r="B884" s="140"/>
      <c r="C884" s="140"/>
      <c r="D884" s="54"/>
      <c r="E884" s="54"/>
      <c r="F884" s="54"/>
      <c r="G884" s="141"/>
      <c r="H884" s="141"/>
      <c r="I884" s="54"/>
      <c r="J884" s="54"/>
      <c r="K884" s="63"/>
      <c r="L884" s="54"/>
      <c r="M884" s="54"/>
    </row>
    <row r="885">
      <c r="A885" s="54"/>
      <c r="B885" s="140"/>
      <c r="C885" s="140"/>
      <c r="D885" s="54"/>
      <c r="E885" s="54"/>
      <c r="F885" s="54"/>
      <c r="G885" s="141"/>
      <c r="H885" s="141"/>
      <c r="I885" s="54"/>
      <c r="J885" s="54"/>
      <c r="K885" s="63"/>
      <c r="L885" s="54"/>
      <c r="M885" s="54"/>
    </row>
    <row r="886">
      <c r="A886" s="54"/>
      <c r="B886" s="140"/>
      <c r="C886" s="140"/>
      <c r="D886" s="54"/>
      <c r="E886" s="54"/>
      <c r="F886" s="54"/>
      <c r="G886" s="141"/>
      <c r="H886" s="141"/>
      <c r="I886" s="54"/>
      <c r="J886" s="54"/>
      <c r="K886" s="63"/>
      <c r="L886" s="54"/>
      <c r="M886" s="54"/>
    </row>
    <row r="887">
      <c r="A887" s="54"/>
      <c r="B887" s="140"/>
      <c r="C887" s="140"/>
      <c r="D887" s="54"/>
      <c r="E887" s="54"/>
      <c r="F887" s="54"/>
      <c r="G887" s="141"/>
      <c r="H887" s="141"/>
      <c r="I887" s="54"/>
      <c r="J887" s="54"/>
      <c r="K887" s="63"/>
      <c r="L887" s="54"/>
      <c r="M887" s="54"/>
    </row>
    <row r="888">
      <c r="A888" s="54"/>
      <c r="B888" s="140"/>
      <c r="C888" s="140"/>
      <c r="D888" s="54"/>
      <c r="E888" s="54"/>
      <c r="F888" s="54"/>
      <c r="G888" s="141"/>
      <c r="H888" s="141"/>
      <c r="I888" s="54"/>
      <c r="J888" s="54"/>
      <c r="K888" s="63"/>
      <c r="L888" s="54"/>
      <c r="M888" s="54"/>
    </row>
    <row r="889">
      <c r="A889" s="54"/>
      <c r="B889" s="140"/>
      <c r="C889" s="140"/>
      <c r="D889" s="54"/>
      <c r="E889" s="54"/>
      <c r="F889" s="54"/>
      <c r="G889" s="141"/>
      <c r="H889" s="141"/>
      <c r="I889" s="54"/>
      <c r="J889" s="54"/>
      <c r="K889" s="63"/>
      <c r="L889" s="54"/>
      <c r="M889" s="54"/>
    </row>
    <row r="890">
      <c r="A890" s="54"/>
      <c r="B890" s="140"/>
      <c r="C890" s="140"/>
      <c r="D890" s="54"/>
      <c r="E890" s="54"/>
      <c r="F890" s="54"/>
      <c r="G890" s="141"/>
      <c r="H890" s="141"/>
      <c r="I890" s="54"/>
      <c r="J890" s="54"/>
      <c r="K890" s="63"/>
      <c r="L890" s="54"/>
      <c r="M890" s="54"/>
    </row>
    <row r="891">
      <c r="A891" s="54"/>
      <c r="B891" s="140"/>
      <c r="C891" s="140"/>
      <c r="D891" s="54"/>
      <c r="E891" s="54"/>
      <c r="F891" s="54"/>
      <c r="G891" s="141"/>
      <c r="H891" s="141"/>
      <c r="I891" s="54"/>
      <c r="J891" s="54"/>
      <c r="K891" s="63"/>
      <c r="L891" s="54"/>
      <c r="M891" s="54"/>
    </row>
    <row r="892">
      <c r="A892" s="54"/>
      <c r="B892" s="140"/>
      <c r="C892" s="140"/>
      <c r="D892" s="54"/>
      <c r="E892" s="54"/>
      <c r="F892" s="54"/>
      <c r="G892" s="141"/>
      <c r="H892" s="141"/>
      <c r="I892" s="54"/>
      <c r="J892" s="54"/>
      <c r="K892" s="63"/>
      <c r="L892" s="54"/>
      <c r="M892" s="54"/>
    </row>
    <row r="893">
      <c r="A893" s="54"/>
      <c r="B893" s="140"/>
      <c r="C893" s="140"/>
      <c r="D893" s="54"/>
      <c r="E893" s="54"/>
      <c r="F893" s="54"/>
      <c r="G893" s="141"/>
      <c r="H893" s="141"/>
      <c r="I893" s="54"/>
      <c r="J893" s="54"/>
      <c r="K893" s="63"/>
      <c r="L893" s="54"/>
      <c r="M893" s="54"/>
    </row>
    <row r="894">
      <c r="A894" s="54"/>
      <c r="B894" s="140"/>
      <c r="C894" s="140"/>
      <c r="D894" s="54"/>
      <c r="E894" s="54"/>
      <c r="F894" s="54"/>
      <c r="G894" s="141"/>
      <c r="H894" s="141"/>
      <c r="I894" s="54"/>
      <c r="J894" s="54"/>
      <c r="K894" s="63"/>
      <c r="L894" s="54"/>
      <c r="M894" s="54"/>
    </row>
    <row r="895">
      <c r="A895" s="54"/>
      <c r="B895" s="140"/>
      <c r="C895" s="140"/>
      <c r="D895" s="54"/>
      <c r="E895" s="54"/>
      <c r="F895" s="54"/>
      <c r="G895" s="141"/>
      <c r="H895" s="141"/>
      <c r="I895" s="54"/>
      <c r="J895" s="54"/>
      <c r="K895" s="63"/>
      <c r="L895" s="54"/>
      <c r="M895" s="54"/>
    </row>
    <row r="896">
      <c r="A896" s="54"/>
      <c r="B896" s="140"/>
      <c r="C896" s="140"/>
      <c r="D896" s="54"/>
      <c r="E896" s="54"/>
      <c r="F896" s="54"/>
      <c r="G896" s="141"/>
      <c r="H896" s="141"/>
      <c r="I896" s="54"/>
      <c r="J896" s="54"/>
      <c r="K896" s="63"/>
      <c r="L896" s="54"/>
      <c r="M896" s="54"/>
    </row>
    <row r="897">
      <c r="A897" s="54"/>
      <c r="B897" s="140"/>
      <c r="C897" s="140"/>
      <c r="D897" s="54"/>
      <c r="E897" s="54"/>
      <c r="F897" s="54"/>
      <c r="G897" s="141"/>
      <c r="H897" s="141"/>
      <c r="I897" s="54"/>
      <c r="J897" s="54"/>
      <c r="K897" s="63"/>
      <c r="L897" s="54"/>
      <c r="M897" s="54"/>
    </row>
    <row r="898">
      <c r="A898" s="54"/>
      <c r="B898" s="140"/>
      <c r="C898" s="140"/>
      <c r="D898" s="54"/>
      <c r="E898" s="54"/>
      <c r="F898" s="54"/>
      <c r="G898" s="141"/>
      <c r="H898" s="141"/>
      <c r="I898" s="54"/>
      <c r="J898" s="54"/>
      <c r="K898" s="63"/>
      <c r="L898" s="54"/>
      <c r="M898" s="54"/>
    </row>
    <row r="899">
      <c r="A899" s="54"/>
      <c r="B899" s="140"/>
      <c r="C899" s="140"/>
      <c r="D899" s="54"/>
      <c r="E899" s="54"/>
      <c r="F899" s="54"/>
      <c r="G899" s="141"/>
      <c r="H899" s="141"/>
      <c r="I899" s="54"/>
      <c r="J899" s="54"/>
      <c r="K899" s="63"/>
      <c r="L899" s="54"/>
      <c r="M899" s="54"/>
    </row>
    <row r="900">
      <c r="A900" s="54"/>
      <c r="B900" s="140"/>
      <c r="C900" s="140"/>
      <c r="D900" s="54"/>
      <c r="E900" s="54"/>
      <c r="F900" s="54"/>
      <c r="G900" s="141"/>
      <c r="H900" s="141"/>
      <c r="I900" s="54"/>
      <c r="J900" s="54"/>
      <c r="K900" s="63"/>
      <c r="L900" s="54"/>
      <c r="M900" s="54"/>
    </row>
    <row r="901">
      <c r="A901" s="54"/>
      <c r="B901" s="140"/>
      <c r="C901" s="140"/>
      <c r="D901" s="54"/>
      <c r="E901" s="54"/>
      <c r="F901" s="54"/>
      <c r="G901" s="141"/>
      <c r="H901" s="141"/>
      <c r="I901" s="54"/>
      <c r="J901" s="54"/>
      <c r="K901" s="63"/>
      <c r="L901" s="54"/>
      <c r="M901" s="54"/>
    </row>
    <row r="902">
      <c r="A902" s="54"/>
      <c r="B902" s="140"/>
      <c r="C902" s="140"/>
      <c r="D902" s="54"/>
      <c r="E902" s="54"/>
      <c r="F902" s="54"/>
      <c r="G902" s="141"/>
      <c r="H902" s="141"/>
      <c r="I902" s="54"/>
      <c r="J902" s="54"/>
      <c r="K902" s="63"/>
      <c r="L902" s="54"/>
      <c r="M902" s="54"/>
    </row>
    <row r="903">
      <c r="A903" s="54"/>
      <c r="B903" s="140"/>
      <c r="C903" s="140"/>
      <c r="D903" s="54"/>
      <c r="E903" s="54"/>
      <c r="F903" s="54"/>
      <c r="G903" s="141"/>
      <c r="H903" s="141"/>
      <c r="I903" s="54"/>
      <c r="J903" s="54"/>
      <c r="K903" s="63"/>
      <c r="L903" s="54"/>
      <c r="M903" s="54"/>
    </row>
    <row r="904">
      <c r="A904" s="54"/>
      <c r="B904" s="140"/>
      <c r="C904" s="140"/>
      <c r="D904" s="54"/>
      <c r="E904" s="54"/>
      <c r="F904" s="54"/>
      <c r="G904" s="141"/>
      <c r="H904" s="141"/>
      <c r="I904" s="54"/>
      <c r="J904" s="54"/>
      <c r="K904" s="63"/>
      <c r="L904" s="54"/>
      <c r="M904" s="54"/>
    </row>
    <row r="905">
      <c r="A905" s="54"/>
      <c r="B905" s="140"/>
      <c r="C905" s="140"/>
      <c r="D905" s="54"/>
      <c r="E905" s="54"/>
      <c r="F905" s="54"/>
      <c r="G905" s="141"/>
      <c r="H905" s="141"/>
      <c r="I905" s="54"/>
      <c r="J905" s="54"/>
      <c r="K905" s="63"/>
      <c r="L905" s="54"/>
      <c r="M905" s="54"/>
    </row>
    <row r="906">
      <c r="A906" s="54"/>
      <c r="B906" s="140"/>
      <c r="C906" s="140"/>
      <c r="D906" s="54"/>
      <c r="E906" s="54"/>
      <c r="F906" s="54"/>
      <c r="G906" s="141"/>
      <c r="H906" s="141"/>
      <c r="I906" s="54"/>
      <c r="J906" s="54"/>
      <c r="K906" s="63"/>
      <c r="L906" s="54"/>
      <c r="M906" s="54"/>
    </row>
    <row r="907">
      <c r="A907" s="54"/>
      <c r="B907" s="140"/>
      <c r="C907" s="140"/>
      <c r="D907" s="54"/>
      <c r="E907" s="54"/>
      <c r="F907" s="54"/>
      <c r="G907" s="141"/>
      <c r="H907" s="141"/>
      <c r="I907" s="54"/>
      <c r="J907" s="54"/>
      <c r="K907" s="63"/>
      <c r="L907" s="54"/>
      <c r="M907" s="54"/>
    </row>
    <row r="908">
      <c r="A908" s="54"/>
      <c r="B908" s="140"/>
      <c r="C908" s="140"/>
      <c r="D908" s="54"/>
      <c r="E908" s="54"/>
      <c r="F908" s="54"/>
      <c r="G908" s="141"/>
      <c r="H908" s="141"/>
      <c r="I908" s="54"/>
      <c r="J908" s="54"/>
      <c r="K908" s="63"/>
      <c r="L908" s="54"/>
      <c r="M908" s="54"/>
    </row>
    <row r="909">
      <c r="A909" s="54"/>
      <c r="B909" s="140"/>
      <c r="C909" s="140"/>
      <c r="D909" s="54"/>
      <c r="E909" s="54"/>
      <c r="F909" s="54"/>
      <c r="G909" s="141"/>
      <c r="H909" s="141"/>
      <c r="I909" s="54"/>
      <c r="J909" s="54"/>
      <c r="K909" s="63"/>
      <c r="L909" s="54"/>
      <c r="M909" s="54"/>
    </row>
    <row r="910">
      <c r="A910" s="54"/>
      <c r="B910" s="140"/>
      <c r="C910" s="140"/>
      <c r="D910" s="54"/>
      <c r="E910" s="54"/>
      <c r="F910" s="54"/>
      <c r="G910" s="141"/>
      <c r="H910" s="141"/>
      <c r="I910" s="54"/>
      <c r="J910" s="54"/>
      <c r="K910" s="63"/>
      <c r="L910" s="54"/>
      <c r="M910" s="54"/>
    </row>
    <row r="911">
      <c r="A911" s="54"/>
      <c r="B911" s="140"/>
      <c r="C911" s="140"/>
      <c r="D911" s="54"/>
      <c r="E911" s="54"/>
      <c r="F911" s="54"/>
      <c r="G911" s="141"/>
      <c r="H911" s="141"/>
      <c r="I911" s="54"/>
      <c r="J911" s="54"/>
      <c r="K911" s="63"/>
      <c r="L911" s="54"/>
      <c r="M911" s="54"/>
    </row>
    <row r="912">
      <c r="A912" s="54"/>
      <c r="B912" s="140"/>
      <c r="C912" s="140"/>
      <c r="D912" s="54"/>
      <c r="E912" s="54"/>
      <c r="F912" s="54"/>
      <c r="G912" s="141"/>
      <c r="H912" s="141"/>
      <c r="I912" s="54"/>
      <c r="J912" s="54"/>
      <c r="K912" s="63"/>
      <c r="L912" s="54"/>
      <c r="M912" s="54"/>
    </row>
    <row r="913">
      <c r="A913" s="54"/>
      <c r="B913" s="140"/>
      <c r="C913" s="140"/>
      <c r="D913" s="54"/>
      <c r="E913" s="54"/>
      <c r="F913" s="54"/>
      <c r="G913" s="141"/>
      <c r="H913" s="141"/>
      <c r="I913" s="54"/>
      <c r="J913" s="54"/>
      <c r="K913" s="63"/>
      <c r="L913" s="54"/>
      <c r="M913" s="54"/>
    </row>
    <row r="914">
      <c r="A914" s="54"/>
      <c r="B914" s="140"/>
      <c r="C914" s="140"/>
      <c r="D914" s="54"/>
      <c r="E914" s="54"/>
      <c r="F914" s="54"/>
      <c r="G914" s="141"/>
      <c r="H914" s="141"/>
      <c r="I914" s="54"/>
      <c r="J914" s="54"/>
      <c r="K914" s="63"/>
      <c r="L914" s="54"/>
      <c r="M914" s="54"/>
    </row>
    <row r="915">
      <c r="A915" s="54"/>
      <c r="B915" s="140"/>
      <c r="C915" s="140"/>
      <c r="D915" s="54"/>
      <c r="E915" s="54"/>
      <c r="F915" s="54"/>
      <c r="G915" s="141"/>
      <c r="H915" s="141"/>
      <c r="I915" s="54"/>
      <c r="J915" s="54"/>
      <c r="K915" s="63"/>
      <c r="L915" s="54"/>
      <c r="M915" s="54"/>
    </row>
    <row r="916">
      <c r="A916" s="54"/>
      <c r="B916" s="140"/>
      <c r="C916" s="140"/>
      <c r="D916" s="54"/>
      <c r="E916" s="54"/>
      <c r="F916" s="54"/>
      <c r="G916" s="141"/>
      <c r="H916" s="141"/>
      <c r="I916" s="54"/>
      <c r="J916" s="54"/>
      <c r="K916" s="63"/>
      <c r="L916" s="54"/>
      <c r="M916" s="54"/>
    </row>
    <row r="917">
      <c r="A917" s="54"/>
      <c r="B917" s="140"/>
      <c r="C917" s="140"/>
      <c r="D917" s="54"/>
      <c r="E917" s="54"/>
      <c r="F917" s="54"/>
      <c r="G917" s="141"/>
      <c r="H917" s="141"/>
      <c r="I917" s="54"/>
      <c r="J917" s="54"/>
      <c r="K917" s="63"/>
      <c r="L917" s="54"/>
      <c r="M917" s="54"/>
    </row>
    <row r="918">
      <c r="A918" s="54"/>
      <c r="B918" s="140"/>
      <c r="C918" s="140"/>
      <c r="D918" s="54"/>
      <c r="E918" s="54"/>
      <c r="F918" s="54"/>
      <c r="G918" s="141"/>
      <c r="H918" s="141"/>
      <c r="I918" s="54"/>
      <c r="J918" s="54"/>
      <c r="K918" s="63"/>
      <c r="L918" s="54"/>
      <c r="M918" s="54"/>
    </row>
    <row r="919">
      <c r="A919" s="54"/>
      <c r="B919" s="140"/>
      <c r="C919" s="140"/>
      <c r="D919" s="54"/>
      <c r="E919" s="54"/>
      <c r="F919" s="54"/>
      <c r="G919" s="141"/>
      <c r="H919" s="141"/>
      <c r="I919" s="54"/>
      <c r="J919" s="54"/>
      <c r="K919" s="63"/>
      <c r="L919" s="54"/>
      <c r="M919" s="54"/>
    </row>
    <row r="920">
      <c r="A920" s="54"/>
      <c r="B920" s="140"/>
      <c r="C920" s="140"/>
      <c r="D920" s="54"/>
      <c r="E920" s="54"/>
      <c r="F920" s="54"/>
      <c r="G920" s="141"/>
      <c r="H920" s="141"/>
      <c r="I920" s="54"/>
      <c r="J920" s="54"/>
      <c r="K920" s="63"/>
      <c r="L920" s="54"/>
      <c r="M920" s="54"/>
    </row>
    <row r="921">
      <c r="A921" s="54"/>
      <c r="B921" s="140"/>
      <c r="C921" s="140"/>
      <c r="D921" s="54"/>
      <c r="E921" s="54"/>
      <c r="F921" s="54"/>
      <c r="G921" s="141"/>
      <c r="H921" s="141"/>
      <c r="I921" s="54"/>
      <c r="J921" s="54"/>
      <c r="K921" s="63"/>
      <c r="L921" s="54"/>
      <c r="M921" s="54"/>
    </row>
    <row r="922">
      <c r="A922" s="54"/>
      <c r="B922" s="140"/>
      <c r="C922" s="140"/>
      <c r="D922" s="54"/>
      <c r="E922" s="54"/>
      <c r="F922" s="54"/>
      <c r="G922" s="141"/>
      <c r="H922" s="141"/>
      <c r="I922" s="54"/>
      <c r="J922" s="54"/>
      <c r="K922" s="63"/>
      <c r="L922" s="54"/>
      <c r="M922" s="54"/>
    </row>
    <row r="923">
      <c r="A923" s="54"/>
      <c r="B923" s="140"/>
      <c r="C923" s="140"/>
      <c r="D923" s="54"/>
      <c r="E923" s="54"/>
      <c r="F923" s="54"/>
      <c r="G923" s="141"/>
      <c r="H923" s="141"/>
      <c r="I923" s="54"/>
      <c r="J923" s="54"/>
      <c r="K923" s="63"/>
      <c r="L923" s="54"/>
      <c r="M923" s="54"/>
    </row>
    <row r="924">
      <c r="A924" s="54"/>
      <c r="B924" s="140"/>
      <c r="C924" s="140"/>
      <c r="D924" s="54"/>
      <c r="E924" s="54"/>
      <c r="F924" s="54"/>
      <c r="G924" s="141"/>
      <c r="H924" s="141"/>
      <c r="I924" s="54"/>
      <c r="J924" s="54"/>
      <c r="K924" s="63"/>
      <c r="L924" s="54"/>
      <c r="M924" s="54"/>
    </row>
    <row r="925">
      <c r="A925" s="54"/>
      <c r="B925" s="140"/>
      <c r="C925" s="140"/>
      <c r="D925" s="54"/>
      <c r="E925" s="54"/>
      <c r="F925" s="54"/>
      <c r="G925" s="141"/>
      <c r="H925" s="141"/>
      <c r="I925" s="54"/>
      <c r="J925" s="54"/>
      <c r="K925" s="63"/>
      <c r="L925" s="54"/>
      <c r="M925" s="54"/>
    </row>
    <row r="926">
      <c r="A926" s="54"/>
      <c r="B926" s="140"/>
      <c r="C926" s="140"/>
      <c r="D926" s="54"/>
      <c r="E926" s="54"/>
      <c r="F926" s="54"/>
      <c r="G926" s="141"/>
      <c r="H926" s="141"/>
      <c r="I926" s="54"/>
      <c r="J926" s="54"/>
      <c r="K926" s="63"/>
      <c r="L926" s="54"/>
      <c r="M926" s="54"/>
    </row>
    <row r="927">
      <c r="A927" s="54"/>
      <c r="B927" s="140"/>
      <c r="C927" s="140"/>
      <c r="D927" s="54"/>
      <c r="E927" s="54"/>
      <c r="F927" s="54"/>
      <c r="G927" s="141"/>
      <c r="H927" s="141"/>
      <c r="I927" s="54"/>
      <c r="J927" s="54"/>
      <c r="K927" s="63"/>
      <c r="L927" s="54"/>
      <c r="M927" s="54"/>
    </row>
    <row r="928">
      <c r="A928" s="54"/>
      <c r="B928" s="140"/>
      <c r="C928" s="140"/>
      <c r="D928" s="54"/>
      <c r="E928" s="54"/>
      <c r="F928" s="54"/>
      <c r="G928" s="141"/>
      <c r="H928" s="141"/>
      <c r="I928" s="54"/>
      <c r="J928" s="54"/>
      <c r="K928" s="63"/>
      <c r="L928" s="54"/>
      <c r="M928" s="54"/>
    </row>
    <row r="929">
      <c r="A929" s="54"/>
      <c r="B929" s="140"/>
      <c r="C929" s="140"/>
      <c r="D929" s="54"/>
      <c r="E929" s="54"/>
      <c r="F929" s="54"/>
      <c r="G929" s="141"/>
      <c r="H929" s="141"/>
      <c r="I929" s="54"/>
      <c r="J929" s="54"/>
      <c r="K929" s="63"/>
      <c r="L929" s="54"/>
      <c r="M929" s="54"/>
    </row>
    <row r="930">
      <c r="A930" s="54"/>
      <c r="B930" s="140"/>
      <c r="C930" s="140"/>
      <c r="D930" s="54"/>
      <c r="E930" s="54"/>
      <c r="F930" s="54"/>
      <c r="G930" s="141"/>
      <c r="H930" s="141"/>
      <c r="I930" s="54"/>
      <c r="J930" s="54"/>
      <c r="K930" s="63"/>
      <c r="L930" s="54"/>
      <c r="M930" s="54"/>
    </row>
    <row r="931">
      <c r="A931" s="54"/>
      <c r="B931" s="140"/>
      <c r="C931" s="140"/>
      <c r="D931" s="54"/>
      <c r="E931" s="54"/>
      <c r="F931" s="54"/>
      <c r="G931" s="141"/>
      <c r="H931" s="141"/>
      <c r="I931" s="54"/>
      <c r="J931" s="54"/>
      <c r="K931" s="63"/>
      <c r="L931" s="54"/>
      <c r="M931" s="54"/>
    </row>
    <row r="932">
      <c r="A932" s="54"/>
      <c r="B932" s="140"/>
      <c r="C932" s="140"/>
      <c r="D932" s="54"/>
      <c r="E932" s="54"/>
      <c r="F932" s="54"/>
      <c r="G932" s="141"/>
      <c r="H932" s="141"/>
      <c r="I932" s="54"/>
      <c r="J932" s="54"/>
      <c r="K932" s="63"/>
      <c r="L932" s="54"/>
      <c r="M932" s="54"/>
    </row>
    <row r="933">
      <c r="A933" s="54"/>
      <c r="B933" s="140"/>
      <c r="C933" s="140"/>
      <c r="D933" s="54"/>
      <c r="E933" s="54"/>
      <c r="F933" s="54"/>
      <c r="G933" s="141"/>
      <c r="H933" s="141"/>
      <c r="I933" s="54"/>
      <c r="J933" s="54"/>
      <c r="K933" s="63"/>
      <c r="L933" s="54"/>
      <c r="M933" s="54"/>
    </row>
    <row r="934">
      <c r="A934" s="54"/>
      <c r="B934" s="140"/>
      <c r="C934" s="140"/>
      <c r="D934" s="54"/>
      <c r="E934" s="54"/>
      <c r="F934" s="54"/>
      <c r="G934" s="141"/>
      <c r="H934" s="141"/>
      <c r="I934" s="54"/>
      <c r="J934" s="54"/>
      <c r="K934" s="63"/>
      <c r="L934" s="54"/>
      <c r="M934" s="54"/>
    </row>
    <row r="935">
      <c r="A935" s="54"/>
      <c r="B935" s="140"/>
      <c r="C935" s="140"/>
      <c r="D935" s="54"/>
      <c r="E935" s="54"/>
      <c r="F935" s="54"/>
      <c r="G935" s="141"/>
      <c r="H935" s="141"/>
      <c r="I935" s="54"/>
      <c r="J935" s="54"/>
      <c r="K935" s="63"/>
      <c r="L935" s="54"/>
      <c r="M935" s="54"/>
    </row>
    <row r="936">
      <c r="A936" s="54"/>
      <c r="B936" s="140"/>
      <c r="C936" s="140"/>
      <c r="D936" s="54"/>
      <c r="E936" s="54"/>
      <c r="F936" s="54"/>
      <c r="G936" s="141"/>
      <c r="H936" s="141"/>
      <c r="I936" s="54"/>
      <c r="J936" s="54"/>
      <c r="K936" s="63"/>
      <c r="L936" s="54"/>
      <c r="M936" s="54"/>
    </row>
    <row r="937">
      <c r="A937" s="54"/>
      <c r="B937" s="140"/>
      <c r="C937" s="140"/>
      <c r="D937" s="54"/>
      <c r="E937" s="54"/>
      <c r="F937" s="54"/>
      <c r="G937" s="141"/>
      <c r="H937" s="141"/>
      <c r="I937" s="54"/>
      <c r="J937" s="54"/>
      <c r="K937" s="63"/>
      <c r="L937" s="54"/>
      <c r="M937" s="54"/>
    </row>
    <row r="938">
      <c r="A938" s="54"/>
      <c r="B938" s="140"/>
      <c r="C938" s="140"/>
      <c r="D938" s="54"/>
      <c r="E938" s="54"/>
      <c r="F938" s="54"/>
      <c r="G938" s="141"/>
      <c r="H938" s="141"/>
      <c r="I938" s="54"/>
      <c r="J938" s="54"/>
      <c r="K938" s="63"/>
      <c r="L938" s="54"/>
      <c r="M938" s="54"/>
    </row>
    <row r="939">
      <c r="A939" s="54"/>
      <c r="B939" s="140"/>
      <c r="C939" s="140"/>
      <c r="D939" s="54"/>
      <c r="E939" s="54"/>
      <c r="F939" s="54"/>
      <c r="G939" s="141"/>
      <c r="H939" s="141"/>
      <c r="I939" s="54"/>
      <c r="J939" s="54"/>
      <c r="K939" s="63"/>
      <c r="L939" s="54"/>
      <c r="M939" s="54"/>
    </row>
    <row r="940">
      <c r="A940" s="54"/>
      <c r="B940" s="140"/>
      <c r="C940" s="140"/>
      <c r="D940" s="54"/>
      <c r="E940" s="54"/>
      <c r="F940" s="54"/>
      <c r="G940" s="141"/>
      <c r="H940" s="141"/>
      <c r="I940" s="54"/>
      <c r="J940" s="54"/>
      <c r="K940" s="63"/>
      <c r="L940" s="54"/>
      <c r="M940" s="54"/>
    </row>
    <row r="941">
      <c r="A941" s="54"/>
      <c r="B941" s="140"/>
      <c r="C941" s="140"/>
      <c r="D941" s="54"/>
      <c r="E941" s="54"/>
      <c r="F941" s="54"/>
      <c r="G941" s="141"/>
      <c r="H941" s="141"/>
      <c r="I941" s="54"/>
      <c r="J941" s="54"/>
      <c r="K941" s="63"/>
      <c r="L941" s="54"/>
      <c r="M941" s="54"/>
    </row>
    <row r="942">
      <c r="A942" s="54"/>
      <c r="B942" s="140"/>
      <c r="C942" s="140"/>
      <c r="D942" s="54"/>
      <c r="E942" s="54"/>
      <c r="F942" s="54"/>
      <c r="G942" s="141"/>
      <c r="H942" s="141"/>
      <c r="I942" s="54"/>
      <c r="J942" s="54"/>
      <c r="K942" s="63"/>
      <c r="L942" s="54"/>
      <c r="M942" s="54"/>
    </row>
    <row r="943">
      <c r="A943" s="54"/>
      <c r="B943" s="140"/>
      <c r="C943" s="140"/>
      <c r="D943" s="54"/>
      <c r="E943" s="54"/>
      <c r="F943" s="54"/>
      <c r="G943" s="141"/>
      <c r="H943" s="141"/>
      <c r="I943" s="54"/>
      <c r="J943" s="54"/>
      <c r="K943" s="63"/>
      <c r="L943" s="54"/>
      <c r="M943" s="54"/>
    </row>
    <row r="944">
      <c r="A944" s="54"/>
      <c r="B944" s="140"/>
      <c r="C944" s="140"/>
      <c r="D944" s="54"/>
      <c r="E944" s="54"/>
      <c r="F944" s="54"/>
      <c r="G944" s="141"/>
      <c r="H944" s="141"/>
      <c r="I944" s="54"/>
      <c r="J944" s="54"/>
      <c r="K944" s="63"/>
      <c r="L944" s="54"/>
      <c r="M944" s="54"/>
    </row>
    <row r="945">
      <c r="A945" s="54"/>
      <c r="B945" s="140"/>
      <c r="C945" s="140"/>
      <c r="D945" s="54"/>
      <c r="E945" s="54"/>
      <c r="F945" s="54"/>
      <c r="G945" s="141"/>
      <c r="H945" s="141"/>
      <c r="I945" s="54"/>
      <c r="J945" s="54"/>
      <c r="K945" s="63"/>
      <c r="L945" s="54"/>
      <c r="M945" s="54"/>
    </row>
    <row r="946">
      <c r="A946" s="54"/>
      <c r="B946" s="140"/>
      <c r="C946" s="140"/>
      <c r="D946" s="54"/>
      <c r="E946" s="54"/>
      <c r="F946" s="54"/>
      <c r="G946" s="141"/>
      <c r="H946" s="141"/>
      <c r="I946" s="54"/>
      <c r="J946" s="54"/>
      <c r="K946" s="63"/>
      <c r="L946" s="54"/>
      <c r="M946" s="54"/>
    </row>
    <row r="947">
      <c r="A947" s="54"/>
      <c r="B947" s="140"/>
      <c r="C947" s="140"/>
      <c r="D947" s="54"/>
      <c r="E947" s="54"/>
      <c r="F947" s="54"/>
      <c r="G947" s="141"/>
      <c r="H947" s="141"/>
      <c r="I947" s="54"/>
      <c r="J947" s="54"/>
      <c r="K947" s="63"/>
      <c r="L947" s="54"/>
      <c r="M947" s="54"/>
    </row>
    <row r="948">
      <c r="A948" s="54"/>
      <c r="B948" s="140"/>
      <c r="C948" s="140"/>
      <c r="D948" s="54"/>
      <c r="E948" s="54"/>
      <c r="F948" s="54"/>
      <c r="G948" s="141"/>
      <c r="H948" s="141"/>
      <c r="I948" s="54"/>
      <c r="J948" s="54"/>
      <c r="K948" s="63"/>
      <c r="L948" s="54"/>
      <c r="M948" s="54"/>
    </row>
    <row r="949">
      <c r="A949" s="54"/>
      <c r="B949" s="140"/>
      <c r="C949" s="140"/>
      <c r="D949" s="54"/>
      <c r="E949" s="54"/>
      <c r="F949" s="54"/>
      <c r="G949" s="141"/>
      <c r="H949" s="141"/>
      <c r="I949" s="54"/>
      <c r="J949" s="54"/>
      <c r="K949" s="63"/>
      <c r="L949" s="54"/>
      <c r="M949" s="54"/>
    </row>
    <row r="950">
      <c r="A950" s="54"/>
      <c r="B950" s="140"/>
      <c r="C950" s="140"/>
      <c r="D950" s="54"/>
      <c r="E950" s="54"/>
      <c r="F950" s="54"/>
      <c r="G950" s="141"/>
      <c r="H950" s="141"/>
      <c r="I950" s="54"/>
      <c r="J950" s="54"/>
      <c r="K950" s="63"/>
      <c r="L950" s="54"/>
      <c r="M950" s="54"/>
    </row>
    <row r="951">
      <c r="A951" s="54"/>
      <c r="B951" s="140"/>
      <c r="C951" s="140"/>
      <c r="D951" s="54"/>
      <c r="E951" s="54"/>
      <c r="F951" s="54"/>
      <c r="G951" s="141"/>
      <c r="H951" s="141"/>
      <c r="I951" s="54"/>
      <c r="J951" s="54"/>
      <c r="K951" s="63"/>
      <c r="L951" s="54"/>
      <c r="M951" s="54"/>
    </row>
    <row r="952">
      <c r="A952" s="54"/>
      <c r="B952" s="140"/>
      <c r="C952" s="140"/>
      <c r="D952" s="54"/>
      <c r="E952" s="54"/>
      <c r="F952" s="54"/>
      <c r="G952" s="141"/>
      <c r="H952" s="141"/>
      <c r="I952" s="54"/>
      <c r="J952" s="54"/>
      <c r="K952" s="63"/>
      <c r="L952" s="54"/>
      <c r="M952" s="54"/>
    </row>
    <row r="953">
      <c r="A953" s="54"/>
      <c r="B953" s="140"/>
      <c r="C953" s="140"/>
      <c r="D953" s="54"/>
      <c r="E953" s="54"/>
      <c r="F953" s="54"/>
      <c r="G953" s="141"/>
      <c r="H953" s="141"/>
      <c r="I953" s="54"/>
      <c r="J953" s="54"/>
      <c r="K953" s="63"/>
      <c r="L953" s="54"/>
      <c r="M953" s="54"/>
    </row>
    <row r="954">
      <c r="A954" s="54"/>
      <c r="B954" s="140"/>
      <c r="C954" s="140"/>
      <c r="D954" s="54"/>
      <c r="E954" s="54"/>
      <c r="F954" s="54"/>
      <c r="G954" s="141"/>
      <c r="H954" s="141"/>
      <c r="I954" s="54"/>
      <c r="J954" s="54"/>
      <c r="K954" s="63"/>
      <c r="L954" s="54"/>
      <c r="M954" s="54"/>
    </row>
    <row r="955">
      <c r="A955" s="54"/>
      <c r="B955" s="140"/>
      <c r="C955" s="140"/>
      <c r="D955" s="54"/>
      <c r="E955" s="54"/>
      <c r="F955" s="54"/>
      <c r="G955" s="141"/>
      <c r="H955" s="141"/>
      <c r="I955" s="54"/>
      <c r="J955" s="54"/>
      <c r="K955" s="63"/>
      <c r="L955" s="54"/>
      <c r="M955" s="54"/>
    </row>
    <row r="956">
      <c r="A956" s="54"/>
      <c r="B956" s="140"/>
      <c r="C956" s="140"/>
      <c r="D956" s="54"/>
      <c r="E956" s="54"/>
      <c r="F956" s="54"/>
      <c r="G956" s="141"/>
      <c r="H956" s="141"/>
      <c r="I956" s="54"/>
      <c r="J956" s="54"/>
      <c r="K956" s="63"/>
      <c r="L956" s="54"/>
      <c r="M956" s="54"/>
    </row>
    <row r="957">
      <c r="A957" s="54"/>
      <c r="B957" s="140"/>
      <c r="C957" s="140"/>
      <c r="D957" s="54"/>
      <c r="E957" s="54"/>
      <c r="F957" s="54"/>
      <c r="G957" s="141"/>
      <c r="H957" s="141"/>
      <c r="I957" s="54"/>
      <c r="J957" s="54"/>
      <c r="K957" s="63"/>
      <c r="L957" s="54"/>
      <c r="M957" s="54"/>
    </row>
    <row r="958">
      <c r="A958" s="54"/>
      <c r="B958" s="140"/>
      <c r="C958" s="140"/>
      <c r="D958" s="54"/>
      <c r="E958" s="54"/>
      <c r="F958" s="54"/>
      <c r="G958" s="141"/>
      <c r="H958" s="141"/>
      <c r="I958" s="54"/>
      <c r="J958" s="54"/>
      <c r="K958" s="63"/>
      <c r="L958" s="54"/>
      <c r="M958" s="54"/>
    </row>
    <row r="959">
      <c r="A959" s="54"/>
      <c r="B959" s="140"/>
      <c r="C959" s="140"/>
      <c r="D959" s="54"/>
      <c r="E959" s="54"/>
      <c r="F959" s="54"/>
      <c r="G959" s="141"/>
      <c r="H959" s="141"/>
      <c r="I959" s="54"/>
      <c r="J959" s="54"/>
      <c r="K959" s="63"/>
      <c r="L959" s="54"/>
      <c r="M959" s="54"/>
    </row>
    <row r="960">
      <c r="A960" s="54"/>
      <c r="B960" s="140"/>
      <c r="C960" s="140"/>
      <c r="D960" s="54"/>
      <c r="E960" s="54"/>
      <c r="F960" s="54"/>
      <c r="G960" s="141"/>
      <c r="H960" s="141"/>
      <c r="I960" s="54"/>
      <c r="J960" s="54"/>
      <c r="K960" s="63"/>
      <c r="L960" s="54"/>
      <c r="M960" s="54"/>
    </row>
    <row r="961">
      <c r="A961" s="54"/>
      <c r="B961" s="140"/>
      <c r="C961" s="140"/>
      <c r="D961" s="54"/>
      <c r="E961" s="54"/>
      <c r="F961" s="54"/>
      <c r="G961" s="141"/>
      <c r="H961" s="141"/>
      <c r="I961" s="54"/>
      <c r="J961" s="54"/>
      <c r="K961" s="63"/>
      <c r="L961" s="54"/>
      <c r="M961" s="54"/>
    </row>
    <row r="962">
      <c r="A962" s="54"/>
      <c r="B962" s="140"/>
      <c r="C962" s="140"/>
      <c r="D962" s="54"/>
      <c r="E962" s="54"/>
      <c r="F962" s="54"/>
      <c r="G962" s="141"/>
      <c r="H962" s="141"/>
      <c r="I962" s="54"/>
      <c r="J962" s="54"/>
      <c r="K962" s="63"/>
      <c r="L962" s="54"/>
      <c r="M962" s="54"/>
    </row>
    <row r="963">
      <c r="A963" s="54"/>
      <c r="B963" s="140"/>
      <c r="C963" s="140"/>
      <c r="D963" s="54"/>
      <c r="E963" s="54"/>
      <c r="F963" s="54"/>
      <c r="G963" s="141"/>
      <c r="H963" s="141"/>
      <c r="I963" s="54"/>
      <c r="J963" s="54"/>
      <c r="K963" s="63"/>
      <c r="L963" s="54"/>
      <c r="M963" s="54"/>
    </row>
    <row r="964">
      <c r="A964" s="54"/>
      <c r="B964" s="140"/>
      <c r="C964" s="140"/>
      <c r="D964" s="54"/>
      <c r="E964" s="54"/>
      <c r="F964" s="54"/>
      <c r="G964" s="141"/>
      <c r="H964" s="141"/>
      <c r="I964" s="54"/>
      <c r="J964" s="54"/>
      <c r="K964" s="63"/>
      <c r="L964" s="54"/>
      <c r="M964" s="54"/>
    </row>
    <row r="965">
      <c r="A965" s="54"/>
      <c r="B965" s="140"/>
      <c r="C965" s="140"/>
      <c r="D965" s="54"/>
      <c r="E965" s="54"/>
      <c r="F965" s="54"/>
      <c r="G965" s="141"/>
      <c r="H965" s="141"/>
      <c r="I965" s="54"/>
      <c r="J965" s="54"/>
      <c r="K965" s="63"/>
      <c r="L965" s="54"/>
      <c r="M965" s="54"/>
    </row>
    <row r="966">
      <c r="A966" s="54"/>
      <c r="B966" s="140"/>
      <c r="C966" s="140"/>
      <c r="D966" s="54"/>
      <c r="E966" s="54"/>
      <c r="F966" s="54"/>
      <c r="G966" s="141"/>
      <c r="H966" s="141"/>
      <c r="I966" s="54"/>
      <c r="J966" s="54"/>
      <c r="K966" s="63"/>
      <c r="L966" s="54"/>
      <c r="M966" s="54"/>
    </row>
    <row r="967">
      <c r="A967" s="54"/>
      <c r="B967" s="140"/>
      <c r="C967" s="140"/>
      <c r="D967" s="54"/>
      <c r="E967" s="54"/>
      <c r="F967" s="54"/>
      <c r="G967" s="141"/>
      <c r="H967" s="141"/>
      <c r="I967" s="54"/>
      <c r="J967" s="54"/>
      <c r="K967" s="63"/>
      <c r="L967" s="54"/>
      <c r="M967" s="54"/>
    </row>
    <row r="968">
      <c r="A968" s="54"/>
      <c r="B968" s="140"/>
      <c r="C968" s="140"/>
      <c r="D968" s="54"/>
      <c r="E968" s="54"/>
      <c r="F968" s="54"/>
      <c r="G968" s="141"/>
      <c r="H968" s="141"/>
      <c r="I968" s="54"/>
      <c r="J968" s="54"/>
      <c r="K968" s="63"/>
      <c r="L968" s="54"/>
      <c r="M968" s="54"/>
    </row>
    <row r="969">
      <c r="A969" s="54"/>
      <c r="B969" s="140"/>
      <c r="C969" s="140"/>
      <c r="D969" s="54"/>
      <c r="E969" s="54"/>
      <c r="F969" s="54"/>
      <c r="G969" s="141"/>
      <c r="H969" s="141"/>
      <c r="I969" s="54"/>
      <c r="J969" s="54"/>
      <c r="K969" s="63"/>
      <c r="L969" s="54"/>
      <c r="M969" s="54"/>
    </row>
    <row r="970">
      <c r="A970" s="54"/>
      <c r="B970" s="140"/>
      <c r="C970" s="140"/>
      <c r="D970" s="54"/>
      <c r="E970" s="54"/>
      <c r="F970" s="54"/>
      <c r="G970" s="141"/>
      <c r="H970" s="141"/>
      <c r="I970" s="54"/>
      <c r="J970" s="54"/>
      <c r="K970" s="63"/>
      <c r="L970" s="54"/>
      <c r="M970" s="54"/>
    </row>
    <row r="971">
      <c r="A971" s="54"/>
      <c r="B971" s="140"/>
      <c r="C971" s="140"/>
      <c r="D971" s="54"/>
      <c r="E971" s="54"/>
      <c r="F971" s="54"/>
      <c r="G971" s="141"/>
      <c r="H971" s="141"/>
      <c r="I971" s="54"/>
      <c r="J971" s="54"/>
      <c r="K971" s="63"/>
      <c r="L971" s="54"/>
      <c r="M971" s="54"/>
    </row>
    <row r="972">
      <c r="A972" s="54"/>
      <c r="B972" s="140"/>
      <c r="C972" s="140"/>
      <c r="D972" s="54"/>
      <c r="E972" s="54"/>
      <c r="F972" s="54"/>
      <c r="G972" s="141"/>
      <c r="H972" s="141"/>
      <c r="I972" s="54"/>
      <c r="J972" s="54"/>
      <c r="K972" s="63"/>
      <c r="L972" s="54"/>
      <c r="M972" s="54"/>
    </row>
    <row r="973">
      <c r="A973" s="54"/>
      <c r="B973" s="140"/>
      <c r="C973" s="140"/>
      <c r="D973" s="54"/>
      <c r="E973" s="54"/>
      <c r="F973" s="54"/>
      <c r="G973" s="141"/>
      <c r="H973" s="141"/>
      <c r="I973" s="54"/>
      <c r="J973" s="54"/>
      <c r="K973" s="63"/>
      <c r="L973" s="54"/>
      <c r="M973" s="54"/>
    </row>
    <row r="974">
      <c r="A974" s="54"/>
      <c r="B974" s="140"/>
      <c r="C974" s="140"/>
      <c r="D974" s="54"/>
      <c r="E974" s="54"/>
      <c r="F974" s="54"/>
      <c r="G974" s="141"/>
      <c r="H974" s="141"/>
      <c r="I974" s="54"/>
      <c r="J974" s="54"/>
      <c r="K974" s="63"/>
      <c r="L974" s="54"/>
      <c r="M974" s="54"/>
    </row>
    <row r="975">
      <c r="A975" s="54"/>
      <c r="B975" s="140"/>
      <c r="C975" s="140"/>
      <c r="D975" s="54"/>
      <c r="E975" s="54"/>
      <c r="F975" s="54"/>
      <c r="G975" s="141"/>
      <c r="H975" s="141"/>
      <c r="I975" s="54"/>
      <c r="J975" s="54"/>
      <c r="K975" s="63"/>
      <c r="L975" s="54"/>
      <c r="M975" s="54"/>
    </row>
    <row r="976">
      <c r="A976" s="54"/>
      <c r="B976" s="140"/>
      <c r="C976" s="140"/>
      <c r="D976" s="54"/>
      <c r="E976" s="54"/>
      <c r="F976" s="54"/>
      <c r="G976" s="141"/>
      <c r="H976" s="141"/>
      <c r="I976" s="54"/>
      <c r="J976" s="54"/>
      <c r="K976" s="63"/>
      <c r="L976" s="54"/>
      <c r="M976" s="54"/>
    </row>
    <row r="977">
      <c r="A977" s="54"/>
      <c r="B977" s="140"/>
      <c r="C977" s="140"/>
      <c r="D977" s="54"/>
      <c r="E977" s="54"/>
      <c r="F977" s="54"/>
      <c r="G977" s="141"/>
      <c r="H977" s="141"/>
      <c r="I977" s="54"/>
      <c r="J977" s="54"/>
      <c r="K977" s="63"/>
      <c r="L977" s="54"/>
      <c r="M977" s="54"/>
    </row>
    <row r="978">
      <c r="A978" s="54"/>
      <c r="B978" s="140"/>
      <c r="C978" s="140"/>
      <c r="D978" s="54"/>
      <c r="E978" s="54"/>
      <c r="F978" s="54"/>
      <c r="G978" s="141"/>
      <c r="H978" s="141"/>
      <c r="I978" s="54"/>
      <c r="J978" s="54"/>
      <c r="K978" s="63"/>
      <c r="L978" s="54"/>
      <c r="M978" s="54"/>
    </row>
    <row r="979">
      <c r="A979" s="54"/>
      <c r="B979" s="140"/>
      <c r="C979" s="140"/>
      <c r="D979" s="54"/>
      <c r="E979" s="54"/>
      <c r="F979" s="54"/>
      <c r="G979" s="141"/>
      <c r="H979" s="141"/>
      <c r="I979" s="54"/>
      <c r="J979" s="54"/>
      <c r="K979" s="63"/>
      <c r="L979" s="54"/>
      <c r="M979" s="54"/>
    </row>
    <row r="980">
      <c r="A980" s="54"/>
      <c r="B980" s="140"/>
      <c r="C980" s="140"/>
      <c r="D980" s="54"/>
      <c r="E980" s="54"/>
      <c r="F980" s="54"/>
      <c r="G980" s="141"/>
      <c r="H980" s="141"/>
      <c r="I980" s="54"/>
      <c r="J980" s="54"/>
      <c r="K980" s="63"/>
      <c r="L980" s="54"/>
      <c r="M980" s="54"/>
    </row>
    <row r="981">
      <c r="A981" s="54"/>
      <c r="B981" s="140"/>
      <c r="C981" s="140"/>
      <c r="D981" s="54"/>
      <c r="E981" s="54"/>
      <c r="F981" s="54"/>
      <c r="G981" s="141"/>
      <c r="H981" s="141"/>
      <c r="I981" s="54"/>
      <c r="J981" s="54"/>
      <c r="K981" s="63"/>
      <c r="L981" s="54"/>
      <c r="M981" s="54"/>
    </row>
    <row r="982">
      <c r="A982" s="54"/>
      <c r="B982" s="140"/>
      <c r="C982" s="140"/>
      <c r="D982" s="54"/>
      <c r="E982" s="54"/>
      <c r="F982" s="54"/>
      <c r="G982" s="141"/>
      <c r="H982" s="141"/>
      <c r="I982" s="54"/>
      <c r="J982" s="54"/>
      <c r="K982" s="63"/>
      <c r="L982" s="54"/>
      <c r="M982" s="54"/>
    </row>
    <row r="983">
      <c r="A983" s="54"/>
      <c r="B983" s="140"/>
      <c r="C983" s="140"/>
      <c r="D983" s="54"/>
      <c r="E983" s="54"/>
      <c r="F983" s="54"/>
      <c r="G983" s="141"/>
      <c r="H983" s="141"/>
      <c r="I983" s="54"/>
      <c r="J983" s="54"/>
      <c r="K983" s="63"/>
      <c r="L983" s="54"/>
      <c r="M983" s="54"/>
    </row>
    <row r="984">
      <c r="A984" s="54"/>
      <c r="B984" s="140"/>
      <c r="C984" s="140"/>
      <c r="D984" s="54"/>
      <c r="E984" s="54"/>
      <c r="F984" s="54"/>
      <c r="G984" s="141"/>
      <c r="H984" s="141"/>
      <c r="I984" s="54"/>
      <c r="J984" s="54"/>
      <c r="K984" s="63"/>
      <c r="L984" s="54"/>
      <c r="M984" s="54"/>
    </row>
    <row r="985">
      <c r="A985" s="54"/>
      <c r="B985" s="140"/>
      <c r="C985" s="140"/>
      <c r="D985" s="54"/>
      <c r="E985" s="54"/>
      <c r="F985" s="54"/>
      <c r="G985" s="141"/>
      <c r="H985" s="141"/>
      <c r="I985" s="54"/>
      <c r="J985" s="54"/>
      <c r="K985" s="63"/>
      <c r="L985" s="54"/>
      <c r="M985" s="54"/>
    </row>
    <row r="986">
      <c r="A986" s="54"/>
      <c r="B986" s="140"/>
      <c r="C986" s="140"/>
      <c r="D986" s="54"/>
      <c r="E986" s="54"/>
      <c r="F986" s="54"/>
      <c r="G986" s="141"/>
      <c r="H986" s="141"/>
      <c r="I986" s="54"/>
      <c r="J986" s="54"/>
      <c r="K986" s="63"/>
      <c r="L986" s="54"/>
      <c r="M986" s="54"/>
    </row>
    <row r="987">
      <c r="A987" s="54"/>
      <c r="B987" s="140"/>
      <c r="C987" s="140"/>
      <c r="D987" s="54"/>
      <c r="E987" s="54"/>
      <c r="F987" s="54"/>
      <c r="G987" s="141"/>
      <c r="H987" s="141"/>
      <c r="I987" s="54"/>
      <c r="J987" s="54"/>
      <c r="K987" s="63"/>
      <c r="L987" s="54"/>
      <c r="M987" s="54"/>
    </row>
    <row r="988">
      <c r="A988" s="54"/>
      <c r="B988" s="140"/>
      <c r="C988" s="140"/>
      <c r="D988" s="54"/>
      <c r="E988" s="54"/>
      <c r="F988" s="54"/>
      <c r="G988" s="141"/>
      <c r="H988" s="141"/>
      <c r="I988" s="54"/>
      <c r="J988" s="54"/>
      <c r="K988" s="63"/>
      <c r="L988" s="54"/>
      <c r="M988" s="54"/>
    </row>
    <row r="989">
      <c r="A989" s="54"/>
      <c r="B989" s="140"/>
      <c r="C989" s="140"/>
      <c r="D989" s="54"/>
      <c r="E989" s="54"/>
      <c r="F989" s="54"/>
      <c r="G989" s="141"/>
      <c r="H989" s="141"/>
      <c r="I989" s="54"/>
      <c r="J989" s="54"/>
      <c r="K989" s="63"/>
      <c r="L989" s="54"/>
      <c r="M989" s="54"/>
    </row>
    <row r="990">
      <c r="A990" s="54"/>
      <c r="B990" s="140"/>
      <c r="C990" s="140"/>
      <c r="D990" s="54"/>
      <c r="E990" s="54"/>
      <c r="F990" s="54"/>
      <c r="G990" s="141"/>
      <c r="H990" s="141"/>
      <c r="I990" s="54"/>
      <c r="J990" s="54"/>
      <c r="K990" s="63"/>
      <c r="L990" s="54"/>
      <c r="M990" s="54"/>
    </row>
    <row r="991">
      <c r="A991" s="54"/>
      <c r="B991" s="140"/>
      <c r="C991" s="140"/>
      <c r="D991" s="54"/>
      <c r="E991" s="54"/>
      <c r="F991" s="54"/>
      <c r="G991" s="141"/>
      <c r="H991" s="141"/>
      <c r="I991" s="54"/>
      <c r="J991" s="54"/>
      <c r="K991" s="63"/>
      <c r="L991" s="54"/>
      <c r="M991" s="54"/>
    </row>
    <row r="992">
      <c r="A992" s="54"/>
      <c r="B992" s="140"/>
      <c r="C992" s="140"/>
      <c r="D992" s="54"/>
      <c r="E992" s="54"/>
      <c r="F992" s="54"/>
      <c r="G992" s="141"/>
      <c r="H992" s="141"/>
      <c r="I992" s="54"/>
      <c r="J992" s="54"/>
      <c r="K992" s="63"/>
      <c r="L992" s="54"/>
      <c r="M992" s="54"/>
    </row>
    <row r="993">
      <c r="A993" s="54"/>
      <c r="B993" s="140"/>
      <c r="C993" s="140"/>
      <c r="D993" s="54"/>
      <c r="E993" s="54"/>
      <c r="F993" s="54"/>
      <c r="G993" s="141"/>
      <c r="H993" s="141"/>
      <c r="I993" s="54"/>
      <c r="J993" s="54"/>
      <c r="K993" s="63"/>
      <c r="L993" s="54"/>
      <c r="M993" s="54"/>
    </row>
    <row r="994">
      <c r="A994" s="54"/>
      <c r="B994" s="140"/>
      <c r="C994" s="140"/>
      <c r="D994" s="54"/>
      <c r="E994" s="54"/>
      <c r="F994" s="54"/>
      <c r="G994" s="141"/>
      <c r="H994" s="141"/>
      <c r="I994" s="54"/>
      <c r="J994" s="54"/>
      <c r="K994" s="63"/>
      <c r="L994" s="54"/>
      <c r="M994" s="54"/>
    </row>
    <row r="995">
      <c r="A995" s="54"/>
      <c r="B995" s="140"/>
      <c r="C995" s="140"/>
      <c r="D995" s="54"/>
      <c r="E995" s="54"/>
      <c r="F995" s="54"/>
      <c r="G995" s="141"/>
      <c r="H995" s="141"/>
      <c r="I995" s="54"/>
      <c r="J995" s="54"/>
      <c r="K995" s="63"/>
      <c r="L995" s="54"/>
      <c r="M995" s="54"/>
    </row>
    <row r="996">
      <c r="A996" s="54"/>
      <c r="B996" s="140"/>
      <c r="C996" s="140"/>
      <c r="D996" s="54"/>
      <c r="E996" s="54"/>
      <c r="F996" s="54"/>
      <c r="G996" s="141"/>
      <c r="H996" s="141"/>
      <c r="I996" s="54"/>
      <c r="J996" s="54"/>
      <c r="K996" s="63"/>
      <c r="L996" s="54"/>
      <c r="M996" s="54"/>
    </row>
    <row r="997">
      <c r="A997" s="54"/>
      <c r="B997" s="140"/>
      <c r="C997" s="140"/>
      <c r="D997" s="54"/>
      <c r="E997" s="54"/>
      <c r="F997" s="54"/>
      <c r="G997" s="141"/>
      <c r="H997" s="141"/>
      <c r="I997" s="54"/>
      <c r="J997" s="54"/>
      <c r="K997" s="63"/>
      <c r="L997" s="54"/>
      <c r="M997" s="54"/>
    </row>
    <row r="998">
      <c r="A998" s="54"/>
      <c r="B998" s="140"/>
      <c r="C998" s="140"/>
      <c r="D998" s="54"/>
      <c r="E998" s="54"/>
      <c r="F998" s="54"/>
      <c r="G998" s="141"/>
      <c r="H998" s="141"/>
      <c r="I998" s="54"/>
      <c r="J998" s="54"/>
      <c r="K998" s="63"/>
      <c r="L998" s="54"/>
      <c r="M998" s="54"/>
    </row>
    <row r="999">
      <c r="A999" s="54"/>
      <c r="B999" s="140"/>
      <c r="C999" s="140"/>
      <c r="D999" s="54"/>
      <c r="E999" s="54"/>
      <c r="F999" s="54"/>
      <c r="G999" s="141"/>
      <c r="H999" s="141"/>
      <c r="I999" s="54"/>
      <c r="J999" s="54"/>
      <c r="K999" s="63"/>
      <c r="L999" s="54"/>
      <c r="M999" s="54"/>
    </row>
    <row r="1000">
      <c r="A1000" s="54"/>
      <c r="B1000" s="140"/>
      <c r="C1000" s="140"/>
      <c r="D1000" s="54"/>
      <c r="E1000" s="54"/>
      <c r="F1000" s="54"/>
      <c r="G1000" s="141"/>
      <c r="H1000" s="141"/>
      <c r="I1000" s="54"/>
      <c r="J1000" s="54"/>
      <c r="K1000" s="63"/>
      <c r="L1000" s="54"/>
      <c r="M1000" s="54"/>
    </row>
    <row r="1001">
      <c r="A1001" s="54"/>
      <c r="B1001" s="140"/>
      <c r="C1001" s="140"/>
      <c r="D1001" s="54"/>
      <c r="E1001" s="54"/>
      <c r="F1001" s="54"/>
      <c r="G1001" s="141"/>
      <c r="H1001" s="141"/>
      <c r="I1001" s="54"/>
      <c r="J1001" s="54"/>
      <c r="K1001" s="63"/>
      <c r="L1001" s="54"/>
      <c r="M1001" s="54"/>
    </row>
    <row r="1002">
      <c r="A1002" s="54"/>
      <c r="B1002" s="140"/>
      <c r="C1002" s="140"/>
      <c r="D1002" s="54"/>
      <c r="E1002" s="54"/>
      <c r="F1002" s="54"/>
      <c r="G1002" s="141"/>
      <c r="H1002" s="141"/>
      <c r="I1002" s="54"/>
      <c r="J1002" s="54"/>
      <c r="K1002" s="63"/>
      <c r="L1002" s="54"/>
      <c r="M1002" s="54"/>
    </row>
    <row r="1003">
      <c r="A1003" s="54"/>
      <c r="B1003" s="140"/>
      <c r="C1003" s="140"/>
      <c r="D1003" s="54"/>
      <c r="E1003" s="54"/>
      <c r="F1003" s="54"/>
      <c r="G1003" s="141"/>
      <c r="H1003" s="141"/>
      <c r="I1003" s="54"/>
      <c r="J1003" s="54"/>
      <c r="K1003" s="63"/>
      <c r="L1003" s="54"/>
      <c r="M1003" s="54"/>
    </row>
    <row r="1004">
      <c r="A1004" s="54"/>
      <c r="B1004" s="140"/>
      <c r="C1004" s="140"/>
      <c r="D1004" s="54"/>
      <c r="E1004" s="54"/>
      <c r="F1004" s="54"/>
      <c r="G1004" s="141"/>
      <c r="H1004" s="141"/>
      <c r="I1004" s="54"/>
      <c r="J1004" s="54"/>
      <c r="K1004" s="63"/>
      <c r="L1004" s="54"/>
      <c r="M1004" s="54"/>
    </row>
    <row r="1005">
      <c r="A1005" s="54"/>
      <c r="B1005" s="140"/>
      <c r="C1005" s="140"/>
      <c r="D1005" s="54"/>
      <c r="E1005" s="54"/>
      <c r="F1005" s="54"/>
      <c r="G1005" s="141"/>
      <c r="H1005" s="141"/>
      <c r="I1005" s="54"/>
      <c r="J1005" s="54"/>
      <c r="K1005" s="63"/>
      <c r="L1005" s="54"/>
      <c r="M1005" s="54"/>
    </row>
    <row r="1006">
      <c r="A1006" s="54"/>
      <c r="B1006" s="140"/>
      <c r="C1006" s="140"/>
      <c r="D1006" s="54"/>
      <c r="E1006" s="54"/>
      <c r="F1006" s="54"/>
      <c r="G1006" s="141"/>
      <c r="H1006" s="141"/>
      <c r="I1006" s="54"/>
      <c r="J1006" s="54"/>
      <c r="K1006" s="63"/>
      <c r="L1006" s="54"/>
      <c r="M1006" s="54"/>
    </row>
    <row r="1007">
      <c r="A1007" s="54"/>
      <c r="B1007" s="140"/>
      <c r="C1007" s="140"/>
      <c r="D1007" s="54"/>
      <c r="E1007" s="54"/>
      <c r="F1007" s="54"/>
      <c r="G1007" s="141"/>
      <c r="H1007" s="141"/>
      <c r="I1007" s="54"/>
      <c r="J1007" s="54"/>
      <c r="K1007" s="63"/>
      <c r="L1007" s="54"/>
      <c r="M1007" s="54"/>
    </row>
    <row r="1008">
      <c r="A1008" s="54"/>
      <c r="B1008" s="140"/>
      <c r="C1008" s="140"/>
      <c r="D1008" s="54"/>
      <c r="E1008" s="54"/>
      <c r="F1008" s="54"/>
      <c r="G1008" s="141"/>
      <c r="H1008" s="141"/>
      <c r="I1008" s="54"/>
      <c r="J1008" s="54"/>
      <c r="K1008" s="63"/>
      <c r="L1008" s="54"/>
      <c r="M1008" s="54"/>
    </row>
    <row r="1009">
      <c r="A1009" s="54"/>
      <c r="B1009" s="140"/>
      <c r="C1009" s="140"/>
      <c r="D1009" s="54"/>
      <c r="E1009" s="54"/>
      <c r="F1009" s="54"/>
      <c r="G1009" s="141"/>
      <c r="H1009" s="141"/>
      <c r="I1009" s="54"/>
      <c r="J1009" s="54"/>
      <c r="K1009" s="63"/>
      <c r="L1009" s="54"/>
      <c r="M1009" s="54"/>
    </row>
    <row r="1010">
      <c r="A1010" s="54"/>
      <c r="B1010" s="140"/>
      <c r="C1010" s="140"/>
      <c r="D1010" s="54"/>
      <c r="E1010" s="54"/>
      <c r="F1010" s="54"/>
      <c r="G1010" s="141"/>
      <c r="H1010" s="141"/>
      <c r="I1010" s="54"/>
      <c r="J1010" s="54"/>
      <c r="K1010" s="63"/>
      <c r="L1010" s="54"/>
      <c r="M1010" s="54"/>
    </row>
    <row r="1011">
      <c r="A1011" s="54"/>
      <c r="B1011" s="140"/>
      <c r="C1011" s="140"/>
      <c r="D1011" s="54"/>
      <c r="E1011" s="54"/>
      <c r="F1011" s="54"/>
      <c r="G1011" s="141"/>
      <c r="H1011" s="141"/>
      <c r="I1011" s="54"/>
      <c r="J1011" s="54"/>
      <c r="K1011" s="63"/>
      <c r="L1011" s="54"/>
      <c r="M1011" s="54"/>
    </row>
    <row r="1012">
      <c r="A1012" s="54"/>
      <c r="B1012" s="140"/>
      <c r="C1012" s="140"/>
      <c r="D1012" s="54"/>
      <c r="E1012" s="54"/>
      <c r="F1012" s="54"/>
      <c r="G1012" s="141"/>
      <c r="H1012" s="141"/>
      <c r="I1012" s="54"/>
      <c r="J1012" s="54"/>
      <c r="K1012" s="63"/>
      <c r="L1012" s="54"/>
      <c r="M1012" s="54"/>
    </row>
    <row r="1013">
      <c r="A1013" s="54"/>
      <c r="B1013" s="140"/>
      <c r="C1013" s="140"/>
      <c r="D1013" s="54"/>
      <c r="E1013" s="54"/>
      <c r="F1013" s="54"/>
      <c r="G1013" s="141"/>
      <c r="H1013" s="141"/>
      <c r="I1013" s="54"/>
      <c r="J1013" s="54"/>
      <c r="K1013" s="63"/>
      <c r="L1013" s="54"/>
      <c r="M1013" s="54"/>
    </row>
    <row r="1014">
      <c r="A1014" s="54"/>
      <c r="B1014" s="140"/>
      <c r="C1014" s="140"/>
      <c r="D1014" s="54"/>
      <c r="E1014" s="54"/>
      <c r="F1014" s="54"/>
      <c r="G1014" s="141"/>
      <c r="H1014" s="141"/>
      <c r="I1014" s="54"/>
      <c r="J1014" s="54"/>
      <c r="K1014" s="63"/>
      <c r="L1014" s="54"/>
      <c r="M1014" s="54"/>
    </row>
    <row r="1015">
      <c r="A1015" s="54"/>
      <c r="B1015" s="140"/>
      <c r="C1015" s="140"/>
      <c r="D1015" s="54"/>
      <c r="E1015" s="54"/>
      <c r="F1015" s="54"/>
      <c r="G1015" s="141"/>
      <c r="H1015" s="141"/>
      <c r="I1015" s="54"/>
      <c r="J1015" s="54"/>
      <c r="K1015" s="63"/>
      <c r="L1015" s="54"/>
      <c r="M1015" s="54"/>
    </row>
    <row r="1016">
      <c r="A1016" s="54"/>
      <c r="B1016" s="140"/>
      <c r="C1016" s="140"/>
      <c r="D1016" s="54"/>
      <c r="E1016" s="54"/>
      <c r="F1016" s="54"/>
      <c r="G1016" s="141"/>
      <c r="H1016" s="141"/>
      <c r="I1016" s="54"/>
      <c r="J1016" s="54"/>
      <c r="K1016" s="63"/>
      <c r="L1016" s="54"/>
      <c r="M1016" s="54"/>
    </row>
    <row r="1017">
      <c r="A1017" s="54"/>
      <c r="B1017" s="140"/>
      <c r="C1017" s="140"/>
      <c r="D1017" s="54"/>
      <c r="E1017" s="54"/>
      <c r="F1017" s="54"/>
      <c r="G1017" s="141"/>
      <c r="H1017" s="141"/>
      <c r="I1017" s="54"/>
      <c r="J1017" s="54"/>
      <c r="K1017" s="63"/>
      <c r="L1017" s="54"/>
      <c r="M1017" s="54"/>
    </row>
    <row r="1018">
      <c r="A1018" s="54"/>
      <c r="B1018" s="140"/>
      <c r="C1018" s="140"/>
      <c r="D1018" s="54"/>
      <c r="E1018" s="54"/>
      <c r="F1018" s="54"/>
      <c r="G1018" s="141"/>
      <c r="H1018" s="141"/>
      <c r="I1018" s="54"/>
      <c r="J1018" s="54"/>
      <c r="K1018" s="63"/>
      <c r="L1018" s="54"/>
      <c r="M1018" s="54"/>
    </row>
    <row r="1019">
      <c r="A1019" s="54"/>
      <c r="B1019" s="140"/>
      <c r="C1019" s="140"/>
      <c r="D1019" s="54"/>
      <c r="E1019" s="54"/>
      <c r="F1019" s="54"/>
      <c r="G1019" s="141"/>
      <c r="H1019" s="141"/>
      <c r="I1019" s="54"/>
      <c r="J1019" s="54"/>
      <c r="K1019" s="63"/>
      <c r="L1019" s="54"/>
      <c r="M1019" s="54"/>
    </row>
    <row r="1020">
      <c r="A1020" s="54"/>
      <c r="B1020" s="140"/>
      <c r="C1020" s="140"/>
      <c r="D1020" s="54"/>
      <c r="E1020" s="54"/>
      <c r="F1020" s="54"/>
      <c r="G1020" s="141"/>
      <c r="H1020" s="141"/>
      <c r="I1020" s="54"/>
      <c r="J1020" s="54"/>
      <c r="K1020" s="63"/>
      <c r="L1020" s="54"/>
      <c r="M1020" s="54"/>
    </row>
    <row r="1021">
      <c r="A1021" s="54"/>
      <c r="B1021" s="140"/>
      <c r="C1021" s="140"/>
      <c r="D1021" s="54"/>
      <c r="E1021" s="54"/>
      <c r="F1021" s="54"/>
      <c r="G1021" s="141"/>
      <c r="H1021" s="141"/>
      <c r="I1021" s="54"/>
      <c r="J1021" s="54"/>
      <c r="K1021" s="63"/>
      <c r="L1021" s="54"/>
      <c r="M1021" s="54"/>
    </row>
    <row r="1022">
      <c r="A1022" s="54"/>
      <c r="B1022" s="140"/>
      <c r="C1022" s="140"/>
      <c r="D1022" s="54"/>
      <c r="E1022" s="54"/>
      <c r="F1022" s="54"/>
      <c r="G1022" s="141"/>
      <c r="H1022" s="141"/>
      <c r="I1022" s="54"/>
      <c r="J1022" s="54"/>
      <c r="K1022" s="63"/>
      <c r="L1022" s="54"/>
      <c r="M1022" s="54"/>
    </row>
    <row r="1023">
      <c r="A1023" s="54"/>
      <c r="B1023" s="140"/>
      <c r="C1023" s="140"/>
      <c r="D1023" s="54"/>
      <c r="E1023" s="54"/>
      <c r="F1023" s="54"/>
      <c r="G1023" s="141"/>
      <c r="H1023" s="141"/>
      <c r="I1023" s="54"/>
      <c r="J1023" s="54"/>
      <c r="K1023" s="63"/>
      <c r="L1023" s="54"/>
      <c r="M1023" s="54"/>
    </row>
    <row r="1024">
      <c r="A1024" s="54"/>
      <c r="B1024" s="140"/>
      <c r="C1024" s="140"/>
      <c r="D1024" s="54"/>
      <c r="E1024" s="54"/>
      <c r="F1024" s="54"/>
      <c r="G1024" s="141"/>
      <c r="H1024" s="141"/>
      <c r="I1024" s="54"/>
      <c r="J1024" s="54"/>
      <c r="K1024" s="63"/>
      <c r="L1024" s="54"/>
      <c r="M1024" s="54"/>
    </row>
    <row r="1025">
      <c r="A1025" s="54"/>
      <c r="B1025" s="140"/>
      <c r="C1025" s="140"/>
      <c r="D1025" s="54"/>
      <c r="E1025" s="54"/>
      <c r="F1025" s="54"/>
      <c r="G1025" s="141"/>
      <c r="H1025" s="141"/>
      <c r="I1025" s="54"/>
      <c r="J1025" s="54"/>
      <c r="K1025" s="63"/>
      <c r="L1025" s="54"/>
      <c r="M1025" s="54"/>
    </row>
    <row r="1026">
      <c r="A1026" s="54"/>
      <c r="B1026" s="140"/>
      <c r="C1026" s="140"/>
      <c r="D1026" s="54"/>
      <c r="E1026" s="54"/>
      <c r="F1026" s="54"/>
      <c r="G1026" s="141"/>
      <c r="H1026" s="141"/>
      <c r="I1026" s="54"/>
      <c r="J1026" s="54"/>
      <c r="K1026" s="63"/>
      <c r="L1026" s="54"/>
      <c r="M1026" s="54"/>
    </row>
    <row r="1027">
      <c r="A1027" s="54"/>
      <c r="B1027" s="140"/>
      <c r="C1027" s="140"/>
      <c r="D1027" s="54"/>
      <c r="E1027" s="54"/>
      <c r="F1027" s="54"/>
      <c r="G1027" s="141"/>
      <c r="H1027" s="141"/>
      <c r="I1027" s="54"/>
      <c r="J1027" s="54"/>
      <c r="K1027" s="63"/>
      <c r="L1027" s="54"/>
      <c r="M1027" s="54"/>
    </row>
    <row r="1028">
      <c r="A1028" s="54"/>
      <c r="B1028" s="140"/>
      <c r="C1028" s="140"/>
      <c r="D1028" s="54"/>
      <c r="E1028" s="54"/>
      <c r="F1028" s="54"/>
      <c r="G1028" s="141"/>
      <c r="H1028" s="141"/>
      <c r="I1028" s="54"/>
      <c r="J1028" s="54"/>
      <c r="K1028" s="63"/>
      <c r="L1028" s="54"/>
      <c r="M1028" s="54"/>
    </row>
    <row r="1029">
      <c r="A1029" s="54"/>
      <c r="B1029" s="140"/>
      <c r="C1029" s="140"/>
      <c r="D1029" s="54"/>
      <c r="E1029" s="54"/>
      <c r="F1029" s="54"/>
      <c r="G1029" s="141"/>
      <c r="H1029" s="141"/>
      <c r="I1029" s="54"/>
      <c r="J1029" s="54"/>
      <c r="K1029" s="63"/>
      <c r="L1029" s="54"/>
      <c r="M1029" s="54"/>
    </row>
    <row r="1030">
      <c r="A1030" s="54"/>
      <c r="B1030" s="140"/>
      <c r="C1030" s="140"/>
      <c r="D1030" s="54"/>
      <c r="E1030" s="54"/>
      <c r="F1030" s="54"/>
      <c r="G1030" s="141"/>
      <c r="H1030" s="141"/>
      <c r="I1030" s="54"/>
      <c r="J1030" s="54"/>
      <c r="K1030" s="63"/>
      <c r="L1030" s="54"/>
      <c r="M1030" s="54"/>
    </row>
    <row r="1031">
      <c r="A1031" s="54"/>
      <c r="B1031" s="140"/>
      <c r="C1031" s="140"/>
      <c r="D1031" s="54"/>
      <c r="E1031" s="54"/>
      <c r="F1031" s="54"/>
      <c r="G1031" s="141"/>
      <c r="H1031" s="141"/>
      <c r="I1031" s="54"/>
      <c r="J1031" s="54"/>
      <c r="K1031" s="63"/>
      <c r="L1031" s="54"/>
      <c r="M1031" s="54"/>
    </row>
    <row r="1032">
      <c r="A1032" s="54"/>
      <c r="B1032" s="140"/>
      <c r="C1032" s="140"/>
      <c r="D1032" s="54"/>
      <c r="E1032" s="54"/>
      <c r="F1032" s="54"/>
      <c r="G1032" s="141"/>
      <c r="H1032" s="141"/>
      <c r="I1032" s="54"/>
      <c r="J1032" s="54"/>
      <c r="K1032" s="63"/>
      <c r="L1032" s="54"/>
      <c r="M1032" s="54"/>
    </row>
    <row r="1033">
      <c r="A1033" s="54"/>
      <c r="B1033" s="140"/>
      <c r="C1033" s="140"/>
      <c r="D1033" s="54"/>
      <c r="E1033" s="54"/>
      <c r="F1033" s="54"/>
      <c r="G1033" s="141"/>
      <c r="H1033" s="141"/>
      <c r="I1033" s="54"/>
      <c r="J1033" s="54"/>
      <c r="K1033" s="63"/>
      <c r="L1033" s="54"/>
      <c r="M1033" s="54"/>
    </row>
    <row r="1034">
      <c r="A1034" s="54"/>
      <c r="B1034" s="140"/>
      <c r="C1034" s="140"/>
      <c r="D1034" s="54"/>
      <c r="E1034" s="54"/>
      <c r="F1034" s="54"/>
      <c r="G1034" s="141"/>
      <c r="H1034" s="141"/>
      <c r="I1034" s="54"/>
      <c r="J1034" s="54"/>
      <c r="K1034" s="63"/>
      <c r="L1034" s="54"/>
      <c r="M1034" s="54"/>
    </row>
    <row r="1035">
      <c r="A1035" s="54"/>
      <c r="B1035" s="140"/>
      <c r="C1035" s="140"/>
      <c r="D1035" s="54"/>
      <c r="E1035" s="54"/>
      <c r="F1035" s="54"/>
      <c r="G1035" s="141"/>
      <c r="H1035" s="141"/>
      <c r="I1035" s="54"/>
      <c r="J1035" s="54"/>
      <c r="K1035" s="63"/>
      <c r="L1035" s="54"/>
      <c r="M1035" s="54"/>
    </row>
    <row r="1036">
      <c r="A1036" s="54"/>
      <c r="B1036" s="140"/>
      <c r="C1036" s="140"/>
      <c r="D1036" s="54"/>
      <c r="E1036" s="54"/>
      <c r="F1036" s="54"/>
      <c r="G1036" s="141"/>
      <c r="H1036" s="141"/>
      <c r="I1036" s="54"/>
      <c r="J1036" s="54"/>
      <c r="K1036" s="63"/>
      <c r="L1036" s="54"/>
      <c r="M1036" s="54"/>
    </row>
    <row r="1037">
      <c r="A1037" s="54"/>
      <c r="B1037" s="140"/>
      <c r="C1037" s="140"/>
      <c r="D1037" s="54"/>
      <c r="E1037" s="54"/>
      <c r="F1037" s="54"/>
      <c r="G1037" s="141"/>
      <c r="H1037" s="141"/>
      <c r="I1037" s="54"/>
      <c r="J1037" s="54"/>
      <c r="K1037" s="63"/>
      <c r="L1037" s="54"/>
      <c r="M1037" s="54"/>
    </row>
    <row r="1038">
      <c r="A1038" s="54"/>
      <c r="B1038" s="140"/>
      <c r="C1038" s="140"/>
      <c r="D1038" s="54"/>
      <c r="E1038" s="54"/>
      <c r="F1038" s="54"/>
      <c r="G1038" s="141"/>
      <c r="H1038" s="141"/>
      <c r="I1038" s="54"/>
      <c r="J1038" s="54"/>
      <c r="K1038" s="63"/>
      <c r="L1038" s="54"/>
      <c r="M1038" s="54"/>
    </row>
    <row r="1039">
      <c r="A1039" s="54"/>
      <c r="B1039" s="140"/>
      <c r="C1039" s="140"/>
      <c r="D1039" s="54"/>
      <c r="E1039" s="54"/>
      <c r="F1039" s="54"/>
      <c r="G1039" s="141"/>
      <c r="H1039" s="141"/>
      <c r="I1039" s="54"/>
      <c r="J1039" s="54"/>
      <c r="K1039" s="63"/>
      <c r="L1039" s="54"/>
      <c r="M1039" s="54"/>
    </row>
    <row r="1040">
      <c r="A1040" s="54"/>
      <c r="B1040" s="140"/>
      <c r="C1040" s="140"/>
      <c r="D1040" s="54"/>
      <c r="E1040" s="54"/>
      <c r="F1040" s="54"/>
      <c r="G1040" s="141"/>
      <c r="H1040" s="141"/>
      <c r="I1040" s="54"/>
      <c r="J1040" s="54"/>
      <c r="K1040" s="63"/>
      <c r="L1040" s="54"/>
      <c r="M1040" s="54"/>
    </row>
    <row r="1041">
      <c r="A1041" s="54"/>
      <c r="B1041" s="140"/>
      <c r="C1041" s="140"/>
      <c r="D1041" s="54"/>
      <c r="E1041" s="54"/>
      <c r="F1041" s="54"/>
      <c r="G1041" s="141"/>
      <c r="H1041" s="141"/>
      <c r="I1041" s="54"/>
      <c r="J1041" s="54"/>
      <c r="K1041" s="63"/>
      <c r="L1041" s="54"/>
      <c r="M1041" s="54"/>
    </row>
    <row r="1042">
      <c r="A1042" s="54"/>
      <c r="B1042" s="140"/>
      <c r="C1042" s="140"/>
      <c r="D1042" s="54"/>
      <c r="E1042" s="54"/>
      <c r="F1042" s="54"/>
      <c r="G1042" s="141"/>
      <c r="H1042" s="141"/>
      <c r="I1042" s="54"/>
      <c r="J1042" s="54"/>
      <c r="K1042" s="63"/>
      <c r="L1042" s="54"/>
      <c r="M1042" s="54"/>
    </row>
    <row r="1043">
      <c r="A1043" s="54"/>
      <c r="B1043" s="140"/>
      <c r="C1043" s="140"/>
      <c r="D1043" s="54"/>
      <c r="E1043" s="54"/>
      <c r="F1043" s="54"/>
      <c r="G1043" s="141"/>
      <c r="H1043" s="141"/>
      <c r="I1043" s="54"/>
      <c r="J1043" s="54"/>
      <c r="K1043" s="63"/>
      <c r="L1043" s="54"/>
      <c r="M1043" s="54"/>
    </row>
    <row r="1044">
      <c r="A1044" s="54"/>
      <c r="B1044" s="140"/>
      <c r="C1044" s="140"/>
      <c r="D1044" s="54"/>
      <c r="E1044" s="54"/>
      <c r="F1044" s="54"/>
      <c r="G1044" s="141"/>
      <c r="H1044" s="141"/>
      <c r="I1044" s="54"/>
      <c r="J1044" s="54"/>
      <c r="K1044" s="63"/>
      <c r="L1044" s="54"/>
      <c r="M1044" s="54"/>
    </row>
    <row r="1045">
      <c r="A1045" s="54"/>
      <c r="B1045" s="140"/>
      <c r="C1045" s="140"/>
      <c r="D1045" s="54"/>
      <c r="E1045" s="54"/>
      <c r="F1045" s="54"/>
      <c r="G1045" s="141"/>
      <c r="H1045" s="141"/>
      <c r="I1045" s="54"/>
      <c r="J1045" s="54"/>
      <c r="K1045" s="63"/>
      <c r="L1045" s="54"/>
      <c r="M1045" s="54"/>
    </row>
    <row r="1046">
      <c r="A1046" s="54"/>
      <c r="B1046" s="140"/>
      <c r="C1046" s="140"/>
      <c r="D1046" s="54"/>
      <c r="E1046" s="54"/>
      <c r="F1046" s="54"/>
      <c r="G1046" s="141"/>
      <c r="H1046" s="141"/>
      <c r="I1046" s="54"/>
      <c r="J1046" s="54"/>
      <c r="K1046" s="63"/>
      <c r="L1046" s="54"/>
      <c r="M1046" s="54"/>
    </row>
    <row r="1047">
      <c r="A1047" s="54"/>
      <c r="B1047" s="140"/>
      <c r="C1047" s="140"/>
      <c r="D1047" s="54"/>
      <c r="E1047" s="54"/>
      <c r="F1047" s="54"/>
      <c r="G1047" s="141"/>
      <c r="H1047" s="141"/>
      <c r="I1047" s="54"/>
      <c r="J1047" s="54"/>
      <c r="K1047" s="63"/>
      <c r="L1047" s="54"/>
      <c r="M1047" s="54"/>
    </row>
    <row r="1048">
      <c r="A1048" s="54"/>
      <c r="B1048" s="140"/>
      <c r="C1048" s="140"/>
      <c r="D1048" s="54"/>
      <c r="E1048" s="54"/>
      <c r="F1048" s="54"/>
      <c r="G1048" s="141"/>
      <c r="H1048" s="141"/>
      <c r="I1048" s="54"/>
      <c r="J1048" s="54"/>
      <c r="K1048" s="63"/>
      <c r="L1048" s="54"/>
      <c r="M1048" s="54"/>
    </row>
    <row r="1049">
      <c r="A1049" s="54"/>
      <c r="B1049" s="140"/>
      <c r="C1049" s="140"/>
      <c r="D1049" s="54"/>
      <c r="E1049" s="54"/>
      <c r="F1049" s="54"/>
      <c r="G1049" s="141"/>
      <c r="H1049" s="141"/>
      <c r="I1049" s="54"/>
      <c r="J1049" s="54"/>
      <c r="K1049" s="63"/>
      <c r="L1049" s="54"/>
      <c r="M1049" s="54"/>
    </row>
    <row r="1050">
      <c r="A1050" s="54"/>
      <c r="B1050" s="140"/>
      <c r="C1050" s="140"/>
      <c r="D1050" s="54"/>
      <c r="E1050" s="54"/>
      <c r="F1050" s="54"/>
      <c r="G1050" s="141"/>
      <c r="H1050" s="141"/>
      <c r="I1050" s="54"/>
      <c r="J1050" s="54"/>
      <c r="K1050" s="63"/>
      <c r="L1050" s="54"/>
      <c r="M1050" s="54"/>
    </row>
    <row r="1051">
      <c r="A1051" s="54"/>
      <c r="B1051" s="140"/>
      <c r="C1051" s="140"/>
      <c r="D1051" s="54"/>
      <c r="E1051" s="54"/>
      <c r="F1051" s="54"/>
      <c r="G1051" s="141"/>
      <c r="H1051" s="141"/>
      <c r="I1051" s="54"/>
      <c r="J1051" s="54"/>
      <c r="K1051" s="63"/>
      <c r="L1051" s="54"/>
      <c r="M1051" s="54"/>
    </row>
    <row r="1052">
      <c r="A1052" s="54"/>
      <c r="B1052" s="140"/>
      <c r="C1052" s="140"/>
      <c r="D1052" s="54"/>
      <c r="E1052" s="54"/>
      <c r="F1052" s="54"/>
      <c r="G1052" s="141"/>
      <c r="H1052" s="141"/>
      <c r="I1052" s="54"/>
      <c r="J1052" s="54"/>
      <c r="K1052" s="63"/>
      <c r="L1052" s="54"/>
      <c r="M1052" s="54"/>
    </row>
    <row r="1053">
      <c r="A1053" s="54"/>
      <c r="B1053" s="140"/>
      <c r="C1053" s="140"/>
      <c r="D1053" s="54"/>
      <c r="E1053" s="54"/>
      <c r="F1053" s="54"/>
      <c r="G1053" s="141"/>
      <c r="H1053" s="141"/>
      <c r="I1053" s="54"/>
      <c r="J1053" s="54"/>
      <c r="K1053" s="63"/>
      <c r="L1053" s="54"/>
      <c r="M1053" s="54"/>
    </row>
    <row r="1054">
      <c r="A1054" s="54"/>
      <c r="B1054" s="140"/>
      <c r="C1054" s="140"/>
      <c r="D1054" s="54"/>
      <c r="E1054" s="54"/>
      <c r="F1054" s="54"/>
      <c r="G1054" s="141"/>
      <c r="H1054" s="141"/>
      <c r="I1054" s="54"/>
      <c r="J1054" s="54"/>
      <c r="K1054" s="63"/>
      <c r="L1054" s="54"/>
      <c r="M1054" s="54"/>
    </row>
    <row r="1055">
      <c r="A1055" s="54"/>
      <c r="B1055" s="140"/>
      <c r="C1055" s="140"/>
      <c r="D1055" s="54"/>
      <c r="E1055" s="54"/>
      <c r="F1055" s="54"/>
      <c r="G1055" s="141"/>
      <c r="H1055" s="141"/>
      <c r="I1055" s="54"/>
      <c r="J1055" s="54"/>
      <c r="K1055" s="63"/>
      <c r="L1055" s="54"/>
      <c r="M1055" s="54"/>
    </row>
    <row r="1056">
      <c r="A1056" s="54"/>
      <c r="B1056" s="140"/>
      <c r="C1056" s="140"/>
      <c r="D1056" s="54"/>
      <c r="E1056" s="54"/>
      <c r="F1056" s="54"/>
      <c r="G1056" s="141"/>
      <c r="H1056" s="141"/>
      <c r="I1056" s="54"/>
      <c r="J1056" s="54"/>
      <c r="K1056" s="63"/>
      <c r="L1056" s="54"/>
      <c r="M1056" s="54"/>
    </row>
    <row r="1057">
      <c r="A1057" s="54"/>
      <c r="B1057" s="140"/>
      <c r="C1057" s="140"/>
      <c r="D1057" s="54"/>
      <c r="E1057" s="54"/>
      <c r="F1057" s="54"/>
      <c r="G1057" s="141"/>
      <c r="H1057" s="141"/>
      <c r="I1057" s="54"/>
      <c r="J1057" s="54"/>
      <c r="K1057" s="63"/>
      <c r="L1057" s="54"/>
      <c r="M1057" s="54"/>
    </row>
    <row r="1058">
      <c r="A1058" s="54"/>
      <c r="B1058" s="140"/>
      <c r="C1058" s="140"/>
      <c r="D1058" s="54"/>
      <c r="E1058" s="54"/>
      <c r="F1058" s="54"/>
      <c r="G1058" s="141"/>
      <c r="H1058" s="141"/>
      <c r="I1058" s="54"/>
      <c r="J1058" s="54"/>
      <c r="K1058" s="63"/>
      <c r="L1058" s="54"/>
      <c r="M1058" s="54"/>
    </row>
    <row r="1059">
      <c r="A1059" s="54"/>
      <c r="B1059" s="140"/>
      <c r="C1059" s="140"/>
      <c r="D1059" s="54"/>
      <c r="E1059" s="54"/>
      <c r="F1059" s="54"/>
      <c r="G1059" s="141"/>
      <c r="H1059" s="141"/>
      <c r="I1059" s="54"/>
      <c r="J1059" s="54"/>
      <c r="K1059" s="63"/>
      <c r="L1059" s="54"/>
      <c r="M1059" s="54"/>
    </row>
    <row r="1060">
      <c r="A1060" s="54"/>
      <c r="B1060" s="140"/>
      <c r="C1060" s="140"/>
      <c r="D1060" s="54"/>
      <c r="E1060" s="54"/>
      <c r="F1060" s="54"/>
      <c r="G1060" s="141"/>
      <c r="H1060" s="141"/>
      <c r="I1060" s="54"/>
      <c r="J1060" s="54"/>
      <c r="K1060" s="63"/>
      <c r="L1060" s="54"/>
      <c r="M1060" s="54"/>
    </row>
    <row r="1061">
      <c r="A1061" s="54"/>
      <c r="B1061" s="140"/>
      <c r="C1061" s="140"/>
      <c r="D1061" s="54"/>
      <c r="E1061" s="54"/>
      <c r="F1061" s="54"/>
      <c r="G1061" s="141"/>
      <c r="H1061" s="141"/>
      <c r="I1061" s="54"/>
      <c r="J1061" s="54"/>
      <c r="K1061" s="63"/>
      <c r="L1061" s="54"/>
      <c r="M1061" s="54"/>
    </row>
    <row r="1062">
      <c r="A1062" s="54"/>
      <c r="B1062" s="140"/>
      <c r="C1062" s="140"/>
      <c r="D1062" s="54"/>
      <c r="E1062" s="54"/>
      <c r="F1062" s="54"/>
      <c r="G1062" s="141"/>
      <c r="H1062" s="141"/>
      <c r="I1062" s="54"/>
      <c r="J1062" s="54"/>
      <c r="K1062" s="63"/>
      <c r="L1062" s="54"/>
      <c r="M1062" s="54"/>
    </row>
    <row r="1063">
      <c r="A1063" s="54"/>
      <c r="B1063" s="140"/>
      <c r="C1063" s="140"/>
      <c r="D1063" s="54"/>
      <c r="E1063" s="54"/>
      <c r="F1063" s="54"/>
      <c r="G1063" s="141"/>
      <c r="H1063" s="141"/>
      <c r="I1063" s="54"/>
      <c r="J1063" s="54"/>
      <c r="K1063" s="63"/>
      <c r="L1063" s="54"/>
      <c r="M1063" s="54"/>
    </row>
    <row r="1064">
      <c r="A1064" s="54"/>
      <c r="B1064" s="140"/>
      <c r="C1064" s="140"/>
      <c r="D1064" s="54"/>
      <c r="E1064" s="54"/>
      <c r="F1064" s="54"/>
      <c r="G1064" s="141"/>
      <c r="H1064" s="141"/>
      <c r="I1064" s="54"/>
      <c r="J1064" s="54"/>
      <c r="K1064" s="63"/>
      <c r="L1064" s="54"/>
      <c r="M1064" s="54"/>
    </row>
    <row r="1065">
      <c r="A1065" s="54"/>
      <c r="B1065" s="140"/>
      <c r="C1065" s="140"/>
      <c r="D1065" s="54"/>
      <c r="E1065" s="54"/>
      <c r="F1065" s="54"/>
      <c r="G1065" s="141"/>
      <c r="H1065" s="141"/>
      <c r="I1065" s="54"/>
      <c r="J1065" s="54"/>
      <c r="K1065" s="63"/>
      <c r="L1065" s="54"/>
      <c r="M1065" s="54"/>
    </row>
    <row r="1066">
      <c r="A1066" s="54"/>
      <c r="B1066" s="140"/>
      <c r="C1066" s="140"/>
      <c r="D1066" s="54"/>
      <c r="E1066" s="54"/>
      <c r="F1066" s="54"/>
      <c r="G1066" s="141"/>
      <c r="H1066" s="141"/>
      <c r="I1066" s="54"/>
      <c r="J1066" s="54"/>
      <c r="K1066" s="63"/>
      <c r="L1066" s="54"/>
      <c r="M1066" s="54"/>
    </row>
    <row r="1067">
      <c r="A1067" s="54"/>
      <c r="B1067" s="140"/>
      <c r="C1067" s="140"/>
      <c r="D1067" s="54"/>
      <c r="E1067" s="54"/>
      <c r="F1067" s="54"/>
      <c r="G1067" s="141"/>
      <c r="H1067" s="141"/>
      <c r="I1067" s="54"/>
      <c r="J1067" s="54"/>
      <c r="K1067" s="63"/>
      <c r="L1067" s="54"/>
      <c r="M1067" s="54"/>
    </row>
    <row r="1068">
      <c r="A1068" s="54"/>
      <c r="B1068" s="140"/>
      <c r="C1068" s="140"/>
      <c r="D1068" s="54"/>
      <c r="E1068" s="54"/>
      <c r="F1068" s="54"/>
      <c r="G1068" s="141"/>
      <c r="H1068" s="141"/>
      <c r="I1068" s="54"/>
      <c r="J1068" s="54"/>
      <c r="K1068" s="63"/>
      <c r="L1068" s="54"/>
      <c r="M1068" s="54"/>
    </row>
    <row r="1069">
      <c r="A1069" s="54"/>
      <c r="B1069" s="140"/>
      <c r="C1069" s="140"/>
      <c r="D1069" s="54"/>
      <c r="E1069" s="54"/>
      <c r="F1069" s="54"/>
      <c r="G1069" s="141"/>
      <c r="H1069" s="141"/>
      <c r="I1069" s="54"/>
      <c r="J1069" s="54"/>
      <c r="K1069" s="63"/>
      <c r="L1069" s="54"/>
      <c r="M1069" s="54"/>
    </row>
    <row r="1070">
      <c r="A1070" s="54"/>
      <c r="B1070" s="140"/>
      <c r="C1070" s="140"/>
      <c r="D1070" s="54"/>
      <c r="E1070" s="54"/>
      <c r="F1070" s="54"/>
      <c r="G1070" s="141"/>
      <c r="H1070" s="141"/>
      <c r="I1070" s="54"/>
      <c r="J1070" s="54"/>
      <c r="K1070" s="63"/>
      <c r="L1070" s="54"/>
      <c r="M1070" s="54"/>
    </row>
    <row r="1071">
      <c r="A1071" s="54"/>
      <c r="B1071" s="140"/>
      <c r="C1071" s="140"/>
      <c r="D1071" s="54"/>
      <c r="E1071" s="54"/>
      <c r="F1071" s="54"/>
      <c r="G1071" s="141"/>
      <c r="H1071" s="141"/>
      <c r="I1071" s="54"/>
      <c r="J1071" s="54"/>
      <c r="K1071" s="63"/>
      <c r="L1071" s="54"/>
      <c r="M1071" s="54"/>
    </row>
    <row r="1072">
      <c r="A1072" s="54"/>
      <c r="B1072" s="140"/>
      <c r="C1072" s="140"/>
      <c r="D1072" s="54"/>
      <c r="E1072" s="54"/>
      <c r="F1072" s="54"/>
      <c r="G1072" s="141"/>
      <c r="H1072" s="141"/>
      <c r="I1072" s="54"/>
      <c r="J1072" s="54"/>
      <c r="K1072" s="63"/>
      <c r="L1072" s="54"/>
      <c r="M1072" s="54"/>
    </row>
    <row r="1073">
      <c r="A1073" s="54"/>
      <c r="B1073" s="140"/>
      <c r="C1073" s="140"/>
      <c r="D1073" s="54"/>
      <c r="E1073" s="54"/>
      <c r="F1073" s="54"/>
      <c r="G1073" s="141"/>
      <c r="H1073" s="141"/>
      <c r="I1073" s="54"/>
      <c r="J1073" s="54"/>
      <c r="K1073" s="63"/>
      <c r="L1073" s="54"/>
      <c r="M1073" s="54"/>
    </row>
    <row r="1074">
      <c r="A1074" s="54"/>
      <c r="B1074" s="140"/>
      <c r="C1074" s="140"/>
      <c r="D1074" s="54"/>
      <c r="E1074" s="54"/>
      <c r="F1074" s="54"/>
      <c r="G1074" s="141"/>
      <c r="H1074" s="141"/>
      <c r="I1074" s="54"/>
      <c r="J1074" s="54"/>
      <c r="K1074" s="63"/>
      <c r="L1074" s="54"/>
      <c r="M1074" s="54"/>
    </row>
    <row r="1075">
      <c r="A1075" s="54"/>
      <c r="B1075" s="140"/>
      <c r="C1075" s="140"/>
      <c r="D1075" s="54"/>
      <c r="E1075" s="54"/>
      <c r="F1075" s="54"/>
      <c r="G1075" s="141"/>
      <c r="H1075" s="141"/>
      <c r="I1075" s="54"/>
      <c r="J1075" s="54"/>
      <c r="K1075" s="63"/>
      <c r="L1075" s="54"/>
      <c r="M1075" s="54"/>
    </row>
    <row r="1076">
      <c r="A1076" s="54"/>
      <c r="B1076" s="140"/>
      <c r="C1076" s="140"/>
      <c r="D1076" s="54"/>
      <c r="E1076" s="54"/>
      <c r="F1076" s="54"/>
      <c r="G1076" s="141"/>
      <c r="H1076" s="141"/>
      <c r="I1076" s="54"/>
      <c r="J1076" s="54"/>
      <c r="K1076" s="63"/>
      <c r="L1076" s="54"/>
      <c r="M1076" s="54"/>
    </row>
    <row r="1077">
      <c r="A1077" s="54"/>
      <c r="B1077" s="140"/>
      <c r="C1077" s="140"/>
      <c r="D1077" s="54"/>
      <c r="E1077" s="54"/>
      <c r="F1077" s="54"/>
      <c r="G1077" s="141"/>
      <c r="H1077" s="141"/>
      <c r="I1077" s="54"/>
      <c r="J1077" s="54"/>
      <c r="K1077" s="63"/>
      <c r="L1077" s="54"/>
      <c r="M1077" s="54"/>
    </row>
    <row r="1078">
      <c r="A1078" s="54"/>
      <c r="B1078" s="140"/>
      <c r="C1078" s="140"/>
      <c r="D1078" s="54"/>
      <c r="E1078" s="54"/>
      <c r="F1078" s="54"/>
      <c r="G1078" s="141"/>
      <c r="H1078" s="141"/>
      <c r="I1078" s="54"/>
      <c r="J1078" s="54"/>
      <c r="K1078" s="63"/>
      <c r="L1078" s="54"/>
      <c r="M1078" s="54"/>
    </row>
    <row r="1079">
      <c r="A1079" s="54"/>
      <c r="B1079" s="140"/>
      <c r="C1079" s="140"/>
      <c r="D1079" s="54"/>
      <c r="E1079" s="54"/>
      <c r="F1079" s="54"/>
      <c r="G1079" s="141"/>
      <c r="H1079" s="141"/>
      <c r="I1079" s="54"/>
      <c r="J1079" s="54"/>
      <c r="K1079" s="63"/>
      <c r="L1079" s="54"/>
      <c r="M1079" s="54"/>
    </row>
    <row r="1080">
      <c r="A1080" s="54"/>
      <c r="B1080" s="140"/>
      <c r="C1080" s="140"/>
      <c r="D1080" s="54"/>
      <c r="E1080" s="54"/>
      <c r="F1080" s="54"/>
      <c r="G1080" s="141"/>
      <c r="H1080" s="141"/>
      <c r="I1080" s="54"/>
      <c r="J1080" s="54"/>
      <c r="K1080" s="63"/>
      <c r="L1080" s="54"/>
      <c r="M1080" s="54"/>
    </row>
    <row r="1081">
      <c r="A1081" s="54"/>
      <c r="B1081" s="140"/>
      <c r="C1081" s="140"/>
      <c r="D1081" s="54"/>
      <c r="E1081" s="54"/>
      <c r="F1081" s="54"/>
      <c r="G1081" s="141"/>
      <c r="H1081" s="141"/>
      <c r="I1081" s="54"/>
      <c r="J1081" s="54"/>
      <c r="K1081" s="63"/>
      <c r="L1081" s="54"/>
      <c r="M1081" s="54"/>
    </row>
    <row r="1082">
      <c r="A1082" s="54"/>
      <c r="B1082" s="140"/>
      <c r="C1082" s="140"/>
      <c r="D1082" s="54"/>
      <c r="E1082" s="54"/>
      <c r="F1082" s="54"/>
      <c r="G1082" s="141"/>
      <c r="H1082" s="141"/>
      <c r="I1082" s="54"/>
      <c r="J1082" s="54"/>
      <c r="K1082" s="63"/>
      <c r="L1082" s="54"/>
      <c r="M1082" s="54"/>
    </row>
    <row r="1083">
      <c r="A1083" s="54"/>
      <c r="B1083" s="140"/>
      <c r="C1083" s="140"/>
      <c r="D1083" s="54"/>
      <c r="E1083" s="54"/>
      <c r="F1083" s="54"/>
      <c r="G1083" s="141"/>
      <c r="H1083" s="141"/>
      <c r="I1083" s="54"/>
      <c r="J1083" s="54"/>
      <c r="K1083" s="63"/>
      <c r="L1083" s="54"/>
      <c r="M1083" s="54"/>
    </row>
    <row r="1084">
      <c r="A1084" s="54"/>
      <c r="B1084" s="140"/>
      <c r="C1084" s="140"/>
      <c r="D1084" s="54"/>
      <c r="E1084" s="54"/>
      <c r="F1084" s="54"/>
      <c r="G1084" s="141"/>
      <c r="H1084" s="141"/>
      <c r="I1084" s="54"/>
      <c r="J1084" s="54"/>
      <c r="K1084" s="63"/>
      <c r="L1084" s="54"/>
      <c r="M1084" s="54"/>
    </row>
    <row r="1085">
      <c r="A1085" s="54"/>
      <c r="B1085" s="140"/>
      <c r="C1085" s="140"/>
      <c r="D1085" s="54"/>
      <c r="E1085" s="54"/>
      <c r="F1085" s="54"/>
      <c r="G1085" s="141"/>
      <c r="H1085" s="141"/>
      <c r="I1085" s="54"/>
      <c r="J1085" s="54"/>
      <c r="K1085" s="63"/>
      <c r="L1085" s="54"/>
      <c r="M1085" s="54"/>
    </row>
    <row r="1086">
      <c r="A1086" s="54"/>
      <c r="B1086" s="140"/>
      <c r="C1086" s="140"/>
      <c r="D1086" s="54"/>
      <c r="E1086" s="54"/>
      <c r="F1086" s="54"/>
      <c r="G1086" s="141"/>
      <c r="H1086" s="141"/>
      <c r="I1086" s="54"/>
      <c r="J1086" s="54"/>
      <c r="K1086" s="63"/>
      <c r="L1086" s="54"/>
      <c r="M1086" s="54"/>
    </row>
    <row r="1087">
      <c r="A1087" s="54"/>
      <c r="B1087" s="140"/>
      <c r="C1087" s="140"/>
      <c r="D1087" s="54"/>
      <c r="E1087" s="54"/>
      <c r="F1087" s="54"/>
      <c r="G1087" s="141"/>
      <c r="H1087" s="141"/>
      <c r="I1087" s="54"/>
      <c r="J1087" s="54"/>
      <c r="K1087" s="63"/>
      <c r="L1087" s="54"/>
      <c r="M1087" s="54"/>
    </row>
    <row r="1088">
      <c r="A1088" s="54"/>
      <c r="B1088" s="140"/>
      <c r="C1088" s="140"/>
      <c r="D1088" s="54"/>
      <c r="E1088" s="54"/>
      <c r="F1088" s="54"/>
      <c r="G1088" s="141"/>
      <c r="H1088" s="141"/>
      <c r="I1088" s="54"/>
      <c r="J1088" s="54"/>
      <c r="K1088" s="63"/>
      <c r="L1088" s="54"/>
      <c r="M1088" s="54"/>
    </row>
    <row r="1089">
      <c r="A1089" s="54"/>
      <c r="B1089" s="140"/>
      <c r="C1089" s="140"/>
      <c r="D1089" s="54"/>
      <c r="E1089" s="54"/>
      <c r="F1089" s="54"/>
      <c r="G1089" s="141"/>
      <c r="H1089" s="141"/>
      <c r="I1089" s="54"/>
      <c r="J1089" s="54"/>
      <c r="K1089" s="63"/>
      <c r="L1089" s="54"/>
      <c r="M1089" s="54"/>
    </row>
    <row r="1090">
      <c r="A1090" s="54"/>
      <c r="B1090" s="140"/>
      <c r="C1090" s="140"/>
      <c r="D1090" s="54"/>
      <c r="E1090" s="54"/>
      <c r="F1090" s="54"/>
      <c r="G1090" s="141"/>
      <c r="H1090" s="141"/>
      <c r="I1090" s="54"/>
      <c r="J1090" s="54"/>
      <c r="K1090" s="63"/>
      <c r="L1090" s="54"/>
      <c r="M1090" s="54"/>
    </row>
    <row r="1091">
      <c r="A1091" s="54"/>
      <c r="B1091" s="140"/>
      <c r="C1091" s="140"/>
      <c r="D1091" s="54"/>
      <c r="E1091" s="54"/>
      <c r="F1091" s="54"/>
      <c r="G1091" s="141"/>
      <c r="H1091" s="141"/>
      <c r="I1091" s="54"/>
      <c r="J1091" s="54"/>
      <c r="K1091" s="63"/>
      <c r="L1091" s="54"/>
      <c r="M1091" s="54"/>
    </row>
    <row r="1092">
      <c r="A1092" s="54"/>
      <c r="B1092" s="140"/>
      <c r="C1092" s="140"/>
      <c r="D1092" s="54"/>
      <c r="E1092" s="54"/>
      <c r="F1092" s="54"/>
      <c r="G1092" s="141"/>
      <c r="H1092" s="141"/>
      <c r="I1092" s="54"/>
      <c r="J1092" s="54"/>
      <c r="K1092" s="63"/>
      <c r="L1092" s="54"/>
      <c r="M1092" s="54"/>
    </row>
    <row r="1093">
      <c r="A1093" s="54"/>
      <c r="B1093" s="140"/>
      <c r="C1093" s="140"/>
      <c r="D1093" s="54"/>
      <c r="E1093" s="54"/>
      <c r="F1093" s="54"/>
      <c r="G1093" s="141"/>
      <c r="H1093" s="141"/>
      <c r="I1093" s="54"/>
      <c r="J1093" s="54"/>
      <c r="K1093" s="63"/>
      <c r="L1093" s="54"/>
      <c r="M1093" s="54"/>
    </row>
    <row r="1094">
      <c r="A1094" s="54"/>
      <c r="B1094" s="140"/>
      <c r="C1094" s="140"/>
      <c r="D1094" s="54"/>
      <c r="E1094" s="54"/>
      <c r="F1094" s="54"/>
      <c r="G1094" s="141"/>
      <c r="H1094" s="141"/>
      <c r="I1094" s="54"/>
      <c r="J1094" s="54"/>
      <c r="K1094" s="63"/>
      <c r="L1094" s="54"/>
      <c r="M1094" s="54"/>
    </row>
    <row r="1095">
      <c r="A1095" s="54"/>
      <c r="B1095" s="140"/>
      <c r="C1095" s="140"/>
      <c r="D1095" s="54"/>
      <c r="E1095" s="54"/>
      <c r="F1095" s="54"/>
      <c r="G1095" s="141"/>
      <c r="H1095" s="141"/>
      <c r="I1095" s="54"/>
      <c r="J1095" s="54"/>
      <c r="K1095" s="63"/>
      <c r="L1095" s="54"/>
      <c r="M1095" s="54"/>
    </row>
    <row r="1096">
      <c r="A1096" s="54"/>
      <c r="B1096" s="140"/>
      <c r="C1096" s="140"/>
      <c r="D1096" s="54"/>
      <c r="E1096" s="54"/>
      <c r="F1096" s="54"/>
      <c r="G1096" s="141"/>
      <c r="H1096" s="141"/>
      <c r="I1096" s="54"/>
      <c r="J1096" s="54"/>
      <c r="K1096" s="63"/>
      <c r="L1096" s="54"/>
      <c r="M1096" s="54"/>
    </row>
    <row r="1097">
      <c r="A1097" s="54"/>
      <c r="B1097" s="140"/>
      <c r="C1097" s="140"/>
      <c r="D1097" s="54"/>
      <c r="E1097" s="54"/>
      <c r="F1097" s="54"/>
      <c r="G1097" s="141"/>
      <c r="H1097" s="141"/>
      <c r="I1097" s="54"/>
      <c r="J1097" s="54"/>
      <c r="K1097" s="63"/>
      <c r="L1097" s="54"/>
      <c r="M1097" s="54"/>
    </row>
    <row r="1098">
      <c r="A1098" s="54"/>
      <c r="B1098" s="140"/>
      <c r="C1098" s="140"/>
      <c r="D1098" s="54"/>
      <c r="E1098" s="54"/>
      <c r="F1098" s="54"/>
      <c r="G1098" s="141"/>
      <c r="H1098" s="141"/>
      <c r="I1098" s="54"/>
      <c r="J1098" s="54"/>
      <c r="K1098" s="63"/>
      <c r="L1098" s="54"/>
      <c r="M1098" s="54"/>
    </row>
    <row r="1099">
      <c r="A1099" s="54"/>
      <c r="B1099" s="140"/>
      <c r="C1099" s="140"/>
      <c r="D1099" s="54"/>
      <c r="E1099" s="54"/>
      <c r="F1099" s="54"/>
      <c r="G1099" s="141"/>
      <c r="H1099" s="141"/>
      <c r="I1099" s="54"/>
      <c r="J1099" s="54"/>
      <c r="K1099" s="63"/>
      <c r="L1099" s="54"/>
      <c r="M1099" s="54"/>
    </row>
    <row r="1100">
      <c r="A1100" s="54"/>
      <c r="B1100" s="140"/>
      <c r="C1100" s="140"/>
      <c r="D1100" s="54"/>
      <c r="E1100" s="54"/>
      <c r="F1100" s="54"/>
      <c r="G1100" s="141"/>
      <c r="H1100" s="141"/>
      <c r="I1100" s="54"/>
      <c r="J1100" s="54"/>
      <c r="K1100" s="63"/>
      <c r="L1100" s="54"/>
      <c r="M1100" s="54"/>
    </row>
    <row r="1101">
      <c r="A1101" s="54"/>
      <c r="B1101" s="140"/>
      <c r="C1101" s="140"/>
      <c r="D1101" s="54"/>
      <c r="E1101" s="54"/>
      <c r="F1101" s="54"/>
      <c r="G1101" s="141"/>
      <c r="H1101" s="141"/>
      <c r="I1101" s="54"/>
      <c r="J1101" s="54"/>
      <c r="K1101" s="63"/>
      <c r="L1101" s="54"/>
      <c r="M1101" s="54"/>
    </row>
    <row r="1102">
      <c r="A1102" s="54"/>
      <c r="B1102" s="140"/>
      <c r="C1102" s="140"/>
      <c r="D1102" s="54"/>
      <c r="E1102" s="54"/>
      <c r="F1102" s="54"/>
      <c r="G1102" s="141"/>
      <c r="H1102" s="141"/>
      <c r="I1102" s="54"/>
      <c r="J1102" s="54"/>
      <c r="K1102" s="63"/>
      <c r="L1102" s="54"/>
      <c r="M1102" s="54"/>
    </row>
    <row r="1103">
      <c r="A1103" s="54"/>
      <c r="B1103" s="140"/>
      <c r="C1103" s="140"/>
      <c r="D1103" s="54"/>
      <c r="E1103" s="54"/>
      <c r="F1103" s="54"/>
      <c r="G1103" s="141"/>
      <c r="H1103" s="141"/>
      <c r="I1103" s="54"/>
      <c r="J1103" s="54"/>
      <c r="K1103" s="63"/>
      <c r="L1103" s="54"/>
      <c r="M1103" s="54"/>
    </row>
    <row r="1104">
      <c r="A1104" s="54"/>
      <c r="B1104" s="140"/>
      <c r="C1104" s="140"/>
      <c r="D1104" s="54"/>
      <c r="E1104" s="54"/>
      <c r="F1104" s="54"/>
      <c r="G1104" s="141"/>
      <c r="H1104" s="141"/>
      <c r="I1104" s="54"/>
      <c r="J1104" s="54"/>
      <c r="K1104" s="63"/>
      <c r="L1104" s="54"/>
      <c r="M1104" s="54"/>
    </row>
    <row r="1105">
      <c r="A1105" s="54"/>
      <c r="B1105" s="140"/>
      <c r="C1105" s="140"/>
      <c r="D1105" s="54"/>
      <c r="E1105" s="54"/>
      <c r="F1105" s="54"/>
      <c r="G1105" s="141"/>
      <c r="H1105" s="141"/>
      <c r="I1105" s="54"/>
      <c r="J1105" s="54"/>
      <c r="K1105" s="63"/>
      <c r="L1105" s="54"/>
      <c r="M1105" s="54"/>
    </row>
    <row r="1106">
      <c r="A1106" s="54"/>
      <c r="B1106" s="140"/>
      <c r="C1106" s="140"/>
      <c r="D1106" s="54"/>
      <c r="E1106" s="54"/>
      <c r="F1106" s="54"/>
      <c r="G1106" s="141"/>
      <c r="H1106" s="141"/>
      <c r="I1106" s="54"/>
      <c r="J1106" s="54"/>
      <c r="K1106" s="63"/>
      <c r="L1106" s="54"/>
      <c r="M1106" s="54"/>
    </row>
    <row r="1107">
      <c r="A1107" s="54"/>
      <c r="B1107" s="140"/>
      <c r="C1107" s="140"/>
      <c r="D1107" s="54"/>
      <c r="E1107" s="54"/>
      <c r="F1107" s="54"/>
      <c r="G1107" s="141"/>
      <c r="H1107" s="141"/>
      <c r="I1107" s="54"/>
      <c r="J1107" s="54"/>
      <c r="K1107" s="63"/>
      <c r="L1107" s="54"/>
      <c r="M1107" s="54"/>
    </row>
    <row r="1108">
      <c r="A1108" s="54"/>
      <c r="B1108" s="140"/>
      <c r="C1108" s="140"/>
      <c r="D1108" s="54"/>
      <c r="E1108" s="54"/>
      <c r="F1108" s="54"/>
      <c r="G1108" s="141"/>
      <c r="H1108" s="141"/>
      <c r="I1108" s="54"/>
      <c r="J1108" s="54"/>
      <c r="K1108" s="63"/>
      <c r="L1108" s="54"/>
      <c r="M1108" s="54"/>
    </row>
    <row r="1109">
      <c r="A1109" s="54"/>
      <c r="B1109" s="140"/>
      <c r="C1109" s="140"/>
      <c r="D1109" s="54"/>
      <c r="E1109" s="54"/>
      <c r="F1109" s="54"/>
      <c r="G1109" s="141"/>
      <c r="H1109" s="141"/>
      <c r="I1109" s="54"/>
      <c r="J1109" s="54"/>
      <c r="K1109" s="63"/>
      <c r="L1109" s="54"/>
      <c r="M1109" s="54"/>
    </row>
    <row r="1110">
      <c r="A1110" s="54"/>
      <c r="B1110" s="140"/>
      <c r="C1110" s="140"/>
      <c r="D1110" s="54"/>
      <c r="E1110" s="54"/>
      <c r="F1110" s="54"/>
      <c r="G1110" s="141"/>
      <c r="H1110" s="141"/>
      <c r="I1110" s="54"/>
      <c r="J1110" s="54"/>
      <c r="K1110" s="63"/>
      <c r="L1110" s="54"/>
      <c r="M1110" s="54"/>
    </row>
    <row r="1111">
      <c r="A1111" s="54"/>
      <c r="B1111" s="140"/>
      <c r="C1111" s="140"/>
      <c r="D1111" s="54"/>
      <c r="E1111" s="54"/>
      <c r="F1111" s="54"/>
      <c r="G1111" s="141"/>
      <c r="H1111" s="141"/>
      <c r="I1111" s="54"/>
      <c r="J1111" s="54"/>
      <c r="K1111" s="63"/>
      <c r="L1111" s="54"/>
      <c r="M1111" s="54"/>
    </row>
    <row r="1112">
      <c r="A1112" s="54"/>
      <c r="B1112" s="140"/>
      <c r="C1112" s="140"/>
      <c r="D1112" s="54"/>
      <c r="E1112" s="54"/>
      <c r="F1112" s="54"/>
      <c r="G1112" s="141"/>
      <c r="H1112" s="141"/>
      <c r="I1112" s="54"/>
      <c r="J1112" s="54"/>
      <c r="K1112" s="63"/>
      <c r="L1112" s="54"/>
      <c r="M1112" s="54"/>
    </row>
    <row r="1113">
      <c r="A1113" s="54"/>
      <c r="B1113" s="140"/>
      <c r="C1113" s="140"/>
      <c r="D1113" s="54"/>
      <c r="E1113" s="54"/>
      <c r="F1113" s="54"/>
      <c r="G1113" s="141"/>
      <c r="H1113" s="141"/>
      <c r="I1113" s="54"/>
      <c r="J1113" s="54"/>
      <c r="K1113" s="63"/>
      <c r="L1113" s="54"/>
      <c r="M1113" s="54"/>
    </row>
    <row r="1114">
      <c r="A1114" s="54"/>
      <c r="B1114" s="140"/>
      <c r="C1114" s="140"/>
      <c r="D1114" s="54"/>
      <c r="E1114" s="54"/>
      <c r="F1114" s="54"/>
      <c r="G1114" s="141"/>
      <c r="H1114" s="141"/>
      <c r="I1114" s="54"/>
      <c r="J1114" s="54"/>
      <c r="K1114" s="63"/>
      <c r="L1114" s="54"/>
      <c r="M1114" s="54"/>
    </row>
    <row r="1115">
      <c r="A1115" s="54"/>
      <c r="B1115" s="140"/>
      <c r="C1115" s="140"/>
      <c r="D1115" s="54"/>
      <c r="E1115" s="54"/>
      <c r="F1115" s="54"/>
      <c r="G1115" s="141"/>
      <c r="H1115" s="141"/>
      <c r="I1115" s="54"/>
      <c r="J1115" s="54"/>
      <c r="K1115" s="63"/>
      <c r="L1115" s="54"/>
      <c r="M1115" s="54"/>
    </row>
    <row r="1116">
      <c r="A1116" s="54"/>
      <c r="B1116" s="140"/>
      <c r="C1116" s="140"/>
      <c r="D1116" s="54"/>
      <c r="E1116" s="54"/>
      <c r="F1116" s="54"/>
      <c r="G1116" s="141"/>
      <c r="H1116" s="141"/>
      <c r="I1116" s="54"/>
      <c r="J1116" s="54"/>
      <c r="K1116" s="63"/>
      <c r="L1116" s="54"/>
      <c r="M1116" s="54"/>
    </row>
    <row r="1117">
      <c r="A1117" s="54"/>
      <c r="B1117" s="140"/>
      <c r="C1117" s="140"/>
      <c r="D1117" s="54"/>
      <c r="E1117" s="54"/>
      <c r="F1117" s="54"/>
      <c r="G1117" s="141"/>
      <c r="H1117" s="141"/>
      <c r="I1117" s="54"/>
      <c r="J1117" s="54"/>
      <c r="K1117" s="63"/>
      <c r="L1117" s="54"/>
      <c r="M1117" s="54"/>
    </row>
    <row r="1118">
      <c r="A1118" s="54"/>
      <c r="B1118" s="140"/>
      <c r="C1118" s="140"/>
      <c r="D1118" s="54"/>
      <c r="E1118" s="54"/>
      <c r="F1118" s="54"/>
      <c r="G1118" s="141"/>
      <c r="H1118" s="141"/>
      <c r="I1118" s="54"/>
      <c r="J1118" s="54"/>
      <c r="K1118" s="63"/>
      <c r="L1118" s="54"/>
      <c r="M1118" s="54"/>
    </row>
    <row r="1119">
      <c r="A1119" s="54"/>
      <c r="B1119" s="140"/>
      <c r="C1119" s="140"/>
      <c r="D1119" s="54"/>
      <c r="E1119" s="54"/>
      <c r="F1119" s="54"/>
      <c r="G1119" s="141"/>
      <c r="H1119" s="141"/>
      <c r="I1119" s="54"/>
      <c r="J1119" s="54"/>
      <c r="K1119" s="63"/>
      <c r="L1119" s="54"/>
      <c r="M1119" s="54"/>
    </row>
    <row r="1120">
      <c r="A1120" s="54"/>
      <c r="B1120" s="140"/>
      <c r="C1120" s="140"/>
      <c r="D1120" s="54"/>
      <c r="E1120" s="54"/>
      <c r="F1120" s="54"/>
      <c r="G1120" s="141"/>
      <c r="H1120" s="141"/>
      <c r="I1120" s="54"/>
      <c r="J1120" s="54"/>
      <c r="K1120" s="63"/>
      <c r="L1120" s="54"/>
      <c r="M1120" s="54"/>
    </row>
    <row r="1121">
      <c r="A1121" s="54"/>
      <c r="B1121" s="140"/>
      <c r="C1121" s="140"/>
      <c r="D1121" s="54"/>
      <c r="E1121" s="54"/>
      <c r="F1121" s="54"/>
      <c r="G1121" s="141"/>
      <c r="H1121" s="141"/>
      <c r="I1121" s="54"/>
      <c r="J1121" s="54"/>
      <c r="K1121" s="63"/>
      <c r="L1121" s="54"/>
      <c r="M1121" s="54"/>
    </row>
    <row r="1122">
      <c r="A1122" s="54"/>
      <c r="B1122" s="140"/>
      <c r="C1122" s="140"/>
      <c r="D1122" s="54"/>
      <c r="E1122" s="54"/>
      <c r="F1122" s="54"/>
      <c r="G1122" s="141"/>
      <c r="H1122" s="141"/>
      <c r="I1122" s="54"/>
      <c r="J1122" s="54"/>
      <c r="K1122" s="63"/>
      <c r="L1122" s="54"/>
      <c r="M1122" s="54"/>
    </row>
    <row r="1123">
      <c r="A1123" s="54"/>
      <c r="B1123" s="140"/>
      <c r="C1123" s="140"/>
      <c r="D1123" s="54"/>
      <c r="E1123" s="54"/>
      <c r="F1123" s="54"/>
      <c r="G1123" s="141"/>
      <c r="H1123" s="141"/>
      <c r="I1123" s="54"/>
      <c r="J1123" s="54"/>
      <c r="K1123" s="63"/>
      <c r="L1123" s="54"/>
      <c r="M1123" s="54"/>
    </row>
    <row r="1124">
      <c r="A1124" s="54"/>
      <c r="B1124" s="140"/>
      <c r="C1124" s="140"/>
      <c r="D1124" s="54"/>
      <c r="E1124" s="54"/>
      <c r="F1124" s="54"/>
      <c r="G1124" s="141"/>
      <c r="H1124" s="141"/>
      <c r="I1124" s="54"/>
      <c r="J1124" s="54"/>
      <c r="K1124" s="63"/>
      <c r="L1124" s="54"/>
      <c r="M1124" s="54"/>
    </row>
    <row r="1125">
      <c r="A1125" s="54"/>
      <c r="B1125" s="140"/>
      <c r="C1125" s="140"/>
      <c r="D1125" s="54"/>
      <c r="E1125" s="54"/>
      <c r="F1125" s="54"/>
      <c r="G1125" s="141"/>
      <c r="H1125" s="141"/>
      <c r="I1125" s="54"/>
      <c r="J1125" s="54"/>
      <c r="K1125" s="63"/>
      <c r="L1125" s="54"/>
      <c r="M1125" s="54"/>
    </row>
    <row r="1126">
      <c r="A1126" s="54"/>
      <c r="B1126" s="140"/>
      <c r="C1126" s="140"/>
      <c r="D1126" s="54"/>
      <c r="E1126" s="54"/>
      <c r="F1126" s="54"/>
      <c r="G1126" s="141"/>
      <c r="H1126" s="141"/>
      <c r="I1126" s="54"/>
      <c r="J1126" s="54"/>
      <c r="K1126" s="63"/>
      <c r="L1126" s="54"/>
      <c r="M1126" s="54"/>
    </row>
    <row r="1127">
      <c r="A1127" s="54"/>
      <c r="B1127" s="140"/>
      <c r="C1127" s="140"/>
      <c r="D1127" s="54"/>
      <c r="E1127" s="54"/>
      <c r="F1127" s="54"/>
      <c r="G1127" s="141"/>
      <c r="H1127" s="141"/>
      <c r="I1127" s="54"/>
      <c r="J1127" s="54"/>
      <c r="K1127" s="63"/>
      <c r="L1127" s="54"/>
      <c r="M1127" s="54"/>
    </row>
    <row r="1128">
      <c r="A1128" s="54"/>
      <c r="B1128" s="140"/>
      <c r="C1128" s="140"/>
      <c r="D1128" s="54"/>
      <c r="E1128" s="54"/>
      <c r="F1128" s="54"/>
      <c r="G1128" s="141"/>
      <c r="H1128" s="141"/>
      <c r="I1128" s="54"/>
      <c r="J1128" s="54"/>
      <c r="K1128" s="63"/>
      <c r="L1128" s="54"/>
      <c r="M1128" s="54"/>
    </row>
    <row r="1129">
      <c r="A1129" s="54"/>
      <c r="B1129" s="140"/>
      <c r="C1129" s="140"/>
      <c r="D1129" s="54"/>
      <c r="E1129" s="54"/>
      <c r="F1129" s="54"/>
      <c r="G1129" s="141"/>
      <c r="H1129" s="141"/>
      <c r="I1129" s="54"/>
      <c r="J1129" s="54"/>
      <c r="K1129" s="63"/>
      <c r="L1129" s="54"/>
      <c r="M1129" s="54"/>
    </row>
    <row r="1130">
      <c r="A1130" s="54"/>
      <c r="B1130" s="140"/>
      <c r="C1130" s="140"/>
      <c r="D1130" s="54"/>
      <c r="E1130" s="54"/>
      <c r="F1130" s="54"/>
      <c r="G1130" s="141"/>
      <c r="H1130" s="141"/>
      <c r="I1130" s="54"/>
      <c r="J1130" s="54"/>
      <c r="K1130" s="63"/>
      <c r="L1130" s="54"/>
      <c r="M1130" s="54"/>
    </row>
    <row r="1131">
      <c r="A1131" s="54"/>
      <c r="B1131" s="140"/>
      <c r="C1131" s="140"/>
      <c r="D1131" s="54"/>
      <c r="E1131" s="54"/>
      <c r="F1131" s="54"/>
      <c r="G1131" s="141"/>
      <c r="H1131" s="141"/>
      <c r="I1131" s="54"/>
      <c r="J1131" s="54"/>
      <c r="K1131" s="63"/>
      <c r="L1131" s="54"/>
      <c r="M1131" s="54"/>
    </row>
    <row r="1132">
      <c r="A1132" s="54"/>
      <c r="B1132" s="140"/>
      <c r="C1132" s="140"/>
      <c r="D1132" s="54"/>
      <c r="E1132" s="54"/>
      <c r="F1132" s="54"/>
      <c r="G1132" s="141"/>
      <c r="H1132" s="141"/>
      <c r="I1132" s="54"/>
      <c r="J1132" s="54"/>
      <c r="K1132" s="63"/>
      <c r="L1132" s="54"/>
      <c r="M1132" s="54"/>
    </row>
    <row r="1133">
      <c r="A1133" s="54"/>
      <c r="B1133" s="140"/>
      <c r="C1133" s="140"/>
      <c r="D1133" s="54"/>
      <c r="E1133" s="54"/>
      <c r="F1133" s="54"/>
      <c r="G1133" s="141"/>
      <c r="H1133" s="141"/>
      <c r="I1133" s="54"/>
      <c r="J1133" s="54"/>
      <c r="K1133" s="63"/>
      <c r="L1133" s="54"/>
      <c r="M1133" s="54"/>
    </row>
    <row r="1134">
      <c r="A1134" s="54"/>
      <c r="B1134" s="140"/>
      <c r="C1134" s="140"/>
      <c r="D1134" s="54"/>
      <c r="E1134" s="54"/>
      <c r="F1134" s="54"/>
      <c r="G1134" s="141"/>
      <c r="H1134" s="141"/>
      <c r="I1134" s="54"/>
      <c r="J1134" s="54"/>
      <c r="K1134" s="63"/>
      <c r="L1134" s="54"/>
      <c r="M1134" s="54"/>
    </row>
    <row r="1135">
      <c r="A1135" s="54"/>
      <c r="B1135" s="140"/>
      <c r="C1135" s="140"/>
      <c r="D1135" s="54"/>
      <c r="E1135" s="54"/>
      <c r="F1135" s="54"/>
      <c r="G1135" s="141"/>
      <c r="H1135" s="141"/>
      <c r="I1135" s="54"/>
      <c r="J1135" s="54"/>
      <c r="K1135" s="63"/>
      <c r="L1135" s="54"/>
      <c r="M1135" s="54"/>
    </row>
    <row r="1136">
      <c r="A1136" s="54"/>
      <c r="B1136" s="140"/>
      <c r="C1136" s="140"/>
      <c r="D1136" s="54"/>
      <c r="E1136" s="54"/>
      <c r="F1136" s="54"/>
      <c r="G1136" s="141"/>
      <c r="H1136" s="141"/>
      <c r="I1136" s="54"/>
      <c r="J1136" s="54"/>
      <c r="K1136" s="63"/>
      <c r="L1136" s="54"/>
      <c r="M1136" s="54"/>
    </row>
    <row r="1137">
      <c r="A1137" s="54"/>
      <c r="B1137" s="140"/>
      <c r="C1137" s="140"/>
      <c r="D1137" s="54"/>
      <c r="E1137" s="54"/>
      <c r="F1137" s="54"/>
      <c r="G1137" s="141"/>
      <c r="H1137" s="141"/>
      <c r="I1137" s="54"/>
      <c r="J1137" s="54"/>
      <c r="K1137" s="63"/>
      <c r="L1137" s="54"/>
      <c r="M1137" s="54"/>
    </row>
    <row r="1138">
      <c r="A1138" s="54"/>
      <c r="B1138" s="140"/>
      <c r="C1138" s="140"/>
      <c r="D1138" s="54"/>
      <c r="E1138" s="54"/>
      <c r="F1138" s="54"/>
      <c r="G1138" s="141"/>
      <c r="H1138" s="141"/>
      <c r="I1138" s="54"/>
      <c r="J1138" s="54"/>
      <c r="K1138" s="63"/>
      <c r="L1138" s="54"/>
      <c r="M1138" s="54"/>
    </row>
    <row r="1139">
      <c r="A1139" s="54"/>
      <c r="B1139" s="140"/>
      <c r="C1139" s="140"/>
      <c r="D1139" s="54"/>
      <c r="E1139" s="54"/>
      <c r="F1139" s="54"/>
      <c r="G1139" s="141"/>
      <c r="H1139" s="141"/>
      <c r="I1139" s="54"/>
      <c r="J1139" s="54"/>
      <c r="K1139" s="63"/>
      <c r="L1139" s="54"/>
      <c r="M1139" s="54"/>
    </row>
    <row r="1140">
      <c r="A1140" s="54"/>
      <c r="B1140" s="140"/>
      <c r="C1140" s="140"/>
      <c r="D1140" s="54"/>
      <c r="E1140" s="54"/>
      <c r="F1140" s="54"/>
      <c r="G1140" s="141"/>
      <c r="H1140" s="141"/>
      <c r="I1140" s="54"/>
      <c r="J1140" s="54"/>
      <c r="K1140" s="63"/>
      <c r="L1140" s="54"/>
      <c r="M1140" s="54"/>
    </row>
    <row r="1141">
      <c r="A1141" s="54"/>
      <c r="B1141" s="140"/>
      <c r="C1141" s="140"/>
      <c r="D1141" s="54"/>
      <c r="E1141" s="54"/>
      <c r="F1141" s="54"/>
      <c r="G1141" s="141"/>
      <c r="H1141" s="141"/>
      <c r="I1141" s="54"/>
      <c r="J1141" s="54"/>
      <c r="K1141" s="63"/>
      <c r="L1141" s="54"/>
      <c r="M1141" s="54"/>
    </row>
    <row r="1142">
      <c r="A1142" s="54"/>
      <c r="B1142" s="140"/>
      <c r="C1142" s="140"/>
      <c r="D1142" s="54"/>
      <c r="E1142" s="54"/>
      <c r="F1142" s="54"/>
      <c r="G1142" s="141"/>
      <c r="H1142" s="141"/>
      <c r="I1142" s="54"/>
      <c r="J1142" s="54"/>
      <c r="K1142" s="63"/>
      <c r="L1142" s="54"/>
      <c r="M1142" s="54"/>
    </row>
    <row r="1143">
      <c r="A1143" s="54"/>
      <c r="B1143" s="140"/>
      <c r="C1143" s="140"/>
      <c r="D1143" s="54"/>
      <c r="E1143" s="54"/>
      <c r="F1143" s="54"/>
      <c r="G1143" s="141"/>
      <c r="H1143" s="141"/>
      <c r="I1143" s="54"/>
      <c r="J1143" s="54"/>
      <c r="K1143" s="63"/>
      <c r="L1143" s="54"/>
      <c r="M1143" s="54"/>
    </row>
    <row r="1144">
      <c r="A1144" s="54"/>
      <c r="B1144" s="140"/>
      <c r="C1144" s="140"/>
      <c r="D1144" s="54"/>
      <c r="E1144" s="54"/>
      <c r="F1144" s="54"/>
      <c r="G1144" s="141"/>
      <c r="H1144" s="141"/>
      <c r="I1144" s="54"/>
      <c r="J1144" s="54"/>
      <c r="K1144" s="63"/>
      <c r="L1144" s="54"/>
      <c r="M1144" s="54"/>
    </row>
    <row r="1145">
      <c r="A1145" s="54"/>
      <c r="B1145" s="140"/>
      <c r="C1145" s="140"/>
      <c r="D1145" s="54"/>
      <c r="E1145" s="54"/>
      <c r="F1145" s="54"/>
      <c r="G1145" s="141"/>
      <c r="H1145" s="141"/>
      <c r="I1145" s="54"/>
      <c r="J1145" s="54"/>
      <c r="K1145" s="63"/>
      <c r="L1145" s="54"/>
      <c r="M1145" s="54"/>
    </row>
    <row r="1146">
      <c r="A1146" s="54"/>
      <c r="B1146" s="140"/>
      <c r="C1146" s="140"/>
      <c r="D1146" s="54"/>
      <c r="E1146" s="54"/>
      <c r="F1146" s="54"/>
      <c r="G1146" s="141"/>
      <c r="H1146" s="141"/>
      <c r="I1146" s="54"/>
      <c r="J1146" s="54"/>
      <c r="K1146" s="63"/>
      <c r="L1146" s="54"/>
      <c r="M1146" s="54"/>
    </row>
    <row r="1147">
      <c r="A1147" s="54"/>
      <c r="B1147" s="140"/>
      <c r="C1147" s="140"/>
      <c r="D1147" s="54"/>
      <c r="E1147" s="54"/>
      <c r="F1147" s="54"/>
      <c r="G1147" s="141"/>
      <c r="H1147" s="141"/>
      <c r="I1147" s="54"/>
      <c r="J1147" s="54"/>
      <c r="K1147" s="63"/>
      <c r="L1147" s="54"/>
      <c r="M1147" s="54"/>
    </row>
    <row r="1148">
      <c r="A1148" s="54"/>
      <c r="B1148" s="140"/>
      <c r="C1148" s="140"/>
      <c r="D1148" s="54"/>
      <c r="E1148" s="54"/>
      <c r="F1148" s="54"/>
      <c r="G1148" s="141"/>
      <c r="H1148" s="141"/>
      <c r="I1148" s="54"/>
      <c r="J1148" s="54"/>
      <c r="K1148" s="63"/>
      <c r="L1148" s="54"/>
      <c r="M1148" s="54"/>
    </row>
    <row r="1149">
      <c r="A1149" s="54"/>
      <c r="B1149" s="140"/>
      <c r="C1149" s="140"/>
      <c r="D1149" s="54"/>
      <c r="E1149" s="54"/>
      <c r="F1149" s="54"/>
      <c r="G1149" s="141"/>
      <c r="H1149" s="141"/>
      <c r="I1149" s="54"/>
      <c r="J1149" s="54"/>
      <c r="K1149" s="63"/>
      <c r="L1149" s="54"/>
      <c r="M1149" s="54"/>
    </row>
    <row r="1150">
      <c r="A1150" s="54"/>
      <c r="B1150" s="140"/>
      <c r="C1150" s="140"/>
      <c r="D1150" s="54"/>
      <c r="E1150" s="54"/>
      <c r="F1150" s="54"/>
      <c r="G1150" s="141"/>
      <c r="H1150" s="141"/>
      <c r="I1150" s="54"/>
      <c r="J1150" s="54"/>
      <c r="K1150" s="63"/>
      <c r="L1150" s="54"/>
      <c r="M1150" s="54"/>
    </row>
    <row r="1151">
      <c r="A1151" s="54"/>
      <c r="B1151" s="140"/>
      <c r="C1151" s="140"/>
      <c r="D1151" s="54"/>
      <c r="E1151" s="54"/>
      <c r="F1151" s="54"/>
      <c r="G1151" s="141"/>
      <c r="H1151" s="141"/>
      <c r="I1151" s="54"/>
      <c r="J1151" s="54"/>
      <c r="K1151" s="63"/>
      <c r="L1151" s="54"/>
      <c r="M1151" s="54"/>
    </row>
    <row r="1152">
      <c r="A1152" s="54"/>
      <c r="B1152" s="140"/>
      <c r="C1152" s="140"/>
      <c r="D1152" s="54"/>
      <c r="E1152" s="54"/>
      <c r="F1152" s="54"/>
      <c r="G1152" s="141"/>
      <c r="H1152" s="141"/>
      <c r="I1152" s="54"/>
      <c r="J1152" s="54"/>
      <c r="K1152" s="63"/>
      <c r="L1152" s="54"/>
      <c r="M1152" s="54"/>
    </row>
    <row r="1153">
      <c r="A1153" s="54"/>
      <c r="B1153" s="140"/>
      <c r="C1153" s="140"/>
      <c r="D1153" s="54"/>
      <c r="E1153" s="54"/>
      <c r="F1153" s="54"/>
      <c r="G1153" s="141"/>
      <c r="H1153" s="141"/>
      <c r="I1153" s="54"/>
      <c r="J1153" s="54"/>
      <c r="K1153" s="63"/>
      <c r="L1153" s="54"/>
      <c r="M1153" s="54"/>
    </row>
    <row r="1154">
      <c r="A1154" s="54"/>
      <c r="B1154" s="140"/>
      <c r="C1154" s="140"/>
      <c r="D1154" s="54"/>
      <c r="E1154" s="54"/>
      <c r="F1154" s="54"/>
      <c r="G1154" s="141"/>
      <c r="H1154" s="141"/>
      <c r="I1154" s="54"/>
      <c r="J1154" s="54"/>
      <c r="K1154" s="63"/>
      <c r="L1154" s="54"/>
      <c r="M1154" s="54"/>
    </row>
    <row r="1155">
      <c r="A1155" s="54"/>
      <c r="B1155" s="140"/>
      <c r="C1155" s="140"/>
      <c r="D1155" s="54"/>
      <c r="E1155" s="54"/>
      <c r="F1155" s="54"/>
      <c r="G1155" s="141"/>
      <c r="H1155" s="141"/>
      <c r="I1155" s="54"/>
      <c r="J1155" s="54"/>
      <c r="K1155" s="63"/>
      <c r="L1155" s="54"/>
      <c r="M1155" s="54"/>
    </row>
    <row r="1156">
      <c r="A1156" s="54"/>
      <c r="B1156" s="140"/>
      <c r="C1156" s="140"/>
      <c r="D1156" s="54"/>
      <c r="E1156" s="54"/>
      <c r="F1156" s="54"/>
      <c r="G1156" s="141"/>
      <c r="H1156" s="141"/>
      <c r="I1156" s="54"/>
      <c r="J1156" s="54"/>
      <c r="K1156" s="63"/>
      <c r="L1156" s="54"/>
      <c r="M1156" s="54"/>
    </row>
    <row r="1157">
      <c r="A1157" s="54"/>
      <c r="B1157" s="140"/>
      <c r="C1157" s="140"/>
      <c r="D1157" s="54"/>
      <c r="E1157" s="54"/>
      <c r="F1157" s="54"/>
      <c r="G1157" s="141"/>
      <c r="H1157" s="141"/>
      <c r="I1157" s="54"/>
      <c r="J1157" s="54"/>
      <c r="K1157" s="63"/>
      <c r="L1157" s="54"/>
      <c r="M1157" s="54"/>
    </row>
    <row r="1158">
      <c r="A1158" s="54"/>
      <c r="B1158" s="140"/>
      <c r="C1158" s="140"/>
      <c r="D1158" s="54"/>
      <c r="E1158" s="54"/>
      <c r="F1158" s="54"/>
      <c r="G1158" s="141"/>
      <c r="H1158" s="141"/>
      <c r="I1158" s="54"/>
      <c r="J1158" s="54"/>
      <c r="K1158" s="63"/>
      <c r="L1158" s="54"/>
      <c r="M1158" s="54"/>
    </row>
    <row r="1159">
      <c r="A1159" s="54"/>
      <c r="B1159" s="140"/>
      <c r="C1159" s="140"/>
      <c r="D1159" s="54"/>
      <c r="E1159" s="54"/>
      <c r="F1159" s="54"/>
      <c r="G1159" s="141"/>
      <c r="H1159" s="141"/>
      <c r="I1159" s="54"/>
      <c r="J1159" s="54"/>
      <c r="K1159" s="63"/>
      <c r="L1159" s="54"/>
      <c r="M1159" s="54"/>
    </row>
    <row r="1160">
      <c r="A1160" s="54"/>
      <c r="B1160" s="140"/>
      <c r="C1160" s="140"/>
      <c r="D1160" s="54"/>
      <c r="E1160" s="54"/>
      <c r="F1160" s="54"/>
      <c r="G1160" s="141"/>
      <c r="H1160" s="141"/>
      <c r="I1160" s="54"/>
      <c r="J1160" s="54"/>
      <c r="K1160" s="63"/>
      <c r="L1160" s="54"/>
      <c r="M1160" s="54"/>
    </row>
    <row r="1161">
      <c r="A1161" s="54"/>
      <c r="B1161" s="140"/>
      <c r="C1161" s="140"/>
      <c r="D1161" s="54"/>
      <c r="E1161" s="54"/>
      <c r="F1161" s="54"/>
      <c r="G1161" s="141"/>
      <c r="H1161" s="141"/>
      <c r="I1161" s="54"/>
      <c r="J1161" s="54"/>
      <c r="K1161" s="63"/>
      <c r="L1161" s="54"/>
      <c r="M1161" s="54"/>
    </row>
    <row r="1162">
      <c r="A1162" s="54"/>
      <c r="B1162" s="140"/>
      <c r="C1162" s="140"/>
      <c r="D1162" s="54"/>
      <c r="E1162" s="54"/>
      <c r="F1162" s="54"/>
      <c r="G1162" s="141"/>
      <c r="H1162" s="141"/>
      <c r="I1162" s="54"/>
      <c r="J1162" s="54"/>
      <c r="K1162" s="63"/>
      <c r="L1162" s="54"/>
      <c r="M1162" s="54"/>
    </row>
    <row r="1163">
      <c r="A1163" s="54"/>
      <c r="B1163" s="140"/>
      <c r="C1163" s="140"/>
      <c r="D1163" s="54"/>
      <c r="E1163" s="54"/>
      <c r="F1163" s="54"/>
      <c r="G1163" s="141"/>
      <c r="H1163" s="141"/>
      <c r="I1163" s="54"/>
      <c r="J1163" s="54"/>
      <c r="K1163" s="63"/>
      <c r="L1163" s="54"/>
      <c r="M1163" s="54"/>
    </row>
    <row r="1164">
      <c r="A1164" s="54"/>
      <c r="B1164" s="140"/>
      <c r="C1164" s="140"/>
      <c r="D1164" s="54"/>
      <c r="E1164" s="54"/>
      <c r="F1164" s="54"/>
      <c r="G1164" s="141"/>
      <c r="H1164" s="141"/>
      <c r="I1164" s="54"/>
      <c r="J1164" s="54"/>
      <c r="K1164" s="63"/>
      <c r="L1164" s="54"/>
      <c r="M1164" s="54"/>
    </row>
    <row r="1165">
      <c r="A1165" s="54"/>
      <c r="B1165" s="140"/>
      <c r="C1165" s="140"/>
      <c r="D1165" s="54"/>
      <c r="E1165" s="54"/>
      <c r="F1165" s="54"/>
      <c r="G1165" s="141"/>
      <c r="H1165" s="141"/>
      <c r="I1165" s="54"/>
      <c r="J1165" s="54"/>
      <c r="K1165" s="63"/>
      <c r="L1165" s="54"/>
      <c r="M1165" s="54"/>
    </row>
    <row r="1166">
      <c r="A1166" s="54"/>
      <c r="B1166" s="140"/>
      <c r="C1166" s="140"/>
      <c r="D1166" s="54"/>
      <c r="E1166" s="54"/>
      <c r="F1166" s="54"/>
      <c r="G1166" s="141"/>
      <c r="H1166" s="141"/>
      <c r="I1166" s="54"/>
      <c r="J1166" s="54"/>
      <c r="K1166" s="63"/>
      <c r="L1166" s="54"/>
      <c r="M1166" s="54"/>
    </row>
    <row r="1167">
      <c r="A1167" s="54"/>
      <c r="B1167" s="140"/>
      <c r="C1167" s="140"/>
      <c r="D1167" s="54"/>
      <c r="E1167" s="54"/>
      <c r="F1167" s="54"/>
      <c r="G1167" s="141"/>
      <c r="H1167" s="141"/>
      <c r="I1167" s="54"/>
      <c r="J1167" s="54"/>
      <c r="K1167" s="63"/>
      <c r="L1167" s="54"/>
      <c r="M1167" s="54"/>
    </row>
    <row r="1168">
      <c r="A1168" s="54"/>
      <c r="B1168" s="140"/>
      <c r="C1168" s="140"/>
      <c r="D1168" s="54"/>
      <c r="E1168" s="54"/>
      <c r="F1168" s="54"/>
      <c r="G1168" s="141"/>
      <c r="H1168" s="141"/>
      <c r="I1168" s="54"/>
      <c r="J1168" s="54"/>
      <c r="K1168" s="63"/>
      <c r="L1168" s="54"/>
      <c r="M1168" s="54"/>
    </row>
    <row r="1169">
      <c r="A1169" s="54"/>
      <c r="B1169" s="140"/>
      <c r="C1169" s="140"/>
      <c r="D1169" s="54"/>
      <c r="E1169" s="54"/>
      <c r="F1169" s="54"/>
      <c r="G1169" s="141"/>
      <c r="H1169" s="141"/>
      <c r="I1169" s="54"/>
      <c r="J1169" s="54"/>
      <c r="K1169" s="63"/>
      <c r="L1169" s="54"/>
      <c r="M1169" s="54"/>
    </row>
    <row r="1170">
      <c r="A1170" s="54"/>
      <c r="B1170" s="140"/>
      <c r="C1170" s="140"/>
      <c r="D1170" s="54"/>
      <c r="E1170" s="54"/>
      <c r="F1170" s="54"/>
      <c r="G1170" s="141"/>
      <c r="H1170" s="141"/>
      <c r="I1170" s="54"/>
      <c r="J1170" s="54"/>
      <c r="K1170" s="63"/>
      <c r="L1170" s="54"/>
      <c r="M1170" s="54"/>
    </row>
    <row r="1171">
      <c r="A1171" s="54"/>
      <c r="B1171" s="140"/>
      <c r="C1171" s="140"/>
      <c r="D1171" s="54"/>
      <c r="E1171" s="54"/>
      <c r="F1171" s="54"/>
      <c r="G1171" s="141"/>
      <c r="H1171" s="141"/>
      <c r="I1171" s="54"/>
      <c r="J1171" s="54"/>
      <c r="K1171" s="63"/>
      <c r="L1171" s="54"/>
      <c r="M1171" s="54"/>
    </row>
    <row r="1172">
      <c r="A1172" s="54"/>
      <c r="B1172" s="140"/>
      <c r="C1172" s="140"/>
      <c r="D1172" s="54"/>
      <c r="E1172" s="54"/>
      <c r="F1172" s="54"/>
      <c r="G1172" s="141"/>
      <c r="H1172" s="141"/>
      <c r="I1172" s="54"/>
      <c r="J1172" s="54"/>
      <c r="K1172" s="63"/>
      <c r="L1172" s="54"/>
      <c r="M1172" s="54"/>
    </row>
    <row r="1173">
      <c r="A1173" s="54"/>
      <c r="B1173" s="140"/>
      <c r="C1173" s="140"/>
      <c r="D1173" s="54"/>
      <c r="E1173" s="54"/>
      <c r="F1173" s="54"/>
      <c r="G1173" s="141"/>
      <c r="H1173" s="141"/>
      <c r="I1173" s="54"/>
      <c r="J1173" s="54"/>
      <c r="K1173" s="63"/>
      <c r="L1173" s="54"/>
      <c r="M1173" s="54"/>
    </row>
    <row r="1174">
      <c r="A1174" s="54"/>
      <c r="B1174" s="140"/>
      <c r="C1174" s="140"/>
      <c r="D1174" s="54"/>
      <c r="E1174" s="54"/>
      <c r="F1174" s="54"/>
      <c r="G1174" s="141"/>
      <c r="H1174" s="141"/>
      <c r="I1174" s="54"/>
      <c r="J1174" s="54"/>
      <c r="K1174" s="63"/>
      <c r="L1174" s="54"/>
      <c r="M1174" s="54"/>
    </row>
    <row r="1175">
      <c r="A1175" s="54"/>
      <c r="B1175" s="140"/>
      <c r="C1175" s="140"/>
      <c r="D1175" s="54"/>
      <c r="E1175" s="54"/>
      <c r="F1175" s="54"/>
      <c r="G1175" s="141"/>
      <c r="H1175" s="141"/>
      <c r="I1175" s="54"/>
      <c r="J1175" s="54"/>
      <c r="K1175" s="63"/>
      <c r="L1175" s="54"/>
      <c r="M1175" s="54"/>
    </row>
    <row r="1176">
      <c r="A1176" s="54"/>
      <c r="B1176" s="140"/>
      <c r="C1176" s="140"/>
      <c r="D1176" s="54"/>
      <c r="E1176" s="54"/>
      <c r="F1176" s="54"/>
      <c r="G1176" s="141"/>
      <c r="H1176" s="141"/>
      <c r="I1176" s="54"/>
      <c r="J1176" s="54"/>
      <c r="K1176" s="63"/>
      <c r="L1176" s="54"/>
      <c r="M1176" s="54"/>
    </row>
    <row r="1177">
      <c r="A1177" s="54"/>
      <c r="B1177" s="140"/>
      <c r="C1177" s="140"/>
      <c r="D1177" s="54"/>
      <c r="E1177" s="54"/>
      <c r="F1177" s="54"/>
      <c r="G1177" s="141"/>
      <c r="H1177" s="141"/>
      <c r="I1177" s="54"/>
      <c r="J1177" s="54"/>
      <c r="K1177" s="63"/>
      <c r="L1177" s="54"/>
      <c r="M1177" s="54"/>
    </row>
    <row r="1178">
      <c r="A1178" s="54"/>
      <c r="B1178" s="140"/>
      <c r="C1178" s="140"/>
      <c r="D1178" s="54"/>
      <c r="E1178" s="54"/>
      <c r="F1178" s="54"/>
      <c r="G1178" s="141"/>
      <c r="H1178" s="141"/>
      <c r="I1178" s="54"/>
      <c r="J1178" s="54"/>
      <c r="K1178" s="63"/>
      <c r="L1178" s="54"/>
      <c r="M1178" s="54"/>
    </row>
    <row r="1179">
      <c r="A1179" s="54"/>
      <c r="B1179" s="140"/>
      <c r="C1179" s="140"/>
      <c r="D1179" s="54"/>
      <c r="E1179" s="54"/>
      <c r="F1179" s="54"/>
      <c r="G1179" s="141"/>
      <c r="H1179" s="141"/>
      <c r="I1179" s="54"/>
      <c r="J1179" s="54"/>
      <c r="K1179" s="63"/>
      <c r="L1179" s="54"/>
      <c r="M1179" s="54"/>
    </row>
    <row r="1180">
      <c r="A1180" s="54"/>
      <c r="B1180" s="140"/>
      <c r="C1180" s="140"/>
      <c r="D1180" s="54"/>
      <c r="E1180" s="54"/>
      <c r="F1180" s="54"/>
      <c r="G1180" s="141"/>
      <c r="H1180" s="141"/>
      <c r="I1180" s="54"/>
      <c r="J1180" s="54"/>
      <c r="K1180" s="63"/>
      <c r="L1180" s="54"/>
      <c r="M1180" s="54"/>
    </row>
    <row r="1181">
      <c r="A1181" s="54"/>
      <c r="B1181" s="140"/>
      <c r="C1181" s="140"/>
      <c r="D1181" s="54"/>
      <c r="E1181" s="54"/>
      <c r="F1181" s="54"/>
      <c r="G1181" s="141"/>
      <c r="H1181" s="141"/>
      <c r="I1181" s="54"/>
      <c r="J1181" s="54"/>
      <c r="K1181" s="63"/>
      <c r="L1181" s="54"/>
      <c r="M1181" s="54"/>
    </row>
    <row r="1182">
      <c r="A1182" s="54"/>
      <c r="B1182" s="140"/>
      <c r="C1182" s="140"/>
      <c r="D1182" s="54"/>
      <c r="E1182" s="54"/>
      <c r="F1182" s="54"/>
      <c r="G1182" s="141"/>
      <c r="H1182" s="141"/>
      <c r="I1182" s="54"/>
      <c r="J1182" s="54"/>
      <c r="K1182" s="63"/>
      <c r="L1182" s="54"/>
      <c r="M1182" s="54"/>
    </row>
    <row r="1183">
      <c r="A1183" s="54"/>
      <c r="B1183" s="140"/>
      <c r="C1183" s="140"/>
      <c r="D1183" s="54"/>
      <c r="E1183" s="54"/>
      <c r="F1183" s="54"/>
      <c r="G1183" s="141"/>
      <c r="H1183" s="141"/>
      <c r="I1183" s="54"/>
      <c r="J1183" s="54"/>
      <c r="K1183" s="63"/>
      <c r="L1183" s="54"/>
      <c r="M1183" s="54"/>
    </row>
    <row r="1184">
      <c r="A1184" s="54"/>
      <c r="B1184" s="140"/>
      <c r="C1184" s="140"/>
      <c r="D1184" s="54"/>
      <c r="E1184" s="54"/>
      <c r="F1184" s="54"/>
      <c r="G1184" s="141"/>
      <c r="H1184" s="141"/>
      <c r="I1184" s="54"/>
      <c r="J1184" s="54"/>
      <c r="K1184" s="63"/>
      <c r="L1184" s="54"/>
      <c r="M1184" s="54"/>
    </row>
    <row r="1185">
      <c r="A1185" s="54"/>
      <c r="B1185" s="140"/>
      <c r="C1185" s="140"/>
      <c r="D1185" s="54"/>
      <c r="E1185" s="54"/>
      <c r="F1185" s="54"/>
      <c r="G1185" s="141"/>
      <c r="H1185" s="141"/>
      <c r="I1185" s="54"/>
      <c r="J1185" s="54"/>
      <c r="K1185" s="63"/>
      <c r="L1185" s="54"/>
      <c r="M1185" s="54"/>
    </row>
    <row r="1186">
      <c r="A1186" s="54"/>
      <c r="B1186" s="140"/>
      <c r="C1186" s="140"/>
      <c r="D1186" s="54"/>
      <c r="E1186" s="54"/>
      <c r="F1186" s="54"/>
      <c r="G1186" s="141"/>
      <c r="H1186" s="141"/>
      <c r="I1186" s="54"/>
      <c r="J1186" s="54"/>
      <c r="K1186" s="63"/>
      <c r="L1186" s="54"/>
      <c r="M1186" s="54"/>
    </row>
    <row r="1187">
      <c r="A1187" s="54"/>
      <c r="B1187" s="140"/>
      <c r="C1187" s="140"/>
      <c r="D1187" s="54"/>
      <c r="E1187" s="54"/>
      <c r="F1187" s="54"/>
      <c r="G1187" s="141"/>
      <c r="H1187" s="141"/>
      <c r="I1187" s="54"/>
      <c r="J1187" s="54"/>
      <c r="K1187" s="63"/>
      <c r="L1187" s="54"/>
      <c r="M1187" s="54"/>
    </row>
    <row r="1188">
      <c r="A1188" s="54"/>
      <c r="B1188" s="140"/>
      <c r="C1188" s="140"/>
      <c r="D1188" s="54"/>
      <c r="E1188" s="54"/>
      <c r="F1188" s="54"/>
      <c r="G1188" s="141"/>
      <c r="H1188" s="141"/>
      <c r="I1188" s="54"/>
      <c r="J1188" s="54"/>
      <c r="K1188" s="63"/>
      <c r="L1188" s="54"/>
      <c r="M1188" s="54"/>
    </row>
    <row r="1189">
      <c r="A1189" s="54"/>
      <c r="B1189" s="140"/>
      <c r="C1189" s="140"/>
      <c r="D1189" s="54"/>
      <c r="E1189" s="54"/>
      <c r="F1189" s="54"/>
      <c r="G1189" s="141"/>
      <c r="H1189" s="141"/>
      <c r="I1189" s="54"/>
      <c r="J1189" s="54"/>
      <c r="K1189" s="63"/>
      <c r="L1189" s="54"/>
      <c r="M1189" s="54"/>
    </row>
    <row r="1190">
      <c r="A1190" s="54"/>
      <c r="B1190" s="140"/>
      <c r="C1190" s="140"/>
      <c r="D1190" s="54"/>
      <c r="E1190" s="54"/>
      <c r="F1190" s="54"/>
      <c r="G1190" s="141"/>
      <c r="H1190" s="141"/>
      <c r="I1190" s="54"/>
      <c r="J1190" s="54"/>
      <c r="K1190" s="63"/>
      <c r="L1190" s="54"/>
      <c r="M1190" s="54"/>
    </row>
    <row r="1191">
      <c r="A1191" s="54"/>
      <c r="B1191" s="140"/>
      <c r="C1191" s="140"/>
      <c r="D1191" s="54"/>
      <c r="E1191" s="54"/>
      <c r="F1191" s="54"/>
      <c r="G1191" s="141"/>
      <c r="H1191" s="141"/>
      <c r="I1191" s="54"/>
      <c r="J1191" s="54"/>
      <c r="K1191" s="63"/>
      <c r="L1191" s="54"/>
      <c r="M1191" s="54"/>
    </row>
    <row r="1192">
      <c r="A1192" s="54"/>
      <c r="B1192" s="140"/>
      <c r="C1192" s="140"/>
      <c r="D1192" s="54"/>
      <c r="E1192" s="54"/>
      <c r="F1192" s="54"/>
      <c r="G1192" s="141"/>
      <c r="H1192" s="141"/>
      <c r="I1192" s="54"/>
      <c r="J1192" s="54"/>
      <c r="K1192" s="63"/>
      <c r="L1192" s="54"/>
      <c r="M1192" s="54"/>
    </row>
    <row r="1193">
      <c r="A1193" s="54"/>
      <c r="B1193" s="140"/>
      <c r="C1193" s="140"/>
      <c r="D1193" s="54"/>
      <c r="E1193" s="54"/>
      <c r="F1193" s="54"/>
      <c r="G1193" s="141"/>
      <c r="H1193" s="141"/>
      <c r="I1193" s="54"/>
      <c r="J1193" s="54"/>
      <c r="K1193" s="63"/>
      <c r="L1193" s="54"/>
      <c r="M1193" s="54"/>
    </row>
    <row r="1194">
      <c r="A1194" s="54"/>
      <c r="B1194" s="140"/>
      <c r="C1194" s="140"/>
      <c r="D1194" s="54"/>
      <c r="E1194" s="54"/>
      <c r="F1194" s="54"/>
      <c r="G1194" s="141"/>
      <c r="H1194" s="141"/>
      <c r="I1194" s="54"/>
      <c r="J1194" s="54"/>
      <c r="K1194" s="63"/>
      <c r="L1194" s="54"/>
      <c r="M1194" s="54"/>
    </row>
    <row r="1195">
      <c r="A1195" s="54"/>
      <c r="B1195" s="140"/>
      <c r="C1195" s="140"/>
      <c r="D1195" s="54"/>
      <c r="E1195" s="54"/>
      <c r="F1195" s="54"/>
      <c r="G1195" s="141"/>
      <c r="H1195" s="141"/>
      <c r="I1195" s="54"/>
      <c r="J1195" s="54"/>
      <c r="K1195" s="63"/>
      <c r="L1195" s="54"/>
      <c r="M1195" s="54"/>
    </row>
    <row r="1196">
      <c r="A1196" s="54"/>
      <c r="B1196" s="140"/>
      <c r="C1196" s="140"/>
      <c r="D1196" s="54"/>
      <c r="E1196" s="54"/>
      <c r="F1196" s="54"/>
      <c r="G1196" s="141"/>
      <c r="H1196" s="141"/>
      <c r="I1196" s="54"/>
      <c r="J1196" s="54"/>
      <c r="K1196" s="63"/>
      <c r="L1196" s="54"/>
      <c r="M1196" s="54"/>
    </row>
    <row r="1197">
      <c r="A1197" s="54"/>
      <c r="B1197" s="140"/>
      <c r="C1197" s="140"/>
      <c r="D1197" s="54"/>
      <c r="E1197" s="54"/>
      <c r="F1197" s="54"/>
      <c r="G1197" s="141"/>
      <c r="H1197" s="141"/>
      <c r="I1197" s="54"/>
      <c r="J1197" s="54"/>
      <c r="K1197" s="63"/>
      <c r="L1197" s="54"/>
      <c r="M1197" s="54"/>
    </row>
    <row r="1198">
      <c r="A1198" s="54"/>
      <c r="B1198" s="140"/>
      <c r="C1198" s="140"/>
      <c r="D1198" s="54"/>
      <c r="E1198" s="54"/>
      <c r="F1198" s="54"/>
      <c r="G1198" s="141"/>
      <c r="H1198" s="141"/>
      <c r="I1198" s="54"/>
      <c r="J1198" s="54"/>
      <c r="K1198" s="63"/>
      <c r="L1198" s="54"/>
      <c r="M1198" s="54"/>
    </row>
    <row r="1199">
      <c r="A1199" s="54"/>
      <c r="B1199" s="140"/>
      <c r="C1199" s="140"/>
      <c r="D1199" s="54"/>
      <c r="E1199" s="54"/>
      <c r="F1199" s="54"/>
      <c r="G1199" s="141"/>
      <c r="H1199" s="141"/>
      <c r="I1199" s="54"/>
      <c r="J1199" s="54"/>
      <c r="K1199" s="63"/>
      <c r="L1199" s="54"/>
      <c r="M1199" s="54"/>
    </row>
    <row r="1200">
      <c r="A1200" s="54"/>
      <c r="B1200" s="140"/>
      <c r="C1200" s="140"/>
      <c r="D1200" s="54"/>
      <c r="E1200" s="54"/>
      <c r="F1200" s="54"/>
      <c r="G1200" s="141"/>
      <c r="H1200" s="141"/>
      <c r="I1200" s="54"/>
      <c r="J1200" s="54"/>
      <c r="K1200" s="63"/>
      <c r="L1200" s="54"/>
      <c r="M1200" s="54"/>
    </row>
    <row r="1201">
      <c r="A1201" s="54"/>
      <c r="B1201" s="140"/>
      <c r="C1201" s="140"/>
      <c r="D1201" s="54"/>
      <c r="E1201" s="54"/>
      <c r="F1201" s="54"/>
      <c r="G1201" s="141"/>
      <c r="H1201" s="141"/>
      <c r="I1201" s="54"/>
      <c r="J1201" s="54"/>
      <c r="K1201" s="63"/>
      <c r="L1201" s="54"/>
      <c r="M1201" s="54"/>
    </row>
    <row r="1202">
      <c r="A1202" s="54"/>
      <c r="B1202" s="140"/>
      <c r="C1202" s="140"/>
      <c r="D1202" s="54"/>
      <c r="E1202" s="54"/>
      <c r="F1202" s="54"/>
      <c r="G1202" s="141"/>
      <c r="H1202" s="141"/>
      <c r="I1202" s="54"/>
      <c r="J1202" s="54"/>
      <c r="K1202" s="63"/>
      <c r="L1202" s="54"/>
      <c r="M1202" s="54"/>
    </row>
    <row r="1203">
      <c r="A1203" s="54"/>
      <c r="B1203" s="140"/>
      <c r="C1203" s="140"/>
      <c r="D1203" s="54"/>
      <c r="E1203" s="54"/>
      <c r="F1203" s="54"/>
      <c r="G1203" s="141"/>
      <c r="H1203" s="141"/>
      <c r="I1203" s="54"/>
      <c r="J1203" s="54"/>
      <c r="K1203" s="63"/>
      <c r="L1203" s="54"/>
      <c r="M1203" s="54"/>
    </row>
    <row r="1204">
      <c r="A1204" s="54"/>
      <c r="B1204" s="140"/>
      <c r="C1204" s="140"/>
      <c r="D1204" s="54"/>
      <c r="E1204" s="54"/>
      <c r="F1204" s="54"/>
      <c r="G1204" s="141"/>
      <c r="H1204" s="141"/>
      <c r="I1204" s="54"/>
      <c r="J1204" s="54"/>
      <c r="K1204" s="63"/>
      <c r="L1204" s="54"/>
      <c r="M1204" s="54"/>
    </row>
    <row r="1205">
      <c r="A1205" s="54"/>
      <c r="B1205" s="140"/>
      <c r="C1205" s="140"/>
      <c r="D1205" s="54"/>
      <c r="E1205" s="54"/>
      <c r="F1205" s="54"/>
      <c r="G1205" s="141"/>
      <c r="H1205" s="141"/>
      <c r="I1205" s="54"/>
      <c r="J1205" s="54"/>
      <c r="K1205" s="63"/>
      <c r="L1205" s="54"/>
      <c r="M1205" s="54"/>
    </row>
    <row r="1206">
      <c r="A1206" s="54"/>
      <c r="B1206" s="140"/>
      <c r="C1206" s="140"/>
      <c r="D1206" s="54"/>
      <c r="E1206" s="54"/>
      <c r="F1206" s="54"/>
      <c r="G1206" s="141"/>
      <c r="H1206" s="141"/>
      <c r="I1206" s="54"/>
      <c r="J1206" s="54"/>
      <c r="K1206" s="63"/>
      <c r="L1206" s="54"/>
      <c r="M1206" s="54"/>
    </row>
    <row r="1207">
      <c r="A1207" s="54"/>
      <c r="B1207" s="140"/>
      <c r="C1207" s="140"/>
      <c r="D1207" s="54"/>
      <c r="E1207" s="54"/>
      <c r="F1207" s="54"/>
      <c r="G1207" s="141"/>
      <c r="H1207" s="141"/>
      <c r="I1207" s="54"/>
      <c r="J1207" s="54"/>
      <c r="K1207" s="63"/>
      <c r="L1207" s="54"/>
      <c r="M1207" s="54"/>
    </row>
    <row r="1208">
      <c r="A1208" s="54"/>
      <c r="B1208" s="140"/>
      <c r="C1208" s="140"/>
      <c r="D1208" s="54"/>
      <c r="E1208" s="54"/>
      <c r="F1208" s="54"/>
      <c r="G1208" s="141"/>
      <c r="H1208" s="141"/>
      <c r="I1208" s="54"/>
      <c r="J1208" s="54"/>
      <c r="K1208" s="63"/>
      <c r="L1208" s="54"/>
      <c r="M1208" s="54"/>
    </row>
    <row r="1209">
      <c r="A1209" s="54"/>
      <c r="B1209" s="140"/>
      <c r="C1209" s="140"/>
      <c r="D1209" s="54"/>
      <c r="E1209" s="54"/>
      <c r="F1209" s="54"/>
      <c r="G1209" s="141"/>
      <c r="H1209" s="141"/>
      <c r="I1209" s="54"/>
      <c r="J1209" s="54"/>
      <c r="K1209" s="63"/>
      <c r="L1209" s="54"/>
      <c r="M1209" s="54"/>
    </row>
    <row r="1210">
      <c r="A1210" s="54"/>
      <c r="B1210" s="140"/>
      <c r="C1210" s="140"/>
      <c r="D1210" s="54"/>
      <c r="E1210" s="54"/>
      <c r="F1210" s="54"/>
      <c r="G1210" s="141"/>
      <c r="H1210" s="141"/>
      <c r="I1210" s="54"/>
      <c r="J1210" s="54"/>
      <c r="K1210" s="63"/>
      <c r="L1210" s="54"/>
      <c r="M1210" s="54"/>
    </row>
    <row r="1211">
      <c r="A1211" s="54"/>
      <c r="B1211" s="140"/>
      <c r="C1211" s="140"/>
      <c r="D1211" s="54"/>
      <c r="E1211" s="54"/>
      <c r="F1211" s="54"/>
      <c r="G1211" s="141"/>
      <c r="H1211" s="141"/>
      <c r="I1211" s="54"/>
      <c r="J1211" s="54"/>
      <c r="K1211" s="63"/>
      <c r="L1211" s="54"/>
      <c r="M1211" s="54"/>
    </row>
    <row r="1212">
      <c r="A1212" s="54"/>
      <c r="B1212" s="140"/>
      <c r="C1212" s="140"/>
      <c r="D1212" s="54"/>
      <c r="E1212" s="54"/>
      <c r="F1212" s="54"/>
      <c r="G1212" s="141"/>
      <c r="H1212" s="141"/>
      <c r="I1212" s="54"/>
      <c r="J1212" s="54"/>
      <c r="K1212" s="63"/>
      <c r="L1212" s="54"/>
      <c r="M1212" s="54"/>
    </row>
    <row r="1213">
      <c r="A1213" s="54"/>
      <c r="B1213" s="140"/>
      <c r="C1213" s="140"/>
      <c r="D1213" s="54"/>
      <c r="E1213" s="54"/>
      <c r="F1213" s="54"/>
      <c r="G1213" s="141"/>
      <c r="H1213" s="141"/>
      <c r="I1213" s="54"/>
      <c r="J1213" s="54"/>
      <c r="K1213" s="63"/>
      <c r="L1213" s="54"/>
      <c r="M1213" s="54"/>
    </row>
    <row r="1214">
      <c r="A1214" s="54"/>
      <c r="B1214" s="140"/>
      <c r="C1214" s="140"/>
      <c r="D1214" s="54"/>
      <c r="E1214" s="54"/>
      <c r="F1214" s="54"/>
      <c r="G1214" s="141"/>
      <c r="H1214" s="141"/>
      <c r="I1214" s="54"/>
      <c r="J1214" s="54"/>
      <c r="K1214" s="63"/>
      <c r="L1214" s="54"/>
      <c r="M1214" s="54"/>
    </row>
    <row r="1215">
      <c r="A1215" s="54"/>
      <c r="B1215" s="140"/>
      <c r="C1215" s="140"/>
      <c r="D1215" s="54"/>
      <c r="E1215" s="54"/>
      <c r="F1215" s="54"/>
      <c r="G1215" s="141"/>
      <c r="H1215" s="141"/>
      <c r="I1215" s="54"/>
      <c r="J1215" s="54"/>
      <c r="K1215" s="63"/>
      <c r="L1215" s="54"/>
      <c r="M1215" s="54"/>
    </row>
    <row r="1216">
      <c r="A1216" s="54"/>
      <c r="B1216" s="140"/>
      <c r="C1216" s="140"/>
      <c r="D1216" s="54"/>
      <c r="E1216" s="54"/>
      <c r="F1216" s="54"/>
      <c r="G1216" s="141"/>
      <c r="H1216" s="141"/>
      <c r="I1216" s="54"/>
      <c r="J1216" s="54"/>
      <c r="K1216" s="63"/>
      <c r="L1216" s="54"/>
      <c r="M1216" s="54"/>
    </row>
    <row r="1217">
      <c r="A1217" s="54"/>
      <c r="B1217" s="140"/>
      <c r="C1217" s="140"/>
      <c r="D1217" s="54"/>
      <c r="E1217" s="54"/>
      <c r="F1217" s="54"/>
      <c r="G1217" s="141"/>
      <c r="H1217" s="141"/>
      <c r="I1217" s="54"/>
      <c r="J1217" s="54"/>
      <c r="K1217" s="63"/>
      <c r="L1217" s="54"/>
      <c r="M1217" s="54"/>
    </row>
    <row r="1218">
      <c r="A1218" s="54"/>
      <c r="B1218" s="140"/>
      <c r="C1218" s="140"/>
      <c r="D1218" s="54"/>
      <c r="E1218" s="54"/>
      <c r="F1218" s="54"/>
      <c r="G1218" s="141"/>
      <c r="H1218" s="141"/>
      <c r="I1218" s="54"/>
      <c r="J1218" s="54"/>
      <c r="K1218" s="63"/>
      <c r="L1218" s="54"/>
      <c r="M1218" s="54"/>
    </row>
    <row r="1219">
      <c r="A1219" s="54"/>
      <c r="B1219" s="140"/>
      <c r="C1219" s="140"/>
      <c r="D1219" s="54"/>
      <c r="E1219" s="54"/>
      <c r="F1219" s="54"/>
      <c r="G1219" s="141"/>
      <c r="H1219" s="141"/>
      <c r="I1219" s="54"/>
      <c r="J1219" s="54"/>
      <c r="K1219" s="63"/>
      <c r="L1219" s="54"/>
      <c r="M1219" s="54"/>
    </row>
    <row r="1220">
      <c r="A1220" s="54"/>
      <c r="B1220" s="140"/>
      <c r="C1220" s="140"/>
      <c r="D1220" s="54"/>
      <c r="E1220" s="54"/>
      <c r="F1220" s="54"/>
      <c r="G1220" s="141"/>
      <c r="H1220" s="141"/>
      <c r="I1220" s="54"/>
      <c r="J1220" s="54"/>
      <c r="K1220" s="63"/>
      <c r="L1220" s="54"/>
      <c r="M1220" s="54"/>
    </row>
    <row r="1221">
      <c r="A1221" s="54"/>
      <c r="B1221" s="140"/>
      <c r="C1221" s="140"/>
      <c r="D1221" s="54"/>
      <c r="E1221" s="54"/>
      <c r="F1221" s="54"/>
      <c r="G1221" s="141"/>
      <c r="H1221" s="141"/>
      <c r="I1221" s="54"/>
      <c r="J1221" s="54"/>
      <c r="K1221" s="63"/>
      <c r="L1221" s="54"/>
      <c r="M1221" s="54"/>
    </row>
    <row r="1222">
      <c r="A1222" s="54"/>
      <c r="B1222" s="140"/>
      <c r="C1222" s="140"/>
      <c r="D1222" s="54"/>
      <c r="E1222" s="54"/>
      <c r="F1222" s="54"/>
      <c r="G1222" s="141"/>
      <c r="H1222" s="141"/>
      <c r="I1222" s="54"/>
      <c r="J1222" s="54"/>
      <c r="K1222" s="63"/>
      <c r="L1222" s="54"/>
      <c r="M1222" s="54"/>
    </row>
    <row r="1223">
      <c r="A1223" s="54"/>
      <c r="B1223" s="140"/>
      <c r="C1223" s="140"/>
      <c r="D1223" s="54"/>
      <c r="E1223" s="54"/>
      <c r="F1223" s="54"/>
      <c r="G1223" s="141"/>
      <c r="H1223" s="141"/>
      <c r="I1223" s="54"/>
      <c r="J1223" s="54"/>
      <c r="K1223" s="63"/>
      <c r="L1223" s="54"/>
      <c r="M1223" s="54"/>
    </row>
    <row r="1224">
      <c r="A1224" s="54"/>
      <c r="B1224" s="140"/>
      <c r="C1224" s="140"/>
      <c r="D1224" s="54"/>
      <c r="E1224" s="54"/>
      <c r="F1224" s="54"/>
      <c r="G1224" s="141"/>
      <c r="H1224" s="141"/>
      <c r="I1224" s="54"/>
      <c r="J1224" s="54"/>
      <c r="K1224" s="63"/>
      <c r="L1224" s="54"/>
      <c r="M1224" s="54"/>
    </row>
    <row r="1225">
      <c r="A1225" s="54"/>
      <c r="B1225" s="140"/>
      <c r="C1225" s="140"/>
      <c r="D1225" s="54"/>
      <c r="E1225" s="54"/>
      <c r="F1225" s="54"/>
      <c r="G1225" s="141"/>
      <c r="H1225" s="141"/>
      <c r="I1225" s="54"/>
      <c r="J1225" s="54"/>
      <c r="K1225" s="63"/>
      <c r="L1225" s="54"/>
      <c r="M1225" s="54"/>
    </row>
    <row r="1226">
      <c r="A1226" s="54"/>
      <c r="B1226" s="140"/>
      <c r="C1226" s="140"/>
      <c r="D1226" s="54"/>
      <c r="E1226" s="54"/>
      <c r="F1226" s="54"/>
      <c r="G1226" s="141"/>
      <c r="H1226" s="141"/>
      <c r="I1226" s="54"/>
      <c r="J1226" s="54"/>
      <c r="K1226" s="63"/>
      <c r="L1226" s="54"/>
      <c r="M1226" s="54"/>
    </row>
    <row r="1227">
      <c r="A1227" s="54"/>
      <c r="B1227" s="140"/>
      <c r="C1227" s="140"/>
      <c r="D1227" s="54"/>
      <c r="E1227" s="54"/>
      <c r="F1227" s="54"/>
      <c r="G1227" s="141"/>
      <c r="H1227" s="141"/>
      <c r="I1227" s="54"/>
      <c r="J1227" s="54"/>
      <c r="K1227" s="63"/>
      <c r="L1227" s="54"/>
      <c r="M1227" s="54"/>
    </row>
    <row r="1228">
      <c r="A1228" s="54"/>
      <c r="B1228" s="140"/>
      <c r="C1228" s="140"/>
      <c r="D1228" s="54"/>
      <c r="E1228" s="54"/>
      <c r="F1228" s="54"/>
      <c r="G1228" s="141"/>
      <c r="H1228" s="141"/>
      <c r="I1228" s="54"/>
      <c r="J1228" s="54"/>
      <c r="K1228" s="63"/>
      <c r="L1228" s="54"/>
      <c r="M1228" s="54"/>
    </row>
    <row r="1229">
      <c r="A1229" s="54"/>
      <c r="B1229" s="140"/>
      <c r="C1229" s="140"/>
      <c r="D1229" s="54"/>
      <c r="E1229" s="54"/>
      <c r="F1229" s="54"/>
      <c r="G1229" s="141"/>
      <c r="H1229" s="141"/>
      <c r="I1229" s="54"/>
      <c r="J1229" s="54"/>
      <c r="K1229" s="63"/>
      <c r="L1229" s="54"/>
      <c r="M1229" s="54"/>
    </row>
    <row r="1230">
      <c r="A1230" s="54"/>
      <c r="B1230" s="140"/>
      <c r="C1230" s="140"/>
      <c r="D1230" s="54"/>
      <c r="E1230" s="54"/>
      <c r="F1230" s="54"/>
      <c r="G1230" s="141"/>
      <c r="H1230" s="141"/>
      <c r="I1230" s="54"/>
      <c r="J1230" s="54"/>
      <c r="K1230" s="63"/>
      <c r="L1230" s="54"/>
      <c r="M1230" s="54"/>
    </row>
    <row r="1231">
      <c r="A1231" s="54"/>
      <c r="B1231" s="140"/>
      <c r="C1231" s="140"/>
      <c r="D1231" s="54"/>
      <c r="E1231" s="54"/>
      <c r="F1231" s="54"/>
      <c r="G1231" s="141"/>
      <c r="H1231" s="141"/>
      <c r="I1231" s="54"/>
      <c r="J1231" s="54"/>
      <c r="K1231" s="63"/>
      <c r="L1231" s="54"/>
      <c r="M1231" s="54"/>
    </row>
    <row r="1232">
      <c r="A1232" s="54"/>
      <c r="B1232" s="140"/>
      <c r="C1232" s="140"/>
      <c r="D1232" s="54"/>
      <c r="E1232" s="54"/>
      <c r="F1232" s="54"/>
      <c r="G1232" s="141"/>
      <c r="H1232" s="141"/>
      <c r="I1232" s="54"/>
      <c r="J1232" s="54"/>
      <c r="K1232" s="63"/>
      <c r="L1232" s="54"/>
      <c r="M1232" s="54"/>
    </row>
    <row r="1233">
      <c r="A1233" s="54"/>
      <c r="B1233" s="140"/>
      <c r="C1233" s="140"/>
      <c r="D1233" s="54"/>
      <c r="E1233" s="54"/>
      <c r="F1233" s="54"/>
      <c r="G1233" s="141"/>
      <c r="H1233" s="141"/>
      <c r="I1233" s="54"/>
      <c r="J1233" s="54"/>
      <c r="K1233" s="63"/>
      <c r="L1233" s="54"/>
      <c r="M1233" s="54"/>
    </row>
    <row r="1234">
      <c r="A1234" s="54"/>
      <c r="B1234" s="140"/>
      <c r="C1234" s="140"/>
      <c r="D1234" s="54"/>
      <c r="E1234" s="54"/>
      <c r="F1234" s="54"/>
      <c r="G1234" s="141"/>
      <c r="H1234" s="141"/>
      <c r="I1234" s="54"/>
      <c r="J1234" s="54"/>
      <c r="K1234" s="63"/>
      <c r="L1234" s="54"/>
      <c r="M1234" s="54"/>
    </row>
    <row r="1235">
      <c r="A1235" s="54"/>
      <c r="B1235" s="140"/>
      <c r="C1235" s="140"/>
      <c r="D1235" s="54"/>
      <c r="E1235" s="54"/>
      <c r="F1235" s="54"/>
      <c r="G1235" s="141"/>
      <c r="H1235" s="141"/>
      <c r="I1235" s="54"/>
      <c r="J1235" s="54"/>
      <c r="K1235" s="63"/>
      <c r="L1235" s="54"/>
      <c r="M1235" s="54"/>
    </row>
    <row r="1236">
      <c r="A1236" s="54"/>
      <c r="B1236" s="140"/>
      <c r="C1236" s="140"/>
      <c r="D1236" s="54"/>
      <c r="E1236" s="54"/>
      <c r="F1236" s="54"/>
      <c r="G1236" s="141"/>
      <c r="H1236" s="141"/>
      <c r="I1236" s="54"/>
      <c r="J1236" s="54"/>
      <c r="K1236" s="63"/>
      <c r="L1236" s="54"/>
      <c r="M1236" s="54"/>
    </row>
    <row r="1237">
      <c r="A1237" s="54"/>
      <c r="B1237" s="140"/>
      <c r="C1237" s="140"/>
      <c r="D1237" s="54"/>
      <c r="E1237" s="54"/>
      <c r="F1237" s="54"/>
      <c r="G1237" s="141"/>
      <c r="H1237" s="141"/>
      <c r="I1237" s="54"/>
      <c r="J1237" s="54"/>
      <c r="K1237" s="63"/>
      <c r="L1237" s="54"/>
      <c r="M1237" s="54"/>
    </row>
    <row r="1238">
      <c r="A1238" s="54"/>
      <c r="B1238" s="140"/>
      <c r="C1238" s="140"/>
      <c r="D1238" s="54"/>
      <c r="E1238" s="54"/>
      <c r="F1238" s="54"/>
      <c r="G1238" s="141"/>
      <c r="H1238" s="141"/>
      <c r="I1238" s="54"/>
      <c r="J1238" s="54"/>
      <c r="K1238" s="63"/>
      <c r="L1238" s="54"/>
      <c r="M1238" s="54"/>
    </row>
    <row r="1239">
      <c r="A1239" s="54"/>
      <c r="B1239" s="140"/>
      <c r="C1239" s="140"/>
      <c r="D1239" s="54"/>
      <c r="E1239" s="54"/>
      <c r="F1239" s="54"/>
      <c r="G1239" s="141"/>
      <c r="H1239" s="141"/>
      <c r="I1239" s="54"/>
      <c r="J1239" s="54"/>
      <c r="K1239" s="63"/>
      <c r="L1239" s="54"/>
      <c r="M1239" s="54"/>
    </row>
    <row r="1240">
      <c r="A1240" s="54"/>
      <c r="B1240" s="140"/>
      <c r="C1240" s="140"/>
      <c r="D1240" s="54"/>
      <c r="E1240" s="54"/>
      <c r="F1240" s="54"/>
      <c r="G1240" s="141"/>
      <c r="H1240" s="141"/>
      <c r="I1240" s="54"/>
      <c r="J1240" s="54"/>
      <c r="K1240" s="63"/>
      <c r="L1240" s="54"/>
      <c r="M1240" s="54"/>
    </row>
    <row r="1241">
      <c r="A1241" s="54"/>
      <c r="B1241" s="140"/>
      <c r="C1241" s="140"/>
      <c r="D1241" s="54"/>
      <c r="E1241" s="54"/>
      <c r="F1241" s="54"/>
      <c r="G1241" s="141"/>
      <c r="H1241" s="141"/>
      <c r="I1241" s="54"/>
      <c r="J1241" s="54"/>
      <c r="K1241" s="63"/>
      <c r="L1241" s="54"/>
      <c r="M1241" s="54"/>
    </row>
    <row r="1242">
      <c r="A1242" s="54"/>
      <c r="B1242" s="140"/>
      <c r="C1242" s="140"/>
      <c r="D1242" s="54"/>
      <c r="E1242" s="54"/>
      <c r="F1242" s="54"/>
      <c r="G1242" s="141"/>
      <c r="H1242" s="141"/>
      <c r="I1242" s="54"/>
      <c r="J1242" s="54"/>
      <c r="K1242" s="63"/>
      <c r="L1242" s="54"/>
      <c r="M1242" s="54"/>
    </row>
    <row r="1243">
      <c r="A1243" s="54"/>
      <c r="B1243" s="140"/>
      <c r="C1243" s="140"/>
      <c r="D1243" s="54"/>
      <c r="E1243" s="54"/>
      <c r="F1243" s="54"/>
      <c r="G1243" s="141"/>
      <c r="H1243" s="141"/>
      <c r="I1243" s="54"/>
      <c r="J1243" s="54"/>
      <c r="K1243" s="63"/>
      <c r="L1243" s="54"/>
      <c r="M1243" s="54"/>
    </row>
    <row r="1244">
      <c r="A1244" s="54"/>
      <c r="B1244" s="140"/>
      <c r="C1244" s="140"/>
      <c r="D1244" s="54"/>
      <c r="E1244" s="54"/>
      <c r="F1244" s="54"/>
      <c r="G1244" s="141"/>
      <c r="H1244" s="141"/>
      <c r="I1244" s="54"/>
      <c r="J1244" s="54"/>
      <c r="K1244" s="63"/>
      <c r="L1244" s="54"/>
      <c r="M1244" s="54"/>
    </row>
    <row r="1245">
      <c r="A1245" s="54"/>
      <c r="B1245" s="140"/>
      <c r="C1245" s="140"/>
      <c r="D1245" s="54"/>
      <c r="E1245" s="54"/>
      <c r="F1245" s="54"/>
      <c r="G1245" s="141"/>
      <c r="H1245" s="141"/>
      <c r="I1245" s="54"/>
      <c r="J1245" s="54"/>
      <c r="K1245" s="63"/>
      <c r="L1245" s="54"/>
      <c r="M1245" s="54"/>
    </row>
    <row r="1246">
      <c r="A1246" s="54"/>
      <c r="B1246" s="140"/>
      <c r="C1246" s="140"/>
      <c r="D1246" s="54"/>
      <c r="E1246" s="54"/>
      <c r="F1246" s="54"/>
      <c r="G1246" s="141"/>
      <c r="H1246" s="141"/>
      <c r="I1246" s="54"/>
      <c r="J1246" s="54"/>
      <c r="K1246" s="63"/>
      <c r="L1246" s="54"/>
      <c r="M1246" s="54"/>
    </row>
    <row r="1247">
      <c r="A1247" s="54"/>
      <c r="B1247" s="140"/>
      <c r="C1247" s="140"/>
      <c r="D1247" s="54"/>
      <c r="E1247" s="54"/>
      <c r="F1247" s="54"/>
      <c r="G1247" s="141"/>
      <c r="H1247" s="141"/>
      <c r="I1247" s="54"/>
      <c r="J1247" s="54"/>
      <c r="K1247" s="63"/>
      <c r="L1247" s="54"/>
      <c r="M1247" s="54"/>
    </row>
    <row r="1248">
      <c r="A1248" s="54"/>
      <c r="B1248" s="140"/>
      <c r="C1248" s="140"/>
      <c r="D1248" s="54"/>
      <c r="E1248" s="54"/>
      <c r="F1248" s="54"/>
      <c r="G1248" s="141"/>
      <c r="H1248" s="141"/>
      <c r="I1248" s="54"/>
      <c r="J1248" s="54"/>
      <c r="K1248" s="63"/>
      <c r="L1248" s="54"/>
      <c r="M1248" s="54"/>
    </row>
    <row r="1249">
      <c r="A1249" s="54"/>
      <c r="B1249" s="140"/>
      <c r="C1249" s="140"/>
      <c r="D1249" s="54"/>
      <c r="E1249" s="54"/>
      <c r="F1249" s="54"/>
      <c r="G1249" s="141"/>
      <c r="H1249" s="141"/>
      <c r="I1249" s="54"/>
      <c r="J1249" s="54"/>
      <c r="K1249" s="63"/>
      <c r="L1249" s="54"/>
      <c r="M1249" s="54"/>
    </row>
    <row r="1250">
      <c r="A1250" s="54"/>
      <c r="B1250" s="140"/>
      <c r="C1250" s="140"/>
      <c r="D1250" s="54"/>
      <c r="E1250" s="54"/>
      <c r="F1250" s="54"/>
      <c r="G1250" s="141"/>
      <c r="H1250" s="141"/>
      <c r="I1250" s="54"/>
      <c r="J1250" s="54"/>
      <c r="K1250" s="63"/>
      <c r="L1250" s="54"/>
      <c r="M1250" s="54"/>
    </row>
    <row r="1251">
      <c r="A1251" s="54"/>
      <c r="B1251" s="140"/>
      <c r="C1251" s="140"/>
      <c r="D1251" s="54"/>
      <c r="E1251" s="54"/>
      <c r="F1251" s="54"/>
      <c r="G1251" s="141"/>
      <c r="H1251" s="141"/>
      <c r="I1251" s="54"/>
      <c r="J1251" s="54"/>
      <c r="K1251" s="63"/>
      <c r="L1251" s="54"/>
      <c r="M1251" s="54"/>
    </row>
    <row r="1252">
      <c r="A1252" s="54"/>
      <c r="B1252" s="140"/>
      <c r="C1252" s="140"/>
      <c r="D1252" s="54"/>
      <c r="E1252" s="54"/>
      <c r="F1252" s="54"/>
      <c r="G1252" s="141"/>
      <c r="H1252" s="141"/>
      <c r="I1252" s="54"/>
      <c r="J1252" s="54"/>
      <c r="K1252" s="63"/>
      <c r="L1252" s="54"/>
      <c r="M1252" s="54"/>
    </row>
    <row r="1253">
      <c r="A1253" s="54"/>
      <c r="B1253" s="140"/>
      <c r="C1253" s="140"/>
      <c r="D1253" s="54"/>
      <c r="E1253" s="54"/>
      <c r="F1253" s="54"/>
      <c r="G1253" s="141"/>
      <c r="H1253" s="141"/>
      <c r="I1253" s="54"/>
      <c r="J1253" s="54"/>
      <c r="K1253" s="63"/>
      <c r="L1253" s="54"/>
      <c r="M1253" s="54"/>
    </row>
    <row r="1254">
      <c r="A1254" s="54"/>
      <c r="B1254" s="140"/>
      <c r="C1254" s="140"/>
      <c r="D1254" s="54"/>
      <c r="E1254" s="54"/>
      <c r="F1254" s="54"/>
      <c r="G1254" s="141"/>
      <c r="H1254" s="141"/>
      <c r="I1254" s="54"/>
      <c r="J1254" s="54"/>
      <c r="K1254" s="63"/>
      <c r="L1254" s="54"/>
      <c r="M1254" s="54"/>
    </row>
    <row r="1255">
      <c r="A1255" s="54"/>
      <c r="B1255" s="140"/>
      <c r="C1255" s="140"/>
      <c r="D1255" s="54"/>
      <c r="E1255" s="54"/>
      <c r="F1255" s="54"/>
      <c r="G1255" s="141"/>
      <c r="H1255" s="141"/>
      <c r="I1255" s="54"/>
      <c r="J1255" s="54"/>
      <c r="K1255" s="63"/>
      <c r="L1255" s="54"/>
      <c r="M1255" s="54"/>
    </row>
    <row r="1256">
      <c r="A1256" s="54"/>
      <c r="B1256" s="140"/>
      <c r="C1256" s="140"/>
      <c r="D1256" s="54"/>
      <c r="E1256" s="54"/>
      <c r="F1256" s="54"/>
      <c r="G1256" s="141"/>
      <c r="H1256" s="141"/>
      <c r="I1256" s="54"/>
      <c r="J1256" s="54"/>
      <c r="K1256" s="63"/>
      <c r="L1256" s="54"/>
      <c r="M1256" s="54"/>
    </row>
    <row r="1257">
      <c r="A1257" s="54"/>
      <c r="B1257" s="140"/>
      <c r="C1257" s="140"/>
      <c r="D1257" s="54"/>
      <c r="E1257" s="54"/>
      <c r="F1257" s="54"/>
      <c r="G1257" s="141"/>
      <c r="H1257" s="141"/>
      <c r="I1257" s="54"/>
      <c r="J1257" s="54"/>
      <c r="K1257" s="63"/>
      <c r="L1257" s="54"/>
      <c r="M1257" s="54"/>
    </row>
    <row r="1258">
      <c r="A1258" s="54"/>
      <c r="B1258" s="140"/>
      <c r="C1258" s="140"/>
      <c r="D1258" s="54"/>
      <c r="E1258" s="54"/>
      <c r="F1258" s="54"/>
      <c r="G1258" s="141"/>
      <c r="H1258" s="141"/>
      <c r="I1258" s="54"/>
      <c r="J1258" s="54"/>
      <c r="K1258" s="63"/>
      <c r="L1258" s="54"/>
      <c r="M1258" s="54"/>
    </row>
    <row r="1259">
      <c r="A1259" s="54"/>
      <c r="B1259" s="140"/>
      <c r="C1259" s="140"/>
      <c r="D1259" s="54"/>
      <c r="E1259" s="54"/>
      <c r="F1259" s="54"/>
      <c r="G1259" s="141"/>
      <c r="H1259" s="141"/>
      <c r="I1259" s="54"/>
      <c r="J1259" s="54"/>
      <c r="K1259" s="63"/>
      <c r="L1259" s="54"/>
      <c r="M1259" s="54"/>
    </row>
    <row r="1260">
      <c r="A1260" s="54"/>
      <c r="B1260" s="140"/>
      <c r="C1260" s="140"/>
      <c r="D1260" s="54"/>
      <c r="E1260" s="54"/>
      <c r="F1260" s="54"/>
      <c r="G1260" s="141"/>
      <c r="H1260" s="141"/>
      <c r="I1260" s="54"/>
      <c r="J1260" s="54"/>
      <c r="K1260" s="63"/>
      <c r="L1260" s="54"/>
      <c r="M1260" s="54"/>
    </row>
    <row r="1261">
      <c r="A1261" s="54"/>
      <c r="B1261" s="140"/>
      <c r="C1261" s="140"/>
      <c r="D1261" s="54"/>
      <c r="E1261" s="54"/>
      <c r="F1261" s="54"/>
      <c r="G1261" s="141"/>
      <c r="H1261" s="141"/>
      <c r="I1261" s="54"/>
      <c r="J1261" s="54"/>
      <c r="K1261" s="63"/>
      <c r="L1261" s="54"/>
      <c r="M1261" s="54"/>
    </row>
    <row r="1262">
      <c r="A1262" s="54"/>
      <c r="B1262" s="140"/>
      <c r="C1262" s="140"/>
      <c r="D1262" s="54"/>
      <c r="E1262" s="54"/>
      <c r="F1262" s="54"/>
      <c r="G1262" s="141"/>
      <c r="H1262" s="141"/>
      <c r="I1262" s="54"/>
      <c r="J1262" s="54"/>
      <c r="K1262" s="63"/>
      <c r="L1262" s="54"/>
      <c r="M1262" s="54"/>
    </row>
    <row r="1263">
      <c r="A1263" s="54"/>
      <c r="B1263" s="140"/>
      <c r="C1263" s="140"/>
      <c r="D1263" s="54"/>
      <c r="E1263" s="54"/>
      <c r="F1263" s="54"/>
      <c r="G1263" s="141"/>
      <c r="H1263" s="141"/>
      <c r="I1263" s="54"/>
      <c r="J1263" s="54"/>
      <c r="K1263" s="63"/>
      <c r="L1263" s="54"/>
      <c r="M1263" s="54"/>
    </row>
    <row r="1264">
      <c r="A1264" s="54"/>
      <c r="B1264" s="140"/>
      <c r="C1264" s="140"/>
      <c r="D1264" s="54"/>
      <c r="E1264" s="54"/>
      <c r="F1264" s="54"/>
      <c r="G1264" s="141"/>
      <c r="H1264" s="141"/>
      <c r="I1264" s="54"/>
      <c r="J1264" s="54"/>
      <c r="K1264" s="63"/>
      <c r="L1264" s="54"/>
      <c r="M1264" s="54"/>
    </row>
    <row r="1265">
      <c r="A1265" s="54"/>
      <c r="B1265" s="140"/>
      <c r="C1265" s="140"/>
      <c r="D1265" s="54"/>
      <c r="E1265" s="54"/>
      <c r="F1265" s="54"/>
      <c r="G1265" s="141"/>
      <c r="H1265" s="141"/>
      <c r="I1265" s="54"/>
      <c r="J1265" s="54"/>
      <c r="K1265" s="63"/>
      <c r="L1265" s="54"/>
      <c r="M1265" s="54"/>
    </row>
    <row r="1266">
      <c r="A1266" s="54"/>
      <c r="B1266" s="140"/>
      <c r="C1266" s="140"/>
      <c r="D1266" s="54"/>
      <c r="E1266" s="54"/>
      <c r="F1266" s="54"/>
      <c r="G1266" s="141"/>
      <c r="H1266" s="141"/>
      <c r="I1266" s="54"/>
      <c r="J1266" s="54"/>
      <c r="K1266" s="63"/>
      <c r="L1266" s="54"/>
      <c r="M1266" s="54"/>
    </row>
    <row r="1267">
      <c r="A1267" s="54"/>
      <c r="B1267" s="140"/>
      <c r="C1267" s="140"/>
      <c r="D1267" s="54"/>
      <c r="E1267" s="54"/>
      <c r="F1267" s="54"/>
      <c r="G1267" s="141"/>
      <c r="H1267" s="141"/>
      <c r="I1267" s="54"/>
      <c r="J1267" s="54"/>
      <c r="K1267" s="63"/>
      <c r="L1267" s="54"/>
      <c r="M1267" s="54"/>
    </row>
    <row r="1268">
      <c r="A1268" s="54"/>
      <c r="B1268" s="140"/>
      <c r="C1268" s="140"/>
      <c r="D1268" s="54"/>
      <c r="E1268" s="54"/>
      <c r="F1268" s="54"/>
      <c r="G1268" s="141"/>
      <c r="H1268" s="141"/>
      <c r="I1268" s="54"/>
      <c r="J1268" s="54"/>
      <c r="K1268" s="63"/>
      <c r="L1268" s="54"/>
      <c r="M1268" s="54"/>
    </row>
    <row r="1269">
      <c r="A1269" s="54"/>
      <c r="B1269" s="140"/>
      <c r="C1269" s="140"/>
      <c r="D1269" s="54"/>
      <c r="E1269" s="54"/>
      <c r="F1269" s="54"/>
      <c r="G1269" s="141"/>
      <c r="H1269" s="141"/>
      <c r="I1269" s="54"/>
      <c r="J1269" s="54"/>
      <c r="K1269" s="63"/>
      <c r="L1269" s="54"/>
      <c r="M1269" s="54"/>
    </row>
    <row r="1270">
      <c r="A1270" s="54"/>
      <c r="B1270" s="140"/>
      <c r="C1270" s="140"/>
      <c r="D1270" s="54"/>
      <c r="E1270" s="54"/>
      <c r="F1270" s="54"/>
      <c r="G1270" s="141"/>
      <c r="H1270" s="141"/>
      <c r="I1270" s="54"/>
      <c r="J1270" s="54"/>
      <c r="K1270" s="63"/>
      <c r="L1270" s="54"/>
      <c r="M1270" s="54"/>
    </row>
    <row r="1271">
      <c r="A1271" s="54"/>
      <c r="B1271" s="140"/>
      <c r="C1271" s="140"/>
      <c r="D1271" s="54"/>
      <c r="E1271" s="54"/>
      <c r="F1271" s="54"/>
      <c r="G1271" s="141"/>
      <c r="H1271" s="141"/>
      <c r="I1271" s="54"/>
      <c r="J1271" s="54"/>
      <c r="K1271" s="63"/>
      <c r="L1271" s="54"/>
      <c r="M1271" s="54"/>
    </row>
    <row r="1272">
      <c r="A1272" s="54"/>
      <c r="B1272" s="140"/>
      <c r="C1272" s="140"/>
      <c r="D1272" s="54"/>
      <c r="E1272" s="54"/>
      <c r="F1272" s="54"/>
      <c r="G1272" s="141"/>
      <c r="H1272" s="141"/>
      <c r="I1272" s="54"/>
      <c r="J1272" s="54"/>
      <c r="K1272" s="63"/>
      <c r="L1272" s="54"/>
      <c r="M1272" s="54"/>
    </row>
    <row r="1273">
      <c r="A1273" s="54"/>
      <c r="B1273" s="140"/>
      <c r="C1273" s="140"/>
      <c r="D1273" s="54"/>
      <c r="E1273" s="54"/>
      <c r="F1273" s="54"/>
      <c r="G1273" s="141"/>
      <c r="H1273" s="141"/>
      <c r="I1273" s="54"/>
      <c r="J1273" s="54"/>
      <c r="K1273" s="63"/>
      <c r="L1273" s="54"/>
      <c r="M1273" s="54"/>
    </row>
    <row r="1274">
      <c r="A1274" s="54"/>
      <c r="B1274" s="140"/>
      <c r="C1274" s="140"/>
      <c r="D1274" s="54"/>
      <c r="E1274" s="54"/>
      <c r="F1274" s="54"/>
      <c r="G1274" s="141"/>
      <c r="H1274" s="141"/>
      <c r="I1274" s="54"/>
      <c r="J1274" s="54"/>
      <c r="K1274" s="63"/>
      <c r="L1274" s="54"/>
      <c r="M1274" s="54"/>
    </row>
    <row r="1275">
      <c r="A1275" s="54"/>
      <c r="B1275" s="140"/>
      <c r="C1275" s="140"/>
      <c r="D1275" s="54"/>
      <c r="E1275" s="54"/>
      <c r="F1275" s="54"/>
      <c r="G1275" s="141"/>
      <c r="H1275" s="141"/>
      <c r="I1275" s="54"/>
      <c r="J1275" s="54"/>
      <c r="K1275" s="63"/>
      <c r="L1275" s="54"/>
      <c r="M1275" s="54"/>
    </row>
    <row r="1276">
      <c r="A1276" s="54"/>
      <c r="B1276" s="140"/>
      <c r="C1276" s="140"/>
      <c r="D1276" s="54"/>
      <c r="E1276" s="54"/>
      <c r="F1276" s="54"/>
      <c r="G1276" s="141"/>
      <c r="H1276" s="141"/>
      <c r="I1276" s="54"/>
      <c r="J1276" s="54"/>
      <c r="K1276" s="63"/>
      <c r="L1276" s="54"/>
      <c r="M1276" s="54"/>
    </row>
    <row r="1277">
      <c r="A1277" s="54"/>
      <c r="B1277" s="140"/>
      <c r="C1277" s="140"/>
      <c r="D1277" s="54"/>
      <c r="E1277" s="54"/>
      <c r="F1277" s="54"/>
      <c r="G1277" s="141"/>
      <c r="H1277" s="141"/>
      <c r="I1277" s="54"/>
      <c r="J1277" s="54"/>
      <c r="K1277" s="63"/>
      <c r="L1277" s="54"/>
      <c r="M1277" s="54"/>
    </row>
    <row r="1278">
      <c r="A1278" s="54"/>
      <c r="B1278" s="140"/>
      <c r="C1278" s="140"/>
      <c r="D1278" s="54"/>
      <c r="E1278" s="54"/>
      <c r="F1278" s="54"/>
      <c r="G1278" s="141"/>
      <c r="H1278" s="141"/>
      <c r="I1278" s="54"/>
      <c r="J1278" s="54"/>
      <c r="K1278" s="63"/>
      <c r="L1278" s="54"/>
      <c r="M1278" s="54"/>
    </row>
    <row r="1279">
      <c r="A1279" s="54"/>
      <c r="B1279" s="140"/>
      <c r="C1279" s="140"/>
      <c r="D1279" s="54"/>
      <c r="E1279" s="54"/>
      <c r="F1279" s="54"/>
      <c r="G1279" s="141"/>
      <c r="H1279" s="141"/>
      <c r="I1279" s="54"/>
      <c r="J1279" s="54"/>
      <c r="K1279" s="63"/>
      <c r="L1279" s="54"/>
      <c r="M1279" s="54"/>
    </row>
    <row r="1280">
      <c r="A1280" s="54"/>
      <c r="B1280" s="140"/>
      <c r="C1280" s="140"/>
      <c r="D1280" s="54"/>
      <c r="E1280" s="54"/>
      <c r="F1280" s="54"/>
      <c r="G1280" s="141"/>
      <c r="H1280" s="141"/>
      <c r="I1280" s="54"/>
      <c r="J1280" s="54"/>
      <c r="K1280" s="63"/>
      <c r="L1280" s="54"/>
      <c r="M1280" s="54"/>
    </row>
    <row r="1281">
      <c r="A1281" s="54"/>
      <c r="B1281" s="140"/>
      <c r="C1281" s="140"/>
      <c r="D1281" s="54"/>
      <c r="E1281" s="54"/>
      <c r="F1281" s="54"/>
      <c r="G1281" s="141"/>
      <c r="H1281" s="141"/>
      <c r="I1281" s="54"/>
      <c r="J1281" s="54"/>
      <c r="K1281" s="63"/>
      <c r="L1281" s="54"/>
      <c r="M1281" s="54"/>
    </row>
    <row r="1282">
      <c r="A1282" s="54"/>
      <c r="B1282" s="140"/>
      <c r="C1282" s="140"/>
      <c r="D1282" s="54"/>
      <c r="E1282" s="54"/>
      <c r="F1282" s="54"/>
      <c r="G1282" s="141"/>
      <c r="H1282" s="141"/>
      <c r="I1282" s="54"/>
      <c r="J1282" s="54"/>
      <c r="K1282" s="63"/>
      <c r="L1282" s="54"/>
      <c r="M1282" s="54"/>
    </row>
    <row r="1283">
      <c r="A1283" s="54"/>
      <c r="B1283" s="140"/>
      <c r="C1283" s="140"/>
      <c r="D1283" s="54"/>
      <c r="E1283" s="54"/>
      <c r="F1283" s="54"/>
      <c r="G1283" s="141"/>
      <c r="H1283" s="141"/>
      <c r="I1283" s="54"/>
      <c r="J1283" s="54"/>
      <c r="K1283" s="63"/>
      <c r="L1283" s="54"/>
      <c r="M1283" s="54"/>
    </row>
    <row r="1284">
      <c r="A1284" s="54"/>
      <c r="B1284" s="140"/>
      <c r="C1284" s="140"/>
      <c r="D1284" s="54"/>
      <c r="E1284" s="54"/>
      <c r="F1284" s="54"/>
      <c r="G1284" s="141"/>
      <c r="H1284" s="141"/>
      <c r="I1284" s="54"/>
      <c r="J1284" s="54"/>
      <c r="K1284" s="63"/>
      <c r="L1284" s="54"/>
      <c r="M1284" s="54"/>
    </row>
    <row r="1285">
      <c r="A1285" s="54"/>
      <c r="B1285" s="140"/>
      <c r="C1285" s="140"/>
      <c r="D1285" s="54"/>
      <c r="E1285" s="54"/>
      <c r="F1285" s="54"/>
      <c r="G1285" s="141"/>
      <c r="H1285" s="141"/>
      <c r="I1285" s="54"/>
      <c r="J1285" s="54"/>
      <c r="K1285" s="63"/>
      <c r="L1285" s="54"/>
      <c r="M1285" s="54"/>
    </row>
    <row r="1286">
      <c r="A1286" s="54"/>
      <c r="B1286" s="140"/>
      <c r="C1286" s="140"/>
      <c r="D1286" s="54"/>
      <c r="E1286" s="54"/>
      <c r="F1286" s="54"/>
      <c r="G1286" s="141"/>
      <c r="H1286" s="141"/>
      <c r="I1286" s="54"/>
      <c r="J1286" s="54"/>
      <c r="K1286" s="63"/>
      <c r="L1286" s="54"/>
      <c r="M1286" s="54"/>
    </row>
    <row r="1287">
      <c r="A1287" s="54"/>
      <c r="B1287" s="140"/>
      <c r="C1287" s="140"/>
      <c r="D1287" s="54"/>
      <c r="E1287" s="54"/>
      <c r="F1287" s="54"/>
      <c r="G1287" s="141"/>
      <c r="H1287" s="141"/>
      <c r="I1287" s="54"/>
      <c r="J1287" s="54"/>
      <c r="K1287" s="63"/>
      <c r="L1287" s="54"/>
      <c r="M1287" s="54"/>
    </row>
    <row r="1288">
      <c r="A1288" s="54"/>
      <c r="B1288" s="140"/>
      <c r="C1288" s="140"/>
      <c r="D1288" s="54"/>
      <c r="E1288" s="54"/>
      <c r="F1288" s="54"/>
      <c r="G1288" s="141"/>
      <c r="H1288" s="141"/>
      <c r="I1288" s="54"/>
      <c r="J1288" s="54"/>
      <c r="K1288" s="63"/>
      <c r="L1288" s="54"/>
      <c r="M1288" s="54"/>
    </row>
    <row r="1289">
      <c r="A1289" s="54"/>
      <c r="B1289" s="140"/>
      <c r="C1289" s="140"/>
      <c r="D1289" s="54"/>
      <c r="E1289" s="54"/>
      <c r="F1289" s="54"/>
      <c r="G1289" s="141"/>
      <c r="H1289" s="141"/>
      <c r="I1289" s="54"/>
      <c r="J1289" s="54"/>
      <c r="K1289" s="63"/>
      <c r="L1289" s="54"/>
      <c r="M1289" s="54"/>
    </row>
    <row r="1290">
      <c r="A1290" s="54"/>
      <c r="B1290" s="140"/>
      <c r="C1290" s="140"/>
      <c r="D1290" s="54"/>
      <c r="E1290" s="54"/>
      <c r="F1290" s="54"/>
      <c r="G1290" s="141"/>
      <c r="H1290" s="141"/>
      <c r="I1290" s="54"/>
      <c r="J1290" s="54"/>
      <c r="K1290" s="63"/>
      <c r="L1290" s="54"/>
      <c r="M1290" s="54"/>
    </row>
    <row r="1291">
      <c r="A1291" s="54"/>
      <c r="B1291" s="140"/>
      <c r="C1291" s="140"/>
      <c r="D1291" s="54"/>
      <c r="E1291" s="54"/>
      <c r="F1291" s="54"/>
      <c r="G1291" s="141"/>
      <c r="H1291" s="141"/>
      <c r="I1291" s="54"/>
      <c r="J1291" s="54"/>
      <c r="K1291" s="63"/>
      <c r="L1291" s="54"/>
      <c r="M1291" s="54"/>
    </row>
    <row r="1292">
      <c r="A1292" s="54"/>
      <c r="B1292" s="140"/>
      <c r="C1292" s="140"/>
      <c r="D1292" s="54"/>
      <c r="E1292" s="54"/>
      <c r="F1292" s="54"/>
      <c r="G1292" s="141"/>
      <c r="H1292" s="141"/>
      <c r="I1292" s="54"/>
      <c r="J1292" s="54"/>
      <c r="K1292" s="63"/>
      <c r="L1292" s="54"/>
      <c r="M1292" s="54"/>
    </row>
    <row r="1293">
      <c r="A1293" s="54"/>
      <c r="B1293" s="140"/>
      <c r="C1293" s="140"/>
      <c r="D1293" s="54"/>
      <c r="E1293" s="54"/>
      <c r="F1293" s="54"/>
      <c r="G1293" s="141"/>
      <c r="H1293" s="141"/>
      <c r="I1293" s="54"/>
      <c r="J1293" s="54"/>
      <c r="K1293" s="63"/>
      <c r="L1293" s="54"/>
      <c r="M1293" s="54"/>
    </row>
    <row r="1294">
      <c r="A1294" s="54"/>
      <c r="B1294" s="140"/>
      <c r="C1294" s="140"/>
      <c r="D1294" s="54"/>
      <c r="E1294" s="54"/>
      <c r="F1294" s="54"/>
      <c r="G1294" s="141"/>
      <c r="H1294" s="141"/>
      <c r="I1294" s="54"/>
      <c r="J1294" s="54"/>
      <c r="K1294" s="63"/>
      <c r="L1294" s="54"/>
      <c r="M1294" s="54"/>
    </row>
    <row r="1295">
      <c r="A1295" s="54"/>
      <c r="B1295" s="140"/>
      <c r="C1295" s="140"/>
      <c r="D1295" s="54"/>
      <c r="E1295" s="54"/>
      <c r="F1295" s="54"/>
      <c r="G1295" s="141"/>
      <c r="H1295" s="141"/>
      <c r="I1295" s="54"/>
      <c r="J1295" s="54"/>
      <c r="K1295" s="63"/>
      <c r="L1295" s="54"/>
      <c r="M1295" s="54"/>
    </row>
    <row r="1296">
      <c r="A1296" s="54"/>
      <c r="B1296" s="140"/>
      <c r="C1296" s="140"/>
      <c r="D1296" s="54"/>
      <c r="E1296" s="54"/>
      <c r="F1296" s="54"/>
      <c r="G1296" s="141"/>
      <c r="H1296" s="141"/>
      <c r="I1296" s="54"/>
      <c r="J1296" s="54"/>
      <c r="K1296" s="63"/>
      <c r="L1296" s="54"/>
      <c r="M1296" s="54"/>
    </row>
    <row r="1297">
      <c r="A1297" s="54"/>
      <c r="B1297" s="140"/>
      <c r="C1297" s="140"/>
      <c r="D1297" s="54"/>
      <c r="E1297" s="54"/>
      <c r="F1297" s="54"/>
      <c r="G1297" s="141"/>
      <c r="H1297" s="141"/>
      <c r="I1297" s="54"/>
      <c r="J1297" s="54"/>
      <c r="K1297" s="63"/>
      <c r="L1297" s="54"/>
      <c r="M1297" s="54"/>
    </row>
    <row r="1298">
      <c r="A1298" s="54"/>
      <c r="B1298" s="140"/>
      <c r="C1298" s="140"/>
      <c r="D1298" s="54"/>
      <c r="E1298" s="54"/>
      <c r="F1298" s="54"/>
      <c r="G1298" s="141"/>
      <c r="H1298" s="141"/>
      <c r="I1298" s="54"/>
      <c r="J1298" s="54"/>
      <c r="K1298" s="63"/>
      <c r="L1298" s="54"/>
      <c r="M1298" s="54"/>
    </row>
    <row r="1299">
      <c r="A1299" s="54"/>
      <c r="B1299" s="140"/>
      <c r="C1299" s="140"/>
      <c r="D1299" s="54"/>
      <c r="E1299" s="54"/>
      <c r="F1299" s="54"/>
      <c r="G1299" s="141"/>
      <c r="H1299" s="141"/>
      <c r="I1299" s="54"/>
      <c r="J1299" s="54"/>
      <c r="K1299" s="63"/>
      <c r="L1299" s="54"/>
      <c r="M1299" s="54"/>
    </row>
    <row r="1300">
      <c r="A1300" s="54"/>
      <c r="B1300" s="140"/>
      <c r="C1300" s="140"/>
      <c r="D1300" s="54"/>
      <c r="E1300" s="54"/>
      <c r="F1300" s="54"/>
      <c r="G1300" s="141"/>
      <c r="H1300" s="141"/>
      <c r="I1300" s="54"/>
      <c r="J1300" s="54"/>
      <c r="K1300" s="63"/>
      <c r="L1300" s="54"/>
      <c r="M1300" s="54"/>
    </row>
    <row r="1301">
      <c r="A1301" s="54"/>
      <c r="B1301" s="140"/>
      <c r="C1301" s="140"/>
      <c r="D1301" s="54"/>
      <c r="E1301" s="54"/>
      <c r="F1301" s="54"/>
      <c r="G1301" s="141"/>
      <c r="H1301" s="141"/>
      <c r="I1301" s="54"/>
      <c r="J1301" s="54"/>
      <c r="K1301" s="63"/>
      <c r="L1301" s="54"/>
      <c r="M1301" s="54"/>
    </row>
    <row r="1302">
      <c r="A1302" s="54"/>
      <c r="B1302" s="140"/>
      <c r="C1302" s="140"/>
      <c r="D1302" s="54"/>
      <c r="E1302" s="54"/>
      <c r="F1302" s="54"/>
      <c r="G1302" s="141"/>
      <c r="H1302" s="141"/>
      <c r="I1302" s="54"/>
      <c r="J1302" s="54"/>
      <c r="K1302" s="63"/>
      <c r="L1302" s="54"/>
      <c r="M1302" s="54"/>
    </row>
    <row r="1303">
      <c r="A1303" s="54"/>
      <c r="B1303" s="140"/>
      <c r="C1303" s="140"/>
      <c r="D1303" s="54"/>
      <c r="E1303" s="54"/>
      <c r="F1303" s="54"/>
      <c r="G1303" s="141"/>
      <c r="H1303" s="141"/>
      <c r="I1303" s="54"/>
      <c r="J1303" s="54"/>
      <c r="K1303" s="63"/>
      <c r="L1303" s="54"/>
      <c r="M1303" s="54"/>
    </row>
    <row r="1304">
      <c r="A1304" s="54"/>
      <c r="B1304" s="140"/>
      <c r="C1304" s="140"/>
      <c r="D1304" s="54"/>
      <c r="E1304" s="54"/>
      <c r="F1304" s="54"/>
      <c r="G1304" s="141"/>
      <c r="H1304" s="141"/>
      <c r="I1304" s="54"/>
      <c r="J1304" s="54"/>
      <c r="K1304" s="63"/>
      <c r="L1304" s="54"/>
      <c r="M1304" s="54"/>
    </row>
    <row r="1305">
      <c r="A1305" s="54"/>
      <c r="B1305" s="140"/>
      <c r="C1305" s="140"/>
      <c r="D1305" s="54"/>
      <c r="E1305" s="54"/>
      <c r="F1305" s="54"/>
      <c r="G1305" s="141"/>
      <c r="H1305" s="141"/>
      <c r="I1305" s="54"/>
      <c r="J1305" s="54"/>
      <c r="K1305" s="63"/>
      <c r="L1305" s="54"/>
      <c r="M1305" s="54"/>
    </row>
    <row r="1306">
      <c r="A1306" s="54"/>
      <c r="B1306" s="140"/>
      <c r="C1306" s="140"/>
      <c r="D1306" s="54"/>
      <c r="E1306" s="54"/>
      <c r="F1306" s="54"/>
      <c r="G1306" s="141"/>
      <c r="H1306" s="141"/>
      <c r="I1306" s="54"/>
      <c r="J1306" s="54"/>
      <c r="K1306" s="63"/>
      <c r="L1306" s="54"/>
      <c r="M1306" s="54"/>
    </row>
    <row r="1307">
      <c r="A1307" s="54"/>
      <c r="B1307" s="140"/>
      <c r="C1307" s="140"/>
      <c r="D1307" s="54"/>
      <c r="E1307" s="54"/>
      <c r="F1307" s="54"/>
      <c r="G1307" s="141"/>
      <c r="H1307" s="141"/>
      <c r="I1307" s="54"/>
      <c r="J1307" s="54"/>
      <c r="K1307" s="63"/>
      <c r="L1307" s="54"/>
      <c r="M1307" s="54"/>
    </row>
    <row r="1308">
      <c r="A1308" s="54"/>
      <c r="B1308" s="140"/>
      <c r="C1308" s="140"/>
      <c r="D1308" s="54"/>
      <c r="E1308" s="54"/>
      <c r="F1308" s="54"/>
      <c r="G1308" s="141"/>
      <c r="H1308" s="141"/>
      <c r="I1308" s="54"/>
      <c r="J1308" s="54"/>
      <c r="K1308" s="63"/>
      <c r="L1308" s="54"/>
      <c r="M1308" s="54"/>
    </row>
    <row r="1309">
      <c r="A1309" s="54"/>
      <c r="B1309" s="140"/>
      <c r="C1309" s="140"/>
      <c r="D1309" s="54"/>
      <c r="E1309" s="54"/>
      <c r="F1309" s="54"/>
      <c r="G1309" s="141"/>
      <c r="H1309" s="141"/>
      <c r="I1309" s="54"/>
      <c r="J1309" s="54"/>
      <c r="K1309" s="63"/>
      <c r="L1309" s="54"/>
      <c r="M1309" s="54"/>
    </row>
    <row r="1310">
      <c r="A1310" s="54"/>
      <c r="B1310" s="140"/>
      <c r="C1310" s="140"/>
      <c r="D1310" s="54"/>
      <c r="E1310" s="54"/>
      <c r="F1310" s="54"/>
      <c r="G1310" s="141"/>
      <c r="H1310" s="141"/>
      <c r="I1310" s="54"/>
      <c r="J1310" s="54"/>
      <c r="K1310" s="63"/>
      <c r="L1310" s="54"/>
      <c r="M1310" s="54"/>
    </row>
    <row r="1311">
      <c r="A1311" s="54"/>
      <c r="B1311" s="140"/>
      <c r="C1311" s="140"/>
      <c r="D1311" s="54"/>
      <c r="E1311" s="54"/>
      <c r="F1311" s="54"/>
      <c r="G1311" s="141"/>
      <c r="H1311" s="141"/>
      <c r="I1311" s="54"/>
      <c r="J1311" s="54"/>
      <c r="K1311" s="63"/>
      <c r="L1311" s="54"/>
      <c r="M1311" s="54"/>
    </row>
    <row r="1312">
      <c r="A1312" s="54"/>
      <c r="B1312" s="140"/>
      <c r="C1312" s="140"/>
      <c r="D1312" s="54"/>
      <c r="E1312" s="54"/>
      <c r="F1312" s="54"/>
      <c r="G1312" s="141"/>
      <c r="H1312" s="141"/>
      <c r="I1312" s="54"/>
      <c r="J1312" s="54"/>
      <c r="K1312" s="63"/>
      <c r="L1312" s="54"/>
      <c r="M1312" s="54"/>
    </row>
    <row r="1313">
      <c r="A1313" s="54"/>
      <c r="B1313" s="140"/>
      <c r="C1313" s="140"/>
      <c r="D1313" s="54"/>
      <c r="E1313" s="54"/>
      <c r="F1313" s="54"/>
      <c r="G1313" s="141"/>
      <c r="H1313" s="141"/>
      <c r="I1313" s="54"/>
      <c r="J1313" s="54"/>
      <c r="K1313" s="63"/>
      <c r="L1313" s="54"/>
      <c r="M1313" s="54"/>
    </row>
    <row r="1314">
      <c r="A1314" s="54"/>
      <c r="B1314" s="140"/>
      <c r="C1314" s="140"/>
      <c r="D1314" s="54"/>
      <c r="E1314" s="54"/>
      <c r="F1314" s="54"/>
      <c r="G1314" s="141"/>
      <c r="H1314" s="141"/>
      <c r="I1314" s="54"/>
      <c r="J1314" s="54"/>
      <c r="K1314" s="63"/>
      <c r="L1314" s="54"/>
      <c r="M1314" s="54"/>
    </row>
    <row r="1315">
      <c r="A1315" s="54"/>
      <c r="B1315" s="140"/>
      <c r="C1315" s="140"/>
      <c r="D1315" s="54"/>
      <c r="E1315" s="54"/>
      <c r="F1315" s="54"/>
      <c r="G1315" s="141"/>
      <c r="H1315" s="141"/>
      <c r="I1315" s="54"/>
      <c r="J1315" s="54"/>
      <c r="K1315" s="63"/>
      <c r="L1315" s="54"/>
      <c r="M1315" s="54"/>
    </row>
    <row r="1316">
      <c r="A1316" s="54"/>
      <c r="B1316" s="140"/>
      <c r="C1316" s="140"/>
      <c r="D1316" s="54"/>
      <c r="E1316" s="54"/>
      <c r="F1316" s="54"/>
      <c r="G1316" s="141"/>
      <c r="H1316" s="141"/>
      <c r="I1316" s="54"/>
      <c r="J1316" s="54"/>
      <c r="K1316" s="63"/>
      <c r="L1316" s="54"/>
      <c r="M1316" s="54"/>
    </row>
    <row r="1317">
      <c r="A1317" s="54"/>
      <c r="B1317" s="140"/>
      <c r="C1317" s="140"/>
      <c r="D1317" s="54"/>
      <c r="E1317" s="54"/>
      <c r="F1317" s="54"/>
      <c r="G1317" s="141"/>
      <c r="H1317" s="141"/>
      <c r="I1317" s="54"/>
      <c r="J1317" s="54"/>
      <c r="K1317" s="63"/>
      <c r="L1317" s="54"/>
      <c r="M1317" s="54"/>
    </row>
    <row r="1318">
      <c r="A1318" s="54"/>
      <c r="B1318" s="140"/>
      <c r="C1318" s="140"/>
      <c r="D1318" s="54"/>
      <c r="E1318" s="54"/>
      <c r="F1318" s="54"/>
      <c r="G1318" s="141"/>
      <c r="H1318" s="141"/>
      <c r="I1318" s="54"/>
      <c r="J1318" s="54"/>
      <c r="K1318" s="63"/>
      <c r="L1318" s="54"/>
      <c r="M1318" s="54"/>
    </row>
    <row r="1319">
      <c r="A1319" s="54"/>
      <c r="B1319" s="140"/>
      <c r="C1319" s="140"/>
      <c r="D1319" s="54"/>
      <c r="E1319" s="54"/>
      <c r="F1319" s="54"/>
      <c r="G1319" s="141"/>
      <c r="H1319" s="141"/>
      <c r="I1319" s="54"/>
      <c r="J1319" s="54"/>
      <c r="K1319" s="63"/>
      <c r="L1319" s="54"/>
      <c r="M1319" s="54"/>
    </row>
    <row r="1320">
      <c r="A1320" s="54"/>
      <c r="B1320" s="140"/>
      <c r="C1320" s="140"/>
      <c r="D1320" s="54"/>
      <c r="E1320" s="54"/>
      <c r="F1320" s="54"/>
      <c r="G1320" s="141"/>
      <c r="H1320" s="141"/>
      <c r="I1320" s="54"/>
      <c r="J1320" s="54"/>
      <c r="K1320" s="63"/>
      <c r="L1320" s="54"/>
      <c r="M1320" s="54"/>
    </row>
    <row r="1321">
      <c r="A1321" s="54"/>
      <c r="B1321" s="140"/>
      <c r="C1321" s="140"/>
      <c r="D1321" s="54"/>
      <c r="E1321" s="54"/>
      <c r="F1321" s="54"/>
      <c r="G1321" s="141"/>
      <c r="H1321" s="141"/>
      <c r="I1321" s="54"/>
      <c r="J1321" s="54"/>
      <c r="K1321" s="63"/>
      <c r="L1321" s="54"/>
      <c r="M1321" s="54"/>
    </row>
    <row r="1322">
      <c r="A1322" s="54"/>
      <c r="B1322" s="140"/>
      <c r="C1322" s="140"/>
      <c r="D1322" s="54"/>
      <c r="E1322" s="54"/>
      <c r="F1322" s="54"/>
      <c r="G1322" s="141"/>
      <c r="H1322" s="141"/>
      <c r="I1322" s="54"/>
      <c r="J1322" s="54"/>
      <c r="K1322" s="63"/>
      <c r="L1322" s="54"/>
      <c r="M1322" s="54"/>
    </row>
    <row r="1323">
      <c r="A1323" s="54"/>
      <c r="B1323" s="140"/>
      <c r="C1323" s="140"/>
      <c r="D1323" s="54"/>
      <c r="E1323" s="54"/>
      <c r="F1323" s="54"/>
      <c r="G1323" s="141"/>
      <c r="H1323" s="141"/>
      <c r="I1323" s="54"/>
      <c r="J1323" s="54"/>
      <c r="K1323" s="63"/>
      <c r="L1323" s="54"/>
      <c r="M1323" s="54"/>
    </row>
    <row r="1324">
      <c r="A1324" s="54"/>
      <c r="B1324" s="140"/>
      <c r="C1324" s="140"/>
      <c r="D1324" s="54"/>
      <c r="E1324" s="54"/>
      <c r="F1324" s="54"/>
      <c r="G1324" s="141"/>
      <c r="H1324" s="141"/>
      <c r="I1324" s="54"/>
      <c r="J1324" s="54"/>
      <c r="K1324" s="63"/>
      <c r="L1324" s="54"/>
      <c r="M1324" s="54"/>
    </row>
    <row r="1325">
      <c r="A1325" s="54"/>
      <c r="B1325" s="140"/>
      <c r="C1325" s="140"/>
      <c r="D1325" s="54"/>
      <c r="E1325" s="54"/>
      <c r="F1325" s="54"/>
      <c r="G1325" s="141"/>
      <c r="H1325" s="141"/>
      <c r="I1325" s="54"/>
      <c r="J1325" s="54"/>
      <c r="K1325" s="63"/>
      <c r="L1325" s="54"/>
      <c r="M1325" s="54"/>
    </row>
    <row r="1326">
      <c r="A1326" s="54"/>
      <c r="B1326" s="140"/>
      <c r="C1326" s="140"/>
      <c r="D1326" s="54"/>
      <c r="E1326" s="54"/>
      <c r="F1326" s="54"/>
      <c r="G1326" s="141"/>
      <c r="H1326" s="141"/>
      <c r="I1326" s="54"/>
      <c r="J1326" s="54"/>
      <c r="K1326" s="63"/>
      <c r="L1326" s="54"/>
      <c r="M1326" s="54"/>
    </row>
    <row r="1327">
      <c r="A1327" s="54"/>
      <c r="B1327" s="140"/>
      <c r="C1327" s="140"/>
      <c r="D1327" s="54"/>
      <c r="E1327" s="54"/>
      <c r="F1327" s="54"/>
      <c r="G1327" s="141"/>
      <c r="H1327" s="141"/>
      <c r="I1327" s="54"/>
      <c r="J1327" s="54"/>
      <c r="K1327" s="63"/>
      <c r="L1327" s="54"/>
      <c r="M1327" s="54"/>
    </row>
    <row r="1328">
      <c r="A1328" s="54"/>
      <c r="B1328" s="140"/>
      <c r="C1328" s="140"/>
      <c r="D1328" s="54"/>
      <c r="E1328" s="54"/>
      <c r="F1328" s="54"/>
      <c r="G1328" s="141"/>
      <c r="H1328" s="141"/>
      <c r="I1328" s="54"/>
      <c r="J1328" s="54"/>
      <c r="K1328" s="63"/>
      <c r="L1328" s="54"/>
      <c r="M1328" s="54"/>
    </row>
    <row r="1329">
      <c r="A1329" s="54"/>
      <c r="B1329" s="140"/>
      <c r="C1329" s="140"/>
      <c r="D1329" s="54"/>
      <c r="E1329" s="54"/>
      <c r="F1329" s="54"/>
      <c r="G1329" s="141"/>
      <c r="H1329" s="141"/>
      <c r="I1329" s="54"/>
      <c r="J1329" s="54"/>
      <c r="K1329" s="63"/>
      <c r="L1329" s="54"/>
      <c r="M1329" s="54"/>
    </row>
    <row r="1330">
      <c r="A1330" s="54"/>
      <c r="B1330" s="140"/>
      <c r="C1330" s="140"/>
      <c r="D1330" s="54"/>
      <c r="E1330" s="54"/>
      <c r="F1330" s="54"/>
      <c r="G1330" s="141"/>
      <c r="H1330" s="141"/>
      <c r="I1330" s="54"/>
      <c r="J1330" s="54"/>
      <c r="K1330" s="63"/>
      <c r="L1330" s="54"/>
      <c r="M1330" s="54"/>
    </row>
    <row r="1331">
      <c r="A1331" s="54"/>
      <c r="B1331" s="140"/>
      <c r="C1331" s="140"/>
      <c r="D1331" s="54"/>
      <c r="E1331" s="54"/>
      <c r="F1331" s="54"/>
      <c r="G1331" s="141"/>
      <c r="H1331" s="141"/>
      <c r="I1331" s="54"/>
      <c r="J1331" s="54"/>
      <c r="K1331" s="63"/>
      <c r="L1331" s="54"/>
      <c r="M1331" s="54"/>
    </row>
    <row r="1332">
      <c r="A1332" s="54"/>
      <c r="B1332" s="140"/>
      <c r="C1332" s="140"/>
      <c r="D1332" s="54"/>
      <c r="E1332" s="54"/>
      <c r="F1332" s="54"/>
      <c r="G1332" s="141"/>
      <c r="H1332" s="141"/>
      <c r="I1332" s="54"/>
      <c r="J1332" s="54"/>
      <c r="K1332" s="63"/>
      <c r="L1332" s="54"/>
      <c r="M1332" s="54"/>
    </row>
    <row r="1333">
      <c r="A1333" s="54"/>
      <c r="B1333" s="140"/>
      <c r="C1333" s="140"/>
      <c r="D1333" s="54"/>
      <c r="E1333" s="54"/>
      <c r="F1333" s="54"/>
      <c r="G1333" s="141"/>
      <c r="H1333" s="141"/>
      <c r="I1333" s="54"/>
      <c r="J1333" s="54"/>
      <c r="K1333" s="63"/>
      <c r="L1333" s="54"/>
      <c r="M1333" s="54"/>
    </row>
    <row r="1334">
      <c r="A1334" s="54"/>
      <c r="B1334" s="140"/>
      <c r="C1334" s="140"/>
      <c r="D1334" s="54"/>
      <c r="E1334" s="54"/>
      <c r="F1334" s="54"/>
      <c r="G1334" s="141"/>
      <c r="H1334" s="141"/>
      <c r="I1334" s="54"/>
      <c r="J1334" s="54"/>
      <c r="K1334" s="63"/>
      <c r="L1334" s="54"/>
      <c r="M1334" s="54"/>
    </row>
    <row r="1335">
      <c r="A1335" s="54"/>
      <c r="B1335" s="140"/>
      <c r="C1335" s="140"/>
      <c r="D1335" s="54"/>
      <c r="E1335" s="54"/>
      <c r="F1335" s="54"/>
      <c r="G1335" s="141"/>
      <c r="H1335" s="141"/>
      <c r="I1335" s="54"/>
      <c r="J1335" s="54"/>
      <c r="K1335" s="63"/>
      <c r="L1335" s="54"/>
      <c r="M1335" s="54"/>
    </row>
    <row r="1336">
      <c r="A1336" s="54"/>
      <c r="B1336" s="140"/>
      <c r="C1336" s="140"/>
      <c r="D1336" s="54"/>
      <c r="E1336" s="54"/>
      <c r="F1336" s="54"/>
      <c r="G1336" s="141"/>
      <c r="H1336" s="141"/>
      <c r="I1336" s="54"/>
      <c r="J1336" s="54"/>
      <c r="K1336" s="63"/>
      <c r="L1336" s="54"/>
      <c r="M1336" s="54"/>
    </row>
    <row r="1337">
      <c r="A1337" s="54"/>
      <c r="B1337" s="140"/>
      <c r="C1337" s="140"/>
      <c r="D1337" s="54"/>
      <c r="E1337" s="54"/>
      <c r="F1337" s="54"/>
      <c r="G1337" s="141"/>
      <c r="H1337" s="141"/>
      <c r="I1337" s="54"/>
      <c r="J1337" s="54"/>
      <c r="K1337" s="63"/>
      <c r="L1337" s="54"/>
      <c r="M1337" s="54"/>
    </row>
    <row r="1338">
      <c r="A1338" s="54"/>
      <c r="B1338" s="140"/>
      <c r="C1338" s="140"/>
      <c r="D1338" s="54"/>
      <c r="E1338" s="54"/>
      <c r="F1338" s="54"/>
      <c r="G1338" s="141"/>
      <c r="H1338" s="141"/>
      <c r="I1338" s="54"/>
      <c r="J1338" s="54"/>
      <c r="K1338" s="63"/>
      <c r="L1338" s="54"/>
      <c r="M1338" s="54"/>
    </row>
    <row r="1339">
      <c r="A1339" s="54"/>
      <c r="B1339" s="140"/>
      <c r="C1339" s="140"/>
      <c r="D1339" s="54"/>
      <c r="E1339" s="54"/>
      <c r="F1339" s="54"/>
      <c r="G1339" s="141"/>
      <c r="H1339" s="141"/>
      <c r="I1339" s="54"/>
      <c r="J1339" s="54"/>
      <c r="K1339" s="63"/>
      <c r="L1339" s="54"/>
      <c r="M1339" s="54"/>
    </row>
    <row r="1340">
      <c r="A1340" s="54"/>
      <c r="B1340" s="140"/>
      <c r="C1340" s="140"/>
      <c r="D1340" s="54"/>
      <c r="E1340" s="54"/>
      <c r="F1340" s="54"/>
      <c r="G1340" s="141"/>
      <c r="H1340" s="141"/>
      <c r="I1340" s="54"/>
      <c r="J1340" s="54"/>
      <c r="K1340" s="63"/>
      <c r="L1340" s="54"/>
      <c r="M1340" s="54"/>
    </row>
    <row r="1341">
      <c r="A1341" s="54"/>
      <c r="B1341" s="140"/>
      <c r="C1341" s="140"/>
      <c r="D1341" s="54"/>
      <c r="E1341" s="54"/>
      <c r="F1341" s="54"/>
      <c r="G1341" s="141"/>
      <c r="H1341" s="141"/>
      <c r="I1341" s="54"/>
      <c r="J1341" s="54"/>
      <c r="K1341" s="63"/>
      <c r="L1341" s="54"/>
      <c r="M1341" s="54"/>
    </row>
    <row r="1342">
      <c r="A1342" s="54"/>
      <c r="B1342" s="140"/>
      <c r="C1342" s="140"/>
      <c r="D1342" s="54"/>
      <c r="E1342" s="54"/>
      <c r="F1342" s="54"/>
      <c r="G1342" s="141"/>
      <c r="H1342" s="141"/>
      <c r="I1342" s="54"/>
      <c r="J1342" s="54"/>
      <c r="K1342" s="63"/>
      <c r="L1342" s="54"/>
      <c r="M1342" s="54"/>
    </row>
    <row r="1343">
      <c r="A1343" s="54"/>
      <c r="B1343" s="140"/>
      <c r="C1343" s="140"/>
      <c r="D1343" s="54"/>
      <c r="E1343" s="54"/>
      <c r="F1343" s="54"/>
      <c r="G1343" s="141"/>
      <c r="H1343" s="141"/>
      <c r="I1343" s="54"/>
      <c r="J1343" s="54"/>
      <c r="K1343" s="63"/>
      <c r="L1343" s="54"/>
      <c r="M1343" s="54"/>
    </row>
    <row r="1344">
      <c r="A1344" s="54"/>
      <c r="B1344" s="140"/>
      <c r="C1344" s="140"/>
      <c r="D1344" s="54"/>
      <c r="E1344" s="54"/>
      <c r="F1344" s="54"/>
      <c r="G1344" s="141"/>
      <c r="H1344" s="141"/>
      <c r="I1344" s="54"/>
      <c r="J1344" s="54"/>
      <c r="K1344" s="63"/>
      <c r="L1344" s="54"/>
      <c r="M1344" s="54"/>
    </row>
    <row r="1345">
      <c r="A1345" s="54"/>
      <c r="B1345" s="140"/>
      <c r="C1345" s="140"/>
      <c r="D1345" s="54"/>
      <c r="E1345" s="54"/>
      <c r="F1345" s="54"/>
      <c r="G1345" s="141"/>
      <c r="H1345" s="141"/>
      <c r="I1345" s="54"/>
      <c r="J1345" s="54"/>
      <c r="K1345" s="63"/>
      <c r="L1345" s="54"/>
      <c r="M1345" s="54"/>
    </row>
    <row r="1346">
      <c r="A1346" s="54"/>
      <c r="B1346" s="140"/>
      <c r="C1346" s="140"/>
      <c r="D1346" s="54"/>
      <c r="E1346" s="54"/>
      <c r="F1346" s="54"/>
      <c r="G1346" s="141"/>
      <c r="H1346" s="141"/>
      <c r="I1346" s="54"/>
      <c r="J1346" s="54"/>
      <c r="K1346" s="63"/>
      <c r="L1346" s="54"/>
      <c r="M1346" s="54"/>
    </row>
    <row r="1347">
      <c r="A1347" s="54"/>
      <c r="B1347" s="140"/>
      <c r="C1347" s="140"/>
      <c r="D1347" s="54"/>
      <c r="E1347" s="54"/>
      <c r="F1347" s="54"/>
      <c r="G1347" s="141"/>
      <c r="H1347" s="141"/>
      <c r="I1347" s="54"/>
      <c r="J1347" s="54"/>
      <c r="K1347" s="63"/>
      <c r="L1347" s="54"/>
      <c r="M1347" s="54"/>
    </row>
    <row r="1348">
      <c r="A1348" s="54"/>
      <c r="B1348" s="140"/>
      <c r="C1348" s="140"/>
      <c r="D1348" s="54"/>
      <c r="E1348" s="54"/>
      <c r="F1348" s="54"/>
      <c r="G1348" s="141"/>
      <c r="H1348" s="141"/>
      <c r="I1348" s="54"/>
      <c r="J1348" s="54"/>
      <c r="K1348" s="63"/>
      <c r="L1348" s="54"/>
      <c r="M1348" s="54"/>
    </row>
    <row r="1349">
      <c r="A1349" s="54"/>
      <c r="B1349" s="140"/>
      <c r="C1349" s="140"/>
      <c r="D1349" s="54"/>
      <c r="E1349" s="54"/>
      <c r="F1349" s="54"/>
      <c r="G1349" s="141"/>
      <c r="H1349" s="141"/>
      <c r="I1349" s="54"/>
      <c r="J1349" s="54"/>
      <c r="K1349" s="63"/>
      <c r="L1349" s="54"/>
      <c r="M1349" s="54"/>
    </row>
    <row r="1350">
      <c r="A1350" s="54"/>
      <c r="B1350" s="140"/>
      <c r="C1350" s="140"/>
      <c r="D1350" s="54"/>
      <c r="E1350" s="54"/>
      <c r="F1350" s="54"/>
      <c r="G1350" s="141"/>
      <c r="H1350" s="141"/>
      <c r="I1350" s="54"/>
      <c r="J1350" s="54"/>
      <c r="K1350" s="63"/>
      <c r="L1350" s="54"/>
      <c r="M1350" s="54"/>
    </row>
    <row r="1351">
      <c r="A1351" s="54"/>
      <c r="B1351" s="140"/>
      <c r="C1351" s="140"/>
      <c r="D1351" s="54"/>
      <c r="E1351" s="54"/>
      <c r="F1351" s="54"/>
      <c r="G1351" s="141"/>
      <c r="H1351" s="141"/>
      <c r="I1351" s="54"/>
      <c r="J1351" s="54"/>
      <c r="K1351" s="63"/>
      <c r="L1351" s="54"/>
      <c r="M1351" s="54"/>
    </row>
    <row r="1352">
      <c r="A1352" s="54"/>
      <c r="B1352" s="140"/>
      <c r="C1352" s="140"/>
      <c r="D1352" s="54"/>
      <c r="E1352" s="54"/>
      <c r="F1352" s="54"/>
      <c r="G1352" s="141"/>
      <c r="H1352" s="141"/>
      <c r="I1352" s="54"/>
      <c r="J1352" s="54"/>
      <c r="K1352" s="63"/>
      <c r="L1352" s="54"/>
      <c r="M1352" s="54"/>
    </row>
    <row r="1353">
      <c r="A1353" s="54"/>
      <c r="B1353" s="140"/>
      <c r="C1353" s="140"/>
      <c r="D1353" s="54"/>
      <c r="E1353" s="54"/>
      <c r="F1353" s="54"/>
      <c r="G1353" s="141"/>
      <c r="H1353" s="141"/>
      <c r="I1353" s="54"/>
      <c r="J1353" s="54"/>
      <c r="K1353" s="63"/>
      <c r="L1353" s="54"/>
      <c r="M1353" s="54"/>
    </row>
    <row r="1354">
      <c r="A1354" s="54"/>
      <c r="B1354" s="140"/>
      <c r="C1354" s="140"/>
      <c r="D1354" s="54"/>
      <c r="E1354" s="54"/>
      <c r="F1354" s="54"/>
      <c r="G1354" s="141"/>
      <c r="H1354" s="141"/>
      <c r="I1354" s="54"/>
      <c r="J1354" s="54"/>
      <c r="K1354" s="63"/>
      <c r="L1354" s="54"/>
      <c r="M1354" s="54"/>
    </row>
    <row r="1355">
      <c r="A1355" s="54"/>
      <c r="B1355" s="140"/>
      <c r="C1355" s="140"/>
      <c r="D1355" s="54"/>
      <c r="E1355" s="54"/>
      <c r="F1355" s="54"/>
      <c r="G1355" s="141"/>
      <c r="H1355" s="141"/>
      <c r="I1355" s="54"/>
      <c r="J1355" s="54"/>
      <c r="K1355" s="63"/>
      <c r="L1355" s="54"/>
      <c r="M1355" s="54"/>
    </row>
    <row r="1356">
      <c r="A1356" s="54"/>
      <c r="B1356" s="140"/>
      <c r="C1356" s="140"/>
      <c r="D1356" s="54"/>
      <c r="E1356" s="54"/>
      <c r="F1356" s="54"/>
      <c r="G1356" s="141"/>
      <c r="H1356" s="141"/>
      <c r="I1356" s="54"/>
      <c r="J1356" s="54"/>
      <c r="K1356" s="63"/>
      <c r="L1356" s="54"/>
      <c r="M1356" s="54"/>
    </row>
    <row r="1357">
      <c r="A1357" s="54"/>
      <c r="B1357" s="140"/>
      <c r="C1357" s="140"/>
      <c r="D1357" s="54"/>
      <c r="E1357" s="54"/>
      <c r="F1357" s="54"/>
      <c r="G1357" s="141"/>
      <c r="H1357" s="141"/>
      <c r="I1357" s="54"/>
      <c r="J1357" s="54"/>
      <c r="K1357" s="63"/>
      <c r="L1357" s="54"/>
      <c r="M1357" s="54"/>
    </row>
    <row r="1358">
      <c r="A1358" s="54"/>
      <c r="B1358" s="140"/>
      <c r="C1358" s="140"/>
      <c r="D1358" s="54"/>
      <c r="E1358" s="54"/>
      <c r="F1358" s="54"/>
      <c r="G1358" s="141"/>
      <c r="H1358" s="141"/>
      <c r="I1358" s="54"/>
      <c r="J1358" s="54"/>
      <c r="K1358" s="63"/>
      <c r="L1358" s="54"/>
      <c r="M1358" s="54"/>
    </row>
    <row r="1359">
      <c r="A1359" s="54"/>
      <c r="B1359" s="140"/>
      <c r="C1359" s="140"/>
      <c r="D1359" s="54"/>
      <c r="E1359" s="54"/>
      <c r="F1359" s="54"/>
      <c r="G1359" s="141"/>
      <c r="H1359" s="141"/>
      <c r="I1359" s="54"/>
      <c r="J1359" s="54"/>
      <c r="K1359" s="63"/>
      <c r="L1359" s="54"/>
      <c r="M1359" s="54"/>
    </row>
    <row r="1360">
      <c r="A1360" s="54"/>
      <c r="B1360" s="140"/>
      <c r="C1360" s="140"/>
      <c r="D1360" s="54"/>
      <c r="E1360" s="54"/>
      <c r="F1360" s="54"/>
      <c r="G1360" s="141"/>
      <c r="H1360" s="141"/>
      <c r="I1360" s="54"/>
      <c r="J1360" s="54"/>
      <c r="K1360" s="63"/>
      <c r="L1360" s="54"/>
      <c r="M1360" s="54"/>
    </row>
    <row r="1361">
      <c r="A1361" s="54"/>
      <c r="B1361" s="140"/>
      <c r="C1361" s="140"/>
      <c r="D1361" s="54"/>
      <c r="E1361" s="54"/>
      <c r="F1361" s="54"/>
      <c r="G1361" s="141"/>
      <c r="H1361" s="141"/>
      <c r="I1361" s="54"/>
      <c r="J1361" s="54"/>
      <c r="K1361" s="63"/>
      <c r="L1361" s="54"/>
      <c r="M1361" s="54"/>
    </row>
    <row r="1362">
      <c r="A1362" s="54"/>
      <c r="B1362" s="140"/>
      <c r="C1362" s="140"/>
      <c r="D1362" s="54"/>
      <c r="E1362" s="54"/>
      <c r="F1362" s="54"/>
      <c r="G1362" s="141"/>
      <c r="H1362" s="141"/>
      <c r="I1362" s="54"/>
      <c r="J1362" s="54"/>
      <c r="K1362" s="63"/>
      <c r="L1362" s="54"/>
      <c r="M1362" s="54"/>
    </row>
    <row r="1363">
      <c r="A1363" s="54"/>
      <c r="B1363" s="140"/>
      <c r="C1363" s="140"/>
      <c r="D1363" s="54"/>
      <c r="E1363" s="54"/>
      <c r="F1363" s="54"/>
      <c r="G1363" s="141"/>
      <c r="H1363" s="141"/>
      <c r="I1363" s="54"/>
      <c r="J1363" s="54"/>
      <c r="K1363" s="63"/>
      <c r="L1363" s="54"/>
      <c r="M1363" s="54"/>
    </row>
    <row r="1364">
      <c r="A1364" s="54"/>
      <c r="B1364" s="140"/>
      <c r="C1364" s="140"/>
      <c r="D1364" s="54"/>
      <c r="E1364" s="54"/>
      <c r="F1364" s="54"/>
      <c r="G1364" s="141"/>
      <c r="H1364" s="141"/>
      <c r="I1364" s="54"/>
      <c r="J1364" s="54"/>
      <c r="K1364" s="63"/>
      <c r="L1364" s="54"/>
      <c r="M1364" s="54"/>
    </row>
    <row r="1365">
      <c r="A1365" s="54"/>
      <c r="B1365" s="140"/>
      <c r="C1365" s="140"/>
      <c r="D1365" s="54"/>
      <c r="E1365" s="54"/>
      <c r="F1365" s="54"/>
      <c r="G1365" s="141"/>
      <c r="H1365" s="141"/>
      <c r="I1365" s="54"/>
      <c r="J1365" s="54"/>
      <c r="K1365" s="63"/>
      <c r="L1365" s="54"/>
      <c r="M1365" s="54"/>
    </row>
    <row r="1366">
      <c r="A1366" s="54"/>
      <c r="B1366" s="140"/>
      <c r="C1366" s="140"/>
      <c r="D1366" s="54"/>
      <c r="E1366" s="54"/>
      <c r="F1366" s="54"/>
      <c r="G1366" s="141"/>
      <c r="H1366" s="141"/>
      <c r="I1366" s="54"/>
      <c r="J1366" s="54"/>
      <c r="K1366" s="63"/>
      <c r="L1366" s="54"/>
      <c r="M1366" s="54"/>
    </row>
    <row r="1367">
      <c r="A1367" s="54"/>
      <c r="B1367" s="140"/>
      <c r="C1367" s="140"/>
      <c r="D1367" s="54"/>
      <c r="E1367" s="54"/>
      <c r="F1367" s="54"/>
      <c r="G1367" s="141"/>
      <c r="H1367" s="141"/>
      <c r="I1367" s="54"/>
      <c r="J1367" s="54"/>
      <c r="K1367" s="63"/>
      <c r="L1367" s="54"/>
      <c r="M1367" s="54"/>
    </row>
    <row r="1368">
      <c r="A1368" s="54"/>
      <c r="B1368" s="140"/>
      <c r="C1368" s="140"/>
      <c r="D1368" s="54"/>
      <c r="E1368" s="54"/>
      <c r="F1368" s="54"/>
      <c r="G1368" s="141"/>
      <c r="H1368" s="141"/>
      <c r="I1368" s="54"/>
      <c r="J1368" s="54"/>
      <c r="K1368" s="63"/>
      <c r="L1368" s="54"/>
      <c r="M1368" s="54"/>
    </row>
    <row r="1369">
      <c r="A1369" s="54"/>
      <c r="B1369" s="140"/>
      <c r="C1369" s="140"/>
      <c r="D1369" s="54"/>
      <c r="E1369" s="54"/>
      <c r="F1369" s="54"/>
      <c r="G1369" s="141"/>
      <c r="H1369" s="141"/>
      <c r="I1369" s="54"/>
      <c r="J1369" s="54"/>
      <c r="K1369" s="63"/>
      <c r="L1369" s="54"/>
      <c r="M1369" s="54"/>
    </row>
    <row r="1370">
      <c r="A1370" s="54"/>
      <c r="B1370" s="140"/>
      <c r="C1370" s="140"/>
      <c r="D1370" s="54"/>
      <c r="E1370" s="54"/>
      <c r="F1370" s="54"/>
      <c r="G1370" s="141"/>
      <c r="H1370" s="141"/>
      <c r="I1370" s="54"/>
      <c r="J1370" s="54"/>
      <c r="K1370" s="63"/>
      <c r="L1370" s="54"/>
      <c r="M1370" s="54"/>
    </row>
    <row r="1371">
      <c r="A1371" s="54"/>
      <c r="B1371" s="140"/>
      <c r="C1371" s="140"/>
      <c r="D1371" s="54"/>
      <c r="E1371" s="54"/>
      <c r="F1371" s="54"/>
      <c r="G1371" s="141"/>
      <c r="H1371" s="141"/>
      <c r="I1371" s="54"/>
      <c r="J1371" s="54"/>
      <c r="K1371" s="63"/>
      <c r="L1371" s="54"/>
      <c r="M1371" s="54"/>
    </row>
    <row r="1372">
      <c r="A1372" s="54"/>
      <c r="B1372" s="140"/>
      <c r="C1372" s="140"/>
      <c r="D1372" s="54"/>
      <c r="E1372" s="54"/>
      <c r="F1372" s="54"/>
      <c r="G1372" s="141"/>
      <c r="H1372" s="141"/>
      <c r="I1372" s="54"/>
      <c r="J1372" s="54"/>
      <c r="K1372" s="63"/>
      <c r="L1372" s="54"/>
      <c r="M1372" s="54"/>
    </row>
    <row r="1373">
      <c r="A1373" s="54"/>
      <c r="B1373" s="140"/>
      <c r="C1373" s="140"/>
      <c r="D1373" s="54"/>
      <c r="E1373" s="54"/>
      <c r="F1373" s="54"/>
      <c r="G1373" s="141"/>
      <c r="H1373" s="141"/>
      <c r="I1373" s="54"/>
      <c r="J1373" s="54"/>
      <c r="K1373" s="63"/>
      <c r="L1373" s="54"/>
      <c r="M1373" s="54"/>
    </row>
    <row r="1374">
      <c r="A1374" s="54"/>
      <c r="B1374" s="140"/>
      <c r="C1374" s="140"/>
      <c r="D1374" s="54"/>
      <c r="E1374" s="54"/>
      <c r="F1374" s="54"/>
      <c r="G1374" s="141"/>
      <c r="H1374" s="141"/>
      <c r="I1374" s="54"/>
      <c r="J1374" s="54"/>
      <c r="K1374" s="63"/>
      <c r="L1374" s="54"/>
      <c r="M1374" s="54"/>
    </row>
    <row r="1375">
      <c r="A1375" s="54"/>
      <c r="B1375" s="140"/>
      <c r="C1375" s="140"/>
      <c r="D1375" s="54"/>
      <c r="E1375" s="54"/>
      <c r="F1375" s="54"/>
      <c r="G1375" s="141"/>
      <c r="H1375" s="141"/>
      <c r="I1375" s="54"/>
      <c r="J1375" s="54"/>
      <c r="K1375" s="63"/>
      <c r="L1375" s="54"/>
      <c r="M1375" s="54"/>
    </row>
    <row r="1376">
      <c r="A1376" s="54"/>
      <c r="B1376" s="140"/>
      <c r="C1376" s="140"/>
      <c r="D1376" s="54"/>
      <c r="E1376" s="54"/>
      <c r="F1376" s="54"/>
      <c r="G1376" s="141"/>
      <c r="H1376" s="141"/>
      <c r="I1376" s="54"/>
      <c r="J1376" s="54"/>
      <c r="K1376" s="63"/>
      <c r="L1376" s="54"/>
      <c r="M1376" s="54"/>
    </row>
    <row r="1377">
      <c r="A1377" s="54"/>
      <c r="B1377" s="140"/>
      <c r="C1377" s="140"/>
      <c r="D1377" s="54"/>
      <c r="E1377" s="54"/>
      <c r="F1377" s="54"/>
      <c r="G1377" s="141"/>
      <c r="H1377" s="141"/>
      <c r="I1377" s="54"/>
      <c r="J1377" s="54"/>
      <c r="K1377" s="63"/>
      <c r="L1377" s="54"/>
      <c r="M1377" s="54"/>
    </row>
    <row r="1378">
      <c r="A1378" s="54"/>
      <c r="B1378" s="140"/>
      <c r="C1378" s="140"/>
      <c r="D1378" s="54"/>
      <c r="E1378" s="54"/>
      <c r="F1378" s="54"/>
      <c r="G1378" s="141"/>
      <c r="H1378" s="141"/>
      <c r="I1378" s="54"/>
      <c r="J1378" s="54"/>
      <c r="K1378" s="63"/>
      <c r="L1378" s="54"/>
      <c r="M1378" s="54"/>
    </row>
    <row r="1379">
      <c r="A1379" s="54"/>
      <c r="B1379" s="140"/>
      <c r="C1379" s="140"/>
      <c r="D1379" s="54"/>
      <c r="E1379" s="54"/>
      <c r="F1379" s="54"/>
      <c r="G1379" s="141"/>
      <c r="H1379" s="141"/>
      <c r="I1379" s="54"/>
      <c r="J1379" s="54"/>
      <c r="K1379" s="63"/>
      <c r="L1379" s="54"/>
      <c r="M1379" s="54"/>
    </row>
    <row r="1380">
      <c r="A1380" s="54"/>
      <c r="B1380" s="140"/>
      <c r="C1380" s="140"/>
      <c r="D1380" s="54"/>
      <c r="E1380" s="54"/>
      <c r="F1380" s="54"/>
      <c r="G1380" s="141"/>
      <c r="H1380" s="141"/>
      <c r="I1380" s="54"/>
      <c r="J1380" s="54"/>
      <c r="K1380" s="63"/>
      <c r="L1380" s="54"/>
      <c r="M1380" s="54"/>
    </row>
    <row r="1381">
      <c r="A1381" s="54"/>
      <c r="B1381" s="140"/>
      <c r="C1381" s="140"/>
      <c r="D1381" s="54"/>
      <c r="E1381" s="54"/>
      <c r="F1381" s="54"/>
      <c r="G1381" s="141"/>
      <c r="H1381" s="141"/>
      <c r="I1381" s="54"/>
      <c r="J1381" s="54"/>
      <c r="K1381" s="63"/>
      <c r="L1381" s="54"/>
      <c r="M1381" s="54"/>
    </row>
    <row r="1382">
      <c r="A1382" s="54"/>
      <c r="B1382" s="140"/>
      <c r="C1382" s="140"/>
      <c r="D1382" s="54"/>
      <c r="E1382" s="54"/>
      <c r="F1382" s="54"/>
      <c r="G1382" s="141"/>
      <c r="H1382" s="141"/>
      <c r="I1382" s="54"/>
      <c r="J1382" s="54"/>
      <c r="K1382" s="63"/>
      <c r="L1382" s="54"/>
      <c r="M1382" s="54"/>
    </row>
    <row r="1383">
      <c r="A1383" s="54"/>
      <c r="B1383" s="140"/>
      <c r="C1383" s="140"/>
      <c r="D1383" s="54"/>
      <c r="E1383" s="54"/>
      <c r="F1383" s="54"/>
      <c r="G1383" s="141"/>
      <c r="H1383" s="141"/>
      <c r="I1383" s="54"/>
      <c r="J1383" s="54"/>
      <c r="K1383" s="63"/>
      <c r="L1383" s="54"/>
      <c r="M1383" s="54"/>
    </row>
    <row r="1384">
      <c r="A1384" s="54"/>
      <c r="B1384" s="140"/>
      <c r="C1384" s="140"/>
      <c r="D1384" s="54"/>
      <c r="E1384" s="54"/>
      <c r="F1384" s="54"/>
      <c r="G1384" s="141"/>
      <c r="H1384" s="141"/>
      <c r="I1384" s="54"/>
      <c r="J1384" s="54"/>
      <c r="K1384" s="63"/>
      <c r="L1384" s="54"/>
      <c r="M1384" s="54"/>
    </row>
    <row r="1385">
      <c r="A1385" s="54"/>
      <c r="B1385" s="140"/>
      <c r="C1385" s="140"/>
      <c r="D1385" s="54"/>
      <c r="E1385" s="54"/>
      <c r="F1385" s="54"/>
      <c r="G1385" s="141"/>
      <c r="H1385" s="141"/>
      <c r="I1385" s="54"/>
      <c r="J1385" s="54"/>
      <c r="K1385" s="63"/>
      <c r="L1385" s="54"/>
      <c r="M1385" s="54"/>
    </row>
    <row r="1386">
      <c r="A1386" s="54"/>
      <c r="B1386" s="140"/>
      <c r="C1386" s="140"/>
      <c r="D1386" s="54"/>
      <c r="E1386" s="54"/>
      <c r="F1386" s="54"/>
      <c r="G1386" s="141"/>
      <c r="H1386" s="141"/>
      <c r="I1386" s="54"/>
      <c r="J1386" s="54"/>
      <c r="K1386" s="63"/>
      <c r="L1386" s="54"/>
      <c r="M1386" s="54"/>
    </row>
    <row r="1387">
      <c r="A1387" s="54"/>
      <c r="B1387" s="140"/>
      <c r="C1387" s="140"/>
      <c r="D1387" s="54"/>
      <c r="E1387" s="54"/>
      <c r="F1387" s="54"/>
      <c r="G1387" s="141"/>
      <c r="H1387" s="141"/>
      <c r="I1387" s="54"/>
      <c r="J1387" s="54"/>
      <c r="K1387" s="63"/>
      <c r="L1387" s="54"/>
      <c r="M1387" s="54"/>
    </row>
    <row r="1388">
      <c r="A1388" s="54"/>
      <c r="B1388" s="140"/>
      <c r="C1388" s="140"/>
      <c r="D1388" s="54"/>
      <c r="E1388" s="54"/>
      <c r="F1388" s="54"/>
      <c r="G1388" s="141"/>
      <c r="H1388" s="141"/>
      <c r="I1388" s="54"/>
      <c r="J1388" s="54"/>
      <c r="K1388" s="63"/>
      <c r="L1388" s="54"/>
      <c r="M1388" s="54"/>
    </row>
    <row r="1389">
      <c r="A1389" s="54"/>
      <c r="B1389" s="140"/>
      <c r="C1389" s="140"/>
      <c r="D1389" s="54"/>
      <c r="E1389" s="54"/>
      <c r="F1389" s="54"/>
      <c r="G1389" s="141"/>
      <c r="H1389" s="141"/>
      <c r="I1389" s="54"/>
      <c r="J1389" s="54"/>
      <c r="K1389" s="63"/>
      <c r="L1389" s="54"/>
      <c r="M1389" s="54"/>
    </row>
    <row r="1390">
      <c r="A1390" s="54"/>
      <c r="B1390" s="140"/>
      <c r="C1390" s="140"/>
      <c r="D1390" s="54"/>
      <c r="E1390" s="54"/>
      <c r="F1390" s="54"/>
      <c r="G1390" s="141"/>
      <c r="H1390" s="141"/>
      <c r="I1390" s="54"/>
      <c r="J1390" s="54"/>
      <c r="K1390" s="63"/>
      <c r="L1390" s="54"/>
      <c r="M1390" s="54"/>
    </row>
    <row r="1391">
      <c r="A1391" s="54"/>
      <c r="B1391" s="140"/>
      <c r="C1391" s="140"/>
      <c r="D1391" s="54"/>
      <c r="E1391" s="54"/>
      <c r="F1391" s="54"/>
      <c r="G1391" s="141"/>
      <c r="H1391" s="141"/>
      <c r="I1391" s="54"/>
      <c r="J1391" s="54"/>
      <c r="K1391" s="63"/>
      <c r="L1391" s="54"/>
      <c r="M1391" s="54"/>
    </row>
    <row r="1392">
      <c r="A1392" s="54"/>
      <c r="B1392" s="140"/>
      <c r="C1392" s="140"/>
      <c r="D1392" s="54"/>
      <c r="E1392" s="54"/>
      <c r="F1392" s="54"/>
      <c r="G1392" s="141"/>
      <c r="H1392" s="141"/>
      <c r="I1392" s="54"/>
      <c r="J1392" s="54"/>
      <c r="K1392" s="63"/>
      <c r="L1392" s="54"/>
      <c r="M1392" s="54"/>
    </row>
    <row r="1393">
      <c r="A1393" s="54"/>
      <c r="B1393" s="140"/>
      <c r="C1393" s="140"/>
      <c r="D1393" s="54"/>
      <c r="E1393" s="54"/>
      <c r="F1393" s="54"/>
      <c r="G1393" s="141"/>
      <c r="H1393" s="141"/>
      <c r="I1393" s="54"/>
      <c r="J1393" s="54"/>
      <c r="K1393" s="63"/>
      <c r="L1393" s="54"/>
      <c r="M1393" s="54"/>
    </row>
    <row r="1394">
      <c r="A1394" s="54"/>
      <c r="B1394" s="140"/>
      <c r="C1394" s="140"/>
      <c r="D1394" s="54"/>
      <c r="E1394" s="54"/>
      <c r="F1394" s="54"/>
      <c r="G1394" s="141"/>
      <c r="H1394" s="141"/>
      <c r="I1394" s="54"/>
      <c r="J1394" s="54"/>
      <c r="K1394" s="63"/>
      <c r="L1394" s="54"/>
      <c r="M1394" s="54"/>
    </row>
    <row r="1395">
      <c r="A1395" s="54"/>
      <c r="B1395" s="140"/>
      <c r="C1395" s="140"/>
      <c r="D1395" s="54"/>
      <c r="E1395" s="54"/>
      <c r="F1395" s="54"/>
      <c r="G1395" s="141"/>
      <c r="H1395" s="141"/>
      <c r="I1395" s="54"/>
      <c r="J1395" s="54"/>
      <c r="K1395" s="63"/>
      <c r="L1395" s="54"/>
      <c r="M1395" s="54"/>
    </row>
    <row r="1396">
      <c r="A1396" s="54"/>
      <c r="B1396" s="140"/>
      <c r="C1396" s="140"/>
      <c r="D1396" s="54"/>
      <c r="E1396" s="54"/>
      <c r="F1396" s="54"/>
      <c r="G1396" s="141"/>
      <c r="H1396" s="141"/>
      <c r="I1396" s="54"/>
      <c r="J1396" s="54"/>
      <c r="K1396" s="63"/>
      <c r="L1396" s="54"/>
      <c r="M1396" s="54"/>
    </row>
    <row r="1397">
      <c r="A1397" s="54"/>
      <c r="B1397" s="140"/>
      <c r="C1397" s="140"/>
      <c r="D1397" s="54"/>
      <c r="E1397" s="54"/>
      <c r="F1397" s="54"/>
      <c r="G1397" s="141"/>
      <c r="H1397" s="141"/>
      <c r="I1397" s="54"/>
      <c r="J1397" s="54"/>
      <c r="K1397" s="63"/>
      <c r="L1397" s="54"/>
      <c r="M1397" s="54"/>
    </row>
    <row r="1398">
      <c r="A1398" s="54"/>
      <c r="B1398" s="140"/>
      <c r="C1398" s="140"/>
      <c r="D1398" s="54"/>
      <c r="E1398" s="54"/>
      <c r="F1398" s="54"/>
      <c r="G1398" s="141"/>
      <c r="H1398" s="141"/>
      <c r="I1398" s="54"/>
      <c r="J1398" s="54"/>
      <c r="K1398" s="63"/>
      <c r="L1398" s="54"/>
      <c r="M1398" s="54"/>
    </row>
    <row r="1399">
      <c r="A1399" s="54"/>
      <c r="B1399" s="140"/>
      <c r="C1399" s="140"/>
      <c r="D1399" s="54"/>
      <c r="E1399" s="54"/>
      <c r="F1399" s="54"/>
      <c r="G1399" s="141"/>
      <c r="H1399" s="141"/>
      <c r="I1399" s="54"/>
      <c r="J1399" s="54"/>
      <c r="K1399" s="63"/>
      <c r="L1399" s="54"/>
      <c r="M1399" s="54"/>
    </row>
    <row r="1400">
      <c r="A1400" s="54"/>
      <c r="B1400" s="140"/>
      <c r="C1400" s="140"/>
      <c r="D1400" s="54"/>
      <c r="E1400" s="54"/>
      <c r="F1400" s="54"/>
      <c r="G1400" s="141"/>
      <c r="H1400" s="141"/>
      <c r="I1400" s="54"/>
      <c r="J1400" s="54"/>
      <c r="K1400" s="63"/>
      <c r="L1400" s="54"/>
      <c r="M1400" s="54"/>
    </row>
    <row r="1401">
      <c r="A1401" s="54"/>
      <c r="B1401" s="140"/>
      <c r="C1401" s="140"/>
      <c r="D1401" s="54"/>
      <c r="E1401" s="54"/>
      <c r="F1401" s="54"/>
      <c r="G1401" s="141"/>
      <c r="H1401" s="141"/>
      <c r="I1401" s="54"/>
      <c r="J1401" s="54"/>
      <c r="K1401" s="63"/>
      <c r="L1401" s="54"/>
      <c r="M1401" s="54"/>
    </row>
    <row r="1402">
      <c r="A1402" s="54"/>
      <c r="B1402" s="140"/>
      <c r="C1402" s="140"/>
      <c r="D1402" s="54"/>
      <c r="E1402" s="54"/>
      <c r="F1402" s="54"/>
      <c r="G1402" s="141"/>
      <c r="H1402" s="141"/>
      <c r="I1402" s="54"/>
      <c r="J1402" s="54"/>
      <c r="K1402" s="63"/>
      <c r="L1402" s="54"/>
      <c r="M1402" s="54"/>
    </row>
    <row r="1403">
      <c r="A1403" s="54"/>
      <c r="B1403" s="140"/>
      <c r="C1403" s="140"/>
      <c r="D1403" s="54"/>
      <c r="E1403" s="54"/>
      <c r="F1403" s="54"/>
      <c r="G1403" s="141"/>
      <c r="H1403" s="141"/>
      <c r="I1403" s="54"/>
      <c r="J1403" s="54"/>
      <c r="K1403" s="63"/>
      <c r="L1403" s="54"/>
      <c r="M1403" s="54"/>
    </row>
    <row r="1404">
      <c r="A1404" s="54"/>
      <c r="B1404" s="140"/>
      <c r="C1404" s="140"/>
      <c r="D1404" s="54"/>
      <c r="E1404" s="54"/>
      <c r="F1404" s="54"/>
      <c r="G1404" s="141"/>
      <c r="H1404" s="141"/>
      <c r="I1404" s="54"/>
      <c r="J1404" s="54"/>
      <c r="K1404" s="63"/>
      <c r="L1404" s="54"/>
      <c r="M1404" s="54"/>
    </row>
    <row r="1405">
      <c r="A1405" s="54"/>
      <c r="B1405" s="140"/>
      <c r="C1405" s="140"/>
      <c r="D1405" s="54"/>
      <c r="E1405" s="54"/>
      <c r="F1405" s="54"/>
      <c r="G1405" s="141"/>
      <c r="H1405" s="141"/>
      <c r="I1405" s="54"/>
      <c r="J1405" s="54"/>
      <c r="K1405" s="63"/>
      <c r="L1405" s="54"/>
      <c r="M1405" s="54"/>
    </row>
    <row r="1406">
      <c r="A1406" s="54"/>
      <c r="B1406" s="140"/>
      <c r="C1406" s="140"/>
      <c r="D1406" s="54"/>
      <c r="E1406" s="54"/>
      <c r="F1406" s="54"/>
      <c r="G1406" s="141"/>
      <c r="H1406" s="141"/>
      <c r="I1406" s="54"/>
      <c r="J1406" s="54"/>
      <c r="K1406" s="63"/>
      <c r="L1406" s="54"/>
      <c r="M1406" s="54"/>
    </row>
    <row r="1407">
      <c r="A1407" s="54"/>
      <c r="B1407" s="140"/>
      <c r="C1407" s="140"/>
      <c r="D1407" s="54"/>
      <c r="E1407" s="54"/>
      <c r="F1407" s="54"/>
      <c r="G1407" s="141"/>
      <c r="H1407" s="141"/>
      <c r="I1407" s="54"/>
      <c r="J1407" s="54"/>
      <c r="K1407" s="63"/>
      <c r="L1407" s="54"/>
      <c r="M1407" s="54"/>
    </row>
    <row r="1408">
      <c r="A1408" s="54"/>
      <c r="B1408" s="140"/>
      <c r="C1408" s="140"/>
      <c r="D1408" s="54"/>
      <c r="E1408" s="54"/>
      <c r="F1408" s="54"/>
      <c r="G1408" s="141"/>
      <c r="H1408" s="141"/>
      <c r="I1408" s="54"/>
      <c r="J1408" s="54"/>
      <c r="K1408" s="63"/>
      <c r="L1408" s="54"/>
      <c r="M1408" s="54"/>
    </row>
    <row r="1409">
      <c r="A1409" s="54"/>
      <c r="B1409" s="140"/>
      <c r="C1409" s="140"/>
      <c r="D1409" s="54"/>
      <c r="E1409" s="54"/>
      <c r="F1409" s="54"/>
      <c r="G1409" s="141"/>
      <c r="H1409" s="141"/>
      <c r="I1409" s="54"/>
      <c r="J1409" s="54"/>
      <c r="K1409" s="63"/>
      <c r="L1409" s="54"/>
      <c r="M1409" s="54"/>
    </row>
    <row r="1410">
      <c r="A1410" s="54"/>
      <c r="B1410" s="140"/>
      <c r="C1410" s="140"/>
      <c r="D1410" s="54"/>
      <c r="E1410" s="54"/>
      <c r="F1410" s="54"/>
      <c r="G1410" s="141"/>
      <c r="H1410" s="141"/>
      <c r="I1410" s="54"/>
      <c r="J1410" s="54"/>
      <c r="K1410" s="63"/>
      <c r="L1410" s="54"/>
      <c r="M1410" s="54"/>
    </row>
    <row r="1411">
      <c r="A1411" s="54"/>
      <c r="B1411" s="140"/>
      <c r="C1411" s="140"/>
      <c r="D1411" s="54"/>
      <c r="E1411" s="54"/>
      <c r="F1411" s="54"/>
      <c r="G1411" s="141"/>
      <c r="H1411" s="141"/>
      <c r="I1411" s="54"/>
      <c r="J1411" s="54"/>
      <c r="K1411" s="63"/>
      <c r="L1411" s="54"/>
      <c r="M1411" s="54"/>
    </row>
    <row r="1412">
      <c r="A1412" s="54"/>
      <c r="B1412" s="140"/>
      <c r="C1412" s="140"/>
      <c r="D1412" s="54"/>
      <c r="E1412" s="54"/>
      <c r="F1412" s="54"/>
      <c r="G1412" s="141"/>
      <c r="H1412" s="141"/>
      <c r="I1412" s="54"/>
      <c r="J1412" s="54"/>
      <c r="K1412" s="63"/>
      <c r="L1412" s="54"/>
      <c r="M1412" s="54"/>
    </row>
    <row r="1413">
      <c r="A1413" s="54"/>
      <c r="B1413" s="140"/>
      <c r="C1413" s="140"/>
      <c r="D1413" s="54"/>
      <c r="E1413" s="54"/>
      <c r="F1413" s="54"/>
      <c r="G1413" s="141"/>
      <c r="H1413" s="141"/>
      <c r="I1413" s="54"/>
      <c r="J1413" s="54"/>
      <c r="K1413" s="63"/>
      <c r="L1413" s="54"/>
      <c r="M1413" s="54"/>
    </row>
    <row r="1414">
      <c r="A1414" s="54"/>
      <c r="B1414" s="140"/>
      <c r="C1414" s="140"/>
      <c r="D1414" s="54"/>
      <c r="E1414" s="54"/>
      <c r="F1414" s="54"/>
      <c r="G1414" s="141"/>
      <c r="H1414" s="141"/>
      <c r="I1414" s="54"/>
      <c r="J1414" s="54"/>
      <c r="K1414" s="63"/>
      <c r="L1414" s="54"/>
      <c r="M1414" s="54"/>
    </row>
    <row r="1415">
      <c r="A1415" s="54"/>
      <c r="B1415" s="140"/>
      <c r="C1415" s="140"/>
      <c r="D1415" s="54"/>
      <c r="E1415" s="54"/>
      <c r="F1415" s="54"/>
      <c r="G1415" s="141"/>
      <c r="H1415" s="141"/>
      <c r="I1415" s="54"/>
      <c r="J1415" s="54"/>
      <c r="K1415" s="63"/>
      <c r="L1415" s="54"/>
      <c r="M1415" s="54"/>
    </row>
    <row r="1416">
      <c r="A1416" s="54"/>
      <c r="B1416" s="140"/>
      <c r="C1416" s="140"/>
      <c r="D1416" s="54"/>
      <c r="E1416" s="54"/>
      <c r="F1416" s="54"/>
      <c r="G1416" s="141"/>
      <c r="H1416" s="141"/>
      <c r="I1416" s="54"/>
      <c r="J1416" s="54"/>
      <c r="K1416" s="63"/>
      <c r="L1416" s="54"/>
      <c r="M1416" s="54"/>
    </row>
    <row r="1417">
      <c r="A1417" s="54"/>
      <c r="B1417" s="140"/>
      <c r="C1417" s="140"/>
      <c r="D1417" s="54"/>
      <c r="E1417" s="54"/>
      <c r="F1417" s="54"/>
      <c r="G1417" s="141"/>
      <c r="H1417" s="141"/>
      <c r="I1417" s="54"/>
      <c r="J1417" s="54"/>
      <c r="K1417" s="63"/>
      <c r="L1417" s="54"/>
      <c r="M1417" s="54"/>
    </row>
    <row r="1418">
      <c r="A1418" s="54"/>
      <c r="B1418" s="140"/>
      <c r="C1418" s="140"/>
      <c r="D1418" s="54"/>
      <c r="E1418" s="54"/>
      <c r="F1418" s="54"/>
      <c r="G1418" s="141"/>
      <c r="H1418" s="141"/>
      <c r="I1418" s="54"/>
      <c r="J1418" s="54"/>
      <c r="K1418" s="63"/>
      <c r="L1418" s="54"/>
      <c r="M1418" s="54"/>
    </row>
    <row r="1419">
      <c r="A1419" s="54"/>
      <c r="B1419" s="140"/>
      <c r="C1419" s="140"/>
      <c r="D1419" s="54"/>
      <c r="E1419" s="54"/>
      <c r="F1419" s="54"/>
      <c r="G1419" s="141"/>
      <c r="H1419" s="141"/>
      <c r="I1419" s="54"/>
      <c r="J1419" s="54"/>
      <c r="K1419" s="63"/>
      <c r="L1419" s="54"/>
      <c r="M1419" s="54"/>
    </row>
    <row r="1420">
      <c r="A1420" s="54"/>
      <c r="B1420" s="140"/>
      <c r="C1420" s="140"/>
      <c r="D1420" s="54"/>
      <c r="E1420" s="54"/>
      <c r="F1420" s="54"/>
      <c r="G1420" s="141"/>
      <c r="H1420" s="141"/>
      <c r="I1420" s="54"/>
      <c r="J1420" s="54"/>
      <c r="K1420" s="63"/>
      <c r="L1420" s="54"/>
      <c r="M1420" s="54"/>
    </row>
    <row r="1421">
      <c r="A1421" s="54"/>
      <c r="B1421" s="140"/>
      <c r="C1421" s="140"/>
      <c r="D1421" s="54"/>
      <c r="E1421" s="54"/>
      <c r="F1421" s="54"/>
      <c r="G1421" s="141"/>
      <c r="H1421" s="141"/>
      <c r="I1421" s="54"/>
      <c r="J1421" s="54"/>
      <c r="K1421" s="63"/>
      <c r="L1421" s="54"/>
      <c r="M1421" s="54"/>
    </row>
    <row r="1422">
      <c r="A1422" s="54"/>
      <c r="B1422" s="140"/>
      <c r="C1422" s="140"/>
      <c r="D1422" s="54"/>
      <c r="E1422" s="54"/>
      <c r="F1422" s="54"/>
      <c r="G1422" s="141"/>
      <c r="H1422" s="141"/>
      <c r="I1422" s="54"/>
      <c r="J1422" s="54"/>
      <c r="K1422" s="63"/>
      <c r="L1422" s="54"/>
      <c r="M1422" s="54"/>
    </row>
    <row r="1423">
      <c r="A1423" s="54"/>
      <c r="B1423" s="140"/>
      <c r="C1423" s="140"/>
      <c r="D1423" s="54"/>
      <c r="E1423" s="54"/>
      <c r="F1423" s="54"/>
      <c r="G1423" s="141"/>
      <c r="H1423" s="141"/>
      <c r="I1423" s="54"/>
      <c r="J1423" s="54"/>
      <c r="K1423" s="63"/>
      <c r="L1423" s="54"/>
      <c r="M1423" s="54"/>
    </row>
    <row r="1424">
      <c r="A1424" s="54"/>
      <c r="B1424" s="140"/>
      <c r="C1424" s="140"/>
      <c r="D1424" s="54"/>
      <c r="E1424" s="54"/>
      <c r="F1424" s="54"/>
      <c r="G1424" s="141"/>
      <c r="H1424" s="141"/>
      <c r="I1424" s="54"/>
      <c r="J1424" s="54"/>
      <c r="K1424" s="63"/>
      <c r="L1424" s="54"/>
      <c r="M1424" s="54"/>
    </row>
    <row r="1425">
      <c r="A1425" s="54"/>
      <c r="B1425" s="140"/>
      <c r="C1425" s="140"/>
      <c r="D1425" s="54"/>
      <c r="E1425" s="54"/>
      <c r="F1425" s="54"/>
      <c r="G1425" s="141"/>
      <c r="H1425" s="141"/>
      <c r="I1425" s="54"/>
      <c r="J1425" s="54"/>
      <c r="K1425" s="63"/>
      <c r="L1425" s="54"/>
      <c r="M1425" s="54"/>
    </row>
    <row r="1426">
      <c r="A1426" s="54"/>
      <c r="B1426" s="140"/>
      <c r="C1426" s="140"/>
      <c r="D1426" s="54"/>
      <c r="E1426" s="54"/>
      <c r="F1426" s="54"/>
      <c r="G1426" s="141"/>
      <c r="H1426" s="141"/>
      <c r="I1426" s="54"/>
      <c r="J1426" s="54"/>
      <c r="K1426" s="63"/>
      <c r="L1426" s="54"/>
      <c r="M1426" s="54"/>
    </row>
    <row r="1427">
      <c r="A1427" s="54"/>
      <c r="B1427" s="140"/>
      <c r="C1427" s="140"/>
      <c r="D1427" s="54"/>
      <c r="E1427" s="54"/>
      <c r="F1427" s="54"/>
      <c r="G1427" s="141"/>
      <c r="H1427" s="141"/>
      <c r="I1427" s="54"/>
      <c r="J1427" s="54"/>
      <c r="K1427" s="63"/>
      <c r="L1427" s="54"/>
      <c r="M1427" s="54"/>
    </row>
    <row r="1428">
      <c r="A1428" s="54"/>
      <c r="B1428" s="140"/>
      <c r="C1428" s="140"/>
      <c r="D1428" s="54"/>
      <c r="E1428" s="54"/>
      <c r="F1428" s="54"/>
      <c r="G1428" s="141"/>
      <c r="H1428" s="141"/>
      <c r="I1428" s="54"/>
      <c r="J1428" s="54"/>
      <c r="K1428" s="63"/>
      <c r="L1428" s="54"/>
      <c r="M1428" s="54"/>
    </row>
    <row r="1429">
      <c r="A1429" s="54"/>
      <c r="B1429" s="140"/>
      <c r="C1429" s="140"/>
      <c r="D1429" s="54"/>
      <c r="E1429" s="54"/>
      <c r="F1429" s="54"/>
      <c r="G1429" s="141"/>
      <c r="H1429" s="141"/>
      <c r="I1429" s="54"/>
      <c r="J1429" s="54"/>
      <c r="K1429" s="63"/>
      <c r="L1429" s="54"/>
      <c r="M1429" s="54"/>
    </row>
    <row r="1430">
      <c r="A1430" s="54"/>
      <c r="B1430" s="140"/>
      <c r="C1430" s="140"/>
      <c r="D1430" s="54"/>
      <c r="E1430" s="54"/>
      <c r="F1430" s="54"/>
      <c r="G1430" s="141"/>
      <c r="H1430" s="141"/>
      <c r="I1430" s="54"/>
      <c r="J1430" s="54"/>
      <c r="K1430" s="63"/>
      <c r="L1430" s="54"/>
      <c r="M1430" s="54"/>
    </row>
    <row r="1431">
      <c r="A1431" s="54"/>
      <c r="B1431" s="140"/>
      <c r="C1431" s="140"/>
      <c r="D1431" s="54"/>
      <c r="E1431" s="54"/>
      <c r="F1431" s="54"/>
      <c r="G1431" s="141"/>
      <c r="H1431" s="141"/>
      <c r="I1431" s="54"/>
      <c r="J1431" s="54"/>
      <c r="K1431" s="63"/>
      <c r="L1431" s="54"/>
      <c r="M1431" s="54"/>
    </row>
    <row r="1432">
      <c r="A1432" s="54"/>
      <c r="B1432" s="140"/>
      <c r="C1432" s="140"/>
      <c r="D1432" s="54"/>
      <c r="E1432" s="54"/>
      <c r="F1432" s="54"/>
      <c r="G1432" s="141"/>
      <c r="H1432" s="141"/>
      <c r="I1432" s="54"/>
      <c r="J1432" s="54"/>
      <c r="K1432" s="63"/>
      <c r="L1432" s="54"/>
      <c r="M1432" s="54"/>
    </row>
    <row r="1433">
      <c r="A1433" s="54"/>
      <c r="B1433" s="140"/>
      <c r="C1433" s="140"/>
      <c r="D1433" s="54"/>
      <c r="E1433" s="54"/>
      <c r="F1433" s="54"/>
      <c r="G1433" s="141"/>
      <c r="H1433" s="141"/>
      <c r="I1433" s="54"/>
      <c r="J1433" s="54"/>
      <c r="K1433" s="63"/>
      <c r="L1433" s="54"/>
      <c r="M1433" s="54"/>
    </row>
    <row r="1434">
      <c r="A1434" s="54"/>
      <c r="B1434" s="140"/>
      <c r="C1434" s="140"/>
      <c r="D1434" s="54"/>
      <c r="E1434" s="54"/>
      <c r="F1434" s="54"/>
      <c r="G1434" s="141"/>
      <c r="H1434" s="141"/>
      <c r="I1434" s="54"/>
      <c r="J1434" s="54"/>
      <c r="K1434" s="63"/>
      <c r="L1434" s="54"/>
      <c r="M1434" s="54"/>
    </row>
    <row r="1435">
      <c r="A1435" s="54"/>
      <c r="B1435" s="140"/>
      <c r="C1435" s="140"/>
      <c r="D1435" s="54"/>
      <c r="E1435" s="54"/>
      <c r="F1435" s="54"/>
      <c r="G1435" s="141"/>
      <c r="H1435" s="141"/>
      <c r="I1435" s="54"/>
      <c r="J1435" s="54"/>
      <c r="K1435" s="63"/>
      <c r="L1435" s="54"/>
      <c r="M1435" s="54"/>
    </row>
    <row r="1436">
      <c r="A1436" s="54"/>
      <c r="B1436" s="140"/>
      <c r="C1436" s="140"/>
      <c r="D1436" s="54"/>
      <c r="E1436" s="54"/>
      <c r="F1436" s="54"/>
      <c r="G1436" s="141"/>
      <c r="H1436" s="141"/>
      <c r="I1436" s="54"/>
      <c r="J1436" s="54"/>
      <c r="K1436" s="63"/>
      <c r="L1436" s="54"/>
      <c r="M1436" s="54"/>
    </row>
    <row r="1437">
      <c r="A1437" s="54"/>
      <c r="B1437" s="140"/>
      <c r="C1437" s="140"/>
      <c r="D1437" s="54"/>
      <c r="E1437" s="54"/>
      <c r="F1437" s="54"/>
      <c r="G1437" s="141"/>
      <c r="H1437" s="141"/>
      <c r="I1437" s="54"/>
      <c r="J1437" s="54"/>
      <c r="K1437" s="63"/>
      <c r="L1437" s="54"/>
      <c r="M1437" s="54"/>
    </row>
    <row r="1438">
      <c r="A1438" s="54"/>
      <c r="B1438" s="140"/>
      <c r="C1438" s="140"/>
      <c r="D1438" s="54"/>
      <c r="E1438" s="54"/>
      <c r="F1438" s="54"/>
      <c r="G1438" s="141"/>
      <c r="H1438" s="141"/>
      <c r="I1438" s="54"/>
      <c r="J1438" s="54"/>
      <c r="K1438" s="63"/>
      <c r="L1438" s="54"/>
      <c r="M1438" s="54"/>
    </row>
    <row r="1439">
      <c r="A1439" s="54"/>
      <c r="B1439" s="140"/>
      <c r="C1439" s="140"/>
      <c r="D1439" s="54"/>
      <c r="E1439" s="54"/>
      <c r="F1439" s="54"/>
      <c r="G1439" s="141"/>
      <c r="H1439" s="141"/>
      <c r="I1439" s="54"/>
      <c r="J1439" s="54"/>
      <c r="K1439" s="63"/>
      <c r="L1439" s="54"/>
      <c r="M1439" s="54"/>
    </row>
    <row r="1440">
      <c r="A1440" s="54"/>
      <c r="B1440" s="140"/>
      <c r="C1440" s="140"/>
      <c r="D1440" s="54"/>
      <c r="E1440" s="54"/>
      <c r="F1440" s="54"/>
      <c r="G1440" s="141"/>
      <c r="H1440" s="141"/>
      <c r="I1440" s="54"/>
      <c r="J1440" s="54"/>
      <c r="K1440" s="63"/>
      <c r="L1440" s="54"/>
      <c r="M1440" s="54"/>
    </row>
    <row r="1441">
      <c r="A1441" s="54"/>
      <c r="B1441" s="140"/>
      <c r="C1441" s="140"/>
      <c r="D1441" s="54"/>
      <c r="E1441" s="54"/>
      <c r="F1441" s="54"/>
      <c r="G1441" s="141"/>
      <c r="H1441" s="141"/>
      <c r="I1441" s="54"/>
      <c r="J1441" s="54"/>
      <c r="K1441" s="63"/>
      <c r="L1441" s="54"/>
      <c r="M1441" s="54"/>
    </row>
    <row r="1442">
      <c r="A1442" s="54"/>
      <c r="B1442" s="140"/>
      <c r="C1442" s="140"/>
      <c r="D1442" s="54"/>
      <c r="E1442" s="54"/>
      <c r="F1442" s="54"/>
      <c r="G1442" s="141"/>
      <c r="H1442" s="141"/>
      <c r="I1442" s="54"/>
      <c r="J1442" s="54"/>
      <c r="K1442" s="63"/>
      <c r="L1442" s="54"/>
      <c r="M1442" s="54"/>
    </row>
    <row r="1443">
      <c r="A1443" s="54"/>
      <c r="B1443" s="140"/>
      <c r="C1443" s="140"/>
      <c r="D1443" s="54"/>
      <c r="E1443" s="54"/>
      <c r="F1443" s="54"/>
      <c r="G1443" s="141"/>
      <c r="H1443" s="141"/>
      <c r="I1443" s="54"/>
      <c r="J1443" s="54"/>
      <c r="K1443" s="63"/>
      <c r="L1443" s="54"/>
      <c r="M1443" s="54"/>
    </row>
    <row r="1444">
      <c r="A1444" s="54"/>
      <c r="B1444" s="140"/>
      <c r="C1444" s="140"/>
      <c r="D1444" s="54"/>
      <c r="E1444" s="54"/>
      <c r="F1444" s="54"/>
      <c r="G1444" s="141"/>
      <c r="H1444" s="141"/>
      <c r="I1444" s="54"/>
      <c r="J1444" s="54"/>
      <c r="K1444" s="63"/>
      <c r="L1444" s="54"/>
      <c r="M1444" s="54"/>
    </row>
    <row r="1445">
      <c r="A1445" s="54"/>
      <c r="B1445" s="140"/>
      <c r="C1445" s="140"/>
      <c r="D1445" s="54"/>
      <c r="E1445" s="54"/>
      <c r="F1445" s="54"/>
      <c r="G1445" s="141"/>
      <c r="H1445" s="141"/>
      <c r="I1445" s="54"/>
      <c r="J1445" s="54"/>
      <c r="K1445" s="63"/>
      <c r="L1445" s="54"/>
      <c r="M1445" s="54"/>
    </row>
    <row r="1446">
      <c r="A1446" s="54"/>
      <c r="B1446" s="140"/>
      <c r="C1446" s="140"/>
      <c r="D1446" s="54"/>
      <c r="E1446" s="54"/>
      <c r="F1446" s="54"/>
      <c r="G1446" s="141"/>
      <c r="H1446" s="141"/>
      <c r="I1446" s="54"/>
      <c r="J1446" s="54"/>
      <c r="K1446" s="63"/>
      <c r="L1446" s="54"/>
      <c r="M1446" s="54"/>
    </row>
    <row r="1447">
      <c r="A1447" s="54"/>
      <c r="B1447" s="140"/>
      <c r="C1447" s="140"/>
      <c r="D1447" s="54"/>
      <c r="E1447" s="54"/>
      <c r="F1447" s="54"/>
      <c r="G1447" s="141"/>
      <c r="H1447" s="141"/>
      <c r="I1447" s="54"/>
      <c r="J1447" s="54"/>
      <c r="K1447" s="63"/>
      <c r="L1447" s="54"/>
      <c r="M1447" s="54"/>
    </row>
    <row r="1448">
      <c r="A1448" s="54"/>
      <c r="B1448" s="140"/>
      <c r="C1448" s="140"/>
      <c r="D1448" s="54"/>
      <c r="E1448" s="54"/>
      <c r="F1448" s="54"/>
      <c r="G1448" s="141"/>
      <c r="H1448" s="141"/>
      <c r="I1448" s="54"/>
      <c r="J1448" s="54"/>
      <c r="K1448" s="63"/>
      <c r="L1448" s="54"/>
      <c r="M1448" s="54"/>
    </row>
    <row r="1449">
      <c r="A1449" s="54"/>
      <c r="B1449" s="140"/>
      <c r="C1449" s="140"/>
      <c r="D1449" s="54"/>
      <c r="E1449" s="54"/>
      <c r="F1449" s="54"/>
      <c r="G1449" s="141"/>
      <c r="H1449" s="141"/>
      <c r="I1449" s="54"/>
      <c r="J1449" s="54"/>
      <c r="K1449" s="63"/>
      <c r="L1449" s="54"/>
      <c r="M1449" s="54"/>
    </row>
    <row r="1450">
      <c r="A1450" s="54"/>
      <c r="B1450" s="140"/>
      <c r="C1450" s="140"/>
      <c r="D1450" s="54"/>
      <c r="E1450" s="54"/>
      <c r="F1450" s="54"/>
      <c r="G1450" s="141"/>
      <c r="H1450" s="141"/>
      <c r="I1450" s="54"/>
      <c r="J1450" s="54"/>
      <c r="K1450" s="63"/>
      <c r="L1450" s="54"/>
      <c r="M1450" s="54"/>
    </row>
    <row r="1451">
      <c r="A1451" s="54"/>
      <c r="B1451" s="140"/>
      <c r="C1451" s="140"/>
      <c r="D1451" s="54"/>
      <c r="E1451" s="54"/>
      <c r="F1451" s="54"/>
      <c r="G1451" s="141"/>
      <c r="H1451" s="141"/>
      <c r="I1451" s="54"/>
      <c r="J1451" s="54"/>
      <c r="K1451" s="63"/>
      <c r="L1451" s="54"/>
      <c r="M1451" s="54"/>
    </row>
    <row r="1452">
      <c r="A1452" s="54"/>
      <c r="B1452" s="140"/>
      <c r="C1452" s="140"/>
      <c r="D1452" s="54"/>
      <c r="E1452" s="54"/>
      <c r="F1452" s="54"/>
      <c r="G1452" s="141"/>
      <c r="H1452" s="141"/>
      <c r="I1452" s="54"/>
      <c r="J1452" s="54"/>
      <c r="K1452" s="63"/>
      <c r="L1452" s="54"/>
      <c r="M1452" s="54"/>
    </row>
    <row r="1453">
      <c r="A1453" s="54"/>
      <c r="B1453" s="140"/>
      <c r="C1453" s="140"/>
      <c r="D1453" s="54"/>
      <c r="E1453" s="54"/>
      <c r="F1453" s="54"/>
      <c r="G1453" s="141"/>
      <c r="H1453" s="141"/>
      <c r="I1453" s="54"/>
      <c r="J1453" s="54"/>
      <c r="K1453" s="63"/>
      <c r="L1453" s="54"/>
      <c r="M1453" s="54"/>
    </row>
    <row r="1454">
      <c r="A1454" s="54"/>
      <c r="B1454" s="140"/>
      <c r="C1454" s="140"/>
      <c r="D1454" s="54"/>
      <c r="E1454" s="54"/>
      <c r="F1454" s="54"/>
      <c r="G1454" s="141"/>
      <c r="H1454" s="141"/>
      <c r="I1454" s="54"/>
      <c r="J1454" s="54"/>
      <c r="K1454" s="63"/>
      <c r="L1454" s="54"/>
      <c r="M1454" s="54"/>
    </row>
    <row r="1455">
      <c r="A1455" s="54"/>
      <c r="B1455" s="140"/>
      <c r="C1455" s="140"/>
      <c r="D1455" s="54"/>
      <c r="E1455" s="54"/>
      <c r="F1455" s="54"/>
      <c r="G1455" s="141"/>
      <c r="H1455" s="141"/>
      <c r="I1455" s="54"/>
      <c r="J1455" s="54"/>
      <c r="K1455" s="63"/>
      <c r="L1455" s="54"/>
      <c r="M1455" s="54"/>
    </row>
    <row r="1456">
      <c r="A1456" s="54"/>
      <c r="B1456" s="140"/>
      <c r="C1456" s="140"/>
      <c r="D1456" s="54"/>
      <c r="E1456" s="54"/>
      <c r="F1456" s="54"/>
      <c r="G1456" s="141"/>
      <c r="H1456" s="141"/>
      <c r="I1456" s="54"/>
      <c r="J1456" s="54"/>
      <c r="K1456" s="63"/>
      <c r="L1456" s="54"/>
      <c r="M1456" s="54"/>
    </row>
    <row r="1457">
      <c r="A1457" s="54"/>
      <c r="B1457" s="140"/>
      <c r="C1457" s="140"/>
      <c r="D1457" s="54"/>
      <c r="E1457" s="54"/>
      <c r="F1457" s="54"/>
      <c r="G1457" s="141"/>
      <c r="H1457" s="141"/>
      <c r="I1457" s="54"/>
      <c r="J1457" s="54"/>
      <c r="K1457" s="63"/>
      <c r="L1457" s="54"/>
      <c r="M1457" s="54"/>
    </row>
    <row r="1458">
      <c r="A1458" s="54"/>
      <c r="B1458" s="140"/>
      <c r="C1458" s="140"/>
      <c r="D1458" s="54"/>
      <c r="E1458" s="54"/>
      <c r="F1458" s="54"/>
      <c r="G1458" s="141"/>
      <c r="H1458" s="141"/>
      <c r="I1458" s="54"/>
      <c r="J1458" s="54"/>
      <c r="K1458" s="63"/>
      <c r="L1458" s="54"/>
      <c r="M1458" s="54"/>
    </row>
    <row r="1459">
      <c r="A1459" s="54"/>
      <c r="B1459" s="140"/>
      <c r="C1459" s="140"/>
      <c r="D1459" s="54"/>
      <c r="E1459" s="54"/>
      <c r="F1459" s="54"/>
      <c r="G1459" s="141"/>
      <c r="H1459" s="141"/>
      <c r="I1459" s="54"/>
      <c r="J1459" s="54"/>
      <c r="K1459" s="63"/>
      <c r="L1459" s="54"/>
      <c r="M1459" s="54"/>
    </row>
    <row r="1460">
      <c r="A1460" s="54"/>
      <c r="B1460" s="140"/>
      <c r="C1460" s="140"/>
      <c r="D1460" s="54"/>
      <c r="E1460" s="54"/>
      <c r="F1460" s="54"/>
      <c r="G1460" s="141"/>
      <c r="H1460" s="141"/>
      <c r="I1460" s="54"/>
      <c r="J1460" s="54"/>
      <c r="K1460" s="63"/>
      <c r="L1460" s="54"/>
      <c r="M1460" s="54"/>
    </row>
    <row r="1461">
      <c r="A1461" s="54"/>
      <c r="B1461" s="140"/>
      <c r="C1461" s="140"/>
      <c r="D1461" s="54"/>
      <c r="E1461" s="54"/>
      <c r="F1461" s="54"/>
      <c r="G1461" s="141"/>
      <c r="H1461" s="141"/>
      <c r="I1461" s="54"/>
      <c r="J1461" s="54"/>
      <c r="K1461" s="63"/>
      <c r="L1461" s="54"/>
      <c r="M1461" s="54"/>
    </row>
    <row r="1462">
      <c r="A1462" s="54"/>
      <c r="B1462" s="140"/>
      <c r="C1462" s="140"/>
      <c r="D1462" s="54"/>
      <c r="E1462" s="54"/>
      <c r="F1462" s="54"/>
      <c r="G1462" s="141"/>
      <c r="H1462" s="141"/>
      <c r="I1462" s="54"/>
      <c r="J1462" s="54"/>
      <c r="K1462" s="63"/>
      <c r="L1462" s="54"/>
      <c r="M1462" s="54"/>
    </row>
    <row r="1463">
      <c r="A1463" s="54"/>
      <c r="B1463" s="140"/>
      <c r="C1463" s="140"/>
      <c r="D1463" s="54"/>
      <c r="E1463" s="54"/>
      <c r="F1463" s="54"/>
      <c r="G1463" s="141"/>
      <c r="H1463" s="141"/>
      <c r="I1463" s="54"/>
      <c r="J1463" s="54"/>
      <c r="K1463" s="63"/>
      <c r="L1463" s="54"/>
      <c r="M1463" s="54"/>
    </row>
    <row r="1464">
      <c r="A1464" s="54"/>
      <c r="B1464" s="140"/>
      <c r="C1464" s="140"/>
      <c r="D1464" s="54"/>
      <c r="E1464" s="54"/>
      <c r="F1464" s="54"/>
      <c r="G1464" s="141"/>
      <c r="H1464" s="141"/>
      <c r="I1464" s="54"/>
      <c r="J1464" s="54"/>
      <c r="K1464" s="63"/>
      <c r="L1464" s="54"/>
      <c r="M1464" s="54"/>
    </row>
    <row r="1465">
      <c r="A1465" s="54"/>
      <c r="B1465" s="140"/>
      <c r="C1465" s="140"/>
      <c r="D1465" s="54"/>
      <c r="E1465" s="54"/>
      <c r="F1465" s="54"/>
      <c r="G1465" s="141"/>
      <c r="H1465" s="141"/>
      <c r="I1465" s="54"/>
      <c r="J1465" s="54"/>
      <c r="K1465" s="63"/>
      <c r="L1465" s="54"/>
      <c r="M1465" s="54"/>
    </row>
    <row r="1466">
      <c r="A1466" s="54"/>
      <c r="B1466" s="140"/>
      <c r="C1466" s="140"/>
      <c r="D1466" s="54"/>
      <c r="E1466" s="54"/>
      <c r="F1466" s="54"/>
      <c r="G1466" s="141"/>
      <c r="H1466" s="141"/>
      <c r="I1466" s="54"/>
      <c r="J1466" s="54"/>
      <c r="K1466" s="63"/>
      <c r="L1466" s="54"/>
      <c r="M1466" s="54"/>
    </row>
    <row r="1467">
      <c r="A1467" s="54"/>
      <c r="B1467" s="140"/>
      <c r="C1467" s="140"/>
      <c r="D1467" s="54"/>
      <c r="E1467" s="54"/>
      <c r="F1467" s="54"/>
      <c r="G1467" s="141"/>
      <c r="H1467" s="141"/>
      <c r="I1467" s="54"/>
      <c r="J1467" s="54"/>
      <c r="K1467" s="63"/>
      <c r="L1467" s="54"/>
      <c r="M1467" s="54"/>
    </row>
    <row r="1468">
      <c r="A1468" s="54"/>
      <c r="B1468" s="140"/>
      <c r="C1468" s="140"/>
      <c r="D1468" s="54"/>
      <c r="E1468" s="54"/>
      <c r="F1468" s="54"/>
      <c r="G1468" s="141"/>
      <c r="H1468" s="141"/>
      <c r="I1468" s="54"/>
      <c r="J1468" s="54"/>
      <c r="K1468" s="63"/>
      <c r="L1468" s="54"/>
      <c r="M1468" s="54"/>
    </row>
    <row r="1469">
      <c r="A1469" s="54"/>
      <c r="B1469" s="140"/>
      <c r="C1469" s="140"/>
      <c r="D1469" s="54"/>
      <c r="E1469" s="54"/>
      <c r="F1469" s="54"/>
      <c r="G1469" s="141"/>
      <c r="H1469" s="141"/>
      <c r="I1469" s="54"/>
      <c r="J1469" s="54"/>
      <c r="K1469" s="63"/>
      <c r="L1469" s="54"/>
      <c r="M1469" s="54"/>
    </row>
    <row r="1470">
      <c r="A1470" s="54"/>
      <c r="B1470" s="140"/>
      <c r="C1470" s="140"/>
      <c r="D1470" s="54"/>
      <c r="E1470" s="54"/>
      <c r="F1470" s="54"/>
      <c r="G1470" s="141"/>
      <c r="H1470" s="141"/>
      <c r="I1470" s="54"/>
      <c r="J1470" s="54"/>
      <c r="K1470" s="63"/>
      <c r="L1470" s="54"/>
      <c r="M1470" s="54"/>
    </row>
    <row r="1471">
      <c r="A1471" s="54"/>
      <c r="B1471" s="140"/>
      <c r="C1471" s="140"/>
      <c r="D1471" s="54"/>
      <c r="E1471" s="54"/>
      <c r="F1471" s="54"/>
      <c r="G1471" s="141"/>
      <c r="H1471" s="141"/>
      <c r="I1471" s="54"/>
      <c r="J1471" s="54"/>
      <c r="K1471" s="63"/>
      <c r="L1471" s="54"/>
      <c r="M1471" s="54"/>
    </row>
    <row r="1472">
      <c r="A1472" s="54"/>
      <c r="B1472" s="140"/>
      <c r="C1472" s="140"/>
      <c r="D1472" s="54"/>
      <c r="E1472" s="54"/>
      <c r="F1472" s="54"/>
      <c r="G1472" s="141"/>
      <c r="H1472" s="141"/>
      <c r="I1472" s="54"/>
      <c r="J1472" s="54"/>
      <c r="K1472" s="63"/>
      <c r="L1472" s="54"/>
      <c r="M1472" s="54"/>
    </row>
    <row r="1473">
      <c r="A1473" s="54"/>
      <c r="B1473" s="140"/>
      <c r="C1473" s="140"/>
      <c r="D1473" s="54"/>
      <c r="E1473" s="54"/>
      <c r="F1473" s="54"/>
      <c r="G1473" s="141"/>
      <c r="H1473" s="141"/>
      <c r="I1473" s="54"/>
      <c r="J1473" s="54"/>
      <c r="K1473" s="63"/>
      <c r="L1473" s="54"/>
      <c r="M1473" s="54"/>
    </row>
    <row r="1474">
      <c r="A1474" s="54"/>
      <c r="B1474" s="140"/>
      <c r="C1474" s="140"/>
      <c r="D1474" s="54"/>
      <c r="E1474" s="54"/>
      <c r="F1474" s="54"/>
      <c r="G1474" s="141"/>
      <c r="H1474" s="141"/>
      <c r="I1474" s="54"/>
      <c r="J1474" s="54"/>
      <c r="K1474" s="63"/>
      <c r="L1474" s="54"/>
      <c r="M1474" s="54"/>
    </row>
    <row r="1475">
      <c r="A1475" s="54"/>
      <c r="B1475" s="140"/>
      <c r="C1475" s="140"/>
      <c r="D1475" s="54"/>
      <c r="E1475" s="54"/>
      <c r="F1475" s="54"/>
      <c r="G1475" s="141"/>
      <c r="H1475" s="141"/>
      <c r="I1475" s="54"/>
      <c r="J1475" s="54"/>
      <c r="K1475" s="63"/>
      <c r="L1475" s="54"/>
      <c r="M1475" s="54"/>
    </row>
    <row r="1476">
      <c r="A1476" s="54"/>
      <c r="B1476" s="140"/>
      <c r="C1476" s="140"/>
      <c r="D1476" s="54"/>
      <c r="E1476" s="54"/>
      <c r="F1476" s="54"/>
      <c r="G1476" s="141"/>
      <c r="H1476" s="141"/>
      <c r="I1476" s="54"/>
      <c r="J1476" s="54"/>
      <c r="K1476" s="63"/>
      <c r="L1476" s="54"/>
      <c r="M1476" s="54"/>
    </row>
    <row r="1477">
      <c r="A1477" s="54"/>
      <c r="B1477" s="140"/>
      <c r="C1477" s="140"/>
      <c r="D1477" s="54"/>
      <c r="E1477" s="54"/>
      <c r="F1477" s="54"/>
      <c r="G1477" s="141"/>
      <c r="H1477" s="141"/>
      <c r="I1477" s="54"/>
      <c r="J1477" s="54"/>
      <c r="K1477" s="63"/>
      <c r="L1477" s="54"/>
      <c r="M1477" s="54"/>
    </row>
    <row r="1478">
      <c r="A1478" s="54"/>
      <c r="B1478" s="140"/>
      <c r="C1478" s="140"/>
      <c r="D1478" s="54"/>
      <c r="E1478" s="54"/>
      <c r="F1478" s="54"/>
      <c r="G1478" s="141"/>
      <c r="H1478" s="141"/>
      <c r="I1478" s="54"/>
      <c r="J1478" s="54"/>
      <c r="K1478" s="63"/>
      <c r="L1478" s="54"/>
      <c r="M1478" s="54"/>
    </row>
    <row r="1479">
      <c r="A1479" s="54"/>
      <c r="B1479" s="140"/>
      <c r="C1479" s="140"/>
      <c r="D1479" s="54"/>
      <c r="E1479" s="54"/>
      <c r="F1479" s="54"/>
      <c r="G1479" s="141"/>
      <c r="H1479" s="141"/>
      <c r="I1479" s="54"/>
      <c r="J1479" s="54"/>
      <c r="K1479" s="63"/>
      <c r="L1479" s="54"/>
      <c r="M1479" s="54"/>
    </row>
    <row r="1480">
      <c r="A1480" s="54"/>
      <c r="B1480" s="140"/>
      <c r="C1480" s="140"/>
      <c r="D1480" s="54"/>
      <c r="E1480" s="54"/>
      <c r="F1480" s="54"/>
      <c r="G1480" s="141"/>
      <c r="H1480" s="141"/>
      <c r="I1480" s="54"/>
      <c r="J1480" s="54"/>
      <c r="K1480" s="63"/>
      <c r="L1480" s="54"/>
      <c r="M1480" s="54"/>
    </row>
    <row r="1481">
      <c r="A1481" s="54"/>
      <c r="B1481" s="140"/>
      <c r="C1481" s="140"/>
      <c r="D1481" s="54"/>
      <c r="E1481" s="54"/>
      <c r="F1481" s="54"/>
      <c r="G1481" s="141"/>
      <c r="H1481" s="141"/>
      <c r="I1481" s="54"/>
      <c r="J1481" s="54"/>
      <c r="K1481" s="63"/>
      <c r="L1481" s="54"/>
      <c r="M1481" s="54"/>
    </row>
    <row r="1482">
      <c r="A1482" s="54"/>
      <c r="B1482" s="140"/>
      <c r="C1482" s="140"/>
      <c r="D1482" s="54"/>
      <c r="E1482" s="54"/>
      <c r="F1482" s="54"/>
      <c r="G1482" s="141"/>
      <c r="H1482" s="141"/>
      <c r="I1482" s="54"/>
      <c r="J1482" s="54"/>
      <c r="K1482" s="63"/>
      <c r="L1482" s="54"/>
      <c r="M1482" s="54"/>
    </row>
    <row r="1483">
      <c r="A1483" s="54"/>
      <c r="B1483" s="140"/>
      <c r="C1483" s="140"/>
      <c r="D1483" s="54"/>
      <c r="E1483" s="54"/>
      <c r="F1483" s="54"/>
      <c r="G1483" s="141"/>
      <c r="H1483" s="141"/>
      <c r="I1483" s="54"/>
      <c r="J1483" s="54"/>
      <c r="K1483" s="63"/>
      <c r="L1483" s="54"/>
      <c r="M1483" s="54"/>
    </row>
    <row r="1484">
      <c r="A1484" s="54"/>
      <c r="B1484" s="140"/>
      <c r="C1484" s="140"/>
      <c r="D1484" s="54"/>
      <c r="E1484" s="54"/>
      <c r="F1484" s="54"/>
      <c r="G1484" s="141"/>
      <c r="H1484" s="141"/>
      <c r="I1484" s="54"/>
      <c r="J1484" s="54"/>
      <c r="K1484" s="63"/>
      <c r="L1484" s="54"/>
      <c r="M1484" s="54"/>
    </row>
    <row r="1485">
      <c r="A1485" s="54"/>
      <c r="B1485" s="140"/>
      <c r="C1485" s="140"/>
      <c r="D1485" s="54"/>
      <c r="E1485" s="54"/>
      <c r="F1485" s="54"/>
      <c r="G1485" s="141"/>
      <c r="H1485" s="141"/>
      <c r="I1485" s="54"/>
      <c r="J1485" s="54"/>
      <c r="K1485" s="63"/>
      <c r="L1485" s="54"/>
      <c r="M1485" s="54"/>
    </row>
    <row r="1486">
      <c r="A1486" s="54"/>
      <c r="B1486" s="140"/>
      <c r="C1486" s="140"/>
      <c r="D1486" s="54"/>
      <c r="E1486" s="54"/>
      <c r="F1486" s="54"/>
      <c r="G1486" s="141"/>
      <c r="H1486" s="141"/>
      <c r="I1486" s="54"/>
      <c r="J1486" s="54"/>
      <c r="K1486" s="63"/>
      <c r="L1486" s="54"/>
      <c r="M1486" s="54"/>
    </row>
    <row r="1487">
      <c r="A1487" s="54"/>
      <c r="B1487" s="140"/>
      <c r="C1487" s="140"/>
      <c r="D1487" s="54"/>
      <c r="E1487" s="54"/>
      <c r="F1487" s="54"/>
      <c r="G1487" s="141"/>
      <c r="H1487" s="141"/>
      <c r="I1487" s="54"/>
      <c r="J1487" s="54"/>
      <c r="K1487" s="63"/>
      <c r="L1487" s="54"/>
      <c r="M1487" s="54"/>
    </row>
    <row r="1488">
      <c r="A1488" s="54"/>
      <c r="B1488" s="140"/>
      <c r="C1488" s="140"/>
      <c r="D1488" s="54"/>
      <c r="E1488" s="54"/>
      <c r="F1488" s="54"/>
      <c r="G1488" s="141"/>
      <c r="H1488" s="141"/>
      <c r="I1488" s="54"/>
      <c r="J1488" s="54"/>
      <c r="K1488" s="63"/>
      <c r="L1488" s="54"/>
      <c r="M1488" s="54"/>
    </row>
    <row r="1489">
      <c r="A1489" s="54"/>
      <c r="B1489" s="140"/>
      <c r="C1489" s="140"/>
      <c r="D1489" s="54"/>
      <c r="E1489" s="54"/>
      <c r="F1489" s="54"/>
      <c r="G1489" s="141"/>
      <c r="H1489" s="141"/>
      <c r="I1489" s="54"/>
      <c r="J1489" s="54"/>
      <c r="K1489" s="63"/>
      <c r="L1489" s="54"/>
      <c r="M1489" s="54"/>
    </row>
    <row r="1490">
      <c r="A1490" s="54"/>
      <c r="B1490" s="140"/>
      <c r="C1490" s="140"/>
      <c r="D1490" s="54"/>
      <c r="E1490" s="54"/>
      <c r="F1490" s="54"/>
      <c r="G1490" s="141"/>
      <c r="H1490" s="141"/>
      <c r="I1490" s="54"/>
      <c r="J1490" s="54"/>
      <c r="K1490" s="63"/>
      <c r="L1490" s="54"/>
      <c r="M1490" s="54"/>
    </row>
    <row r="1491">
      <c r="A1491" s="54"/>
      <c r="B1491" s="140"/>
      <c r="C1491" s="140"/>
      <c r="D1491" s="54"/>
      <c r="E1491" s="54"/>
      <c r="F1491" s="54"/>
      <c r="G1491" s="141"/>
      <c r="H1491" s="141"/>
      <c r="I1491" s="54"/>
      <c r="J1491" s="54"/>
      <c r="K1491" s="63"/>
      <c r="L1491" s="54"/>
      <c r="M1491" s="54"/>
    </row>
    <row r="1492">
      <c r="A1492" s="54"/>
      <c r="B1492" s="140"/>
      <c r="C1492" s="140"/>
      <c r="D1492" s="54"/>
      <c r="E1492" s="54"/>
      <c r="F1492" s="54"/>
      <c r="G1492" s="141"/>
      <c r="H1492" s="141"/>
      <c r="I1492" s="54"/>
      <c r="J1492" s="54"/>
      <c r="K1492" s="63"/>
      <c r="L1492" s="54"/>
      <c r="M1492" s="54"/>
    </row>
    <row r="1493">
      <c r="A1493" s="54"/>
      <c r="B1493" s="140"/>
      <c r="C1493" s="140"/>
      <c r="D1493" s="54"/>
      <c r="E1493" s="54"/>
      <c r="F1493" s="54"/>
      <c r="G1493" s="141"/>
      <c r="H1493" s="141"/>
      <c r="I1493" s="54"/>
      <c r="J1493" s="54"/>
      <c r="K1493" s="63"/>
      <c r="L1493" s="54"/>
      <c r="M1493" s="54"/>
    </row>
    <row r="1494">
      <c r="A1494" s="54"/>
      <c r="B1494" s="140"/>
      <c r="C1494" s="140"/>
      <c r="D1494" s="54"/>
      <c r="E1494" s="54"/>
      <c r="F1494" s="54"/>
      <c r="G1494" s="141"/>
      <c r="H1494" s="141"/>
      <c r="I1494" s="54"/>
      <c r="J1494" s="54"/>
      <c r="K1494" s="63"/>
      <c r="L1494" s="54"/>
      <c r="M1494" s="54"/>
    </row>
    <row r="1495">
      <c r="A1495" s="54"/>
      <c r="B1495" s="140"/>
      <c r="C1495" s="140"/>
      <c r="D1495" s="54"/>
      <c r="E1495" s="54"/>
      <c r="F1495" s="54"/>
      <c r="G1495" s="141"/>
      <c r="H1495" s="141"/>
      <c r="I1495" s="54"/>
      <c r="J1495" s="54"/>
      <c r="K1495" s="63"/>
      <c r="L1495" s="54"/>
      <c r="M1495" s="54"/>
    </row>
    <row r="1496">
      <c r="A1496" s="54"/>
      <c r="B1496" s="140"/>
      <c r="C1496" s="140"/>
      <c r="D1496" s="54"/>
      <c r="E1496" s="54"/>
      <c r="F1496" s="54"/>
      <c r="G1496" s="141"/>
      <c r="H1496" s="141"/>
      <c r="I1496" s="54"/>
      <c r="J1496" s="54"/>
      <c r="K1496" s="63"/>
      <c r="L1496" s="54"/>
      <c r="M1496" s="54"/>
    </row>
    <row r="1497">
      <c r="A1497" s="54"/>
      <c r="B1497" s="140"/>
      <c r="C1497" s="140"/>
      <c r="D1497" s="54"/>
      <c r="E1497" s="54"/>
      <c r="F1497" s="54"/>
      <c r="G1497" s="141"/>
      <c r="H1497" s="141"/>
      <c r="I1497" s="54"/>
      <c r="J1497" s="54"/>
      <c r="K1497" s="63"/>
      <c r="L1497" s="54"/>
      <c r="M1497" s="54"/>
    </row>
    <row r="1498">
      <c r="A1498" s="54"/>
      <c r="B1498" s="140"/>
      <c r="C1498" s="140"/>
      <c r="D1498" s="54"/>
      <c r="E1498" s="54"/>
      <c r="F1498" s="54"/>
      <c r="G1498" s="141"/>
      <c r="H1498" s="141"/>
      <c r="I1498" s="54"/>
      <c r="J1498" s="54"/>
      <c r="K1498" s="63"/>
      <c r="L1498" s="54"/>
      <c r="M1498" s="54"/>
    </row>
    <row r="1499">
      <c r="A1499" s="54"/>
      <c r="B1499" s="140"/>
      <c r="C1499" s="140"/>
      <c r="D1499" s="54"/>
      <c r="E1499" s="54"/>
      <c r="F1499" s="54"/>
      <c r="G1499" s="141"/>
      <c r="H1499" s="141"/>
      <c r="I1499" s="54"/>
      <c r="J1499" s="54"/>
      <c r="K1499" s="63"/>
      <c r="L1499" s="54"/>
      <c r="M1499" s="54"/>
    </row>
    <row r="1500">
      <c r="A1500" s="54"/>
      <c r="B1500" s="140"/>
      <c r="C1500" s="140"/>
      <c r="D1500" s="54"/>
      <c r="E1500" s="54"/>
      <c r="F1500" s="54"/>
      <c r="G1500" s="141"/>
      <c r="H1500" s="141"/>
      <c r="I1500" s="54"/>
      <c r="J1500" s="54"/>
      <c r="K1500" s="63"/>
      <c r="L1500" s="54"/>
      <c r="M1500" s="54"/>
    </row>
    <row r="1501">
      <c r="A1501" s="54"/>
      <c r="B1501" s="140"/>
      <c r="C1501" s="140"/>
      <c r="D1501" s="54"/>
      <c r="E1501" s="54"/>
      <c r="F1501" s="54"/>
      <c r="G1501" s="141"/>
      <c r="H1501" s="141"/>
      <c r="I1501" s="54"/>
      <c r="J1501" s="54"/>
      <c r="K1501" s="63"/>
      <c r="L1501" s="54"/>
      <c r="M1501" s="54"/>
    </row>
    <row r="1502">
      <c r="A1502" s="54"/>
      <c r="B1502" s="140"/>
      <c r="C1502" s="140"/>
      <c r="D1502" s="54"/>
      <c r="E1502" s="54"/>
      <c r="F1502" s="54"/>
      <c r="G1502" s="141"/>
      <c r="H1502" s="141"/>
      <c r="I1502" s="54"/>
      <c r="J1502" s="54"/>
      <c r="K1502" s="63"/>
      <c r="L1502" s="54"/>
      <c r="M1502" s="54"/>
    </row>
    <row r="1503">
      <c r="A1503" s="54"/>
      <c r="B1503" s="140"/>
      <c r="C1503" s="140"/>
      <c r="D1503" s="54"/>
      <c r="E1503" s="54"/>
      <c r="F1503" s="54"/>
      <c r="G1503" s="141"/>
      <c r="H1503" s="141"/>
      <c r="I1503" s="54"/>
      <c r="J1503" s="54"/>
      <c r="K1503" s="63"/>
      <c r="L1503" s="54"/>
      <c r="M1503" s="54"/>
    </row>
    <row r="1504">
      <c r="A1504" s="54"/>
      <c r="B1504" s="140"/>
      <c r="C1504" s="140"/>
      <c r="D1504" s="54"/>
      <c r="E1504" s="54"/>
      <c r="F1504" s="54"/>
      <c r="G1504" s="141"/>
      <c r="H1504" s="141"/>
      <c r="I1504" s="54"/>
      <c r="J1504" s="54"/>
      <c r="K1504" s="63"/>
      <c r="L1504" s="54"/>
      <c r="M1504" s="54"/>
    </row>
    <row r="1505">
      <c r="A1505" s="54"/>
      <c r="B1505" s="140"/>
      <c r="C1505" s="140"/>
      <c r="D1505" s="54"/>
      <c r="E1505" s="54"/>
      <c r="F1505" s="54"/>
      <c r="G1505" s="141"/>
      <c r="H1505" s="141"/>
      <c r="I1505" s="54"/>
      <c r="J1505" s="54"/>
      <c r="K1505" s="63"/>
      <c r="L1505" s="54"/>
      <c r="M1505" s="54"/>
    </row>
    <row r="1506">
      <c r="A1506" s="54"/>
      <c r="B1506" s="140"/>
      <c r="C1506" s="140"/>
      <c r="D1506" s="54"/>
      <c r="E1506" s="54"/>
      <c r="F1506" s="54"/>
      <c r="G1506" s="141"/>
      <c r="H1506" s="141"/>
      <c r="I1506" s="54"/>
      <c r="J1506" s="54"/>
      <c r="K1506" s="63"/>
      <c r="L1506" s="54"/>
      <c r="M1506" s="54"/>
    </row>
    <row r="1507">
      <c r="A1507" s="54"/>
      <c r="B1507" s="140"/>
      <c r="C1507" s="140"/>
      <c r="D1507" s="54"/>
      <c r="E1507" s="54"/>
      <c r="F1507" s="54"/>
      <c r="G1507" s="141"/>
      <c r="H1507" s="141"/>
      <c r="I1507" s="54"/>
      <c r="J1507" s="54"/>
      <c r="K1507" s="63"/>
      <c r="L1507" s="54"/>
      <c r="M1507" s="54"/>
    </row>
    <row r="1508">
      <c r="A1508" s="54"/>
      <c r="B1508" s="140"/>
      <c r="C1508" s="140"/>
      <c r="D1508" s="54"/>
      <c r="E1508" s="54"/>
      <c r="F1508" s="54"/>
      <c r="G1508" s="141"/>
      <c r="H1508" s="141"/>
      <c r="I1508" s="54"/>
      <c r="J1508" s="54"/>
      <c r="K1508" s="63"/>
      <c r="L1508" s="54"/>
      <c r="M1508" s="54"/>
    </row>
    <row r="1509">
      <c r="A1509" s="54"/>
      <c r="B1509" s="140"/>
      <c r="C1509" s="140"/>
      <c r="D1509" s="54"/>
      <c r="E1509" s="54"/>
      <c r="F1509" s="54"/>
      <c r="G1509" s="141"/>
      <c r="H1509" s="141"/>
      <c r="I1509" s="54"/>
      <c r="J1509" s="54"/>
      <c r="K1509" s="63"/>
      <c r="L1509" s="54"/>
      <c r="M1509" s="54"/>
    </row>
    <row r="1510">
      <c r="A1510" s="54"/>
      <c r="B1510" s="140"/>
      <c r="C1510" s="140"/>
      <c r="D1510" s="54"/>
      <c r="E1510" s="54"/>
      <c r="F1510" s="54"/>
      <c r="G1510" s="141"/>
      <c r="H1510" s="141"/>
      <c r="I1510" s="54"/>
      <c r="J1510" s="54"/>
      <c r="K1510" s="63"/>
      <c r="L1510" s="54"/>
      <c r="M1510" s="54"/>
    </row>
    <row r="1511">
      <c r="A1511" s="54"/>
      <c r="B1511" s="140"/>
      <c r="C1511" s="140"/>
      <c r="D1511" s="54"/>
      <c r="E1511" s="54"/>
      <c r="F1511" s="54"/>
      <c r="G1511" s="141"/>
      <c r="H1511" s="141"/>
      <c r="I1511" s="54"/>
      <c r="J1511" s="54"/>
      <c r="K1511" s="63"/>
      <c r="L1511" s="54"/>
      <c r="M1511" s="54"/>
    </row>
    <row r="1512">
      <c r="A1512" s="54"/>
      <c r="B1512" s="140"/>
      <c r="C1512" s="140"/>
      <c r="D1512" s="54"/>
      <c r="E1512" s="54"/>
      <c r="F1512" s="54"/>
      <c r="G1512" s="141"/>
      <c r="H1512" s="141"/>
      <c r="I1512" s="54"/>
      <c r="J1512" s="54"/>
      <c r="K1512" s="63"/>
      <c r="L1512" s="54"/>
      <c r="M1512" s="54"/>
    </row>
    <row r="1513">
      <c r="A1513" s="54"/>
      <c r="B1513" s="140"/>
      <c r="C1513" s="140"/>
      <c r="D1513" s="54"/>
      <c r="E1513" s="54"/>
      <c r="F1513" s="54"/>
      <c r="G1513" s="141"/>
      <c r="H1513" s="141"/>
      <c r="I1513" s="54"/>
      <c r="J1513" s="54"/>
      <c r="K1513" s="63"/>
      <c r="L1513" s="54"/>
      <c r="M1513" s="54"/>
    </row>
    <row r="1514">
      <c r="A1514" s="54"/>
      <c r="B1514" s="140"/>
      <c r="C1514" s="140"/>
      <c r="D1514" s="54"/>
      <c r="E1514" s="54"/>
      <c r="F1514" s="54"/>
      <c r="G1514" s="141"/>
      <c r="H1514" s="141"/>
      <c r="I1514" s="54"/>
      <c r="J1514" s="54"/>
      <c r="K1514" s="63"/>
      <c r="L1514" s="54"/>
      <c r="M1514" s="54"/>
    </row>
    <row r="1515">
      <c r="A1515" s="54"/>
      <c r="B1515" s="140"/>
      <c r="C1515" s="140"/>
      <c r="D1515" s="54"/>
      <c r="E1515" s="54"/>
      <c r="F1515" s="54"/>
      <c r="G1515" s="141"/>
      <c r="H1515" s="141"/>
      <c r="I1515" s="54"/>
      <c r="J1515" s="54"/>
      <c r="K1515" s="63"/>
      <c r="L1515" s="54"/>
      <c r="M1515" s="54"/>
    </row>
    <row r="1516">
      <c r="A1516" s="54"/>
      <c r="B1516" s="140"/>
      <c r="C1516" s="140"/>
      <c r="D1516" s="54"/>
      <c r="E1516" s="54"/>
      <c r="F1516" s="54"/>
      <c r="G1516" s="141"/>
      <c r="H1516" s="141"/>
      <c r="I1516" s="54"/>
      <c r="J1516" s="54"/>
      <c r="K1516" s="63"/>
      <c r="L1516" s="54"/>
      <c r="M1516" s="54"/>
    </row>
    <row r="1517">
      <c r="A1517" s="54"/>
      <c r="B1517" s="140"/>
      <c r="C1517" s="140"/>
      <c r="D1517" s="54"/>
      <c r="E1517" s="54"/>
      <c r="F1517" s="54"/>
      <c r="G1517" s="141"/>
      <c r="H1517" s="141"/>
      <c r="I1517" s="54"/>
      <c r="J1517" s="54"/>
      <c r="K1517" s="63"/>
      <c r="L1517" s="54"/>
      <c r="M1517" s="54"/>
    </row>
    <row r="1518">
      <c r="A1518" s="54"/>
      <c r="B1518" s="140"/>
      <c r="C1518" s="140"/>
      <c r="D1518" s="54"/>
      <c r="E1518" s="54"/>
      <c r="F1518" s="54"/>
      <c r="G1518" s="141"/>
      <c r="H1518" s="141"/>
      <c r="I1518" s="54"/>
      <c r="J1518" s="54"/>
      <c r="K1518" s="63"/>
      <c r="L1518" s="54"/>
      <c r="M1518" s="54"/>
    </row>
    <row r="1519">
      <c r="A1519" s="54"/>
      <c r="B1519" s="140"/>
      <c r="C1519" s="140"/>
      <c r="D1519" s="54"/>
      <c r="E1519" s="54"/>
      <c r="F1519" s="54"/>
      <c r="G1519" s="141"/>
      <c r="H1519" s="141"/>
      <c r="I1519" s="54"/>
      <c r="J1519" s="54"/>
      <c r="K1519" s="63"/>
      <c r="L1519" s="54"/>
      <c r="M1519" s="54"/>
    </row>
    <row r="1520">
      <c r="A1520" s="54"/>
      <c r="B1520" s="140"/>
      <c r="C1520" s="140"/>
      <c r="D1520" s="54"/>
      <c r="E1520" s="54"/>
      <c r="F1520" s="54"/>
      <c r="G1520" s="141"/>
      <c r="H1520" s="141"/>
      <c r="I1520" s="54"/>
      <c r="J1520" s="54"/>
      <c r="K1520" s="63"/>
      <c r="L1520" s="54"/>
      <c r="M1520" s="54"/>
    </row>
    <row r="1521">
      <c r="A1521" s="54"/>
      <c r="B1521" s="140"/>
      <c r="C1521" s="140"/>
      <c r="D1521" s="54"/>
      <c r="E1521" s="54"/>
      <c r="F1521" s="54"/>
      <c r="G1521" s="141"/>
      <c r="H1521" s="141"/>
      <c r="I1521" s="54"/>
      <c r="J1521" s="54"/>
      <c r="K1521" s="63"/>
      <c r="L1521" s="54"/>
      <c r="M1521" s="54"/>
    </row>
    <row r="1522">
      <c r="A1522" s="54"/>
      <c r="B1522" s="140"/>
      <c r="C1522" s="140"/>
      <c r="D1522" s="54"/>
      <c r="E1522" s="54"/>
      <c r="F1522" s="54"/>
      <c r="G1522" s="141"/>
      <c r="H1522" s="141"/>
      <c r="I1522" s="54"/>
      <c r="J1522" s="54"/>
      <c r="K1522" s="63"/>
      <c r="L1522" s="54"/>
      <c r="M1522" s="54"/>
    </row>
    <row r="1523">
      <c r="A1523" s="54"/>
      <c r="B1523" s="140"/>
      <c r="C1523" s="140"/>
      <c r="D1523" s="54"/>
      <c r="E1523" s="54"/>
      <c r="F1523" s="54"/>
      <c r="G1523" s="141"/>
      <c r="H1523" s="141"/>
      <c r="I1523" s="54"/>
      <c r="J1523" s="54"/>
      <c r="K1523" s="63"/>
      <c r="L1523" s="54"/>
      <c r="M1523" s="54"/>
    </row>
    <row r="1524">
      <c r="A1524" s="54"/>
      <c r="B1524" s="140"/>
      <c r="C1524" s="140"/>
      <c r="D1524" s="54"/>
      <c r="E1524" s="54"/>
      <c r="F1524" s="54"/>
      <c r="G1524" s="141"/>
      <c r="H1524" s="141"/>
      <c r="I1524" s="54"/>
      <c r="J1524" s="54"/>
      <c r="K1524" s="63"/>
      <c r="L1524" s="54"/>
      <c r="M1524" s="54"/>
    </row>
    <row r="1525">
      <c r="A1525" s="54"/>
      <c r="B1525" s="140"/>
      <c r="C1525" s="140"/>
      <c r="D1525" s="54"/>
      <c r="E1525" s="54"/>
      <c r="F1525" s="54"/>
      <c r="G1525" s="141"/>
      <c r="H1525" s="141"/>
      <c r="I1525" s="54"/>
      <c r="J1525" s="54"/>
      <c r="K1525" s="63"/>
      <c r="L1525" s="54"/>
      <c r="M1525" s="54"/>
    </row>
    <row r="1526">
      <c r="A1526" s="54"/>
      <c r="B1526" s="140"/>
      <c r="C1526" s="140"/>
      <c r="D1526" s="54"/>
      <c r="E1526" s="54"/>
      <c r="F1526" s="54"/>
      <c r="G1526" s="141"/>
      <c r="H1526" s="141"/>
      <c r="I1526" s="54"/>
      <c r="J1526" s="54"/>
      <c r="K1526" s="63"/>
      <c r="L1526" s="54"/>
      <c r="M1526" s="54"/>
    </row>
    <row r="1527">
      <c r="A1527" s="54"/>
      <c r="B1527" s="140"/>
      <c r="C1527" s="140"/>
      <c r="D1527" s="54"/>
      <c r="E1527" s="54"/>
      <c r="F1527" s="54"/>
      <c r="G1527" s="141"/>
      <c r="H1527" s="141"/>
      <c r="I1527" s="54"/>
      <c r="J1527" s="54"/>
      <c r="K1527" s="63"/>
      <c r="L1527" s="54"/>
      <c r="M1527" s="54"/>
    </row>
    <row r="1528">
      <c r="A1528" s="54"/>
      <c r="B1528" s="140"/>
      <c r="C1528" s="140"/>
      <c r="D1528" s="54"/>
      <c r="E1528" s="54"/>
      <c r="F1528" s="54"/>
      <c r="G1528" s="141"/>
      <c r="H1528" s="141"/>
      <c r="I1528" s="54"/>
      <c r="J1528" s="54"/>
      <c r="K1528" s="63"/>
      <c r="L1528" s="54"/>
      <c r="M1528" s="54"/>
    </row>
    <row r="1529">
      <c r="A1529" s="54"/>
      <c r="B1529" s="140"/>
      <c r="C1529" s="140"/>
      <c r="D1529" s="54"/>
      <c r="E1529" s="54"/>
      <c r="F1529" s="54"/>
      <c r="G1529" s="141"/>
      <c r="H1529" s="141"/>
      <c r="I1529" s="54"/>
      <c r="J1529" s="54"/>
      <c r="K1529" s="63"/>
      <c r="L1529" s="54"/>
      <c r="M1529" s="54"/>
    </row>
    <row r="1530">
      <c r="A1530" s="54"/>
      <c r="B1530" s="140"/>
      <c r="C1530" s="140"/>
      <c r="D1530" s="54"/>
      <c r="E1530" s="54"/>
      <c r="F1530" s="54"/>
      <c r="G1530" s="141"/>
      <c r="H1530" s="141"/>
      <c r="I1530" s="54"/>
      <c r="J1530" s="54"/>
      <c r="K1530" s="63"/>
      <c r="L1530" s="54"/>
      <c r="M1530" s="54"/>
    </row>
    <row r="1531">
      <c r="A1531" s="54"/>
      <c r="B1531" s="140"/>
      <c r="C1531" s="140"/>
      <c r="D1531" s="54"/>
      <c r="E1531" s="54"/>
      <c r="F1531" s="54"/>
      <c r="G1531" s="141"/>
      <c r="H1531" s="141"/>
      <c r="I1531" s="54"/>
      <c r="J1531" s="54"/>
      <c r="K1531" s="63"/>
      <c r="L1531" s="54"/>
      <c r="M1531" s="54"/>
    </row>
    <row r="1532">
      <c r="A1532" s="54"/>
      <c r="B1532" s="140"/>
      <c r="C1532" s="140"/>
      <c r="D1532" s="54"/>
      <c r="E1532" s="54"/>
      <c r="F1532" s="54"/>
      <c r="G1532" s="141"/>
      <c r="H1532" s="141"/>
      <c r="I1532" s="54"/>
      <c r="J1532" s="54"/>
      <c r="K1532" s="63"/>
      <c r="L1532" s="54"/>
      <c r="M1532" s="54"/>
    </row>
    <row r="1533">
      <c r="A1533" s="54"/>
      <c r="B1533" s="140"/>
      <c r="C1533" s="140"/>
      <c r="D1533" s="54"/>
      <c r="E1533" s="54"/>
      <c r="F1533" s="54"/>
      <c r="G1533" s="141"/>
      <c r="H1533" s="141"/>
      <c r="I1533" s="54"/>
      <c r="J1533" s="54"/>
      <c r="K1533" s="63"/>
      <c r="L1533" s="54"/>
      <c r="M1533" s="54"/>
    </row>
    <row r="1534">
      <c r="A1534" s="54"/>
      <c r="B1534" s="140"/>
      <c r="C1534" s="140"/>
      <c r="D1534" s="54"/>
      <c r="E1534" s="54"/>
      <c r="F1534" s="54"/>
      <c r="G1534" s="141"/>
      <c r="H1534" s="141"/>
      <c r="I1534" s="54"/>
      <c r="J1534" s="54"/>
      <c r="K1534" s="63"/>
      <c r="L1534" s="54"/>
      <c r="M1534" s="54"/>
    </row>
    <row r="1535">
      <c r="A1535" s="54"/>
      <c r="B1535" s="140"/>
      <c r="C1535" s="140"/>
      <c r="D1535" s="54"/>
      <c r="E1535" s="54"/>
      <c r="F1535" s="54"/>
      <c r="G1535" s="141"/>
      <c r="H1535" s="141"/>
      <c r="I1535" s="54"/>
      <c r="J1535" s="54"/>
      <c r="K1535" s="63"/>
      <c r="L1535" s="54"/>
      <c r="M1535" s="54"/>
    </row>
    <row r="1536">
      <c r="A1536" s="54"/>
      <c r="B1536" s="140"/>
      <c r="C1536" s="140"/>
      <c r="D1536" s="54"/>
      <c r="E1536" s="54"/>
      <c r="F1536" s="54"/>
      <c r="G1536" s="141"/>
      <c r="H1536" s="141"/>
      <c r="I1536" s="54"/>
      <c r="J1536" s="54"/>
      <c r="K1536" s="63"/>
      <c r="L1536" s="54"/>
      <c r="M1536" s="54"/>
    </row>
    <row r="1537">
      <c r="A1537" s="54"/>
      <c r="B1537" s="140"/>
      <c r="C1537" s="140"/>
      <c r="D1537" s="54"/>
      <c r="E1537" s="54"/>
      <c r="F1537" s="54"/>
      <c r="G1537" s="141"/>
      <c r="H1537" s="141"/>
      <c r="I1537" s="54"/>
      <c r="J1537" s="54"/>
      <c r="K1537" s="63"/>
      <c r="L1537" s="54"/>
      <c r="M1537" s="54"/>
    </row>
    <row r="1538">
      <c r="A1538" s="54"/>
      <c r="B1538" s="140"/>
      <c r="C1538" s="140"/>
      <c r="D1538" s="54"/>
      <c r="E1538" s="54"/>
      <c r="F1538" s="54"/>
      <c r="G1538" s="141"/>
      <c r="H1538" s="141"/>
      <c r="I1538" s="54"/>
      <c r="J1538" s="54"/>
      <c r="K1538" s="63"/>
      <c r="L1538" s="54"/>
      <c r="M1538" s="54"/>
    </row>
    <row r="1539">
      <c r="A1539" s="54"/>
      <c r="B1539" s="140"/>
      <c r="C1539" s="140"/>
      <c r="D1539" s="54"/>
      <c r="E1539" s="54"/>
      <c r="F1539" s="54"/>
      <c r="G1539" s="141"/>
      <c r="H1539" s="141"/>
      <c r="I1539" s="54"/>
      <c r="J1539" s="54"/>
      <c r="K1539" s="63"/>
      <c r="L1539" s="54"/>
      <c r="M1539" s="54"/>
    </row>
    <row r="1540">
      <c r="A1540" s="54"/>
      <c r="B1540" s="140"/>
      <c r="C1540" s="140"/>
      <c r="D1540" s="54"/>
      <c r="E1540" s="54"/>
      <c r="F1540" s="54"/>
      <c r="G1540" s="141"/>
      <c r="H1540" s="141"/>
      <c r="I1540" s="54"/>
      <c r="J1540" s="54"/>
      <c r="K1540" s="63"/>
      <c r="L1540" s="54"/>
      <c r="M1540" s="54"/>
    </row>
    <row r="1541">
      <c r="A1541" s="54"/>
      <c r="B1541" s="140"/>
      <c r="C1541" s="140"/>
      <c r="D1541" s="54"/>
      <c r="E1541" s="54"/>
      <c r="F1541" s="54"/>
      <c r="G1541" s="141"/>
      <c r="H1541" s="141"/>
      <c r="I1541" s="54"/>
      <c r="J1541" s="54"/>
      <c r="K1541" s="63"/>
      <c r="L1541" s="54"/>
      <c r="M1541" s="54"/>
    </row>
    <row r="1542">
      <c r="A1542" s="54"/>
      <c r="B1542" s="140"/>
      <c r="C1542" s="140"/>
      <c r="D1542" s="54"/>
      <c r="E1542" s="54"/>
      <c r="F1542" s="54"/>
      <c r="G1542" s="141"/>
      <c r="H1542" s="141"/>
      <c r="I1542" s="54"/>
      <c r="J1542" s="54"/>
      <c r="K1542" s="63"/>
      <c r="L1542" s="54"/>
      <c r="M1542" s="54"/>
    </row>
    <row r="1543">
      <c r="A1543" s="54"/>
      <c r="B1543" s="140"/>
      <c r="C1543" s="140"/>
      <c r="D1543" s="54"/>
      <c r="E1543" s="54"/>
      <c r="F1543" s="54"/>
      <c r="G1543" s="141"/>
      <c r="H1543" s="141"/>
      <c r="I1543" s="54"/>
      <c r="J1543" s="54"/>
      <c r="K1543" s="63"/>
      <c r="L1543" s="54"/>
      <c r="M1543" s="54"/>
    </row>
    <row r="1544">
      <c r="A1544" s="54"/>
      <c r="B1544" s="140"/>
      <c r="C1544" s="140"/>
      <c r="D1544" s="54"/>
      <c r="E1544" s="54"/>
      <c r="F1544" s="54"/>
      <c r="G1544" s="141"/>
      <c r="H1544" s="141"/>
      <c r="I1544" s="54"/>
      <c r="J1544" s="54"/>
      <c r="K1544" s="63"/>
      <c r="L1544" s="54"/>
      <c r="M1544" s="54"/>
    </row>
    <row r="1545">
      <c r="A1545" s="54"/>
      <c r="B1545" s="140"/>
      <c r="C1545" s="140"/>
      <c r="D1545" s="54"/>
      <c r="E1545" s="54"/>
      <c r="F1545" s="54"/>
      <c r="G1545" s="141"/>
      <c r="H1545" s="141"/>
      <c r="I1545" s="54"/>
      <c r="J1545" s="54"/>
      <c r="K1545" s="63"/>
      <c r="L1545" s="54"/>
      <c r="M1545" s="54"/>
    </row>
    <row r="1546">
      <c r="A1546" s="54"/>
      <c r="B1546" s="140"/>
      <c r="C1546" s="140"/>
      <c r="D1546" s="54"/>
      <c r="E1546" s="54"/>
      <c r="F1546" s="54"/>
      <c r="G1546" s="141"/>
      <c r="H1546" s="141"/>
      <c r="I1546" s="54"/>
      <c r="J1546" s="54"/>
      <c r="K1546" s="63"/>
      <c r="L1546" s="54"/>
      <c r="M1546" s="54"/>
    </row>
    <row r="1547">
      <c r="A1547" s="54"/>
      <c r="B1547" s="140"/>
      <c r="C1547" s="140"/>
      <c r="D1547" s="54"/>
      <c r="E1547" s="54"/>
      <c r="F1547" s="54"/>
      <c r="G1547" s="141"/>
      <c r="H1547" s="141"/>
      <c r="I1547" s="54"/>
      <c r="J1547" s="54"/>
      <c r="K1547" s="63"/>
      <c r="L1547" s="54"/>
      <c r="M1547" s="54"/>
    </row>
    <row r="1548">
      <c r="A1548" s="54"/>
      <c r="B1548" s="140"/>
      <c r="C1548" s="140"/>
      <c r="D1548" s="54"/>
      <c r="E1548" s="54"/>
      <c r="F1548" s="54"/>
      <c r="G1548" s="141"/>
      <c r="H1548" s="141"/>
      <c r="I1548" s="54"/>
      <c r="J1548" s="54"/>
      <c r="K1548" s="63"/>
      <c r="L1548" s="54"/>
      <c r="M1548" s="54"/>
    </row>
    <row r="1549">
      <c r="A1549" s="54"/>
      <c r="B1549" s="140"/>
      <c r="C1549" s="140"/>
      <c r="D1549" s="54"/>
      <c r="E1549" s="54"/>
      <c r="F1549" s="54"/>
      <c r="G1549" s="141"/>
      <c r="H1549" s="141"/>
      <c r="I1549" s="54"/>
      <c r="J1549" s="54"/>
      <c r="K1549" s="63"/>
      <c r="L1549" s="54"/>
      <c r="M1549" s="54"/>
    </row>
    <row r="1550">
      <c r="A1550" s="54"/>
      <c r="B1550" s="140"/>
      <c r="C1550" s="140"/>
      <c r="D1550" s="54"/>
      <c r="E1550" s="54"/>
      <c r="F1550" s="54"/>
      <c r="G1550" s="141"/>
      <c r="H1550" s="141"/>
      <c r="I1550" s="54"/>
      <c r="J1550" s="54"/>
      <c r="K1550" s="63"/>
      <c r="L1550" s="54"/>
      <c r="M1550" s="54"/>
    </row>
    <row r="1551">
      <c r="A1551" s="54"/>
      <c r="B1551" s="140"/>
      <c r="C1551" s="140"/>
      <c r="D1551" s="54"/>
      <c r="E1551" s="54"/>
      <c r="F1551" s="54"/>
      <c r="G1551" s="141"/>
      <c r="H1551" s="141"/>
      <c r="I1551" s="54"/>
      <c r="J1551" s="54"/>
      <c r="K1551" s="63"/>
      <c r="L1551" s="54"/>
      <c r="M1551" s="54"/>
    </row>
    <row r="1552">
      <c r="A1552" s="54"/>
      <c r="B1552" s="140"/>
      <c r="C1552" s="140"/>
      <c r="D1552" s="54"/>
      <c r="E1552" s="54"/>
      <c r="F1552" s="54"/>
      <c r="G1552" s="141"/>
      <c r="H1552" s="141"/>
      <c r="I1552" s="54"/>
      <c r="J1552" s="54"/>
      <c r="K1552" s="63"/>
      <c r="L1552" s="54"/>
      <c r="M1552" s="54"/>
    </row>
    <row r="1553">
      <c r="A1553" s="54"/>
      <c r="B1553" s="140"/>
      <c r="C1553" s="140"/>
      <c r="D1553" s="54"/>
      <c r="E1553" s="54"/>
      <c r="F1553" s="54"/>
      <c r="G1553" s="141"/>
      <c r="H1553" s="141"/>
      <c r="I1553" s="54"/>
      <c r="J1553" s="54"/>
      <c r="K1553" s="63"/>
      <c r="L1553" s="54"/>
      <c r="M1553" s="54"/>
    </row>
    <row r="1554">
      <c r="A1554" s="54"/>
      <c r="B1554" s="140"/>
      <c r="C1554" s="140"/>
      <c r="D1554" s="54"/>
      <c r="E1554" s="54"/>
      <c r="F1554" s="54"/>
      <c r="G1554" s="141"/>
      <c r="H1554" s="141"/>
      <c r="I1554" s="54"/>
      <c r="J1554" s="54"/>
      <c r="K1554" s="63"/>
      <c r="L1554" s="54"/>
      <c r="M1554" s="54"/>
    </row>
    <row r="1555">
      <c r="A1555" s="54"/>
      <c r="B1555" s="140"/>
      <c r="C1555" s="140"/>
      <c r="D1555" s="54"/>
      <c r="E1555" s="54"/>
      <c r="F1555" s="54"/>
      <c r="G1555" s="141"/>
      <c r="H1555" s="141"/>
      <c r="I1555" s="54"/>
      <c r="J1555" s="54"/>
      <c r="K1555" s="63"/>
      <c r="L1555" s="54"/>
      <c r="M1555" s="54"/>
    </row>
    <row r="1556">
      <c r="A1556" s="54"/>
      <c r="B1556" s="140"/>
      <c r="C1556" s="140"/>
      <c r="D1556" s="54"/>
      <c r="E1556" s="54"/>
      <c r="F1556" s="54"/>
      <c r="G1556" s="141"/>
      <c r="H1556" s="141"/>
      <c r="I1556" s="54"/>
      <c r="J1556" s="54"/>
      <c r="K1556" s="63"/>
      <c r="L1556" s="54"/>
      <c r="M1556" s="54"/>
    </row>
    <row r="1557">
      <c r="A1557" s="54"/>
      <c r="B1557" s="140"/>
      <c r="C1557" s="140"/>
      <c r="D1557" s="54"/>
      <c r="E1557" s="54"/>
      <c r="F1557" s="54"/>
      <c r="G1557" s="141"/>
      <c r="H1557" s="141"/>
      <c r="I1557" s="54"/>
      <c r="J1557" s="54"/>
      <c r="K1557" s="63"/>
      <c r="L1557" s="54"/>
      <c r="M1557" s="54"/>
    </row>
    <row r="1558">
      <c r="A1558" s="54"/>
      <c r="B1558" s="140"/>
      <c r="C1558" s="140"/>
      <c r="D1558" s="54"/>
      <c r="E1558" s="54"/>
      <c r="F1558" s="54"/>
      <c r="G1558" s="141"/>
      <c r="H1558" s="141"/>
      <c r="I1558" s="54"/>
      <c r="J1558" s="54"/>
      <c r="K1558" s="63"/>
      <c r="L1558" s="54"/>
      <c r="M1558" s="54"/>
    </row>
    <row r="1559">
      <c r="A1559" s="54"/>
      <c r="B1559" s="140"/>
      <c r="C1559" s="140"/>
      <c r="D1559" s="54"/>
      <c r="E1559" s="54"/>
      <c r="F1559" s="54"/>
      <c r="G1559" s="141"/>
      <c r="H1559" s="141"/>
      <c r="I1559" s="54"/>
      <c r="J1559" s="54"/>
      <c r="K1559" s="63"/>
      <c r="L1559" s="54"/>
      <c r="M1559" s="54"/>
    </row>
    <row r="1560">
      <c r="A1560" s="54"/>
      <c r="B1560" s="140"/>
      <c r="C1560" s="140"/>
      <c r="D1560" s="54"/>
      <c r="E1560" s="54"/>
      <c r="F1560" s="54"/>
      <c r="G1560" s="141"/>
      <c r="H1560" s="141"/>
      <c r="I1560" s="54"/>
      <c r="J1560" s="54"/>
      <c r="K1560" s="63"/>
      <c r="L1560" s="54"/>
      <c r="M1560" s="54"/>
    </row>
    <row r="1561">
      <c r="A1561" s="54"/>
      <c r="B1561" s="140"/>
      <c r="C1561" s="140"/>
      <c r="D1561" s="54"/>
      <c r="E1561" s="54"/>
      <c r="F1561" s="54"/>
      <c r="G1561" s="141"/>
      <c r="H1561" s="141"/>
      <c r="I1561" s="54"/>
      <c r="J1561" s="54"/>
      <c r="K1561" s="63"/>
      <c r="L1561" s="54"/>
      <c r="M1561" s="54"/>
    </row>
    <row r="1562">
      <c r="A1562" s="54"/>
      <c r="B1562" s="140"/>
      <c r="C1562" s="140"/>
      <c r="D1562" s="54"/>
      <c r="E1562" s="54"/>
      <c r="F1562" s="54"/>
      <c r="G1562" s="141"/>
      <c r="H1562" s="141"/>
      <c r="I1562" s="54"/>
      <c r="J1562" s="54"/>
      <c r="K1562" s="63"/>
      <c r="L1562" s="54"/>
      <c r="M1562" s="54"/>
    </row>
    <row r="1563">
      <c r="A1563" s="54"/>
      <c r="B1563" s="140"/>
      <c r="C1563" s="140"/>
      <c r="D1563" s="54"/>
      <c r="E1563" s="54"/>
      <c r="F1563" s="54"/>
      <c r="G1563" s="141"/>
      <c r="H1563" s="141"/>
      <c r="I1563" s="54"/>
      <c r="J1563" s="54"/>
      <c r="K1563" s="63"/>
      <c r="L1563" s="54"/>
      <c r="M1563" s="54"/>
    </row>
    <row r="1564">
      <c r="A1564" s="54"/>
      <c r="B1564" s="140"/>
      <c r="C1564" s="140"/>
      <c r="D1564" s="54"/>
      <c r="E1564" s="54"/>
      <c r="F1564" s="54"/>
      <c r="G1564" s="141"/>
      <c r="H1564" s="141"/>
      <c r="I1564" s="54"/>
      <c r="J1564" s="54"/>
      <c r="K1564" s="63"/>
      <c r="L1564" s="54"/>
      <c r="M1564" s="54"/>
    </row>
    <row r="1565">
      <c r="A1565" s="54"/>
      <c r="B1565" s="140"/>
      <c r="C1565" s="140"/>
      <c r="D1565" s="54"/>
      <c r="E1565" s="54"/>
      <c r="F1565" s="54"/>
      <c r="G1565" s="141"/>
      <c r="H1565" s="141"/>
      <c r="I1565" s="54"/>
      <c r="J1565" s="54"/>
      <c r="K1565" s="63"/>
      <c r="L1565" s="54"/>
      <c r="M1565" s="54"/>
    </row>
    <row r="1566">
      <c r="A1566" s="54"/>
      <c r="B1566" s="140"/>
      <c r="C1566" s="140"/>
      <c r="D1566" s="54"/>
      <c r="E1566" s="54"/>
      <c r="F1566" s="54"/>
      <c r="G1566" s="141"/>
      <c r="H1566" s="141"/>
      <c r="I1566" s="54"/>
      <c r="J1566" s="54"/>
      <c r="K1566" s="63"/>
      <c r="L1566" s="54"/>
      <c r="M1566" s="54"/>
    </row>
    <row r="1567">
      <c r="A1567" s="54"/>
      <c r="B1567" s="140"/>
      <c r="C1567" s="140"/>
      <c r="D1567" s="54"/>
      <c r="E1567" s="54"/>
      <c r="F1567" s="54"/>
      <c r="G1567" s="141"/>
      <c r="H1567" s="141"/>
      <c r="I1567" s="54"/>
      <c r="J1567" s="54"/>
      <c r="K1567" s="63"/>
      <c r="L1567" s="54"/>
      <c r="M1567" s="54"/>
    </row>
    <row r="1568">
      <c r="A1568" s="54"/>
      <c r="B1568" s="140"/>
      <c r="C1568" s="140"/>
      <c r="D1568" s="54"/>
      <c r="E1568" s="54"/>
      <c r="F1568" s="54"/>
      <c r="G1568" s="141"/>
      <c r="H1568" s="141"/>
      <c r="I1568" s="54"/>
      <c r="J1568" s="54"/>
      <c r="K1568" s="63"/>
      <c r="L1568" s="54"/>
      <c r="M1568" s="54"/>
    </row>
    <row r="1569">
      <c r="A1569" s="54"/>
      <c r="B1569" s="140"/>
      <c r="C1569" s="140"/>
      <c r="D1569" s="54"/>
      <c r="E1569" s="54"/>
      <c r="F1569" s="54"/>
      <c r="G1569" s="141"/>
      <c r="H1569" s="141"/>
      <c r="I1569" s="54"/>
      <c r="J1569" s="54"/>
      <c r="K1569" s="63"/>
      <c r="L1569" s="54"/>
      <c r="M1569" s="54"/>
    </row>
    <row r="1570">
      <c r="A1570" s="54"/>
      <c r="B1570" s="140"/>
      <c r="C1570" s="140"/>
      <c r="D1570" s="54"/>
      <c r="E1570" s="54"/>
      <c r="F1570" s="54"/>
      <c r="G1570" s="141"/>
      <c r="H1570" s="141"/>
      <c r="I1570" s="54"/>
      <c r="J1570" s="54"/>
      <c r="K1570" s="63"/>
      <c r="L1570" s="54"/>
      <c r="M1570" s="54"/>
    </row>
    <row r="1571">
      <c r="A1571" s="54"/>
      <c r="B1571" s="140"/>
      <c r="C1571" s="140"/>
      <c r="D1571" s="54"/>
      <c r="E1571" s="54"/>
      <c r="F1571" s="54"/>
      <c r="G1571" s="141"/>
      <c r="H1571" s="141"/>
      <c r="I1571" s="54"/>
      <c r="J1571" s="54"/>
      <c r="K1571" s="63"/>
      <c r="L1571" s="54"/>
      <c r="M1571" s="54"/>
    </row>
    <row r="1572">
      <c r="A1572" s="54"/>
      <c r="B1572" s="140"/>
      <c r="C1572" s="140"/>
      <c r="D1572" s="54"/>
      <c r="E1572" s="54"/>
      <c r="F1572" s="54"/>
      <c r="G1572" s="141"/>
      <c r="H1572" s="141"/>
      <c r="I1572" s="54"/>
      <c r="J1572" s="54"/>
      <c r="K1572" s="63"/>
      <c r="L1572" s="54"/>
      <c r="M1572" s="54"/>
    </row>
    <row r="1573">
      <c r="A1573" s="54"/>
      <c r="B1573" s="140"/>
      <c r="C1573" s="140"/>
      <c r="D1573" s="54"/>
      <c r="E1573" s="54"/>
      <c r="F1573" s="54"/>
      <c r="G1573" s="141"/>
      <c r="H1573" s="141"/>
      <c r="I1573" s="54"/>
      <c r="J1573" s="54"/>
      <c r="K1573" s="63"/>
      <c r="L1573" s="54"/>
      <c r="M1573" s="54"/>
    </row>
    <row r="1574">
      <c r="A1574" s="54"/>
      <c r="B1574" s="140"/>
      <c r="C1574" s="140"/>
      <c r="D1574" s="54"/>
      <c r="E1574" s="54"/>
      <c r="F1574" s="54"/>
      <c r="G1574" s="141"/>
      <c r="H1574" s="141"/>
      <c r="I1574" s="54"/>
      <c r="J1574" s="54"/>
      <c r="K1574" s="63"/>
      <c r="L1574" s="54"/>
      <c r="M1574" s="54"/>
    </row>
    <row r="1575">
      <c r="A1575" s="54"/>
      <c r="B1575" s="140"/>
      <c r="C1575" s="140"/>
      <c r="D1575" s="54"/>
      <c r="E1575" s="54"/>
      <c r="F1575" s="54"/>
      <c r="G1575" s="141"/>
      <c r="H1575" s="141"/>
      <c r="I1575" s="54"/>
      <c r="J1575" s="54"/>
      <c r="K1575" s="63"/>
      <c r="L1575" s="54"/>
      <c r="M1575" s="54"/>
    </row>
    <row r="1576">
      <c r="A1576" s="54"/>
      <c r="B1576" s="140"/>
      <c r="C1576" s="140"/>
      <c r="D1576" s="54"/>
      <c r="E1576" s="54"/>
      <c r="F1576" s="54"/>
      <c r="G1576" s="141"/>
      <c r="H1576" s="141"/>
      <c r="I1576" s="54"/>
      <c r="J1576" s="54"/>
      <c r="K1576" s="63"/>
      <c r="L1576" s="54"/>
      <c r="M1576" s="54"/>
    </row>
    <row r="1577">
      <c r="A1577" s="54"/>
      <c r="B1577" s="140"/>
      <c r="C1577" s="140"/>
      <c r="D1577" s="54"/>
      <c r="E1577" s="54"/>
      <c r="F1577" s="54"/>
      <c r="G1577" s="141"/>
      <c r="H1577" s="141"/>
      <c r="I1577" s="54"/>
      <c r="J1577" s="54"/>
      <c r="K1577" s="63"/>
      <c r="L1577" s="54"/>
      <c r="M1577" s="54"/>
    </row>
    <row r="1578">
      <c r="A1578" s="54"/>
      <c r="B1578" s="140"/>
      <c r="C1578" s="140"/>
      <c r="D1578" s="54"/>
      <c r="E1578" s="54"/>
      <c r="F1578" s="54"/>
      <c r="G1578" s="141"/>
      <c r="H1578" s="141"/>
      <c r="I1578" s="54"/>
      <c r="J1578" s="54"/>
      <c r="K1578" s="63"/>
      <c r="L1578" s="54"/>
      <c r="M1578" s="54"/>
    </row>
    <row r="1579">
      <c r="A1579" s="54"/>
      <c r="B1579" s="140"/>
      <c r="C1579" s="140"/>
      <c r="D1579" s="54"/>
      <c r="E1579" s="54"/>
      <c r="F1579" s="54"/>
      <c r="G1579" s="141"/>
      <c r="H1579" s="141"/>
      <c r="I1579" s="54"/>
      <c r="J1579" s="54"/>
      <c r="K1579" s="63"/>
      <c r="L1579" s="54"/>
      <c r="M1579" s="54"/>
    </row>
    <row r="1580">
      <c r="A1580" s="54"/>
      <c r="B1580" s="140"/>
      <c r="C1580" s="140"/>
      <c r="D1580" s="54"/>
      <c r="E1580" s="54"/>
      <c r="F1580" s="54"/>
      <c r="G1580" s="141"/>
      <c r="H1580" s="141"/>
      <c r="I1580" s="54"/>
      <c r="J1580" s="54"/>
      <c r="K1580" s="63"/>
      <c r="L1580" s="54"/>
      <c r="M1580" s="54"/>
    </row>
    <row r="1581">
      <c r="A1581" s="54"/>
      <c r="B1581" s="140"/>
      <c r="C1581" s="140"/>
      <c r="D1581" s="54"/>
      <c r="E1581" s="54"/>
      <c r="F1581" s="54"/>
      <c r="G1581" s="141"/>
      <c r="H1581" s="141"/>
      <c r="I1581" s="54"/>
      <c r="J1581" s="54"/>
      <c r="K1581" s="63"/>
      <c r="L1581" s="54"/>
      <c r="M1581" s="54"/>
    </row>
    <row r="1582">
      <c r="A1582" s="54"/>
      <c r="B1582" s="140"/>
      <c r="C1582" s="140"/>
      <c r="D1582" s="54"/>
      <c r="E1582" s="54"/>
      <c r="F1582" s="54"/>
      <c r="G1582" s="141"/>
      <c r="H1582" s="141"/>
      <c r="I1582" s="54"/>
      <c r="J1582" s="54"/>
      <c r="K1582" s="63"/>
      <c r="L1582" s="54"/>
      <c r="M1582" s="54"/>
    </row>
    <row r="1583">
      <c r="A1583" s="54"/>
      <c r="B1583" s="140"/>
      <c r="C1583" s="140"/>
      <c r="D1583" s="54"/>
      <c r="E1583" s="54"/>
      <c r="F1583" s="54"/>
      <c r="G1583" s="141"/>
      <c r="H1583" s="141"/>
      <c r="I1583" s="54"/>
      <c r="J1583" s="54"/>
      <c r="K1583" s="63"/>
      <c r="L1583" s="54"/>
      <c r="M1583" s="54"/>
    </row>
    <row r="1584">
      <c r="A1584" s="54"/>
      <c r="B1584" s="140"/>
      <c r="C1584" s="140"/>
      <c r="D1584" s="54"/>
      <c r="E1584" s="54"/>
      <c r="F1584" s="54"/>
      <c r="G1584" s="141"/>
      <c r="H1584" s="141"/>
      <c r="I1584" s="54"/>
      <c r="J1584" s="54"/>
      <c r="K1584" s="63"/>
      <c r="L1584" s="54"/>
      <c r="M1584" s="54"/>
    </row>
    <row r="1585">
      <c r="A1585" s="54"/>
      <c r="B1585" s="140"/>
      <c r="C1585" s="140"/>
      <c r="D1585" s="54"/>
      <c r="E1585" s="54"/>
      <c r="F1585" s="54"/>
      <c r="G1585" s="141"/>
      <c r="H1585" s="141"/>
      <c r="I1585" s="54"/>
      <c r="J1585" s="54"/>
      <c r="K1585" s="63"/>
      <c r="L1585" s="54"/>
      <c r="M1585" s="54"/>
    </row>
    <row r="1586">
      <c r="A1586" s="54"/>
      <c r="B1586" s="140"/>
      <c r="C1586" s="140"/>
      <c r="D1586" s="54"/>
      <c r="E1586" s="54"/>
      <c r="F1586" s="54"/>
      <c r="G1586" s="141"/>
      <c r="H1586" s="141"/>
      <c r="I1586" s="54"/>
      <c r="J1586" s="54"/>
      <c r="K1586" s="63"/>
      <c r="L1586" s="54"/>
      <c r="M1586" s="54"/>
    </row>
    <row r="1587">
      <c r="A1587" s="54"/>
      <c r="B1587" s="140"/>
      <c r="C1587" s="140"/>
      <c r="D1587" s="54"/>
      <c r="E1587" s="54"/>
      <c r="F1587" s="54"/>
      <c r="G1587" s="141"/>
      <c r="H1587" s="141"/>
      <c r="I1587" s="54"/>
      <c r="J1587" s="54"/>
      <c r="K1587" s="63"/>
      <c r="L1587" s="54"/>
      <c r="M1587" s="54"/>
    </row>
    <row r="1588">
      <c r="A1588" s="54"/>
      <c r="B1588" s="140"/>
      <c r="C1588" s="140"/>
      <c r="D1588" s="54"/>
      <c r="E1588" s="54"/>
      <c r="F1588" s="54"/>
      <c r="G1588" s="141"/>
      <c r="H1588" s="141"/>
      <c r="I1588" s="54"/>
      <c r="J1588" s="54"/>
      <c r="K1588" s="63"/>
      <c r="L1588" s="54"/>
      <c r="M1588" s="54"/>
    </row>
    <row r="1589">
      <c r="A1589" s="54"/>
      <c r="B1589" s="140"/>
      <c r="C1589" s="140"/>
      <c r="D1589" s="54"/>
      <c r="E1589" s="54"/>
      <c r="F1589" s="54"/>
      <c r="G1589" s="141"/>
      <c r="H1589" s="141"/>
      <c r="I1589" s="54"/>
      <c r="J1589" s="54"/>
      <c r="K1589" s="63"/>
      <c r="L1589" s="54"/>
      <c r="M1589" s="54"/>
    </row>
    <row r="1590">
      <c r="A1590" s="54"/>
      <c r="B1590" s="140"/>
      <c r="C1590" s="140"/>
      <c r="D1590" s="54"/>
      <c r="E1590" s="54"/>
      <c r="F1590" s="54"/>
      <c r="G1590" s="141"/>
      <c r="H1590" s="141"/>
      <c r="I1590" s="54"/>
      <c r="J1590" s="54"/>
      <c r="K1590" s="63"/>
      <c r="L1590" s="54"/>
      <c r="M1590" s="54"/>
    </row>
    <row r="1591">
      <c r="A1591" s="54"/>
      <c r="B1591" s="140"/>
      <c r="C1591" s="140"/>
      <c r="D1591" s="54"/>
      <c r="E1591" s="54"/>
      <c r="F1591" s="54"/>
      <c r="G1591" s="141"/>
      <c r="H1591" s="141"/>
      <c r="I1591" s="54"/>
      <c r="J1591" s="54"/>
      <c r="K1591" s="63"/>
      <c r="L1591" s="54"/>
      <c r="M1591" s="54"/>
    </row>
    <row r="1592">
      <c r="A1592" s="54"/>
      <c r="B1592" s="140"/>
      <c r="C1592" s="140"/>
      <c r="D1592" s="54"/>
      <c r="E1592" s="54"/>
      <c r="F1592" s="54"/>
      <c r="G1592" s="141"/>
      <c r="H1592" s="141"/>
      <c r="I1592" s="54"/>
      <c r="J1592" s="54"/>
      <c r="K1592" s="63"/>
      <c r="L1592" s="54"/>
      <c r="M1592" s="54"/>
    </row>
    <row r="1593">
      <c r="A1593" s="54"/>
      <c r="B1593" s="140"/>
      <c r="C1593" s="140"/>
      <c r="D1593" s="54"/>
      <c r="E1593" s="54"/>
      <c r="F1593" s="54"/>
      <c r="G1593" s="141"/>
      <c r="H1593" s="141"/>
      <c r="I1593" s="54"/>
      <c r="J1593" s="54"/>
      <c r="K1593" s="63"/>
      <c r="L1593" s="54"/>
      <c r="M1593" s="54"/>
    </row>
    <row r="1594">
      <c r="A1594" s="54"/>
      <c r="B1594" s="140"/>
      <c r="C1594" s="140"/>
      <c r="D1594" s="54"/>
      <c r="E1594" s="54"/>
      <c r="F1594" s="54"/>
      <c r="G1594" s="141"/>
      <c r="H1594" s="141"/>
      <c r="I1594" s="54"/>
      <c r="J1594" s="54"/>
      <c r="K1594" s="63"/>
      <c r="L1594" s="54"/>
      <c r="M1594" s="54"/>
    </row>
    <row r="1595">
      <c r="A1595" s="54"/>
      <c r="B1595" s="140"/>
      <c r="C1595" s="140"/>
      <c r="D1595" s="54"/>
      <c r="E1595" s="54"/>
      <c r="F1595" s="54"/>
      <c r="G1595" s="141"/>
      <c r="H1595" s="141"/>
      <c r="I1595" s="54"/>
      <c r="J1595" s="54"/>
      <c r="K1595" s="63"/>
      <c r="L1595" s="54"/>
      <c r="M1595" s="54"/>
    </row>
    <row r="1596">
      <c r="A1596" s="54"/>
      <c r="B1596" s="140"/>
      <c r="C1596" s="140"/>
      <c r="D1596" s="54"/>
      <c r="E1596" s="54"/>
      <c r="F1596" s="54"/>
      <c r="G1596" s="141"/>
      <c r="H1596" s="141"/>
      <c r="I1596" s="54"/>
      <c r="J1596" s="54"/>
      <c r="K1596" s="63"/>
      <c r="L1596" s="54"/>
      <c r="M1596" s="54"/>
    </row>
    <row r="1597">
      <c r="A1597" s="54"/>
      <c r="B1597" s="140"/>
      <c r="C1597" s="140"/>
      <c r="D1597" s="54"/>
      <c r="E1597" s="54"/>
      <c r="F1597" s="54"/>
      <c r="G1597" s="141"/>
      <c r="H1597" s="141"/>
      <c r="I1597" s="54"/>
      <c r="J1597" s="54"/>
      <c r="K1597" s="63"/>
      <c r="L1597" s="54"/>
      <c r="M1597" s="54"/>
    </row>
    <row r="1598">
      <c r="A1598" s="54"/>
      <c r="B1598" s="140"/>
      <c r="C1598" s="140"/>
      <c r="D1598" s="54"/>
      <c r="E1598" s="54"/>
      <c r="F1598" s="54"/>
      <c r="G1598" s="141"/>
      <c r="H1598" s="141"/>
      <c r="I1598" s="54"/>
      <c r="J1598" s="54"/>
      <c r="K1598" s="63"/>
      <c r="L1598" s="54"/>
      <c r="M1598" s="54"/>
    </row>
    <row r="1599">
      <c r="A1599" s="54"/>
      <c r="B1599" s="140"/>
      <c r="C1599" s="140"/>
      <c r="D1599" s="54"/>
      <c r="E1599" s="54"/>
      <c r="F1599" s="54"/>
      <c r="G1599" s="141"/>
      <c r="H1599" s="141"/>
      <c r="I1599" s="54"/>
      <c r="J1599" s="54"/>
      <c r="K1599" s="63"/>
      <c r="L1599" s="54"/>
      <c r="M1599" s="54"/>
    </row>
    <row r="1600">
      <c r="A1600" s="54"/>
      <c r="B1600" s="140"/>
      <c r="C1600" s="140"/>
      <c r="D1600" s="54"/>
      <c r="E1600" s="54"/>
      <c r="F1600" s="54"/>
      <c r="G1600" s="141"/>
      <c r="H1600" s="141"/>
      <c r="I1600" s="54"/>
      <c r="J1600" s="54"/>
      <c r="K1600" s="63"/>
      <c r="L1600" s="54"/>
      <c r="M1600" s="54"/>
    </row>
    <row r="1601">
      <c r="A1601" s="54"/>
      <c r="B1601" s="140"/>
      <c r="C1601" s="140"/>
      <c r="D1601" s="54"/>
      <c r="E1601" s="54"/>
      <c r="F1601" s="54"/>
      <c r="G1601" s="141"/>
      <c r="H1601" s="141"/>
      <c r="I1601" s="54"/>
      <c r="J1601" s="54"/>
      <c r="K1601" s="63"/>
      <c r="L1601" s="54"/>
      <c r="M1601" s="54"/>
    </row>
    <row r="1602">
      <c r="A1602" s="54"/>
      <c r="B1602" s="140"/>
      <c r="C1602" s="140"/>
      <c r="D1602" s="54"/>
      <c r="E1602" s="54"/>
      <c r="F1602" s="54"/>
      <c r="G1602" s="141"/>
      <c r="H1602" s="141"/>
      <c r="I1602" s="54"/>
      <c r="J1602" s="54"/>
      <c r="K1602" s="63"/>
      <c r="L1602" s="54"/>
      <c r="M1602" s="54"/>
    </row>
    <row r="1603">
      <c r="A1603" s="54"/>
      <c r="B1603" s="140"/>
      <c r="C1603" s="140"/>
      <c r="D1603" s="54"/>
      <c r="E1603" s="54"/>
      <c r="F1603" s="54"/>
      <c r="G1603" s="141"/>
      <c r="H1603" s="141"/>
      <c r="I1603" s="54"/>
      <c r="J1603" s="54"/>
      <c r="K1603" s="63"/>
      <c r="L1603" s="54"/>
      <c r="M1603" s="54"/>
    </row>
    <row r="1604">
      <c r="A1604" s="54"/>
      <c r="B1604" s="140"/>
      <c r="C1604" s="140"/>
      <c r="D1604" s="54"/>
      <c r="E1604" s="54"/>
      <c r="F1604" s="54"/>
      <c r="G1604" s="141"/>
      <c r="H1604" s="141"/>
      <c r="I1604" s="54"/>
      <c r="J1604" s="54"/>
      <c r="K1604" s="63"/>
      <c r="L1604" s="54"/>
      <c r="M1604" s="54"/>
    </row>
    <row r="1605">
      <c r="A1605" s="54"/>
      <c r="B1605" s="140"/>
      <c r="C1605" s="140"/>
      <c r="D1605" s="54"/>
      <c r="E1605" s="54"/>
      <c r="F1605" s="54"/>
      <c r="G1605" s="141"/>
      <c r="H1605" s="141"/>
      <c r="I1605" s="54"/>
      <c r="J1605" s="54"/>
      <c r="K1605" s="63"/>
      <c r="L1605" s="54"/>
      <c r="M1605" s="54"/>
    </row>
    <row r="1606">
      <c r="A1606" s="54"/>
      <c r="B1606" s="140"/>
      <c r="C1606" s="140"/>
      <c r="D1606" s="54"/>
      <c r="E1606" s="54"/>
      <c r="F1606" s="54"/>
      <c r="G1606" s="141"/>
      <c r="H1606" s="141"/>
      <c r="I1606" s="54"/>
      <c r="J1606" s="54"/>
      <c r="K1606" s="63"/>
      <c r="L1606" s="54"/>
      <c r="M1606" s="54"/>
    </row>
    <row r="1607">
      <c r="A1607" s="54"/>
      <c r="B1607" s="140"/>
      <c r="C1607" s="140"/>
      <c r="D1607" s="54"/>
      <c r="E1607" s="54"/>
      <c r="F1607" s="54"/>
      <c r="G1607" s="141"/>
      <c r="H1607" s="141"/>
      <c r="I1607" s="54"/>
      <c r="J1607" s="54"/>
      <c r="K1607" s="63"/>
      <c r="L1607" s="54"/>
      <c r="M1607" s="54"/>
    </row>
    <row r="1608">
      <c r="A1608" s="54"/>
      <c r="B1608" s="140"/>
      <c r="C1608" s="140"/>
      <c r="D1608" s="54"/>
      <c r="E1608" s="54"/>
      <c r="F1608" s="54"/>
      <c r="G1608" s="141"/>
      <c r="H1608" s="141"/>
      <c r="I1608" s="54"/>
      <c r="J1608" s="54"/>
      <c r="K1608" s="63"/>
      <c r="L1608" s="54"/>
      <c r="M1608" s="54"/>
    </row>
    <row r="1609">
      <c r="A1609" s="54"/>
      <c r="B1609" s="140"/>
      <c r="C1609" s="140"/>
      <c r="D1609" s="54"/>
      <c r="E1609" s="54"/>
      <c r="F1609" s="54"/>
      <c r="G1609" s="141"/>
      <c r="H1609" s="141"/>
      <c r="I1609" s="54"/>
      <c r="J1609" s="54"/>
      <c r="K1609" s="63"/>
      <c r="L1609" s="54"/>
      <c r="M1609" s="54"/>
    </row>
    <row r="1610">
      <c r="A1610" s="54"/>
      <c r="B1610" s="140"/>
      <c r="C1610" s="140"/>
      <c r="D1610" s="54"/>
      <c r="E1610" s="54"/>
      <c r="F1610" s="54"/>
      <c r="G1610" s="141"/>
      <c r="H1610" s="141"/>
      <c r="I1610" s="54"/>
      <c r="J1610" s="54"/>
      <c r="K1610" s="63"/>
      <c r="L1610" s="54"/>
      <c r="M1610" s="54"/>
    </row>
    <row r="1611">
      <c r="A1611" s="54"/>
      <c r="B1611" s="140"/>
      <c r="C1611" s="140"/>
      <c r="D1611" s="54"/>
      <c r="E1611" s="54"/>
      <c r="F1611" s="54"/>
      <c r="G1611" s="141"/>
      <c r="H1611" s="141"/>
      <c r="I1611" s="54"/>
      <c r="J1611" s="54"/>
      <c r="K1611" s="63"/>
      <c r="L1611" s="54"/>
      <c r="M1611" s="54"/>
    </row>
    <row r="1612">
      <c r="A1612" s="54"/>
      <c r="B1612" s="140"/>
      <c r="C1612" s="140"/>
      <c r="D1612" s="54"/>
      <c r="E1612" s="54"/>
      <c r="F1612" s="54"/>
      <c r="G1612" s="141"/>
      <c r="H1612" s="141"/>
      <c r="I1612" s="54"/>
      <c r="J1612" s="54"/>
      <c r="K1612" s="63"/>
      <c r="L1612" s="54"/>
      <c r="M1612" s="54"/>
    </row>
    <row r="1613">
      <c r="A1613" s="54"/>
      <c r="B1613" s="140"/>
      <c r="C1613" s="140"/>
      <c r="D1613" s="54"/>
      <c r="E1613" s="54"/>
      <c r="F1613" s="54"/>
      <c r="G1613" s="141"/>
      <c r="H1613" s="141"/>
      <c r="I1613" s="54"/>
      <c r="J1613" s="54"/>
      <c r="K1613" s="63"/>
      <c r="L1613" s="54"/>
      <c r="M1613" s="54"/>
    </row>
    <row r="1614">
      <c r="A1614" s="54"/>
      <c r="B1614" s="140"/>
      <c r="C1614" s="140"/>
      <c r="D1614" s="54"/>
      <c r="E1614" s="54"/>
      <c r="F1614" s="54"/>
      <c r="G1614" s="141"/>
      <c r="H1614" s="141"/>
      <c r="I1614" s="54"/>
      <c r="J1614" s="54"/>
      <c r="K1614" s="63"/>
      <c r="L1614" s="54"/>
      <c r="M1614" s="54"/>
    </row>
    <row r="1615">
      <c r="A1615" s="54"/>
      <c r="B1615" s="140"/>
      <c r="C1615" s="140"/>
      <c r="D1615" s="54"/>
      <c r="E1615" s="54"/>
      <c r="F1615" s="54"/>
      <c r="G1615" s="141"/>
      <c r="H1615" s="141"/>
      <c r="I1615" s="54"/>
      <c r="J1615" s="54"/>
      <c r="K1615" s="63"/>
      <c r="L1615" s="54"/>
      <c r="M1615" s="54"/>
    </row>
    <row r="1616">
      <c r="A1616" s="54"/>
      <c r="B1616" s="140"/>
      <c r="C1616" s="140"/>
      <c r="D1616" s="54"/>
      <c r="E1616" s="54"/>
      <c r="F1616" s="54"/>
      <c r="G1616" s="141"/>
      <c r="H1616" s="141"/>
      <c r="I1616" s="54"/>
      <c r="J1616" s="54"/>
      <c r="K1616" s="63"/>
      <c r="L1616" s="54"/>
      <c r="M1616" s="54"/>
    </row>
    <row r="1617">
      <c r="A1617" s="54"/>
      <c r="B1617" s="140"/>
      <c r="C1617" s="140"/>
      <c r="D1617" s="54"/>
      <c r="E1617" s="54"/>
      <c r="F1617" s="54"/>
      <c r="G1617" s="141"/>
      <c r="H1617" s="141"/>
      <c r="I1617" s="54"/>
      <c r="J1617" s="54"/>
      <c r="K1617" s="63"/>
      <c r="L1617" s="54"/>
      <c r="M1617" s="54"/>
    </row>
    <row r="1618">
      <c r="A1618" s="54"/>
      <c r="B1618" s="140"/>
      <c r="C1618" s="140"/>
      <c r="D1618" s="54"/>
      <c r="E1618" s="54"/>
      <c r="F1618" s="54"/>
      <c r="G1618" s="141"/>
      <c r="H1618" s="141"/>
      <c r="I1618" s="54"/>
      <c r="J1618" s="54"/>
      <c r="K1618" s="63"/>
      <c r="L1618" s="54"/>
      <c r="M1618" s="54"/>
    </row>
    <row r="1619">
      <c r="A1619" s="54"/>
      <c r="B1619" s="140"/>
      <c r="C1619" s="140"/>
      <c r="D1619" s="54"/>
      <c r="E1619" s="54"/>
      <c r="F1619" s="54"/>
      <c r="G1619" s="141"/>
      <c r="H1619" s="141"/>
      <c r="I1619" s="54"/>
      <c r="J1619" s="54"/>
      <c r="K1619" s="63"/>
      <c r="L1619" s="54"/>
      <c r="M1619" s="54"/>
    </row>
    <row r="1620">
      <c r="A1620" s="54"/>
      <c r="B1620" s="140"/>
      <c r="C1620" s="140"/>
      <c r="D1620" s="54"/>
      <c r="E1620" s="54"/>
      <c r="F1620" s="54"/>
      <c r="G1620" s="141"/>
      <c r="H1620" s="141"/>
      <c r="I1620" s="54"/>
      <c r="J1620" s="54"/>
      <c r="K1620" s="63"/>
      <c r="L1620" s="54"/>
      <c r="M1620" s="54"/>
    </row>
    <row r="1621">
      <c r="A1621" s="54"/>
      <c r="B1621" s="140"/>
      <c r="C1621" s="140"/>
      <c r="D1621" s="54"/>
      <c r="E1621" s="54"/>
      <c r="F1621" s="54"/>
      <c r="G1621" s="141"/>
      <c r="H1621" s="141"/>
      <c r="I1621" s="54"/>
      <c r="J1621" s="54"/>
      <c r="K1621" s="63"/>
      <c r="L1621" s="54"/>
      <c r="M1621" s="54"/>
    </row>
    <row r="1622">
      <c r="A1622" s="54"/>
      <c r="B1622" s="140"/>
      <c r="C1622" s="140"/>
      <c r="D1622" s="54"/>
      <c r="E1622" s="54"/>
      <c r="F1622" s="54"/>
      <c r="G1622" s="141"/>
      <c r="H1622" s="141"/>
      <c r="I1622" s="54"/>
      <c r="J1622" s="54"/>
      <c r="K1622" s="63"/>
      <c r="L1622" s="54"/>
      <c r="M1622" s="54"/>
    </row>
    <row r="1623">
      <c r="A1623" s="54"/>
      <c r="B1623" s="140"/>
      <c r="C1623" s="140"/>
      <c r="D1623" s="54"/>
      <c r="E1623" s="54"/>
      <c r="F1623" s="54"/>
      <c r="G1623" s="141"/>
      <c r="H1623" s="141"/>
      <c r="I1623" s="54"/>
      <c r="J1623" s="54"/>
      <c r="K1623" s="63"/>
      <c r="L1623" s="54"/>
      <c r="M1623" s="54"/>
    </row>
    <row r="1624">
      <c r="A1624" s="54"/>
      <c r="B1624" s="140"/>
      <c r="C1624" s="140"/>
      <c r="D1624" s="54"/>
      <c r="E1624" s="54"/>
      <c r="F1624" s="54"/>
      <c r="G1624" s="141"/>
      <c r="H1624" s="141"/>
      <c r="I1624" s="54"/>
      <c r="J1624" s="54"/>
      <c r="K1624" s="63"/>
      <c r="L1624" s="54"/>
      <c r="M1624" s="54"/>
    </row>
    <row r="1625">
      <c r="A1625" s="54"/>
      <c r="B1625" s="140"/>
      <c r="C1625" s="140"/>
      <c r="D1625" s="54"/>
      <c r="E1625" s="54"/>
      <c r="F1625" s="54"/>
      <c r="G1625" s="141"/>
      <c r="H1625" s="141"/>
      <c r="I1625" s="54"/>
      <c r="J1625" s="54"/>
      <c r="K1625" s="63"/>
      <c r="L1625" s="54"/>
      <c r="M1625" s="54"/>
    </row>
    <row r="1626">
      <c r="A1626" s="54"/>
      <c r="B1626" s="140"/>
      <c r="C1626" s="140"/>
      <c r="D1626" s="54"/>
      <c r="E1626" s="54"/>
      <c r="F1626" s="54"/>
      <c r="G1626" s="141"/>
      <c r="H1626" s="141"/>
      <c r="I1626" s="54"/>
      <c r="J1626" s="54"/>
      <c r="K1626" s="63"/>
      <c r="L1626" s="54"/>
      <c r="M1626" s="54"/>
    </row>
    <row r="1627">
      <c r="A1627" s="54"/>
      <c r="B1627" s="140"/>
      <c r="C1627" s="140"/>
      <c r="D1627" s="54"/>
      <c r="E1627" s="54"/>
      <c r="F1627" s="54"/>
      <c r="G1627" s="141"/>
      <c r="H1627" s="141"/>
      <c r="I1627" s="54"/>
      <c r="J1627" s="54"/>
      <c r="K1627" s="63"/>
      <c r="L1627" s="54"/>
      <c r="M1627" s="54"/>
    </row>
    <row r="1628">
      <c r="A1628" s="54"/>
      <c r="B1628" s="140"/>
      <c r="C1628" s="140"/>
      <c r="D1628" s="54"/>
      <c r="E1628" s="54"/>
      <c r="F1628" s="54"/>
      <c r="G1628" s="141"/>
      <c r="H1628" s="141"/>
      <c r="I1628" s="54"/>
      <c r="J1628" s="54"/>
      <c r="K1628" s="63"/>
      <c r="L1628" s="54"/>
      <c r="M1628" s="54"/>
    </row>
    <row r="1629">
      <c r="A1629" s="54"/>
      <c r="B1629" s="140"/>
      <c r="C1629" s="140"/>
      <c r="D1629" s="54"/>
      <c r="E1629" s="54"/>
      <c r="F1629" s="54"/>
      <c r="G1629" s="141"/>
      <c r="H1629" s="141"/>
      <c r="I1629" s="54"/>
      <c r="J1629" s="54"/>
      <c r="K1629" s="63"/>
      <c r="L1629" s="54"/>
      <c r="M1629" s="54"/>
    </row>
    <row r="1630">
      <c r="A1630" s="54"/>
      <c r="B1630" s="140"/>
      <c r="C1630" s="140"/>
      <c r="D1630" s="54"/>
      <c r="E1630" s="54"/>
      <c r="F1630" s="54"/>
      <c r="G1630" s="141"/>
      <c r="H1630" s="141"/>
      <c r="I1630" s="54"/>
      <c r="J1630" s="54"/>
      <c r="K1630" s="63"/>
      <c r="L1630" s="54"/>
      <c r="M1630" s="54"/>
    </row>
    <row r="1631">
      <c r="A1631" s="54"/>
      <c r="B1631" s="140"/>
      <c r="C1631" s="140"/>
      <c r="D1631" s="54"/>
      <c r="E1631" s="54"/>
      <c r="F1631" s="54"/>
      <c r="G1631" s="141"/>
      <c r="H1631" s="141"/>
      <c r="I1631" s="54"/>
      <c r="J1631" s="54"/>
      <c r="K1631" s="63"/>
      <c r="L1631" s="54"/>
      <c r="M1631" s="54"/>
    </row>
    <row r="1632">
      <c r="A1632" s="54"/>
      <c r="B1632" s="140"/>
      <c r="C1632" s="140"/>
      <c r="D1632" s="54"/>
      <c r="E1632" s="54"/>
      <c r="F1632" s="54"/>
      <c r="G1632" s="141"/>
      <c r="H1632" s="141"/>
      <c r="I1632" s="54"/>
      <c r="J1632" s="54"/>
      <c r="K1632" s="63"/>
      <c r="L1632" s="54"/>
      <c r="M1632" s="54"/>
    </row>
    <row r="1633">
      <c r="A1633" s="54"/>
      <c r="B1633" s="140"/>
      <c r="C1633" s="140"/>
      <c r="D1633" s="54"/>
      <c r="E1633" s="54"/>
      <c r="F1633" s="54"/>
      <c r="G1633" s="141"/>
      <c r="H1633" s="141"/>
      <c r="I1633" s="54"/>
      <c r="J1633" s="54"/>
      <c r="K1633" s="63"/>
      <c r="L1633" s="54"/>
      <c r="M1633" s="54"/>
    </row>
    <row r="1634">
      <c r="A1634" s="54"/>
      <c r="B1634" s="140"/>
      <c r="C1634" s="140"/>
      <c r="D1634" s="54"/>
      <c r="E1634" s="54"/>
      <c r="F1634" s="54"/>
      <c r="G1634" s="141"/>
      <c r="H1634" s="141"/>
      <c r="I1634" s="54"/>
      <c r="J1634" s="54"/>
      <c r="K1634" s="63"/>
      <c r="L1634" s="54"/>
      <c r="M1634" s="54"/>
    </row>
    <row r="1635">
      <c r="A1635" s="54"/>
      <c r="B1635" s="140"/>
      <c r="C1635" s="140"/>
      <c r="D1635" s="54"/>
      <c r="E1635" s="54"/>
      <c r="F1635" s="54"/>
      <c r="G1635" s="141"/>
      <c r="H1635" s="141"/>
      <c r="I1635" s="54"/>
      <c r="J1635" s="54"/>
      <c r="K1635" s="63"/>
      <c r="L1635" s="54"/>
      <c r="M1635" s="54"/>
    </row>
    <row r="1636">
      <c r="A1636" s="54"/>
      <c r="B1636" s="140"/>
      <c r="C1636" s="140"/>
      <c r="D1636" s="54"/>
      <c r="E1636" s="54"/>
      <c r="F1636" s="54"/>
      <c r="G1636" s="141"/>
      <c r="H1636" s="141"/>
      <c r="I1636" s="54"/>
      <c r="J1636" s="54"/>
      <c r="K1636" s="63"/>
      <c r="L1636" s="54"/>
      <c r="M1636" s="54"/>
    </row>
    <row r="1637">
      <c r="A1637" s="54"/>
      <c r="B1637" s="140"/>
      <c r="C1637" s="140"/>
      <c r="D1637" s="54"/>
      <c r="E1637" s="54"/>
      <c r="F1637" s="54"/>
      <c r="G1637" s="141"/>
      <c r="H1637" s="141"/>
      <c r="I1637" s="54"/>
      <c r="J1637" s="54"/>
      <c r="K1637" s="63"/>
      <c r="L1637" s="54"/>
      <c r="M1637" s="54"/>
    </row>
    <row r="1638">
      <c r="A1638" s="54"/>
      <c r="B1638" s="140"/>
      <c r="C1638" s="140"/>
      <c r="D1638" s="54"/>
      <c r="E1638" s="54"/>
      <c r="F1638" s="54"/>
      <c r="G1638" s="141"/>
      <c r="H1638" s="141"/>
      <c r="I1638" s="54"/>
      <c r="J1638" s="54"/>
      <c r="K1638" s="63"/>
      <c r="L1638" s="54"/>
      <c r="M1638" s="54"/>
    </row>
    <row r="1639">
      <c r="A1639" s="54"/>
      <c r="B1639" s="140"/>
      <c r="C1639" s="140"/>
      <c r="D1639" s="54"/>
      <c r="E1639" s="54"/>
      <c r="F1639" s="54"/>
      <c r="G1639" s="141"/>
      <c r="H1639" s="141"/>
      <c r="I1639" s="54"/>
      <c r="J1639" s="54"/>
      <c r="K1639" s="63"/>
      <c r="L1639" s="54"/>
      <c r="M1639" s="54"/>
    </row>
    <row r="1640">
      <c r="A1640" s="54"/>
      <c r="B1640" s="140"/>
      <c r="C1640" s="140"/>
      <c r="D1640" s="54"/>
      <c r="E1640" s="54"/>
      <c r="F1640" s="54"/>
      <c r="G1640" s="141"/>
      <c r="H1640" s="141"/>
      <c r="I1640" s="54"/>
      <c r="J1640" s="54"/>
      <c r="K1640" s="63"/>
      <c r="L1640" s="54"/>
      <c r="M1640" s="54"/>
    </row>
    <row r="1641">
      <c r="A1641" s="54"/>
      <c r="B1641" s="140"/>
      <c r="C1641" s="140"/>
      <c r="D1641" s="54"/>
      <c r="E1641" s="54"/>
      <c r="F1641" s="54"/>
      <c r="G1641" s="141"/>
      <c r="H1641" s="141"/>
      <c r="I1641" s="54"/>
      <c r="J1641" s="54"/>
      <c r="K1641" s="63"/>
      <c r="L1641" s="54"/>
      <c r="M1641" s="54"/>
    </row>
    <row r="1642">
      <c r="A1642" s="54"/>
      <c r="B1642" s="140"/>
      <c r="C1642" s="140"/>
      <c r="D1642" s="54"/>
      <c r="E1642" s="54"/>
      <c r="F1642" s="54"/>
      <c r="G1642" s="141"/>
      <c r="H1642" s="141"/>
      <c r="I1642" s="54"/>
      <c r="J1642" s="54"/>
      <c r="K1642" s="63"/>
      <c r="L1642" s="54"/>
      <c r="M1642" s="54"/>
    </row>
    <row r="1643">
      <c r="A1643" s="54"/>
      <c r="B1643" s="140"/>
      <c r="C1643" s="140"/>
      <c r="D1643" s="54"/>
      <c r="E1643" s="54"/>
      <c r="F1643" s="54"/>
      <c r="G1643" s="141"/>
      <c r="H1643" s="141"/>
      <c r="I1643" s="54"/>
      <c r="J1643" s="54"/>
      <c r="K1643" s="63"/>
      <c r="L1643" s="54"/>
      <c r="M1643" s="54"/>
    </row>
    <row r="1644">
      <c r="A1644" s="54"/>
      <c r="B1644" s="140"/>
      <c r="C1644" s="140"/>
      <c r="D1644" s="54"/>
      <c r="E1644" s="54"/>
      <c r="F1644" s="54"/>
      <c r="G1644" s="141"/>
      <c r="H1644" s="141"/>
      <c r="I1644" s="54"/>
      <c r="J1644" s="54"/>
      <c r="K1644" s="63"/>
      <c r="L1644" s="54"/>
      <c r="M1644" s="54"/>
    </row>
    <row r="1645">
      <c r="A1645" s="54"/>
      <c r="B1645" s="140"/>
      <c r="C1645" s="140"/>
      <c r="D1645" s="54"/>
      <c r="E1645" s="54"/>
      <c r="F1645" s="54"/>
      <c r="G1645" s="141"/>
      <c r="H1645" s="141"/>
      <c r="I1645" s="54"/>
      <c r="J1645" s="54"/>
      <c r="K1645" s="63"/>
      <c r="L1645" s="54"/>
      <c r="M1645" s="54"/>
    </row>
    <row r="1646">
      <c r="A1646" s="54"/>
      <c r="B1646" s="140"/>
      <c r="C1646" s="140"/>
      <c r="D1646" s="54"/>
      <c r="E1646" s="54"/>
      <c r="F1646" s="54"/>
      <c r="G1646" s="141"/>
      <c r="H1646" s="141"/>
      <c r="I1646" s="54"/>
      <c r="J1646" s="54"/>
      <c r="K1646" s="63"/>
      <c r="L1646" s="54"/>
      <c r="M1646" s="54"/>
    </row>
    <row r="1647">
      <c r="A1647" s="54"/>
      <c r="B1647" s="140"/>
      <c r="C1647" s="140"/>
      <c r="D1647" s="54"/>
      <c r="E1647" s="54"/>
      <c r="F1647" s="54"/>
      <c r="G1647" s="141"/>
      <c r="H1647" s="141"/>
      <c r="I1647" s="54"/>
      <c r="J1647" s="54"/>
      <c r="K1647" s="63"/>
      <c r="L1647" s="54"/>
      <c r="M1647" s="54"/>
    </row>
    <row r="1648">
      <c r="A1648" s="54"/>
      <c r="B1648" s="140"/>
      <c r="C1648" s="140"/>
      <c r="D1648" s="54"/>
      <c r="E1648" s="54"/>
      <c r="F1648" s="54"/>
      <c r="G1648" s="141"/>
      <c r="H1648" s="141"/>
      <c r="I1648" s="54"/>
      <c r="J1648" s="54"/>
      <c r="K1648" s="63"/>
      <c r="L1648" s="54"/>
      <c r="M1648" s="54"/>
    </row>
    <row r="1649">
      <c r="A1649" s="54"/>
      <c r="B1649" s="140"/>
      <c r="C1649" s="140"/>
      <c r="D1649" s="54"/>
      <c r="E1649" s="54"/>
      <c r="F1649" s="54"/>
      <c r="G1649" s="141"/>
      <c r="H1649" s="141"/>
      <c r="I1649" s="54"/>
      <c r="J1649" s="54"/>
      <c r="K1649" s="63"/>
      <c r="L1649" s="54"/>
      <c r="M1649" s="54"/>
    </row>
    <row r="1650">
      <c r="A1650" s="54"/>
      <c r="B1650" s="140"/>
      <c r="C1650" s="140"/>
      <c r="D1650" s="54"/>
      <c r="E1650" s="54"/>
      <c r="F1650" s="54"/>
      <c r="G1650" s="141"/>
      <c r="H1650" s="141"/>
      <c r="I1650" s="54"/>
      <c r="J1650" s="54"/>
      <c r="K1650" s="63"/>
      <c r="L1650" s="54"/>
      <c r="M1650" s="54"/>
    </row>
    <row r="1651">
      <c r="A1651" s="54"/>
      <c r="B1651" s="140"/>
      <c r="C1651" s="140"/>
      <c r="D1651" s="54"/>
      <c r="E1651" s="54"/>
      <c r="F1651" s="54"/>
      <c r="G1651" s="141"/>
      <c r="H1651" s="141"/>
      <c r="I1651" s="54"/>
      <c r="J1651" s="54"/>
      <c r="K1651" s="63"/>
      <c r="L1651" s="54"/>
      <c r="M1651" s="54"/>
    </row>
    <row r="1652">
      <c r="A1652" s="54"/>
      <c r="B1652" s="140"/>
      <c r="C1652" s="140"/>
      <c r="D1652" s="54"/>
      <c r="E1652" s="54"/>
      <c r="F1652" s="54"/>
      <c r="G1652" s="141"/>
      <c r="H1652" s="141"/>
      <c r="I1652" s="54"/>
      <c r="J1652" s="54"/>
      <c r="K1652" s="63"/>
      <c r="L1652" s="54"/>
      <c r="M1652" s="54"/>
    </row>
    <row r="1653">
      <c r="A1653" s="54"/>
      <c r="B1653" s="140"/>
      <c r="C1653" s="140"/>
      <c r="D1653" s="54"/>
      <c r="E1653" s="54"/>
      <c r="F1653" s="54"/>
      <c r="G1653" s="141"/>
      <c r="H1653" s="141"/>
      <c r="I1653" s="54"/>
      <c r="J1653" s="54"/>
      <c r="K1653" s="63"/>
      <c r="L1653" s="54"/>
      <c r="M1653" s="54"/>
    </row>
    <row r="1654">
      <c r="A1654" s="54"/>
      <c r="B1654" s="140"/>
      <c r="C1654" s="140"/>
      <c r="D1654" s="54"/>
      <c r="E1654" s="54"/>
      <c r="F1654" s="54"/>
      <c r="G1654" s="141"/>
      <c r="H1654" s="141"/>
      <c r="I1654" s="54"/>
      <c r="J1654" s="54"/>
      <c r="K1654" s="63"/>
      <c r="L1654" s="54"/>
      <c r="M1654" s="54"/>
    </row>
    <row r="1655">
      <c r="A1655" s="54"/>
      <c r="B1655" s="140"/>
      <c r="C1655" s="140"/>
      <c r="D1655" s="54"/>
      <c r="E1655" s="54"/>
      <c r="F1655" s="54"/>
      <c r="G1655" s="141"/>
      <c r="H1655" s="141"/>
      <c r="I1655" s="54"/>
      <c r="J1655" s="54"/>
      <c r="K1655" s="63"/>
      <c r="L1655" s="54"/>
      <c r="M1655" s="54"/>
    </row>
    <row r="1656">
      <c r="A1656" s="54"/>
      <c r="B1656" s="140"/>
      <c r="C1656" s="140"/>
      <c r="D1656" s="54"/>
      <c r="E1656" s="54"/>
      <c r="F1656" s="54"/>
      <c r="G1656" s="141"/>
      <c r="H1656" s="141"/>
      <c r="I1656" s="54"/>
      <c r="J1656" s="54"/>
      <c r="K1656" s="63"/>
      <c r="L1656" s="54"/>
      <c r="M1656" s="54"/>
    </row>
    <row r="1657">
      <c r="A1657" s="54"/>
      <c r="B1657" s="140"/>
      <c r="C1657" s="140"/>
      <c r="D1657" s="54"/>
      <c r="E1657" s="54"/>
      <c r="F1657" s="54"/>
      <c r="G1657" s="141"/>
      <c r="H1657" s="141"/>
      <c r="I1657" s="54"/>
      <c r="J1657" s="54"/>
      <c r="K1657" s="63"/>
      <c r="L1657" s="54"/>
      <c r="M1657" s="54"/>
    </row>
    <row r="1658">
      <c r="A1658" s="54"/>
      <c r="B1658" s="140"/>
      <c r="C1658" s="140"/>
      <c r="D1658" s="54"/>
      <c r="E1658" s="54"/>
      <c r="F1658" s="54"/>
      <c r="G1658" s="141"/>
      <c r="H1658" s="141"/>
      <c r="I1658" s="54"/>
      <c r="J1658" s="54"/>
      <c r="K1658" s="63"/>
      <c r="L1658" s="54"/>
      <c r="M1658" s="54"/>
    </row>
    <row r="1659">
      <c r="A1659" s="54"/>
      <c r="B1659" s="140"/>
      <c r="C1659" s="140"/>
      <c r="D1659" s="54"/>
      <c r="E1659" s="54"/>
      <c r="F1659" s="54"/>
      <c r="G1659" s="141"/>
      <c r="H1659" s="141"/>
      <c r="I1659" s="54"/>
      <c r="J1659" s="54"/>
      <c r="K1659" s="63"/>
      <c r="L1659" s="54"/>
      <c r="M1659" s="54"/>
    </row>
    <row r="1660">
      <c r="A1660" s="54"/>
      <c r="B1660" s="140"/>
      <c r="C1660" s="140"/>
      <c r="D1660" s="54"/>
      <c r="E1660" s="54"/>
      <c r="F1660" s="54"/>
      <c r="G1660" s="141"/>
      <c r="H1660" s="141"/>
      <c r="I1660" s="54"/>
      <c r="J1660" s="54"/>
      <c r="K1660" s="63"/>
      <c r="L1660" s="54"/>
      <c r="M1660" s="54"/>
    </row>
    <row r="1661">
      <c r="A1661" s="54"/>
      <c r="B1661" s="140"/>
      <c r="C1661" s="140"/>
      <c r="D1661" s="54"/>
      <c r="E1661" s="54"/>
      <c r="F1661" s="54"/>
      <c r="G1661" s="141"/>
      <c r="H1661" s="141"/>
      <c r="I1661" s="54"/>
      <c r="J1661" s="54"/>
      <c r="K1661" s="63"/>
      <c r="L1661" s="54"/>
      <c r="M1661" s="54"/>
    </row>
    <row r="1662">
      <c r="A1662" s="54"/>
      <c r="B1662" s="140"/>
      <c r="C1662" s="140"/>
      <c r="D1662" s="54"/>
      <c r="E1662" s="54"/>
      <c r="F1662" s="54"/>
      <c r="G1662" s="141"/>
      <c r="H1662" s="141"/>
      <c r="I1662" s="54"/>
      <c r="J1662" s="54"/>
      <c r="K1662" s="63"/>
      <c r="L1662" s="54"/>
      <c r="M1662" s="54"/>
    </row>
    <row r="1663">
      <c r="A1663" s="54"/>
      <c r="B1663" s="140"/>
      <c r="C1663" s="140"/>
      <c r="D1663" s="54"/>
      <c r="E1663" s="54"/>
      <c r="F1663" s="54"/>
      <c r="G1663" s="141"/>
      <c r="H1663" s="141"/>
      <c r="I1663" s="54"/>
      <c r="J1663" s="54"/>
      <c r="K1663" s="63"/>
      <c r="L1663" s="54"/>
      <c r="M1663" s="54"/>
    </row>
    <row r="1664">
      <c r="A1664" s="54"/>
      <c r="B1664" s="140"/>
      <c r="C1664" s="140"/>
      <c r="D1664" s="54"/>
      <c r="E1664" s="54"/>
      <c r="F1664" s="54"/>
      <c r="G1664" s="141"/>
      <c r="H1664" s="141"/>
      <c r="I1664" s="54"/>
      <c r="J1664" s="54"/>
      <c r="K1664" s="63"/>
      <c r="L1664" s="54"/>
      <c r="M1664" s="54"/>
    </row>
    <row r="1665">
      <c r="A1665" s="54"/>
      <c r="B1665" s="140"/>
      <c r="C1665" s="140"/>
      <c r="D1665" s="54"/>
      <c r="E1665" s="54"/>
      <c r="F1665" s="54"/>
      <c r="G1665" s="141"/>
      <c r="H1665" s="141"/>
      <c r="I1665" s="54"/>
      <c r="J1665" s="54"/>
      <c r="K1665" s="63"/>
      <c r="L1665" s="54"/>
      <c r="M1665" s="54"/>
    </row>
    <row r="1666">
      <c r="A1666" s="54"/>
      <c r="B1666" s="140"/>
      <c r="C1666" s="140"/>
      <c r="D1666" s="54"/>
      <c r="E1666" s="54"/>
      <c r="F1666" s="54"/>
      <c r="G1666" s="141"/>
      <c r="H1666" s="141"/>
      <c r="I1666" s="54"/>
      <c r="J1666" s="54"/>
      <c r="K1666" s="63"/>
      <c r="L1666" s="54"/>
      <c r="M1666" s="54"/>
    </row>
    <row r="1667">
      <c r="A1667" s="54"/>
      <c r="B1667" s="140"/>
      <c r="C1667" s="140"/>
      <c r="D1667" s="54"/>
      <c r="E1667" s="54"/>
      <c r="F1667" s="54"/>
      <c r="G1667" s="141"/>
      <c r="H1667" s="141"/>
      <c r="I1667" s="54"/>
      <c r="J1667" s="54"/>
      <c r="K1667" s="63"/>
      <c r="L1667" s="54"/>
      <c r="M1667" s="54"/>
    </row>
    <row r="1668">
      <c r="A1668" s="54"/>
      <c r="B1668" s="140"/>
      <c r="C1668" s="140"/>
      <c r="D1668" s="54"/>
      <c r="E1668" s="54"/>
      <c r="F1668" s="54"/>
      <c r="G1668" s="141"/>
      <c r="H1668" s="141"/>
      <c r="I1668" s="54"/>
      <c r="J1668" s="54"/>
      <c r="K1668" s="63"/>
      <c r="L1668" s="54"/>
      <c r="M1668" s="54"/>
    </row>
    <row r="1669">
      <c r="A1669" s="54"/>
      <c r="B1669" s="140"/>
      <c r="C1669" s="140"/>
      <c r="D1669" s="54"/>
      <c r="E1669" s="54"/>
      <c r="F1669" s="54"/>
      <c r="G1669" s="141"/>
      <c r="H1669" s="141"/>
      <c r="I1669" s="54"/>
      <c r="J1669" s="54"/>
      <c r="K1669" s="63"/>
      <c r="L1669" s="54"/>
      <c r="M1669" s="54"/>
    </row>
    <row r="1670">
      <c r="A1670" s="54"/>
      <c r="B1670" s="140"/>
      <c r="C1670" s="140"/>
      <c r="D1670" s="54"/>
      <c r="E1670" s="54"/>
      <c r="F1670" s="54"/>
      <c r="G1670" s="141"/>
      <c r="H1670" s="141"/>
      <c r="I1670" s="54"/>
      <c r="J1670" s="54"/>
      <c r="K1670" s="63"/>
      <c r="L1670" s="54"/>
      <c r="M1670" s="54"/>
    </row>
    <row r="1671">
      <c r="A1671" s="54"/>
      <c r="B1671" s="140"/>
      <c r="C1671" s="140"/>
      <c r="D1671" s="54"/>
      <c r="E1671" s="54"/>
      <c r="F1671" s="54"/>
      <c r="G1671" s="141"/>
      <c r="H1671" s="141"/>
      <c r="I1671" s="54"/>
      <c r="J1671" s="54"/>
      <c r="K1671" s="63"/>
      <c r="L1671" s="54"/>
      <c r="M1671" s="54"/>
    </row>
    <row r="1672">
      <c r="A1672" s="54"/>
      <c r="B1672" s="140"/>
      <c r="C1672" s="140"/>
      <c r="D1672" s="54"/>
      <c r="E1672" s="54"/>
      <c r="F1672" s="54"/>
      <c r="G1672" s="141"/>
      <c r="H1672" s="141"/>
      <c r="I1672" s="54"/>
      <c r="J1672" s="54"/>
      <c r="K1672" s="63"/>
      <c r="L1672" s="54"/>
      <c r="M1672" s="54"/>
    </row>
    <row r="1673">
      <c r="A1673" s="54"/>
      <c r="B1673" s="140"/>
      <c r="C1673" s="140"/>
      <c r="D1673" s="54"/>
      <c r="E1673" s="54"/>
      <c r="F1673" s="54"/>
      <c r="G1673" s="141"/>
      <c r="H1673" s="141"/>
      <c r="I1673" s="54"/>
      <c r="J1673" s="54"/>
      <c r="K1673" s="63"/>
      <c r="L1673" s="54"/>
      <c r="M1673" s="54"/>
    </row>
    <row r="1674">
      <c r="A1674" s="54"/>
      <c r="B1674" s="140"/>
      <c r="C1674" s="140"/>
      <c r="D1674" s="54"/>
      <c r="E1674" s="54"/>
      <c r="F1674" s="54"/>
      <c r="G1674" s="141"/>
      <c r="H1674" s="141"/>
      <c r="I1674" s="54"/>
      <c r="J1674" s="54"/>
      <c r="K1674" s="63"/>
      <c r="L1674" s="54"/>
      <c r="M1674" s="54"/>
    </row>
    <row r="1675">
      <c r="A1675" s="54"/>
      <c r="B1675" s="140"/>
      <c r="C1675" s="140"/>
      <c r="D1675" s="54"/>
      <c r="E1675" s="54"/>
      <c r="F1675" s="54"/>
      <c r="G1675" s="141"/>
      <c r="H1675" s="141"/>
      <c r="I1675" s="54"/>
      <c r="J1675" s="54"/>
      <c r="K1675" s="63"/>
      <c r="L1675" s="54"/>
      <c r="M1675" s="54"/>
    </row>
    <row r="1676">
      <c r="A1676" s="54"/>
      <c r="B1676" s="140"/>
      <c r="C1676" s="140"/>
      <c r="D1676" s="54"/>
      <c r="E1676" s="54"/>
      <c r="F1676" s="54"/>
      <c r="G1676" s="141"/>
      <c r="H1676" s="141"/>
      <c r="I1676" s="54"/>
      <c r="J1676" s="54"/>
      <c r="K1676" s="63"/>
      <c r="L1676" s="54"/>
      <c r="M1676" s="54"/>
    </row>
    <row r="1677">
      <c r="A1677" s="54"/>
      <c r="B1677" s="140"/>
      <c r="C1677" s="140"/>
      <c r="D1677" s="54"/>
      <c r="E1677" s="54"/>
      <c r="F1677" s="54"/>
      <c r="G1677" s="141"/>
      <c r="H1677" s="141"/>
      <c r="I1677" s="54"/>
      <c r="J1677" s="54"/>
      <c r="K1677" s="63"/>
      <c r="L1677" s="54"/>
      <c r="M1677" s="54"/>
    </row>
    <row r="1678">
      <c r="A1678" s="54"/>
      <c r="B1678" s="140"/>
      <c r="C1678" s="140"/>
      <c r="D1678" s="54"/>
      <c r="E1678" s="54"/>
      <c r="F1678" s="54"/>
      <c r="G1678" s="141"/>
      <c r="H1678" s="141"/>
      <c r="I1678" s="54"/>
      <c r="J1678" s="54"/>
      <c r="K1678" s="63"/>
      <c r="L1678" s="54"/>
      <c r="M1678" s="54"/>
    </row>
    <row r="1679">
      <c r="A1679" s="54"/>
      <c r="B1679" s="140"/>
      <c r="C1679" s="140"/>
      <c r="D1679" s="54"/>
      <c r="E1679" s="54"/>
      <c r="F1679" s="54"/>
      <c r="G1679" s="141"/>
      <c r="H1679" s="141"/>
      <c r="I1679" s="54"/>
      <c r="J1679" s="54"/>
      <c r="K1679" s="63"/>
      <c r="L1679" s="54"/>
      <c r="M1679" s="54"/>
    </row>
    <row r="1680">
      <c r="A1680" s="54"/>
      <c r="B1680" s="140"/>
      <c r="C1680" s="140"/>
      <c r="D1680" s="54"/>
      <c r="E1680" s="54"/>
      <c r="F1680" s="54"/>
      <c r="G1680" s="141"/>
      <c r="H1680" s="141"/>
      <c r="I1680" s="54"/>
      <c r="J1680" s="54"/>
      <c r="K1680" s="63"/>
      <c r="L1680" s="54"/>
      <c r="M1680" s="54"/>
    </row>
    <row r="1681">
      <c r="A1681" s="54"/>
      <c r="B1681" s="140"/>
      <c r="C1681" s="140"/>
      <c r="D1681" s="54"/>
      <c r="E1681" s="54"/>
      <c r="F1681" s="54"/>
      <c r="G1681" s="141"/>
      <c r="H1681" s="141"/>
      <c r="I1681" s="54"/>
      <c r="J1681" s="54"/>
      <c r="K1681" s="63"/>
      <c r="L1681" s="54"/>
      <c r="M1681" s="54"/>
    </row>
    <row r="1682">
      <c r="A1682" s="54"/>
      <c r="B1682" s="140"/>
      <c r="C1682" s="140"/>
      <c r="D1682" s="54"/>
      <c r="E1682" s="54"/>
      <c r="F1682" s="54"/>
      <c r="G1682" s="141"/>
      <c r="H1682" s="141"/>
      <c r="I1682" s="54"/>
      <c r="J1682" s="54"/>
      <c r="K1682" s="63"/>
      <c r="L1682" s="54"/>
      <c r="M1682" s="54"/>
    </row>
    <row r="1683">
      <c r="A1683" s="54"/>
      <c r="B1683" s="140"/>
      <c r="C1683" s="140"/>
      <c r="D1683" s="54"/>
      <c r="E1683" s="54"/>
      <c r="F1683" s="54"/>
      <c r="G1683" s="141"/>
      <c r="H1683" s="141"/>
      <c r="I1683" s="54"/>
      <c r="J1683" s="54"/>
      <c r="K1683" s="63"/>
      <c r="L1683" s="54"/>
      <c r="M1683" s="54"/>
    </row>
    <row r="1684">
      <c r="A1684" s="54"/>
      <c r="B1684" s="140"/>
      <c r="C1684" s="140"/>
      <c r="D1684" s="54"/>
      <c r="E1684" s="54"/>
      <c r="F1684" s="54"/>
      <c r="G1684" s="141"/>
      <c r="H1684" s="141"/>
      <c r="I1684" s="54"/>
      <c r="J1684" s="54"/>
      <c r="K1684" s="63"/>
      <c r="L1684" s="54"/>
      <c r="M1684" s="54"/>
    </row>
    <row r="1685">
      <c r="A1685" s="54"/>
      <c r="B1685" s="140"/>
      <c r="C1685" s="140"/>
      <c r="D1685" s="54"/>
      <c r="E1685" s="54"/>
      <c r="F1685" s="54"/>
      <c r="G1685" s="141"/>
      <c r="H1685" s="141"/>
      <c r="I1685" s="54"/>
      <c r="J1685" s="54"/>
      <c r="K1685" s="63"/>
      <c r="L1685" s="54"/>
      <c r="M1685" s="54"/>
    </row>
    <row r="1686">
      <c r="A1686" s="54"/>
      <c r="B1686" s="140"/>
      <c r="C1686" s="140"/>
      <c r="D1686" s="54"/>
      <c r="E1686" s="54"/>
      <c r="F1686" s="54"/>
      <c r="G1686" s="141"/>
      <c r="H1686" s="141"/>
      <c r="I1686" s="54"/>
      <c r="J1686" s="54"/>
      <c r="K1686" s="63"/>
      <c r="L1686" s="54"/>
      <c r="M1686" s="54"/>
    </row>
    <row r="1687">
      <c r="A1687" s="54"/>
      <c r="B1687" s="140"/>
      <c r="C1687" s="140"/>
      <c r="D1687" s="54"/>
      <c r="E1687" s="54"/>
      <c r="F1687" s="54"/>
      <c r="G1687" s="141"/>
      <c r="H1687" s="141"/>
      <c r="I1687" s="54"/>
      <c r="J1687" s="54"/>
      <c r="K1687" s="63"/>
      <c r="L1687" s="54"/>
      <c r="M1687" s="54"/>
    </row>
    <row r="1688">
      <c r="A1688" s="54"/>
      <c r="B1688" s="140"/>
      <c r="C1688" s="140"/>
      <c r="D1688" s="54"/>
      <c r="E1688" s="54"/>
      <c r="F1688" s="54"/>
      <c r="G1688" s="141"/>
      <c r="H1688" s="141"/>
      <c r="I1688" s="54"/>
      <c r="J1688" s="54"/>
      <c r="K1688" s="63"/>
      <c r="L1688" s="54"/>
      <c r="M1688" s="54"/>
    </row>
    <row r="1689">
      <c r="A1689" s="54"/>
      <c r="B1689" s="140"/>
      <c r="C1689" s="140"/>
      <c r="D1689" s="54"/>
      <c r="E1689" s="54"/>
      <c r="F1689" s="54"/>
      <c r="G1689" s="141"/>
      <c r="H1689" s="141"/>
      <c r="I1689" s="54"/>
      <c r="J1689" s="54"/>
      <c r="K1689" s="63"/>
      <c r="L1689" s="54"/>
      <c r="M1689" s="54"/>
    </row>
    <row r="1690">
      <c r="A1690" s="54"/>
      <c r="B1690" s="140"/>
      <c r="C1690" s="140"/>
      <c r="D1690" s="54"/>
      <c r="E1690" s="54"/>
      <c r="F1690" s="54"/>
      <c r="G1690" s="141"/>
      <c r="H1690" s="141"/>
      <c r="I1690" s="54"/>
      <c r="J1690" s="54"/>
      <c r="K1690" s="63"/>
      <c r="L1690" s="54"/>
      <c r="M1690" s="54"/>
    </row>
    <row r="1691">
      <c r="A1691" s="54"/>
      <c r="B1691" s="140"/>
      <c r="C1691" s="140"/>
      <c r="D1691" s="54"/>
      <c r="E1691" s="54"/>
      <c r="F1691" s="54"/>
      <c r="G1691" s="141"/>
      <c r="H1691" s="141"/>
      <c r="I1691" s="54"/>
      <c r="J1691" s="54"/>
      <c r="K1691" s="63"/>
      <c r="L1691" s="54"/>
      <c r="M1691" s="54"/>
    </row>
    <row r="1692">
      <c r="A1692" s="54"/>
      <c r="B1692" s="140"/>
      <c r="C1692" s="140"/>
      <c r="D1692" s="54"/>
      <c r="E1692" s="54"/>
      <c r="F1692" s="54"/>
      <c r="G1692" s="141"/>
      <c r="H1692" s="141"/>
      <c r="I1692" s="54"/>
      <c r="J1692" s="54"/>
      <c r="K1692" s="63"/>
      <c r="L1692" s="54"/>
      <c r="M1692" s="54"/>
    </row>
    <row r="1693">
      <c r="A1693" s="54"/>
      <c r="B1693" s="140"/>
      <c r="C1693" s="140"/>
      <c r="D1693" s="54"/>
      <c r="E1693" s="54"/>
      <c r="F1693" s="54"/>
      <c r="G1693" s="141"/>
      <c r="H1693" s="141"/>
      <c r="I1693" s="54"/>
      <c r="J1693" s="54"/>
      <c r="K1693" s="63"/>
      <c r="L1693" s="54"/>
      <c r="M1693" s="54"/>
    </row>
    <row r="1694">
      <c r="A1694" s="54"/>
      <c r="B1694" s="140"/>
      <c r="C1694" s="140"/>
      <c r="D1694" s="54"/>
      <c r="E1694" s="54"/>
      <c r="F1694" s="54"/>
      <c r="G1694" s="141"/>
      <c r="H1694" s="141"/>
      <c r="I1694" s="54"/>
      <c r="J1694" s="54"/>
      <c r="K1694" s="63"/>
      <c r="L1694" s="54"/>
      <c r="M1694" s="54"/>
    </row>
    <row r="1695">
      <c r="A1695" s="54"/>
      <c r="B1695" s="140"/>
      <c r="C1695" s="140"/>
      <c r="D1695" s="54"/>
      <c r="E1695" s="54"/>
      <c r="F1695" s="54"/>
      <c r="G1695" s="141"/>
      <c r="H1695" s="141"/>
      <c r="I1695" s="54"/>
      <c r="J1695" s="54"/>
      <c r="K1695" s="63"/>
      <c r="L1695" s="54"/>
      <c r="M1695" s="54"/>
    </row>
    <row r="1696">
      <c r="A1696" s="54"/>
      <c r="B1696" s="140"/>
      <c r="C1696" s="140"/>
      <c r="D1696" s="54"/>
      <c r="E1696" s="54"/>
      <c r="F1696" s="54"/>
      <c r="G1696" s="141"/>
      <c r="H1696" s="141"/>
      <c r="I1696" s="54"/>
      <c r="J1696" s="54"/>
      <c r="K1696" s="63"/>
      <c r="L1696" s="54"/>
      <c r="M1696" s="54"/>
    </row>
    <row r="1697">
      <c r="A1697" s="54"/>
      <c r="B1697" s="140"/>
      <c r="C1697" s="140"/>
      <c r="D1697" s="54"/>
      <c r="E1697" s="54"/>
      <c r="F1697" s="54"/>
      <c r="G1697" s="141"/>
      <c r="H1697" s="141"/>
      <c r="I1697" s="54"/>
      <c r="J1697" s="54"/>
      <c r="K1697" s="63"/>
      <c r="L1697" s="54"/>
      <c r="M1697" s="54"/>
    </row>
    <row r="1698">
      <c r="A1698" s="54"/>
      <c r="B1698" s="140"/>
      <c r="C1698" s="140"/>
      <c r="D1698" s="54"/>
      <c r="E1698" s="54"/>
      <c r="F1698" s="54"/>
      <c r="G1698" s="141"/>
      <c r="H1698" s="141"/>
      <c r="I1698" s="54"/>
      <c r="J1698" s="54"/>
      <c r="K1698" s="63"/>
      <c r="L1698" s="54"/>
      <c r="M1698" s="54"/>
    </row>
    <row r="1699">
      <c r="A1699" s="54"/>
      <c r="B1699" s="140"/>
      <c r="C1699" s="140"/>
      <c r="D1699" s="54"/>
      <c r="E1699" s="54"/>
      <c r="F1699" s="54"/>
      <c r="G1699" s="141"/>
      <c r="H1699" s="141"/>
      <c r="I1699" s="54"/>
      <c r="J1699" s="54"/>
      <c r="K1699" s="63"/>
      <c r="L1699" s="54"/>
      <c r="M1699" s="54"/>
    </row>
    <row r="1700">
      <c r="A1700" s="54"/>
      <c r="B1700" s="140"/>
      <c r="C1700" s="140"/>
      <c r="D1700" s="54"/>
      <c r="E1700" s="54"/>
      <c r="F1700" s="54"/>
      <c r="G1700" s="141"/>
      <c r="H1700" s="141"/>
      <c r="I1700" s="54"/>
      <c r="J1700" s="54"/>
      <c r="K1700" s="63"/>
      <c r="L1700" s="54"/>
      <c r="M1700" s="54"/>
    </row>
    <row r="1701">
      <c r="A1701" s="54"/>
      <c r="B1701" s="140"/>
      <c r="C1701" s="140"/>
      <c r="D1701" s="54"/>
      <c r="E1701" s="54"/>
      <c r="F1701" s="54"/>
      <c r="G1701" s="141"/>
      <c r="H1701" s="141"/>
      <c r="I1701" s="54"/>
      <c r="J1701" s="54"/>
      <c r="K1701" s="63"/>
      <c r="L1701" s="54"/>
      <c r="M1701" s="54"/>
    </row>
    <row r="1702">
      <c r="A1702" s="54"/>
      <c r="B1702" s="140"/>
      <c r="C1702" s="140"/>
      <c r="D1702" s="54"/>
      <c r="E1702" s="54"/>
      <c r="F1702" s="54"/>
      <c r="G1702" s="141"/>
      <c r="H1702" s="141"/>
      <c r="I1702" s="54"/>
      <c r="J1702" s="54"/>
      <c r="K1702" s="63"/>
      <c r="L1702" s="54"/>
      <c r="M1702" s="54"/>
    </row>
    <row r="1703">
      <c r="A1703" s="54"/>
      <c r="B1703" s="140"/>
      <c r="C1703" s="140"/>
      <c r="D1703" s="54"/>
      <c r="E1703" s="54"/>
      <c r="F1703" s="54"/>
      <c r="G1703" s="141"/>
      <c r="H1703" s="141"/>
      <c r="I1703" s="54"/>
      <c r="J1703" s="54"/>
      <c r="K1703" s="63"/>
      <c r="L1703" s="54"/>
      <c r="M1703" s="54"/>
    </row>
    <row r="1704">
      <c r="A1704" s="54"/>
      <c r="B1704" s="140"/>
      <c r="C1704" s="140"/>
      <c r="D1704" s="54"/>
      <c r="E1704" s="54"/>
      <c r="F1704" s="54"/>
      <c r="G1704" s="141"/>
      <c r="H1704" s="141"/>
      <c r="I1704" s="54"/>
      <c r="J1704" s="54"/>
      <c r="K1704" s="63"/>
      <c r="L1704" s="54"/>
      <c r="M1704" s="54"/>
    </row>
    <row r="1705">
      <c r="A1705" s="54"/>
      <c r="B1705" s="140"/>
      <c r="C1705" s="140"/>
      <c r="D1705" s="54"/>
      <c r="E1705" s="54"/>
      <c r="F1705" s="54"/>
      <c r="G1705" s="141"/>
      <c r="H1705" s="141"/>
      <c r="I1705" s="54"/>
      <c r="J1705" s="54"/>
      <c r="K1705" s="63"/>
      <c r="L1705" s="54"/>
      <c r="M1705" s="54"/>
    </row>
    <row r="1706">
      <c r="A1706" s="54"/>
      <c r="B1706" s="140"/>
      <c r="C1706" s="140"/>
      <c r="D1706" s="54"/>
      <c r="E1706" s="54"/>
      <c r="F1706" s="54"/>
      <c r="G1706" s="141"/>
      <c r="H1706" s="141"/>
      <c r="I1706" s="54"/>
      <c r="J1706" s="54"/>
      <c r="K1706" s="63"/>
      <c r="L1706" s="54"/>
      <c r="M1706" s="54"/>
    </row>
    <row r="1707">
      <c r="A1707" s="54"/>
      <c r="B1707" s="140"/>
      <c r="C1707" s="140"/>
      <c r="D1707" s="54"/>
      <c r="E1707" s="54"/>
      <c r="F1707" s="54"/>
      <c r="G1707" s="141"/>
      <c r="H1707" s="141"/>
      <c r="I1707" s="54"/>
      <c r="J1707" s="54"/>
      <c r="K1707" s="63"/>
      <c r="L1707" s="54"/>
      <c r="M1707" s="54"/>
    </row>
    <row r="1708">
      <c r="A1708" s="54"/>
      <c r="B1708" s="140"/>
      <c r="C1708" s="140"/>
      <c r="D1708" s="54"/>
      <c r="E1708" s="54"/>
      <c r="F1708" s="54"/>
      <c r="G1708" s="141"/>
      <c r="H1708" s="141"/>
      <c r="I1708" s="54"/>
      <c r="J1708" s="54"/>
      <c r="K1708" s="63"/>
      <c r="L1708" s="54"/>
      <c r="M1708" s="54"/>
    </row>
    <row r="1709">
      <c r="A1709" s="54"/>
      <c r="B1709" s="140"/>
      <c r="C1709" s="140"/>
      <c r="D1709" s="54"/>
      <c r="E1709" s="54"/>
      <c r="F1709" s="54"/>
      <c r="G1709" s="141"/>
      <c r="H1709" s="141"/>
      <c r="I1709" s="54"/>
      <c r="J1709" s="54"/>
      <c r="K1709" s="63"/>
      <c r="L1709" s="54"/>
      <c r="M1709" s="54"/>
    </row>
    <row r="1710">
      <c r="A1710" s="54"/>
      <c r="B1710" s="140"/>
      <c r="C1710" s="140"/>
      <c r="D1710" s="54"/>
      <c r="E1710" s="54"/>
      <c r="F1710" s="54"/>
      <c r="G1710" s="141"/>
      <c r="H1710" s="141"/>
      <c r="I1710" s="54"/>
      <c r="J1710" s="54"/>
      <c r="K1710" s="63"/>
      <c r="L1710" s="54"/>
      <c r="M1710" s="54"/>
    </row>
    <row r="1711">
      <c r="A1711" s="54"/>
      <c r="B1711" s="140"/>
      <c r="C1711" s="140"/>
      <c r="D1711" s="54"/>
      <c r="E1711" s="54"/>
      <c r="F1711" s="54"/>
      <c r="G1711" s="141"/>
      <c r="H1711" s="141"/>
      <c r="I1711" s="54"/>
      <c r="J1711" s="54"/>
      <c r="K1711" s="63"/>
      <c r="L1711" s="54"/>
      <c r="M1711" s="54"/>
    </row>
    <row r="1712">
      <c r="A1712" s="54"/>
      <c r="B1712" s="140"/>
      <c r="C1712" s="140"/>
      <c r="D1712" s="54"/>
      <c r="E1712" s="54"/>
      <c r="F1712" s="54"/>
      <c r="G1712" s="141"/>
      <c r="H1712" s="141"/>
      <c r="I1712" s="54"/>
      <c r="J1712" s="54"/>
      <c r="K1712" s="63"/>
      <c r="L1712" s="54"/>
      <c r="M1712" s="54"/>
    </row>
    <row r="1713">
      <c r="A1713" s="54"/>
      <c r="B1713" s="140"/>
      <c r="C1713" s="140"/>
      <c r="D1713" s="54"/>
      <c r="E1713" s="54"/>
      <c r="F1713" s="54"/>
      <c r="G1713" s="141"/>
      <c r="H1713" s="141"/>
      <c r="I1713" s="54"/>
      <c r="J1713" s="54"/>
      <c r="K1713" s="63"/>
      <c r="L1713" s="54"/>
      <c r="M1713" s="54"/>
    </row>
    <row r="1714">
      <c r="A1714" s="54"/>
      <c r="B1714" s="140"/>
      <c r="C1714" s="140"/>
      <c r="D1714" s="54"/>
      <c r="E1714" s="54"/>
      <c r="F1714" s="54"/>
      <c r="G1714" s="141"/>
      <c r="H1714" s="141"/>
      <c r="I1714" s="54"/>
      <c r="J1714" s="54"/>
      <c r="K1714" s="63"/>
      <c r="L1714" s="54"/>
      <c r="M1714" s="54"/>
    </row>
    <row r="1715">
      <c r="A1715" s="54"/>
      <c r="B1715" s="140"/>
      <c r="C1715" s="140"/>
      <c r="D1715" s="54"/>
      <c r="E1715" s="54"/>
      <c r="F1715" s="54"/>
      <c r="G1715" s="141"/>
      <c r="H1715" s="141"/>
      <c r="I1715" s="54"/>
      <c r="J1715" s="54"/>
      <c r="K1715" s="63"/>
      <c r="L1715" s="54"/>
      <c r="M1715" s="54"/>
    </row>
    <row r="1716">
      <c r="A1716" s="54"/>
      <c r="B1716" s="140"/>
      <c r="C1716" s="140"/>
      <c r="D1716" s="54"/>
      <c r="E1716" s="54"/>
      <c r="F1716" s="54"/>
      <c r="G1716" s="141"/>
      <c r="H1716" s="141"/>
      <c r="I1716" s="54"/>
      <c r="J1716" s="54"/>
      <c r="K1716" s="63"/>
      <c r="L1716" s="54"/>
      <c r="M1716" s="54"/>
    </row>
    <row r="1717">
      <c r="A1717" s="54"/>
      <c r="B1717" s="140"/>
      <c r="C1717" s="140"/>
      <c r="D1717" s="54"/>
      <c r="E1717" s="54"/>
      <c r="F1717" s="54"/>
      <c r="G1717" s="141"/>
      <c r="H1717" s="141"/>
      <c r="I1717" s="54"/>
      <c r="J1717" s="54"/>
      <c r="K1717" s="63"/>
      <c r="L1717" s="54"/>
      <c r="M1717" s="54"/>
    </row>
    <row r="1718">
      <c r="A1718" s="54"/>
      <c r="B1718" s="140"/>
      <c r="C1718" s="140"/>
      <c r="D1718" s="54"/>
      <c r="E1718" s="54"/>
      <c r="F1718" s="54"/>
      <c r="G1718" s="141"/>
      <c r="H1718" s="141"/>
      <c r="I1718" s="54"/>
      <c r="J1718" s="54"/>
      <c r="K1718" s="63"/>
      <c r="L1718" s="54"/>
      <c r="M1718" s="54"/>
    </row>
    <row r="1719">
      <c r="A1719" s="54"/>
      <c r="B1719" s="140"/>
      <c r="C1719" s="140"/>
      <c r="D1719" s="54"/>
      <c r="E1719" s="54"/>
      <c r="F1719" s="54"/>
      <c r="G1719" s="141"/>
      <c r="H1719" s="141"/>
      <c r="I1719" s="54"/>
      <c r="J1719" s="54"/>
      <c r="K1719" s="63"/>
      <c r="L1719" s="54"/>
      <c r="M1719" s="54"/>
    </row>
    <row r="1720">
      <c r="A1720" s="54"/>
      <c r="B1720" s="140"/>
      <c r="C1720" s="140"/>
      <c r="D1720" s="54"/>
      <c r="E1720" s="54"/>
      <c r="F1720" s="54"/>
      <c r="G1720" s="141"/>
      <c r="H1720" s="141"/>
      <c r="I1720" s="54"/>
      <c r="J1720" s="54"/>
      <c r="K1720" s="63"/>
      <c r="L1720" s="54"/>
      <c r="M1720" s="54"/>
    </row>
    <row r="1721">
      <c r="A1721" s="54"/>
      <c r="B1721" s="140"/>
      <c r="C1721" s="140"/>
      <c r="D1721" s="54"/>
      <c r="E1721" s="54"/>
      <c r="F1721" s="54"/>
      <c r="G1721" s="141"/>
      <c r="H1721" s="141"/>
      <c r="I1721" s="54"/>
      <c r="J1721" s="54"/>
      <c r="K1721" s="63"/>
      <c r="L1721" s="54"/>
      <c r="M1721" s="54"/>
    </row>
    <row r="1722">
      <c r="A1722" s="54"/>
      <c r="B1722" s="140"/>
      <c r="C1722" s="140"/>
      <c r="D1722" s="54"/>
      <c r="E1722" s="54"/>
      <c r="F1722" s="54"/>
      <c r="G1722" s="141"/>
      <c r="H1722" s="141"/>
      <c r="I1722" s="54"/>
      <c r="J1722" s="54"/>
      <c r="K1722" s="63"/>
      <c r="L1722" s="54"/>
      <c r="M1722" s="54"/>
    </row>
    <row r="1723">
      <c r="A1723" s="54"/>
      <c r="B1723" s="140"/>
      <c r="C1723" s="140"/>
      <c r="D1723" s="54"/>
      <c r="E1723" s="54"/>
      <c r="F1723" s="54"/>
      <c r="G1723" s="141"/>
      <c r="H1723" s="141"/>
      <c r="I1723" s="54"/>
      <c r="J1723" s="54"/>
      <c r="K1723" s="63"/>
      <c r="L1723" s="54"/>
      <c r="M1723" s="54"/>
    </row>
    <row r="1724">
      <c r="A1724" s="54"/>
      <c r="B1724" s="140"/>
      <c r="C1724" s="140"/>
      <c r="D1724" s="54"/>
      <c r="E1724" s="54"/>
      <c r="F1724" s="54"/>
      <c r="G1724" s="141"/>
      <c r="H1724" s="141"/>
      <c r="I1724" s="54"/>
      <c r="J1724" s="54"/>
      <c r="K1724" s="63"/>
      <c r="L1724" s="54"/>
      <c r="M1724" s="54"/>
    </row>
    <row r="1725">
      <c r="A1725" s="54"/>
      <c r="B1725" s="140"/>
      <c r="C1725" s="140"/>
      <c r="D1725" s="54"/>
      <c r="E1725" s="54"/>
      <c r="F1725" s="54"/>
      <c r="G1725" s="141"/>
      <c r="H1725" s="141"/>
      <c r="I1725" s="54"/>
      <c r="J1725" s="54"/>
      <c r="K1725" s="63"/>
      <c r="L1725" s="54"/>
      <c r="M1725" s="54"/>
    </row>
    <row r="1726">
      <c r="A1726" s="54"/>
      <c r="B1726" s="140"/>
      <c r="C1726" s="140"/>
      <c r="D1726" s="54"/>
      <c r="E1726" s="54"/>
      <c r="F1726" s="54"/>
      <c r="G1726" s="141"/>
      <c r="H1726" s="141"/>
      <c r="I1726" s="54"/>
      <c r="J1726" s="54"/>
      <c r="K1726" s="63"/>
      <c r="L1726" s="54"/>
      <c r="M1726" s="54"/>
    </row>
    <row r="1727">
      <c r="A1727" s="54"/>
      <c r="B1727" s="140"/>
      <c r="C1727" s="140"/>
      <c r="D1727" s="54"/>
      <c r="E1727" s="54"/>
      <c r="F1727" s="54"/>
      <c r="G1727" s="141"/>
      <c r="H1727" s="141"/>
      <c r="I1727" s="54"/>
      <c r="J1727" s="54"/>
      <c r="K1727" s="63"/>
      <c r="L1727" s="54"/>
      <c r="M1727" s="54"/>
    </row>
    <row r="1728">
      <c r="A1728" s="54"/>
      <c r="B1728" s="140"/>
      <c r="C1728" s="140"/>
      <c r="D1728" s="54"/>
      <c r="E1728" s="54"/>
      <c r="F1728" s="54"/>
      <c r="G1728" s="141"/>
      <c r="H1728" s="141"/>
      <c r="I1728" s="54"/>
      <c r="J1728" s="54"/>
      <c r="K1728" s="63"/>
      <c r="L1728" s="54"/>
      <c r="M1728" s="54"/>
    </row>
    <row r="1729">
      <c r="A1729" s="54"/>
      <c r="B1729" s="140"/>
      <c r="C1729" s="140"/>
      <c r="D1729" s="54"/>
      <c r="E1729" s="54"/>
      <c r="F1729" s="54"/>
      <c r="G1729" s="141"/>
      <c r="H1729" s="141"/>
      <c r="I1729" s="54"/>
      <c r="J1729" s="54"/>
      <c r="K1729" s="63"/>
      <c r="L1729" s="54"/>
      <c r="M1729" s="54"/>
    </row>
    <row r="1730">
      <c r="A1730" s="54"/>
      <c r="B1730" s="140"/>
      <c r="C1730" s="140"/>
      <c r="D1730" s="54"/>
      <c r="E1730" s="54"/>
      <c r="F1730" s="54"/>
      <c r="G1730" s="141"/>
      <c r="H1730" s="141"/>
      <c r="I1730" s="54"/>
      <c r="J1730" s="54"/>
      <c r="K1730" s="63"/>
      <c r="L1730" s="54"/>
      <c r="M1730" s="54"/>
    </row>
    <row r="1731">
      <c r="A1731" s="54"/>
      <c r="B1731" s="140"/>
      <c r="C1731" s="140"/>
      <c r="D1731" s="54"/>
      <c r="E1731" s="54"/>
      <c r="F1731" s="54"/>
      <c r="G1731" s="141"/>
      <c r="H1731" s="141"/>
      <c r="I1731" s="54"/>
      <c r="J1731" s="54"/>
      <c r="K1731" s="63"/>
      <c r="L1731" s="54"/>
      <c r="M1731" s="54"/>
    </row>
    <row r="1732">
      <c r="A1732" s="54"/>
      <c r="B1732" s="140"/>
      <c r="C1732" s="140"/>
      <c r="D1732" s="54"/>
      <c r="E1732" s="54"/>
      <c r="F1732" s="54"/>
      <c r="G1732" s="141"/>
      <c r="H1732" s="141"/>
      <c r="I1732" s="54"/>
      <c r="J1732" s="54"/>
      <c r="K1732" s="63"/>
      <c r="L1732" s="54"/>
      <c r="M1732" s="54"/>
    </row>
    <row r="1733">
      <c r="A1733" s="54"/>
      <c r="B1733" s="140"/>
      <c r="C1733" s="140"/>
      <c r="D1733" s="54"/>
      <c r="E1733" s="54"/>
      <c r="F1733" s="54"/>
      <c r="G1733" s="141"/>
      <c r="H1733" s="141"/>
      <c r="I1733" s="54"/>
      <c r="J1733" s="54"/>
      <c r="K1733" s="63"/>
      <c r="L1733" s="54"/>
      <c r="M1733" s="54"/>
    </row>
    <row r="1734">
      <c r="A1734" s="54"/>
      <c r="B1734" s="140"/>
      <c r="C1734" s="140"/>
      <c r="D1734" s="54"/>
      <c r="E1734" s="54"/>
      <c r="F1734" s="54"/>
      <c r="G1734" s="141"/>
      <c r="H1734" s="141"/>
      <c r="I1734" s="54"/>
      <c r="J1734" s="54"/>
      <c r="K1734" s="63"/>
      <c r="L1734" s="54"/>
      <c r="M1734" s="54"/>
    </row>
    <row r="1735">
      <c r="A1735" s="54"/>
      <c r="B1735" s="140"/>
      <c r="C1735" s="140"/>
      <c r="D1735" s="54"/>
      <c r="E1735" s="54"/>
      <c r="F1735" s="54"/>
      <c r="G1735" s="141"/>
      <c r="H1735" s="141"/>
      <c r="I1735" s="54"/>
      <c r="J1735" s="54"/>
      <c r="K1735" s="63"/>
      <c r="L1735" s="54"/>
      <c r="M1735" s="54"/>
    </row>
    <row r="1736">
      <c r="A1736" s="54"/>
      <c r="B1736" s="140"/>
      <c r="C1736" s="140"/>
      <c r="D1736" s="54"/>
      <c r="E1736" s="54"/>
      <c r="F1736" s="54"/>
      <c r="G1736" s="141"/>
      <c r="H1736" s="141"/>
      <c r="I1736" s="54"/>
      <c r="J1736" s="54"/>
      <c r="K1736" s="63"/>
      <c r="L1736" s="54"/>
      <c r="M1736" s="54"/>
    </row>
    <row r="1737">
      <c r="A1737" s="54"/>
      <c r="B1737" s="140"/>
      <c r="C1737" s="140"/>
      <c r="D1737" s="54"/>
      <c r="E1737" s="54"/>
      <c r="F1737" s="54"/>
      <c r="G1737" s="141"/>
      <c r="H1737" s="141"/>
      <c r="I1737" s="54"/>
      <c r="J1737" s="54"/>
      <c r="K1737" s="63"/>
      <c r="L1737" s="54"/>
      <c r="M1737" s="54"/>
    </row>
    <row r="1738">
      <c r="A1738" s="54"/>
      <c r="B1738" s="140"/>
      <c r="C1738" s="140"/>
      <c r="D1738" s="54"/>
      <c r="E1738" s="54"/>
      <c r="F1738" s="54"/>
      <c r="G1738" s="141"/>
      <c r="H1738" s="141"/>
      <c r="I1738" s="54"/>
      <c r="J1738" s="54"/>
      <c r="K1738" s="63"/>
      <c r="L1738" s="54"/>
      <c r="M1738" s="54"/>
    </row>
    <row r="1739">
      <c r="A1739" s="54"/>
      <c r="B1739" s="140"/>
      <c r="C1739" s="140"/>
      <c r="D1739" s="54"/>
      <c r="E1739" s="54"/>
      <c r="F1739" s="54"/>
      <c r="G1739" s="141"/>
      <c r="H1739" s="141"/>
      <c r="I1739" s="54"/>
      <c r="J1739" s="54"/>
      <c r="K1739" s="63"/>
      <c r="L1739" s="54"/>
      <c r="M1739" s="54"/>
    </row>
    <row r="1740">
      <c r="A1740" s="54"/>
      <c r="B1740" s="140"/>
      <c r="C1740" s="140"/>
      <c r="D1740" s="54"/>
      <c r="E1740" s="54"/>
      <c r="F1740" s="54"/>
      <c r="G1740" s="141"/>
      <c r="H1740" s="141"/>
      <c r="I1740" s="54"/>
      <c r="J1740" s="54"/>
      <c r="K1740" s="63"/>
      <c r="L1740" s="54"/>
      <c r="M1740" s="54"/>
    </row>
    <row r="1741">
      <c r="A1741" s="54"/>
      <c r="B1741" s="140"/>
      <c r="C1741" s="140"/>
      <c r="D1741" s="54"/>
      <c r="E1741" s="54"/>
      <c r="F1741" s="54"/>
      <c r="G1741" s="141"/>
      <c r="H1741" s="141"/>
      <c r="I1741" s="54"/>
      <c r="J1741" s="54"/>
      <c r="K1741" s="63"/>
      <c r="L1741" s="54"/>
      <c r="M1741" s="54"/>
    </row>
    <row r="1742">
      <c r="A1742" s="54"/>
      <c r="B1742" s="140"/>
      <c r="C1742" s="140"/>
      <c r="D1742" s="54"/>
      <c r="E1742" s="54"/>
      <c r="F1742" s="54"/>
      <c r="G1742" s="141"/>
      <c r="H1742" s="141"/>
      <c r="I1742" s="54"/>
      <c r="J1742" s="54"/>
      <c r="K1742" s="63"/>
      <c r="L1742" s="54"/>
      <c r="M1742" s="54"/>
    </row>
    <row r="1743">
      <c r="A1743" s="54"/>
      <c r="B1743" s="140"/>
      <c r="C1743" s="140"/>
      <c r="D1743" s="54"/>
      <c r="E1743" s="54"/>
      <c r="F1743" s="54"/>
      <c r="G1743" s="141"/>
      <c r="H1743" s="141"/>
      <c r="I1743" s="54"/>
      <c r="J1743" s="54"/>
      <c r="K1743" s="63"/>
      <c r="L1743" s="54"/>
      <c r="M1743" s="54"/>
    </row>
    <row r="1744">
      <c r="A1744" s="54"/>
      <c r="B1744" s="140"/>
      <c r="C1744" s="140"/>
      <c r="D1744" s="54"/>
      <c r="E1744" s="54"/>
      <c r="F1744" s="54"/>
      <c r="G1744" s="141"/>
      <c r="H1744" s="141"/>
      <c r="I1744" s="54"/>
      <c r="J1744" s="54"/>
      <c r="K1744" s="63"/>
      <c r="L1744" s="54"/>
      <c r="M1744" s="54"/>
    </row>
    <row r="1745">
      <c r="A1745" s="54"/>
      <c r="B1745" s="140"/>
      <c r="C1745" s="140"/>
      <c r="D1745" s="54"/>
      <c r="E1745" s="54"/>
      <c r="F1745" s="54"/>
      <c r="G1745" s="141"/>
      <c r="H1745" s="141"/>
      <c r="I1745" s="54"/>
      <c r="J1745" s="54"/>
      <c r="K1745" s="63"/>
      <c r="L1745" s="54"/>
      <c r="M1745" s="54"/>
    </row>
    <row r="1746">
      <c r="A1746" s="54"/>
      <c r="B1746" s="140"/>
      <c r="C1746" s="140"/>
      <c r="D1746" s="54"/>
      <c r="E1746" s="54"/>
      <c r="F1746" s="54"/>
      <c r="G1746" s="141"/>
      <c r="H1746" s="141"/>
      <c r="I1746" s="54"/>
      <c r="J1746" s="54"/>
      <c r="K1746" s="63"/>
      <c r="L1746" s="54"/>
      <c r="M1746" s="54"/>
    </row>
    <row r="1747">
      <c r="A1747" s="54"/>
      <c r="B1747" s="140"/>
      <c r="C1747" s="140"/>
      <c r="D1747" s="54"/>
      <c r="E1747" s="54"/>
      <c r="F1747" s="54"/>
      <c r="G1747" s="141"/>
      <c r="H1747" s="141"/>
      <c r="I1747" s="54"/>
      <c r="J1747" s="54"/>
      <c r="K1747" s="63"/>
      <c r="L1747" s="54"/>
      <c r="M1747" s="54"/>
    </row>
    <row r="1748">
      <c r="A1748" s="54"/>
      <c r="B1748" s="140"/>
      <c r="C1748" s="140"/>
      <c r="D1748" s="54"/>
      <c r="E1748" s="54"/>
      <c r="F1748" s="54"/>
      <c r="G1748" s="141"/>
      <c r="H1748" s="141"/>
      <c r="I1748" s="54"/>
      <c r="J1748" s="54"/>
      <c r="K1748" s="63"/>
      <c r="L1748" s="54"/>
      <c r="M1748" s="54"/>
    </row>
    <row r="1749">
      <c r="A1749" s="54"/>
      <c r="B1749" s="140"/>
      <c r="C1749" s="140"/>
      <c r="D1749" s="54"/>
      <c r="E1749" s="54"/>
      <c r="F1749" s="54"/>
      <c r="G1749" s="141"/>
      <c r="H1749" s="141"/>
      <c r="I1749" s="54"/>
      <c r="J1749" s="54"/>
      <c r="K1749" s="63"/>
      <c r="L1749" s="54"/>
      <c r="M1749" s="54"/>
    </row>
    <row r="1750">
      <c r="A1750" s="54"/>
      <c r="B1750" s="140"/>
      <c r="C1750" s="140"/>
      <c r="D1750" s="54"/>
      <c r="E1750" s="54"/>
      <c r="F1750" s="54"/>
      <c r="G1750" s="141"/>
      <c r="H1750" s="141"/>
      <c r="I1750" s="54"/>
      <c r="J1750" s="54"/>
      <c r="K1750" s="63"/>
      <c r="L1750" s="54"/>
      <c r="M1750" s="54"/>
    </row>
    <row r="1751">
      <c r="A1751" s="54"/>
      <c r="B1751" s="140"/>
      <c r="C1751" s="140"/>
      <c r="D1751" s="54"/>
      <c r="E1751" s="54"/>
      <c r="F1751" s="54"/>
      <c r="G1751" s="141"/>
      <c r="H1751" s="141"/>
      <c r="I1751" s="54"/>
      <c r="J1751" s="54"/>
      <c r="K1751" s="63"/>
      <c r="L1751" s="54"/>
      <c r="M1751" s="54"/>
    </row>
    <row r="1752">
      <c r="A1752" s="54"/>
      <c r="B1752" s="140"/>
      <c r="C1752" s="140"/>
      <c r="D1752" s="54"/>
      <c r="E1752" s="54"/>
      <c r="F1752" s="54"/>
      <c r="G1752" s="141"/>
      <c r="H1752" s="141"/>
      <c r="I1752" s="54"/>
      <c r="J1752" s="54"/>
      <c r="K1752" s="63"/>
      <c r="L1752" s="54"/>
      <c r="M1752" s="54"/>
    </row>
    <row r="1753">
      <c r="A1753" s="54"/>
      <c r="B1753" s="140"/>
      <c r="C1753" s="140"/>
      <c r="D1753" s="54"/>
      <c r="E1753" s="54"/>
      <c r="F1753" s="54"/>
      <c r="G1753" s="141"/>
      <c r="H1753" s="141"/>
      <c r="I1753" s="54"/>
      <c r="J1753" s="54"/>
      <c r="K1753" s="63"/>
      <c r="L1753" s="54"/>
      <c r="M1753" s="54"/>
    </row>
    <row r="1754">
      <c r="A1754" s="54"/>
      <c r="B1754" s="140"/>
      <c r="C1754" s="140"/>
      <c r="D1754" s="54"/>
      <c r="E1754" s="54"/>
      <c r="F1754" s="54"/>
      <c r="G1754" s="141"/>
      <c r="H1754" s="141"/>
      <c r="I1754" s="54"/>
      <c r="J1754" s="54"/>
      <c r="K1754" s="63"/>
      <c r="L1754" s="54"/>
      <c r="M1754" s="54"/>
    </row>
    <row r="1755">
      <c r="A1755" s="54"/>
      <c r="B1755" s="140"/>
      <c r="C1755" s="140"/>
      <c r="D1755" s="54"/>
      <c r="E1755" s="54"/>
      <c r="F1755" s="54"/>
      <c r="G1755" s="141"/>
      <c r="H1755" s="141"/>
      <c r="I1755" s="54"/>
      <c r="J1755" s="54"/>
      <c r="K1755" s="63"/>
      <c r="L1755" s="54"/>
      <c r="M1755" s="54"/>
    </row>
    <row r="1756">
      <c r="A1756" s="54"/>
      <c r="B1756" s="140"/>
      <c r="C1756" s="140"/>
      <c r="D1756" s="54"/>
      <c r="E1756" s="54"/>
      <c r="F1756" s="54"/>
      <c r="G1756" s="141"/>
      <c r="H1756" s="141"/>
      <c r="I1756" s="54"/>
      <c r="J1756" s="54"/>
      <c r="K1756" s="63"/>
      <c r="L1756" s="54"/>
      <c r="M1756" s="54"/>
    </row>
    <row r="1757">
      <c r="A1757" s="54"/>
      <c r="B1757" s="140"/>
      <c r="C1757" s="140"/>
      <c r="D1757" s="54"/>
      <c r="E1757" s="54"/>
      <c r="F1757" s="54"/>
      <c r="G1757" s="141"/>
      <c r="H1757" s="141"/>
      <c r="I1757" s="54"/>
      <c r="J1757" s="54"/>
      <c r="K1757" s="63"/>
      <c r="L1757" s="54"/>
      <c r="M1757" s="54"/>
    </row>
    <row r="1758">
      <c r="A1758" s="54"/>
      <c r="B1758" s="140"/>
      <c r="C1758" s="140"/>
      <c r="D1758" s="54"/>
      <c r="E1758" s="54"/>
      <c r="F1758" s="54"/>
      <c r="G1758" s="141"/>
      <c r="H1758" s="141"/>
      <c r="I1758" s="54"/>
      <c r="J1758" s="54"/>
      <c r="K1758" s="63"/>
      <c r="L1758" s="54"/>
      <c r="M1758" s="54"/>
    </row>
    <row r="1759">
      <c r="A1759" s="54"/>
      <c r="B1759" s="140"/>
      <c r="C1759" s="140"/>
      <c r="D1759" s="54"/>
      <c r="E1759" s="54"/>
      <c r="F1759" s="54"/>
      <c r="G1759" s="141"/>
      <c r="H1759" s="141"/>
      <c r="I1759" s="54"/>
      <c r="J1759" s="54"/>
      <c r="K1759" s="63"/>
      <c r="L1759" s="54"/>
      <c r="M1759" s="54"/>
    </row>
    <row r="1760">
      <c r="A1760" s="54"/>
      <c r="B1760" s="140"/>
      <c r="C1760" s="140"/>
      <c r="D1760" s="54"/>
      <c r="E1760" s="54"/>
      <c r="F1760" s="54"/>
      <c r="G1760" s="141"/>
      <c r="H1760" s="141"/>
      <c r="I1760" s="54"/>
      <c r="J1760" s="54"/>
      <c r="K1760" s="63"/>
      <c r="L1760" s="54"/>
      <c r="M1760" s="54"/>
    </row>
    <row r="1761">
      <c r="A1761" s="54"/>
      <c r="B1761" s="140"/>
      <c r="C1761" s="140"/>
      <c r="D1761" s="54"/>
      <c r="E1761" s="54"/>
      <c r="F1761" s="54"/>
      <c r="G1761" s="141"/>
      <c r="H1761" s="141"/>
      <c r="I1761" s="54"/>
      <c r="J1761" s="54"/>
      <c r="K1761" s="63"/>
      <c r="L1761" s="54"/>
      <c r="M1761" s="54"/>
    </row>
    <row r="1762">
      <c r="A1762" s="54"/>
      <c r="B1762" s="140"/>
      <c r="C1762" s="140"/>
      <c r="D1762" s="54"/>
      <c r="E1762" s="54"/>
      <c r="F1762" s="54"/>
      <c r="G1762" s="141"/>
      <c r="H1762" s="141"/>
      <c r="I1762" s="54"/>
      <c r="J1762" s="54"/>
      <c r="K1762" s="63"/>
      <c r="L1762" s="54"/>
      <c r="M1762" s="54"/>
    </row>
    <row r="1763">
      <c r="A1763" s="54"/>
      <c r="B1763" s="140"/>
      <c r="C1763" s="140"/>
      <c r="D1763" s="54"/>
      <c r="E1763" s="54"/>
      <c r="F1763" s="54"/>
      <c r="G1763" s="141"/>
      <c r="H1763" s="141"/>
      <c r="I1763" s="54"/>
      <c r="J1763" s="54"/>
      <c r="K1763" s="63"/>
      <c r="L1763" s="54"/>
      <c r="M1763" s="54"/>
    </row>
    <row r="1764">
      <c r="A1764" s="54"/>
      <c r="B1764" s="140"/>
      <c r="C1764" s="140"/>
      <c r="D1764" s="54"/>
      <c r="E1764" s="54"/>
      <c r="F1764" s="54"/>
      <c r="G1764" s="141"/>
      <c r="H1764" s="141"/>
      <c r="I1764" s="54"/>
      <c r="J1764" s="54"/>
      <c r="K1764" s="63"/>
      <c r="L1764" s="54"/>
      <c r="M1764" s="54"/>
    </row>
    <row r="1765">
      <c r="A1765" s="54"/>
      <c r="B1765" s="140"/>
      <c r="C1765" s="140"/>
      <c r="D1765" s="54"/>
      <c r="E1765" s="54"/>
      <c r="F1765" s="54"/>
      <c r="G1765" s="141"/>
      <c r="H1765" s="141"/>
      <c r="I1765" s="54"/>
      <c r="J1765" s="54"/>
      <c r="K1765" s="63"/>
      <c r="L1765" s="54"/>
      <c r="M1765" s="54"/>
    </row>
    <row r="1766">
      <c r="A1766" s="54"/>
      <c r="B1766" s="140"/>
      <c r="C1766" s="140"/>
      <c r="D1766" s="54"/>
      <c r="E1766" s="54"/>
      <c r="F1766" s="54"/>
      <c r="G1766" s="141"/>
      <c r="H1766" s="141"/>
      <c r="I1766" s="54"/>
      <c r="J1766" s="54"/>
      <c r="K1766" s="63"/>
      <c r="L1766" s="54"/>
      <c r="M1766" s="54"/>
    </row>
    <row r="1767">
      <c r="A1767" s="54"/>
      <c r="B1767" s="140"/>
      <c r="C1767" s="140"/>
      <c r="D1767" s="54"/>
      <c r="E1767" s="54"/>
      <c r="F1767" s="54"/>
      <c r="G1767" s="141"/>
      <c r="H1767" s="141"/>
      <c r="I1767" s="54"/>
      <c r="J1767" s="54"/>
      <c r="K1767" s="63"/>
      <c r="L1767" s="54"/>
      <c r="M1767" s="54"/>
    </row>
    <row r="1768">
      <c r="A1768" s="54"/>
      <c r="B1768" s="140"/>
      <c r="C1768" s="140"/>
      <c r="D1768" s="54"/>
      <c r="E1768" s="54"/>
      <c r="F1768" s="54"/>
      <c r="G1768" s="141"/>
      <c r="H1768" s="141"/>
      <c r="I1768" s="54"/>
      <c r="J1768" s="54"/>
      <c r="K1768" s="63"/>
      <c r="L1768" s="54"/>
      <c r="M1768" s="54"/>
    </row>
    <row r="1769">
      <c r="A1769" s="54"/>
      <c r="B1769" s="140"/>
      <c r="C1769" s="140"/>
      <c r="D1769" s="54"/>
      <c r="E1769" s="54"/>
      <c r="F1769" s="54"/>
      <c r="G1769" s="141"/>
      <c r="H1769" s="141"/>
      <c r="I1769" s="54"/>
      <c r="J1769" s="54"/>
      <c r="K1769" s="63"/>
      <c r="L1769" s="54"/>
      <c r="M1769" s="54"/>
    </row>
    <row r="1770">
      <c r="A1770" s="54"/>
      <c r="B1770" s="140"/>
      <c r="C1770" s="140"/>
      <c r="D1770" s="54"/>
      <c r="E1770" s="54"/>
      <c r="F1770" s="54"/>
      <c r="G1770" s="141"/>
      <c r="H1770" s="141"/>
      <c r="I1770" s="54"/>
      <c r="J1770" s="54"/>
      <c r="K1770" s="63"/>
      <c r="L1770" s="54"/>
      <c r="M1770" s="54"/>
    </row>
    <row r="1771">
      <c r="A1771" s="54"/>
      <c r="B1771" s="140"/>
      <c r="C1771" s="140"/>
      <c r="D1771" s="54"/>
      <c r="E1771" s="54"/>
      <c r="F1771" s="54"/>
      <c r="G1771" s="141"/>
      <c r="H1771" s="141"/>
      <c r="I1771" s="54"/>
      <c r="J1771" s="54"/>
      <c r="K1771" s="63"/>
      <c r="L1771" s="54"/>
      <c r="M1771" s="54"/>
    </row>
    <row r="1772">
      <c r="A1772" s="54"/>
      <c r="B1772" s="140"/>
      <c r="C1772" s="140"/>
      <c r="D1772" s="54"/>
      <c r="E1772" s="54"/>
      <c r="F1772" s="54"/>
      <c r="G1772" s="141"/>
      <c r="H1772" s="141"/>
      <c r="I1772" s="54"/>
      <c r="J1772" s="54"/>
      <c r="K1772" s="63"/>
      <c r="L1772" s="54"/>
      <c r="M1772" s="54"/>
    </row>
    <row r="1773">
      <c r="A1773" s="54"/>
      <c r="B1773" s="140"/>
      <c r="C1773" s="140"/>
      <c r="D1773" s="54"/>
      <c r="E1773" s="54"/>
      <c r="F1773" s="54"/>
      <c r="G1773" s="141"/>
      <c r="H1773" s="141"/>
      <c r="I1773" s="54"/>
      <c r="J1773" s="54"/>
      <c r="K1773" s="63"/>
      <c r="L1773" s="54"/>
      <c r="M1773" s="54"/>
    </row>
    <row r="1774">
      <c r="A1774" s="54"/>
      <c r="B1774" s="140"/>
      <c r="C1774" s="140"/>
      <c r="D1774" s="54"/>
      <c r="E1774" s="54"/>
      <c r="F1774" s="54"/>
      <c r="G1774" s="141"/>
      <c r="H1774" s="141"/>
      <c r="I1774" s="54"/>
      <c r="J1774" s="54"/>
      <c r="K1774" s="63"/>
      <c r="L1774" s="54"/>
      <c r="M1774" s="54"/>
    </row>
    <row r="1775">
      <c r="A1775" s="54"/>
      <c r="B1775" s="140"/>
      <c r="C1775" s="140"/>
      <c r="D1775" s="54"/>
      <c r="E1775" s="54"/>
      <c r="F1775" s="54"/>
      <c r="G1775" s="141"/>
      <c r="H1775" s="141"/>
      <c r="I1775" s="54"/>
      <c r="J1775" s="54"/>
      <c r="K1775" s="63"/>
      <c r="L1775" s="54"/>
      <c r="M1775" s="54"/>
    </row>
    <row r="1776">
      <c r="A1776" s="54"/>
      <c r="B1776" s="140"/>
      <c r="C1776" s="140"/>
      <c r="D1776" s="54"/>
      <c r="E1776" s="54"/>
      <c r="F1776" s="54"/>
      <c r="G1776" s="141"/>
      <c r="H1776" s="141"/>
      <c r="I1776" s="54"/>
      <c r="J1776" s="54"/>
      <c r="K1776" s="63"/>
      <c r="L1776" s="54"/>
      <c r="M1776" s="54"/>
    </row>
    <row r="1777">
      <c r="A1777" s="54"/>
      <c r="B1777" s="140"/>
      <c r="C1777" s="140"/>
      <c r="D1777" s="54"/>
      <c r="E1777" s="54"/>
      <c r="F1777" s="54"/>
      <c r="G1777" s="141"/>
      <c r="H1777" s="141"/>
      <c r="I1777" s="54"/>
      <c r="J1777" s="54"/>
      <c r="K1777" s="63"/>
      <c r="L1777" s="54"/>
      <c r="M1777" s="54"/>
    </row>
    <row r="1778">
      <c r="A1778" s="54"/>
      <c r="B1778" s="140"/>
      <c r="C1778" s="140"/>
      <c r="D1778" s="54"/>
      <c r="E1778" s="54"/>
      <c r="F1778" s="54"/>
      <c r="G1778" s="141"/>
      <c r="H1778" s="141"/>
      <c r="I1778" s="54"/>
      <c r="J1778" s="54"/>
      <c r="K1778" s="63"/>
      <c r="L1778" s="54"/>
      <c r="M1778" s="54"/>
    </row>
    <row r="1779">
      <c r="A1779" s="54"/>
      <c r="B1779" s="140"/>
      <c r="C1779" s="140"/>
      <c r="D1779" s="54"/>
      <c r="E1779" s="54"/>
      <c r="F1779" s="54"/>
      <c r="G1779" s="141"/>
      <c r="H1779" s="141"/>
      <c r="I1779" s="54"/>
      <c r="J1779" s="54"/>
      <c r="K1779" s="63"/>
      <c r="L1779" s="54"/>
      <c r="M1779" s="54"/>
    </row>
    <row r="1780">
      <c r="A1780" s="54"/>
      <c r="B1780" s="140"/>
      <c r="C1780" s="140"/>
      <c r="D1780" s="54"/>
      <c r="E1780" s="54"/>
      <c r="F1780" s="54"/>
      <c r="G1780" s="141"/>
      <c r="H1780" s="141"/>
      <c r="I1780" s="54"/>
      <c r="J1780" s="54"/>
      <c r="K1780" s="63"/>
      <c r="L1780" s="54"/>
      <c r="M1780" s="54"/>
    </row>
    <row r="1781">
      <c r="A1781" s="54"/>
      <c r="B1781" s="140"/>
      <c r="C1781" s="140"/>
      <c r="D1781" s="54"/>
      <c r="E1781" s="54"/>
      <c r="F1781" s="54"/>
      <c r="G1781" s="141"/>
      <c r="H1781" s="141"/>
      <c r="I1781" s="54"/>
      <c r="J1781" s="54"/>
      <c r="K1781" s="63"/>
      <c r="L1781" s="54"/>
      <c r="M1781" s="54"/>
    </row>
    <row r="1782">
      <c r="A1782" s="54"/>
      <c r="B1782" s="140"/>
      <c r="C1782" s="140"/>
      <c r="D1782" s="54"/>
      <c r="E1782" s="54"/>
      <c r="F1782" s="54"/>
      <c r="G1782" s="141"/>
      <c r="H1782" s="141"/>
      <c r="I1782" s="54"/>
      <c r="J1782" s="54"/>
      <c r="K1782" s="63"/>
      <c r="L1782" s="54"/>
      <c r="M1782" s="54"/>
    </row>
    <row r="1783">
      <c r="A1783" s="54"/>
      <c r="B1783" s="140"/>
      <c r="C1783" s="140"/>
      <c r="D1783" s="54"/>
      <c r="E1783" s="54"/>
      <c r="F1783" s="54"/>
      <c r="G1783" s="141"/>
      <c r="H1783" s="141"/>
      <c r="I1783" s="54"/>
      <c r="J1783" s="54"/>
      <c r="K1783" s="63"/>
      <c r="L1783" s="54"/>
      <c r="M1783" s="54"/>
    </row>
    <row r="1784">
      <c r="A1784" s="54"/>
      <c r="B1784" s="140"/>
      <c r="C1784" s="140"/>
      <c r="D1784" s="54"/>
      <c r="E1784" s="54"/>
      <c r="F1784" s="54"/>
      <c r="G1784" s="141"/>
      <c r="H1784" s="141"/>
      <c r="I1784" s="54"/>
      <c r="J1784" s="54"/>
      <c r="K1784" s="63"/>
      <c r="L1784" s="54"/>
      <c r="M1784" s="54"/>
    </row>
    <row r="1785">
      <c r="A1785" s="54"/>
      <c r="B1785" s="140"/>
      <c r="C1785" s="140"/>
      <c r="D1785" s="54"/>
      <c r="E1785" s="54"/>
      <c r="F1785" s="54"/>
      <c r="G1785" s="141"/>
      <c r="H1785" s="141"/>
      <c r="I1785" s="54"/>
      <c r="J1785" s="54"/>
      <c r="K1785" s="63"/>
      <c r="L1785" s="54"/>
      <c r="M1785" s="54"/>
    </row>
    <row r="1786">
      <c r="A1786" s="54"/>
      <c r="B1786" s="140"/>
      <c r="C1786" s="140"/>
      <c r="D1786" s="54"/>
      <c r="E1786" s="54"/>
      <c r="F1786" s="54"/>
      <c r="G1786" s="141"/>
      <c r="H1786" s="141"/>
      <c r="I1786" s="54"/>
      <c r="J1786" s="54"/>
      <c r="K1786" s="63"/>
      <c r="L1786" s="54"/>
      <c r="M1786" s="54"/>
    </row>
    <row r="1787">
      <c r="A1787" s="54"/>
      <c r="B1787" s="140"/>
      <c r="C1787" s="140"/>
      <c r="D1787" s="54"/>
      <c r="E1787" s="54"/>
      <c r="F1787" s="54"/>
      <c r="G1787" s="141"/>
      <c r="H1787" s="141"/>
      <c r="I1787" s="54"/>
      <c r="J1787" s="54"/>
      <c r="K1787" s="63"/>
      <c r="L1787" s="54"/>
      <c r="M1787" s="54"/>
    </row>
    <row r="1788">
      <c r="A1788" s="54"/>
      <c r="B1788" s="140"/>
      <c r="C1788" s="140"/>
      <c r="D1788" s="54"/>
      <c r="E1788" s="54"/>
      <c r="F1788" s="54"/>
      <c r="G1788" s="141"/>
      <c r="H1788" s="141"/>
      <c r="I1788" s="54"/>
      <c r="J1788" s="54"/>
      <c r="K1788" s="63"/>
      <c r="L1788" s="54"/>
      <c r="M1788" s="54"/>
    </row>
    <row r="1789">
      <c r="A1789" s="54"/>
      <c r="B1789" s="140"/>
      <c r="C1789" s="140"/>
      <c r="D1789" s="54"/>
      <c r="E1789" s="54"/>
      <c r="F1789" s="54"/>
      <c r="G1789" s="141"/>
      <c r="H1789" s="141"/>
      <c r="I1789" s="54"/>
      <c r="J1789" s="54"/>
      <c r="K1789" s="63"/>
      <c r="L1789" s="54"/>
      <c r="M1789" s="54"/>
    </row>
    <row r="1790">
      <c r="A1790" s="54"/>
      <c r="B1790" s="140"/>
      <c r="C1790" s="140"/>
      <c r="D1790" s="54"/>
      <c r="E1790" s="54"/>
      <c r="F1790" s="54"/>
      <c r="G1790" s="141"/>
      <c r="H1790" s="141"/>
      <c r="I1790" s="54"/>
      <c r="J1790" s="54"/>
      <c r="K1790" s="63"/>
      <c r="L1790" s="54"/>
      <c r="M1790" s="54"/>
    </row>
    <row r="1791">
      <c r="A1791" s="54"/>
      <c r="B1791" s="140"/>
      <c r="C1791" s="140"/>
      <c r="D1791" s="54"/>
      <c r="E1791" s="54"/>
      <c r="F1791" s="54"/>
      <c r="G1791" s="141"/>
      <c r="H1791" s="141"/>
      <c r="I1791" s="54"/>
      <c r="J1791" s="54"/>
      <c r="K1791" s="63"/>
      <c r="L1791" s="54"/>
      <c r="M1791" s="54"/>
    </row>
    <row r="1792">
      <c r="A1792" s="54"/>
      <c r="B1792" s="140"/>
      <c r="C1792" s="140"/>
      <c r="D1792" s="54"/>
      <c r="E1792" s="54"/>
      <c r="F1792" s="54"/>
      <c r="G1792" s="141"/>
      <c r="H1792" s="141"/>
      <c r="I1792" s="54"/>
      <c r="J1792" s="54"/>
      <c r="K1792" s="63"/>
      <c r="L1792" s="54"/>
      <c r="M1792" s="54"/>
    </row>
    <row r="1793">
      <c r="A1793" s="54"/>
      <c r="B1793" s="140"/>
      <c r="C1793" s="140"/>
      <c r="D1793" s="54"/>
      <c r="E1793" s="54"/>
      <c r="F1793" s="54"/>
      <c r="G1793" s="141"/>
      <c r="H1793" s="141"/>
      <c r="I1793" s="54"/>
      <c r="J1793" s="54"/>
      <c r="K1793" s="63"/>
      <c r="L1793" s="54"/>
      <c r="M1793" s="54"/>
    </row>
    <row r="1794">
      <c r="A1794" s="54"/>
      <c r="B1794" s="140"/>
      <c r="C1794" s="140"/>
      <c r="D1794" s="54"/>
      <c r="E1794" s="54"/>
      <c r="F1794" s="54"/>
      <c r="G1794" s="141"/>
      <c r="H1794" s="141"/>
      <c r="I1794" s="54"/>
      <c r="J1794" s="54"/>
      <c r="K1794" s="63"/>
      <c r="L1794" s="54"/>
      <c r="M1794" s="54"/>
    </row>
    <row r="1795">
      <c r="A1795" s="54"/>
      <c r="B1795" s="140"/>
      <c r="C1795" s="140"/>
      <c r="D1795" s="54"/>
      <c r="E1795" s="54"/>
      <c r="F1795" s="54"/>
      <c r="G1795" s="141"/>
      <c r="H1795" s="141"/>
      <c r="I1795" s="54"/>
      <c r="J1795" s="54"/>
      <c r="K1795" s="63"/>
      <c r="L1795" s="54"/>
      <c r="M1795" s="54"/>
    </row>
    <row r="1796">
      <c r="A1796" s="54"/>
      <c r="B1796" s="140"/>
      <c r="C1796" s="140"/>
      <c r="D1796" s="54"/>
      <c r="E1796" s="54"/>
      <c r="F1796" s="54"/>
      <c r="G1796" s="141"/>
      <c r="H1796" s="141"/>
      <c r="I1796" s="54"/>
      <c r="J1796" s="54"/>
      <c r="K1796" s="63"/>
      <c r="L1796" s="54"/>
      <c r="M1796" s="54"/>
    </row>
    <row r="1797">
      <c r="A1797" s="54"/>
      <c r="B1797" s="140"/>
      <c r="C1797" s="140"/>
      <c r="D1797" s="54"/>
      <c r="E1797" s="54"/>
      <c r="F1797" s="54"/>
      <c r="G1797" s="141"/>
      <c r="H1797" s="141"/>
      <c r="I1797" s="54"/>
      <c r="J1797" s="54"/>
      <c r="K1797" s="63"/>
      <c r="L1797" s="54"/>
      <c r="M1797" s="54"/>
    </row>
    <row r="1798">
      <c r="A1798" s="54"/>
      <c r="B1798" s="140"/>
      <c r="C1798" s="140"/>
      <c r="D1798" s="54"/>
      <c r="E1798" s="54"/>
      <c r="F1798" s="54"/>
      <c r="G1798" s="141"/>
      <c r="H1798" s="141"/>
      <c r="I1798" s="54"/>
      <c r="J1798" s="54"/>
      <c r="K1798" s="63"/>
      <c r="L1798" s="54"/>
      <c r="M1798" s="54"/>
    </row>
    <row r="1799">
      <c r="A1799" s="54"/>
      <c r="B1799" s="140"/>
      <c r="C1799" s="140"/>
      <c r="D1799" s="54"/>
      <c r="E1799" s="54"/>
      <c r="F1799" s="54"/>
      <c r="G1799" s="141"/>
      <c r="H1799" s="141"/>
      <c r="I1799" s="54"/>
      <c r="J1799" s="54"/>
      <c r="K1799" s="63"/>
      <c r="L1799" s="54"/>
      <c r="M1799" s="54"/>
    </row>
    <row r="1800">
      <c r="A1800" s="54"/>
      <c r="B1800" s="140"/>
      <c r="C1800" s="140"/>
      <c r="D1800" s="54"/>
      <c r="E1800" s="54"/>
      <c r="F1800" s="54"/>
      <c r="G1800" s="141"/>
      <c r="H1800" s="141"/>
      <c r="I1800" s="54"/>
      <c r="J1800" s="54"/>
      <c r="K1800" s="63"/>
      <c r="L1800" s="54"/>
      <c r="M1800" s="54"/>
    </row>
    <row r="1801">
      <c r="A1801" s="54"/>
      <c r="B1801" s="140"/>
      <c r="C1801" s="140"/>
      <c r="D1801" s="54"/>
      <c r="E1801" s="54"/>
      <c r="F1801" s="54"/>
      <c r="G1801" s="141"/>
      <c r="H1801" s="141"/>
      <c r="I1801" s="54"/>
      <c r="J1801" s="54"/>
      <c r="K1801" s="63"/>
      <c r="L1801" s="54"/>
      <c r="M1801" s="54"/>
    </row>
    <row r="1802">
      <c r="A1802" s="54"/>
      <c r="B1802" s="140"/>
      <c r="C1802" s="140"/>
      <c r="D1802" s="54"/>
      <c r="E1802" s="54"/>
      <c r="F1802" s="54"/>
      <c r="G1802" s="141"/>
      <c r="H1802" s="141"/>
      <c r="I1802" s="54"/>
      <c r="J1802" s="54"/>
      <c r="K1802" s="63"/>
      <c r="L1802" s="54"/>
      <c r="M1802" s="54"/>
    </row>
    <row r="1803">
      <c r="A1803" s="54"/>
      <c r="B1803" s="140"/>
      <c r="C1803" s="140"/>
      <c r="D1803" s="54"/>
      <c r="E1803" s="54"/>
      <c r="F1803" s="54"/>
      <c r="G1803" s="141"/>
      <c r="H1803" s="141"/>
      <c r="I1803" s="54"/>
      <c r="J1803" s="54"/>
      <c r="K1803" s="63"/>
      <c r="L1803" s="54"/>
      <c r="M1803" s="54"/>
    </row>
    <row r="1804">
      <c r="A1804" s="54"/>
      <c r="B1804" s="140"/>
      <c r="C1804" s="140"/>
      <c r="D1804" s="54"/>
      <c r="E1804" s="54"/>
      <c r="F1804" s="54"/>
      <c r="G1804" s="141"/>
      <c r="H1804" s="141"/>
      <c r="I1804" s="54"/>
      <c r="J1804" s="54"/>
      <c r="K1804" s="63"/>
      <c r="L1804" s="54"/>
      <c r="M1804" s="54"/>
    </row>
    <row r="1805">
      <c r="A1805" s="54"/>
      <c r="B1805" s="140"/>
      <c r="C1805" s="140"/>
      <c r="D1805" s="54"/>
      <c r="E1805" s="54"/>
      <c r="F1805" s="54"/>
      <c r="G1805" s="141"/>
      <c r="H1805" s="141"/>
      <c r="I1805" s="54"/>
      <c r="J1805" s="54"/>
      <c r="K1805" s="63"/>
      <c r="L1805" s="54"/>
      <c r="M1805" s="54"/>
    </row>
    <row r="1806">
      <c r="A1806" s="54"/>
      <c r="B1806" s="140"/>
      <c r="C1806" s="140"/>
      <c r="D1806" s="54"/>
      <c r="E1806" s="54"/>
      <c r="F1806" s="54"/>
      <c r="G1806" s="141"/>
      <c r="H1806" s="141"/>
      <c r="I1806" s="54"/>
      <c r="J1806" s="54"/>
      <c r="K1806" s="63"/>
      <c r="L1806" s="54"/>
      <c r="M1806" s="54"/>
    </row>
    <row r="1807">
      <c r="A1807" s="54"/>
      <c r="B1807" s="140"/>
      <c r="C1807" s="140"/>
      <c r="D1807" s="54"/>
      <c r="E1807" s="54"/>
      <c r="F1807" s="54"/>
      <c r="G1807" s="141"/>
      <c r="H1807" s="141"/>
      <c r="I1807" s="54"/>
      <c r="J1807" s="54"/>
      <c r="K1807" s="63"/>
      <c r="L1807" s="54"/>
      <c r="M1807" s="54"/>
    </row>
    <row r="1808">
      <c r="A1808" s="54"/>
      <c r="B1808" s="140"/>
      <c r="C1808" s="140"/>
      <c r="D1808" s="54"/>
      <c r="E1808" s="54"/>
      <c r="F1808" s="54"/>
      <c r="G1808" s="141"/>
      <c r="H1808" s="141"/>
      <c r="I1808" s="54"/>
      <c r="J1808" s="54"/>
      <c r="K1808" s="63"/>
      <c r="L1808" s="54"/>
      <c r="M1808" s="54"/>
    </row>
    <row r="1809">
      <c r="A1809" s="54"/>
      <c r="B1809" s="140"/>
      <c r="C1809" s="140"/>
      <c r="D1809" s="54"/>
      <c r="E1809" s="54"/>
      <c r="F1809" s="54"/>
      <c r="G1809" s="141"/>
      <c r="H1809" s="141"/>
      <c r="I1809" s="54"/>
      <c r="J1809" s="54"/>
      <c r="K1809" s="63"/>
      <c r="L1809" s="54"/>
      <c r="M1809" s="54"/>
    </row>
    <row r="1810">
      <c r="A1810" s="54"/>
      <c r="B1810" s="140"/>
      <c r="C1810" s="140"/>
      <c r="D1810" s="54"/>
      <c r="E1810" s="54"/>
      <c r="F1810" s="54"/>
      <c r="G1810" s="141"/>
      <c r="H1810" s="141"/>
      <c r="I1810" s="54"/>
      <c r="J1810" s="54"/>
      <c r="K1810" s="63"/>
      <c r="L1810" s="54"/>
      <c r="M1810" s="54"/>
    </row>
    <row r="1811">
      <c r="A1811" s="54"/>
      <c r="B1811" s="140"/>
      <c r="C1811" s="140"/>
      <c r="D1811" s="54"/>
      <c r="E1811" s="54"/>
      <c r="F1811" s="54"/>
      <c r="G1811" s="141"/>
      <c r="H1811" s="141"/>
      <c r="I1811" s="54"/>
      <c r="J1811" s="54"/>
      <c r="K1811" s="63"/>
      <c r="L1811" s="54"/>
      <c r="M1811" s="54"/>
    </row>
    <row r="1812">
      <c r="A1812" s="54"/>
      <c r="B1812" s="140"/>
      <c r="C1812" s="140"/>
      <c r="D1812" s="54"/>
      <c r="E1812" s="54"/>
      <c r="F1812" s="54"/>
      <c r="G1812" s="141"/>
      <c r="H1812" s="141"/>
      <c r="I1812" s="54"/>
      <c r="J1812" s="54"/>
      <c r="K1812" s="63"/>
      <c r="L1812" s="54"/>
      <c r="M1812" s="54"/>
    </row>
    <row r="1813">
      <c r="A1813" s="54"/>
      <c r="B1813" s="140"/>
      <c r="C1813" s="140"/>
      <c r="D1813" s="54"/>
      <c r="E1813" s="54"/>
      <c r="F1813" s="54"/>
      <c r="G1813" s="141"/>
      <c r="H1813" s="141"/>
      <c r="I1813" s="54"/>
      <c r="J1813" s="54"/>
      <c r="K1813" s="63"/>
      <c r="L1813" s="54"/>
      <c r="M1813" s="54"/>
    </row>
    <row r="1814">
      <c r="A1814" s="54"/>
      <c r="B1814" s="140"/>
      <c r="C1814" s="140"/>
      <c r="D1814" s="54"/>
      <c r="E1814" s="54"/>
      <c r="F1814" s="54"/>
      <c r="G1814" s="141"/>
      <c r="H1814" s="141"/>
      <c r="I1814" s="54"/>
      <c r="J1814" s="54"/>
      <c r="K1814" s="63"/>
      <c r="L1814" s="54"/>
      <c r="M1814" s="54"/>
    </row>
    <row r="1815">
      <c r="A1815" s="54"/>
      <c r="B1815" s="140"/>
      <c r="C1815" s="140"/>
      <c r="D1815" s="54"/>
      <c r="E1815" s="54"/>
      <c r="F1815" s="54"/>
      <c r="G1815" s="141"/>
      <c r="H1815" s="141"/>
      <c r="I1815" s="54"/>
      <c r="J1815" s="54"/>
      <c r="K1815" s="63"/>
      <c r="L1815" s="54"/>
      <c r="M1815" s="54"/>
    </row>
    <row r="1816">
      <c r="A1816" s="54"/>
      <c r="B1816" s="140"/>
      <c r="C1816" s="140"/>
      <c r="D1816" s="54"/>
      <c r="E1816" s="54"/>
      <c r="F1816" s="54"/>
      <c r="G1816" s="141"/>
      <c r="H1816" s="141"/>
      <c r="I1816" s="54"/>
      <c r="J1816" s="54"/>
      <c r="K1816" s="63"/>
      <c r="L1816" s="54"/>
      <c r="M1816" s="54"/>
    </row>
    <row r="1817">
      <c r="A1817" s="54"/>
      <c r="B1817" s="140"/>
      <c r="C1817" s="140"/>
      <c r="D1817" s="54"/>
      <c r="E1817" s="54"/>
      <c r="F1817" s="54"/>
      <c r="G1817" s="141"/>
      <c r="H1817" s="141"/>
      <c r="I1817" s="54"/>
      <c r="J1817" s="54"/>
      <c r="K1817" s="63"/>
      <c r="L1817" s="54"/>
      <c r="M1817" s="54"/>
    </row>
    <row r="1818">
      <c r="A1818" s="54"/>
      <c r="B1818" s="140"/>
      <c r="C1818" s="140"/>
      <c r="D1818" s="54"/>
      <c r="E1818" s="54"/>
      <c r="F1818" s="54"/>
      <c r="G1818" s="141"/>
      <c r="H1818" s="141"/>
      <c r="I1818" s="54"/>
      <c r="J1818" s="54"/>
      <c r="K1818" s="63"/>
      <c r="L1818" s="54"/>
      <c r="M1818" s="54"/>
    </row>
    <row r="1819">
      <c r="A1819" s="54"/>
      <c r="B1819" s="140"/>
      <c r="C1819" s="140"/>
      <c r="D1819" s="54"/>
      <c r="E1819" s="54"/>
      <c r="F1819" s="54"/>
      <c r="G1819" s="141"/>
      <c r="H1819" s="141"/>
      <c r="I1819" s="54"/>
      <c r="J1819" s="54"/>
      <c r="K1819" s="63"/>
      <c r="L1819" s="54"/>
      <c r="M1819" s="54"/>
    </row>
    <row r="1820">
      <c r="A1820" s="54"/>
      <c r="B1820" s="140"/>
      <c r="C1820" s="140"/>
      <c r="D1820" s="54"/>
      <c r="E1820" s="54"/>
      <c r="F1820" s="54"/>
      <c r="G1820" s="141"/>
      <c r="H1820" s="141"/>
      <c r="I1820" s="54"/>
      <c r="J1820" s="54"/>
      <c r="K1820" s="63"/>
      <c r="L1820" s="54"/>
      <c r="M1820" s="54"/>
    </row>
    <row r="1821">
      <c r="A1821" s="54"/>
      <c r="B1821" s="140"/>
      <c r="C1821" s="140"/>
      <c r="D1821" s="54"/>
      <c r="E1821" s="54"/>
      <c r="F1821" s="54"/>
      <c r="G1821" s="141"/>
      <c r="H1821" s="141"/>
      <c r="I1821" s="54"/>
      <c r="J1821" s="54"/>
      <c r="K1821" s="63"/>
      <c r="L1821" s="54"/>
      <c r="M1821" s="54"/>
    </row>
    <row r="1822">
      <c r="A1822" s="54"/>
      <c r="B1822" s="140"/>
      <c r="C1822" s="140"/>
      <c r="D1822" s="54"/>
      <c r="E1822" s="54"/>
      <c r="F1822" s="54"/>
      <c r="G1822" s="141"/>
      <c r="H1822" s="141"/>
      <c r="I1822" s="54"/>
      <c r="J1822" s="54"/>
      <c r="K1822" s="63"/>
      <c r="L1822" s="54"/>
      <c r="M1822" s="54"/>
    </row>
    <row r="1823">
      <c r="A1823" s="54"/>
      <c r="B1823" s="140"/>
      <c r="C1823" s="140"/>
      <c r="D1823" s="54"/>
      <c r="E1823" s="54"/>
      <c r="F1823" s="54"/>
      <c r="G1823" s="141"/>
      <c r="H1823" s="141"/>
      <c r="I1823" s="54"/>
      <c r="J1823" s="54"/>
      <c r="K1823" s="63"/>
      <c r="L1823" s="54"/>
      <c r="M1823" s="54"/>
    </row>
    <row r="1824">
      <c r="A1824" s="54"/>
      <c r="B1824" s="140"/>
      <c r="C1824" s="140"/>
      <c r="D1824" s="54"/>
      <c r="E1824" s="54"/>
      <c r="F1824" s="54"/>
      <c r="G1824" s="141"/>
      <c r="H1824" s="141"/>
      <c r="I1824" s="54"/>
      <c r="J1824" s="54"/>
      <c r="K1824" s="63"/>
      <c r="L1824" s="54"/>
      <c r="M1824" s="54"/>
    </row>
    <row r="1825">
      <c r="A1825" s="54"/>
      <c r="B1825" s="140"/>
      <c r="C1825" s="140"/>
      <c r="D1825" s="54"/>
      <c r="E1825" s="54"/>
      <c r="F1825" s="54"/>
      <c r="G1825" s="141"/>
      <c r="H1825" s="141"/>
      <c r="I1825" s="54"/>
      <c r="J1825" s="54"/>
      <c r="K1825" s="63"/>
      <c r="L1825" s="54"/>
      <c r="M1825" s="54"/>
    </row>
    <row r="1826">
      <c r="A1826" s="54"/>
      <c r="B1826" s="140"/>
      <c r="C1826" s="140"/>
      <c r="D1826" s="54"/>
      <c r="E1826" s="54"/>
      <c r="F1826" s="54"/>
      <c r="G1826" s="141"/>
      <c r="H1826" s="141"/>
      <c r="I1826" s="54"/>
      <c r="J1826" s="54"/>
      <c r="K1826" s="63"/>
      <c r="L1826" s="54"/>
      <c r="M1826" s="54"/>
    </row>
    <row r="1827">
      <c r="A1827" s="54"/>
      <c r="B1827" s="140"/>
      <c r="C1827" s="140"/>
      <c r="D1827" s="54"/>
      <c r="E1827" s="54"/>
      <c r="F1827" s="54"/>
      <c r="G1827" s="141"/>
      <c r="H1827" s="141"/>
      <c r="I1827" s="54"/>
      <c r="J1827" s="54"/>
      <c r="K1827" s="63"/>
      <c r="L1827" s="54"/>
      <c r="M1827" s="54"/>
    </row>
    <row r="1828">
      <c r="A1828" s="54"/>
      <c r="B1828" s="140"/>
      <c r="C1828" s="140"/>
      <c r="D1828" s="54"/>
      <c r="E1828" s="54"/>
      <c r="F1828" s="54"/>
      <c r="G1828" s="141"/>
      <c r="H1828" s="141"/>
      <c r="I1828" s="54"/>
      <c r="J1828" s="54"/>
      <c r="K1828" s="63"/>
      <c r="L1828" s="54"/>
      <c r="M1828" s="54"/>
    </row>
    <row r="1829">
      <c r="A1829" s="54"/>
      <c r="B1829" s="140"/>
      <c r="C1829" s="140"/>
      <c r="D1829" s="54"/>
      <c r="E1829" s="54"/>
      <c r="F1829" s="54"/>
      <c r="G1829" s="141"/>
      <c r="H1829" s="141"/>
      <c r="I1829" s="54"/>
      <c r="J1829" s="54"/>
      <c r="K1829" s="63"/>
      <c r="L1829" s="54"/>
      <c r="M1829" s="54"/>
    </row>
    <row r="1830">
      <c r="A1830" s="54"/>
      <c r="B1830" s="140"/>
      <c r="C1830" s="140"/>
      <c r="D1830" s="54"/>
      <c r="E1830" s="54"/>
      <c r="F1830" s="54"/>
      <c r="G1830" s="141"/>
      <c r="H1830" s="141"/>
      <c r="I1830" s="54"/>
      <c r="J1830" s="54"/>
      <c r="K1830" s="63"/>
      <c r="L1830" s="54"/>
      <c r="M1830" s="54"/>
    </row>
    <row r="1831">
      <c r="A1831" s="54"/>
      <c r="B1831" s="140"/>
      <c r="C1831" s="140"/>
      <c r="D1831" s="54"/>
      <c r="E1831" s="54"/>
      <c r="F1831" s="54"/>
      <c r="G1831" s="141"/>
      <c r="H1831" s="141"/>
      <c r="I1831" s="54"/>
      <c r="J1831" s="54"/>
      <c r="K1831" s="63"/>
      <c r="L1831" s="54"/>
      <c r="M1831" s="54"/>
    </row>
    <row r="1832">
      <c r="A1832" s="54"/>
      <c r="B1832" s="140"/>
      <c r="C1832" s="140"/>
      <c r="D1832" s="54"/>
      <c r="E1832" s="54"/>
      <c r="F1832" s="54"/>
      <c r="G1832" s="141"/>
      <c r="H1832" s="141"/>
      <c r="I1832" s="54"/>
      <c r="J1832" s="54"/>
      <c r="K1832" s="63"/>
      <c r="L1832" s="54"/>
      <c r="M1832" s="54"/>
    </row>
    <row r="1833">
      <c r="A1833" s="54"/>
      <c r="B1833" s="140"/>
      <c r="C1833" s="140"/>
      <c r="D1833" s="54"/>
      <c r="E1833" s="54"/>
      <c r="F1833" s="54"/>
      <c r="G1833" s="141"/>
      <c r="H1833" s="141"/>
      <c r="I1833" s="54"/>
      <c r="J1833" s="54"/>
      <c r="K1833" s="63"/>
      <c r="L1833" s="54"/>
      <c r="M1833" s="54"/>
    </row>
    <row r="1834">
      <c r="A1834" s="54"/>
      <c r="B1834" s="140"/>
      <c r="C1834" s="140"/>
      <c r="D1834" s="54"/>
      <c r="E1834" s="54"/>
      <c r="F1834" s="54"/>
      <c r="G1834" s="141"/>
      <c r="H1834" s="141"/>
      <c r="I1834" s="54"/>
      <c r="J1834" s="54"/>
      <c r="K1834" s="63"/>
      <c r="L1834" s="54"/>
      <c r="M1834" s="54"/>
    </row>
    <row r="1835">
      <c r="A1835" s="54"/>
      <c r="B1835" s="140"/>
      <c r="C1835" s="140"/>
      <c r="D1835" s="54"/>
      <c r="E1835" s="54"/>
      <c r="F1835" s="54"/>
      <c r="G1835" s="141"/>
      <c r="H1835" s="141"/>
      <c r="I1835" s="54"/>
      <c r="J1835" s="54"/>
      <c r="K1835" s="63"/>
      <c r="L1835" s="54"/>
      <c r="M1835" s="54"/>
    </row>
    <row r="1836">
      <c r="A1836" s="54"/>
      <c r="B1836" s="140"/>
      <c r="C1836" s="140"/>
      <c r="D1836" s="54"/>
      <c r="E1836" s="54"/>
      <c r="F1836" s="54"/>
      <c r="G1836" s="141"/>
      <c r="H1836" s="141"/>
      <c r="I1836" s="54"/>
      <c r="J1836" s="54"/>
      <c r="K1836" s="63"/>
      <c r="L1836" s="54"/>
      <c r="M1836" s="54"/>
    </row>
    <row r="1837">
      <c r="A1837" s="54"/>
      <c r="B1837" s="140"/>
      <c r="C1837" s="140"/>
      <c r="D1837" s="54"/>
      <c r="E1837" s="54"/>
      <c r="F1837" s="54"/>
      <c r="G1837" s="141"/>
      <c r="H1837" s="141"/>
      <c r="I1837" s="54"/>
      <c r="J1837" s="54"/>
      <c r="K1837" s="63"/>
      <c r="L1837" s="54"/>
      <c r="M1837" s="54"/>
    </row>
    <row r="1838">
      <c r="A1838" s="54"/>
      <c r="B1838" s="140"/>
      <c r="C1838" s="140"/>
      <c r="D1838" s="54"/>
      <c r="E1838" s="54"/>
      <c r="F1838" s="54"/>
      <c r="G1838" s="141"/>
      <c r="H1838" s="141"/>
      <c r="I1838" s="54"/>
      <c r="J1838" s="54"/>
      <c r="K1838" s="63"/>
      <c r="L1838" s="54"/>
      <c r="M1838" s="54"/>
    </row>
    <row r="1839">
      <c r="A1839" s="54"/>
      <c r="B1839" s="140"/>
      <c r="C1839" s="140"/>
      <c r="D1839" s="54"/>
      <c r="E1839" s="54"/>
      <c r="F1839" s="54"/>
      <c r="G1839" s="141"/>
      <c r="H1839" s="141"/>
      <c r="I1839" s="54"/>
      <c r="J1839" s="54"/>
      <c r="K1839" s="63"/>
      <c r="L1839" s="54"/>
      <c r="M1839" s="54"/>
    </row>
    <row r="1840">
      <c r="A1840" s="54"/>
      <c r="B1840" s="140"/>
      <c r="C1840" s="140"/>
      <c r="D1840" s="54"/>
      <c r="E1840" s="54"/>
      <c r="F1840" s="54"/>
      <c r="G1840" s="141"/>
      <c r="H1840" s="141"/>
      <c r="I1840" s="54"/>
      <c r="J1840" s="54"/>
      <c r="K1840" s="63"/>
      <c r="L1840" s="54"/>
      <c r="M1840" s="54"/>
    </row>
    <row r="1841">
      <c r="A1841" s="54"/>
      <c r="B1841" s="140"/>
      <c r="C1841" s="140"/>
      <c r="D1841" s="54"/>
      <c r="E1841" s="54"/>
      <c r="F1841" s="54"/>
      <c r="G1841" s="141"/>
      <c r="H1841" s="141"/>
      <c r="I1841" s="54"/>
      <c r="J1841" s="54"/>
      <c r="K1841" s="63"/>
      <c r="L1841" s="54"/>
      <c r="M1841" s="54"/>
    </row>
    <row r="1842">
      <c r="A1842" s="54"/>
      <c r="B1842" s="140"/>
      <c r="C1842" s="140"/>
      <c r="D1842" s="54"/>
      <c r="E1842" s="54"/>
      <c r="F1842" s="54"/>
      <c r="G1842" s="141"/>
      <c r="H1842" s="141"/>
      <c r="I1842" s="54"/>
      <c r="J1842" s="54"/>
      <c r="K1842" s="63"/>
      <c r="L1842" s="54"/>
      <c r="M1842" s="54"/>
    </row>
    <row r="1843">
      <c r="A1843" s="54"/>
      <c r="B1843" s="140"/>
      <c r="C1843" s="140"/>
      <c r="D1843" s="54"/>
      <c r="E1843" s="54"/>
      <c r="F1843" s="54"/>
      <c r="G1843" s="141"/>
      <c r="H1843" s="141"/>
      <c r="I1843" s="54"/>
      <c r="J1843" s="54"/>
      <c r="K1843" s="63"/>
      <c r="L1843" s="54"/>
      <c r="M1843" s="54"/>
    </row>
    <row r="1844">
      <c r="A1844" s="54"/>
      <c r="B1844" s="140"/>
      <c r="C1844" s="140"/>
      <c r="D1844" s="54"/>
      <c r="E1844" s="54"/>
      <c r="F1844" s="54"/>
      <c r="G1844" s="141"/>
      <c r="H1844" s="141"/>
      <c r="I1844" s="54"/>
      <c r="J1844" s="54"/>
      <c r="K1844" s="63"/>
      <c r="L1844" s="54"/>
      <c r="M1844" s="54"/>
    </row>
    <row r="1845">
      <c r="A1845" s="54"/>
      <c r="B1845" s="140"/>
      <c r="C1845" s="140"/>
      <c r="D1845" s="54"/>
      <c r="E1845" s="54"/>
      <c r="F1845" s="54"/>
      <c r="G1845" s="141"/>
      <c r="H1845" s="141"/>
      <c r="I1845" s="54"/>
      <c r="J1845" s="54"/>
      <c r="K1845" s="63"/>
      <c r="L1845" s="54"/>
      <c r="M1845" s="54"/>
    </row>
    <row r="1846">
      <c r="A1846" s="54"/>
      <c r="B1846" s="140"/>
      <c r="C1846" s="140"/>
      <c r="D1846" s="54"/>
      <c r="E1846" s="54"/>
      <c r="F1846" s="54"/>
      <c r="G1846" s="141"/>
      <c r="H1846" s="141"/>
      <c r="I1846" s="54"/>
      <c r="J1846" s="54"/>
      <c r="K1846" s="63"/>
      <c r="L1846" s="54"/>
      <c r="M1846" s="54"/>
    </row>
    <row r="1847">
      <c r="A1847" s="54"/>
      <c r="B1847" s="140"/>
      <c r="C1847" s="140"/>
      <c r="D1847" s="54"/>
      <c r="E1847" s="54"/>
      <c r="F1847" s="54"/>
      <c r="G1847" s="141"/>
      <c r="H1847" s="141"/>
      <c r="I1847" s="54"/>
      <c r="J1847" s="54"/>
      <c r="K1847" s="63"/>
      <c r="L1847" s="54"/>
      <c r="M1847" s="54"/>
    </row>
    <row r="1848">
      <c r="A1848" s="54"/>
      <c r="B1848" s="140"/>
      <c r="C1848" s="140"/>
      <c r="D1848" s="54"/>
      <c r="E1848" s="54"/>
      <c r="F1848" s="54"/>
      <c r="G1848" s="141"/>
      <c r="H1848" s="141"/>
      <c r="I1848" s="54"/>
      <c r="J1848" s="54"/>
      <c r="K1848" s="63"/>
      <c r="L1848" s="54"/>
      <c r="M1848" s="54"/>
    </row>
    <row r="1849">
      <c r="A1849" s="54"/>
      <c r="B1849" s="140"/>
      <c r="C1849" s="140"/>
      <c r="D1849" s="54"/>
      <c r="E1849" s="54"/>
      <c r="F1849" s="54"/>
      <c r="G1849" s="141"/>
      <c r="H1849" s="141"/>
      <c r="I1849" s="54"/>
      <c r="J1849" s="54"/>
      <c r="K1849" s="63"/>
      <c r="L1849" s="54"/>
      <c r="M1849" s="54"/>
    </row>
    <row r="1850">
      <c r="A1850" s="54"/>
      <c r="B1850" s="140"/>
      <c r="C1850" s="140"/>
      <c r="D1850" s="54"/>
      <c r="E1850" s="54"/>
      <c r="F1850" s="54"/>
      <c r="G1850" s="141"/>
      <c r="H1850" s="141"/>
      <c r="I1850" s="54"/>
      <c r="J1850" s="54"/>
      <c r="K1850" s="63"/>
      <c r="L1850" s="54"/>
      <c r="M1850" s="54"/>
    </row>
    <row r="1851">
      <c r="A1851" s="54"/>
      <c r="B1851" s="140"/>
      <c r="C1851" s="140"/>
      <c r="D1851" s="54"/>
      <c r="E1851" s="54"/>
      <c r="F1851" s="54"/>
      <c r="G1851" s="141"/>
      <c r="H1851" s="141"/>
      <c r="I1851" s="54"/>
      <c r="J1851" s="54"/>
      <c r="K1851" s="63"/>
      <c r="L1851" s="54"/>
      <c r="M1851" s="54"/>
    </row>
    <row r="1852">
      <c r="A1852" s="54"/>
      <c r="B1852" s="140"/>
      <c r="C1852" s="140"/>
      <c r="D1852" s="54"/>
      <c r="E1852" s="54"/>
      <c r="F1852" s="54"/>
      <c r="G1852" s="141"/>
      <c r="H1852" s="141"/>
      <c r="I1852" s="54"/>
      <c r="J1852" s="54"/>
      <c r="K1852" s="63"/>
      <c r="L1852" s="54"/>
      <c r="M1852" s="54"/>
    </row>
    <row r="1853">
      <c r="A1853" s="54"/>
      <c r="B1853" s="140"/>
      <c r="C1853" s="140"/>
      <c r="D1853" s="54"/>
      <c r="E1853" s="54"/>
      <c r="F1853" s="54"/>
      <c r="G1853" s="141"/>
      <c r="H1853" s="141"/>
      <c r="I1853" s="54"/>
      <c r="J1853" s="54"/>
      <c r="K1853" s="63"/>
      <c r="L1853" s="54"/>
      <c r="M1853" s="54"/>
    </row>
    <row r="1854">
      <c r="A1854" s="54"/>
      <c r="B1854" s="140"/>
      <c r="C1854" s="140"/>
      <c r="D1854" s="54"/>
      <c r="E1854" s="54"/>
      <c r="F1854" s="54"/>
      <c r="G1854" s="141"/>
      <c r="H1854" s="141"/>
      <c r="I1854" s="54"/>
      <c r="J1854" s="54"/>
      <c r="K1854" s="63"/>
      <c r="L1854" s="54"/>
      <c r="M1854" s="54"/>
    </row>
    <row r="1855">
      <c r="A1855" s="54"/>
      <c r="B1855" s="140"/>
      <c r="C1855" s="140"/>
      <c r="D1855" s="54"/>
      <c r="E1855" s="54"/>
      <c r="F1855" s="54"/>
      <c r="G1855" s="141"/>
      <c r="H1855" s="141"/>
      <c r="I1855" s="54"/>
      <c r="J1855" s="54"/>
      <c r="K1855" s="63"/>
      <c r="L1855" s="54"/>
      <c r="M1855" s="54"/>
    </row>
    <row r="1856">
      <c r="A1856" s="54"/>
      <c r="B1856" s="140"/>
      <c r="C1856" s="140"/>
      <c r="D1856" s="54"/>
      <c r="E1856" s="54"/>
      <c r="F1856" s="54"/>
      <c r="G1856" s="141"/>
      <c r="H1856" s="141"/>
      <c r="I1856" s="54"/>
      <c r="J1856" s="54"/>
      <c r="K1856" s="63"/>
      <c r="L1856" s="54"/>
      <c r="M1856" s="54"/>
    </row>
    <row r="1857">
      <c r="A1857" s="54"/>
      <c r="B1857" s="140"/>
      <c r="C1857" s="140"/>
      <c r="D1857" s="54"/>
      <c r="E1857" s="54"/>
      <c r="F1857" s="54"/>
      <c r="G1857" s="141"/>
      <c r="H1857" s="141"/>
      <c r="I1857" s="54"/>
      <c r="J1857" s="54"/>
      <c r="K1857" s="63"/>
      <c r="L1857" s="54"/>
      <c r="M1857" s="54"/>
    </row>
    <row r="1858">
      <c r="A1858" s="54"/>
      <c r="B1858" s="140"/>
      <c r="C1858" s="140"/>
      <c r="D1858" s="54"/>
      <c r="E1858" s="54"/>
      <c r="F1858" s="54"/>
      <c r="G1858" s="141"/>
      <c r="H1858" s="141"/>
      <c r="I1858" s="54"/>
      <c r="J1858" s="54"/>
      <c r="K1858" s="63"/>
      <c r="L1858" s="54"/>
      <c r="M1858" s="54"/>
    </row>
    <row r="1859">
      <c r="A1859" s="54"/>
      <c r="B1859" s="140"/>
      <c r="C1859" s="140"/>
      <c r="D1859" s="54"/>
      <c r="E1859" s="54"/>
      <c r="F1859" s="54"/>
      <c r="G1859" s="141"/>
      <c r="H1859" s="141"/>
      <c r="I1859" s="54"/>
      <c r="J1859" s="54"/>
      <c r="K1859" s="63"/>
      <c r="L1859" s="54"/>
      <c r="M1859" s="54"/>
    </row>
    <row r="1860">
      <c r="A1860" s="54"/>
      <c r="B1860" s="140"/>
      <c r="C1860" s="140"/>
      <c r="D1860" s="54"/>
      <c r="E1860" s="54"/>
      <c r="F1860" s="54"/>
      <c r="G1860" s="141"/>
      <c r="H1860" s="141"/>
      <c r="I1860" s="54"/>
      <c r="J1860" s="54"/>
      <c r="K1860" s="63"/>
      <c r="L1860" s="54"/>
      <c r="M1860" s="54"/>
    </row>
    <row r="1861">
      <c r="A1861" s="54"/>
      <c r="B1861" s="140"/>
      <c r="C1861" s="140"/>
      <c r="D1861" s="54"/>
      <c r="E1861" s="54"/>
      <c r="F1861" s="54"/>
      <c r="G1861" s="141"/>
      <c r="H1861" s="141"/>
      <c r="I1861" s="54"/>
      <c r="J1861" s="54"/>
      <c r="K1861" s="63"/>
      <c r="L1861" s="54"/>
      <c r="M1861" s="54"/>
    </row>
    <row r="1862">
      <c r="A1862" s="54"/>
      <c r="B1862" s="140"/>
      <c r="C1862" s="140"/>
      <c r="D1862" s="54"/>
      <c r="E1862" s="54"/>
      <c r="F1862" s="54"/>
      <c r="G1862" s="141"/>
      <c r="H1862" s="141"/>
      <c r="I1862" s="54"/>
      <c r="J1862" s="54"/>
      <c r="K1862" s="63"/>
      <c r="L1862" s="54"/>
      <c r="M1862" s="54"/>
    </row>
    <row r="1863">
      <c r="A1863" s="54"/>
      <c r="B1863" s="140"/>
      <c r="C1863" s="140"/>
      <c r="D1863" s="54"/>
      <c r="E1863" s="54"/>
      <c r="F1863" s="54"/>
      <c r="G1863" s="141"/>
      <c r="H1863" s="141"/>
      <c r="I1863" s="54"/>
      <c r="J1863" s="54"/>
      <c r="K1863" s="63"/>
      <c r="L1863" s="54"/>
      <c r="M1863" s="54"/>
    </row>
    <row r="1864">
      <c r="A1864" s="54"/>
      <c r="B1864" s="140"/>
      <c r="C1864" s="140"/>
      <c r="D1864" s="54"/>
      <c r="E1864" s="54"/>
      <c r="F1864" s="54"/>
      <c r="G1864" s="141"/>
      <c r="H1864" s="141"/>
      <c r="I1864" s="54"/>
      <c r="J1864" s="54"/>
      <c r="K1864" s="63"/>
      <c r="L1864" s="54"/>
      <c r="M1864" s="54"/>
    </row>
    <row r="1865">
      <c r="A1865" s="54"/>
      <c r="B1865" s="140"/>
      <c r="C1865" s="140"/>
      <c r="D1865" s="54"/>
      <c r="E1865" s="54"/>
      <c r="F1865" s="54"/>
      <c r="G1865" s="141"/>
      <c r="H1865" s="141"/>
      <c r="I1865" s="54"/>
      <c r="J1865" s="54"/>
      <c r="K1865" s="63"/>
      <c r="L1865" s="54"/>
      <c r="M1865" s="54"/>
    </row>
    <row r="1866">
      <c r="A1866" s="54"/>
      <c r="B1866" s="140"/>
      <c r="C1866" s="140"/>
      <c r="D1866" s="54"/>
      <c r="E1866" s="54"/>
      <c r="F1866" s="54"/>
      <c r="G1866" s="141"/>
      <c r="H1866" s="141"/>
      <c r="I1866" s="54"/>
      <c r="J1866" s="54"/>
      <c r="K1866" s="63"/>
      <c r="L1866" s="54"/>
      <c r="M1866" s="54"/>
    </row>
    <row r="1867">
      <c r="A1867" s="54"/>
      <c r="B1867" s="140"/>
      <c r="C1867" s="140"/>
      <c r="D1867" s="54"/>
      <c r="E1867" s="54"/>
      <c r="F1867" s="54"/>
      <c r="G1867" s="141"/>
      <c r="H1867" s="141"/>
      <c r="I1867" s="54"/>
      <c r="J1867" s="54"/>
      <c r="K1867" s="63"/>
      <c r="L1867" s="54"/>
      <c r="M1867" s="54"/>
    </row>
    <row r="1868">
      <c r="A1868" s="54"/>
      <c r="B1868" s="140"/>
      <c r="C1868" s="140"/>
      <c r="D1868" s="54"/>
      <c r="E1868" s="54"/>
      <c r="F1868" s="54"/>
      <c r="G1868" s="141"/>
      <c r="H1868" s="141"/>
      <c r="I1868" s="54"/>
      <c r="J1868" s="54"/>
      <c r="K1868" s="63"/>
      <c r="L1868" s="54"/>
      <c r="M1868" s="54"/>
    </row>
    <row r="1869">
      <c r="A1869" s="54"/>
      <c r="B1869" s="140"/>
      <c r="C1869" s="140"/>
      <c r="D1869" s="54"/>
      <c r="E1869" s="54"/>
      <c r="F1869" s="54"/>
      <c r="G1869" s="141"/>
      <c r="H1869" s="141"/>
      <c r="I1869" s="54"/>
      <c r="J1869" s="54"/>
      <c r="K1869" s="63"/>
      <c r="L1869" s="54"/>
      <c r="M1869" s="54"/>
    </row>
    <row r="1870">
      <c r="A1870" s="54"/>
      <c r="B1870" s="140"/>
      <c r="C1870" s="140"/>
      <c r="D1870" s="54"/>
      <c r="E1870" s="54"/>
      <c r="F1870" s="54"/>
      <c r="G1870" s="141"/>
      <c r="H1870" s="141"/>
      <c r="I1870" s="54"/>
      <c r="J1870" s="54"/>
      <c r="K1870" s="63"/>
      <c r="L1870" s="54"/>
      <c r="M1870" s="54"/>
    </row>
    <row r="1871">
      <c r="A1871" s="54"/>
      <c r="B1871" s="140"/>
      <c r="C1871" s="140"/>
      <c r="D1871" s="54"/>
      <c r="E1871" s="54"/>
      <c r="F1871" s="54"/>
      <c r="G1871" s="141"/>
      <c r="H1871" s="141"/>
      <c r="I1871" s="54"/>
      <c r="J1871" s="54"/>
      <c r="K1871" s="63"/>
      <c r="L1871" s="54"/>
      <c r="M1871" s="54"/>
    </row>
    <row r="1872">
      <c r="A1872" s="54"/>
      <c r="B1872" s="140"/>
      <c r="C1872" s="140"/>
      <c r="D1872" s="54"/>
      <c r="E1872" s="54"/>
      <c r="F1872" s="54"/>
      <c r="G1872" s="141"/>
      <c r="H1872" s="141"/>
      <c r="I1872" s="54"/>
      <c r="J1872" s="54"/>
      <c r="K1872" s="63"/>
      <c r="L1872" s="54"/>
      <c r="M1872" s="54"/>
    </row>
    <row r="1873">
      <c r="A1873" s="54"/>
      <c r="B1873" s="140"/>
      <c r="C1873" s="140"/>
      <c r="D1873" s="54"/>
      <c r="E1873" s="54"/>
      <c r="F1873" s="54"/>
      <c r="G1873" s="141"/>
      <c r="H1873" s="141"/>
      <c r="I1873" s="54"/>
      <c r="J1873" s="54"/>
      <c r="K1873" s="63"/>
      <c r="L1873" s="54"/>
      <c r="M1873" s="54"/>
    </row>
    <row r="1874">
      <c r="A1874" s="54"/>
      <c r="B1874" s="140"/>
      <c r="C1874" s="140"/>
      <c r="D1874" s="54"/>
      <c r="E1874" s="54"/>
      <c r="F1874" s="54"/>
      <c r="G1874" s="141"/>
      <c r="H1874" s="141"/>
      <c r="I1874" s="54"/>
      <c r="J1874" s="54"/>
      <c r="K1874" s="63"/>
      <c r="L1874" s="54"/>
      <c r="M1874" s="54"/>
    </row>
    <row r="1875">
      <c r="A1875" s="54"/>
      <c r="B1875" s="140"/>
      <c r="C1875" s="140"/>
      <c r="D1875" s="54"/>
      <c r="E1875" s="54"/>
      <c r="F1875" s="54"/>
      <c r="G1875" s="141"/>
      <c r="H1875" s="141"/>
      <c r="I1875" s="54"/>
      <c r="J1875" s="54"/>
      <c r="K1875" s="63"/>
      <c r="L1875" s="54"/>
      <c r="M1875" s="54"/>
    </row>
    <row r="1876">
      <c r="A1876" s="54"/>
      <c r="B1876" s="140"/>
      <c r="C1876" s="140"/>
      <c r="D1876" s="54"/>
      <c r="E1876" s="54"/>
      <c r="F1876" s="54"/>
      <c r="G1876" s="141"/>
      <c r="H1876" s="141"/>
      <c r="I1876" s="54"/>
      <c r="J1876" s="54"/>
      <c r="K1876" s="63"/>
      <c r="L1876" s="54"/>
      <c r="M1876" s="54"/>
    </row>
    <row r="1877">
      <c r="A1877" s="54"/>
      <c r="B1877" s="140"/>
      <c r="C1877" s="140"/>
      <c r="D1877" s="54"/>
      <c r="E1877" s="54"/>
      <c r="F1877" s="54"/>
      <c r="G1877" s="141"/>
      <c r="H1877" s="141"/>
      <c r="I1877" s="54"/>
      <c r="J1877" s="54"/>
      <c r="K1877" s="63"/>
      <c r="L1877" s="54"/>
      <c r="M1877" s="54"/>
    </row>
    <row r="1878">
      <c r="A1878" s="54"/>
      <c r="B1878" s="140"/>
      <c r="C1878" s="140"/>
      <c r="D1878" s="54"/>
      <c r="E1878" s="54"/>
      <c r="F1878" s="54"/>
      <c r="G1878" s="141"/>
      <c r="H1878" s="141"/>
      <c r="I1878" s="54"/>
      <c r="J1878" s="54"/>
      <c r="K1878" s="63"/>
      <c r="L1878" s="54"/>
      <c r="M1878" s="54"/>
    </row>
    <row r="1879">
      <c r="A1879" s="54"/>
      <c r="B1879" s="140"/>
      <c r="C1879" s="140"/>
      <c r="D1879" s="54"/>
      <c r="E1879" s="54"/>
      <c r="F1879" s="54"/>
      <c r="G1879" s="141"/>
      <c r="H1879" s="141"/>
      <c r="I1879" s="54"/>
      <c r="J1879" s="54"/>
      <c r="K1879" s="63"/>
      <c r="L1879" s="54"/>
      <c r="M1879" s="54"/>
    </row>
    <row r="1880">
      <c r="A1880" s="54"/>
      <c r="B1880" s="140"/>
      <c r="C1880" s="140"/>
      <c r="D1880" s="54"/>
      <c r="E1880" s="54"/>
      <c r="F1880" s="54"/>
      <c r="G1880" s="141"/>
      <c r="H1880" s="141"/>
      <c r="I1880" s="54"/>
      <c r="J1880" s="54"/>
      <c r="K1880" s="63"/>
      <c r="L1880" s="54"/>
      <c r="M1880" s="54"/>
    </row>
    <row r="1881">
      <c r="A1881" s="54"/>
      <c r="B1881" s="140"/>
      <c r="C1881" s="140"/>
      <c r="D1881" s="54"/>
      <c r="E1881" s="54"/>
      <c r="F1881" s="54"/>
      <c r="G1881" s="141"/>
      <c r="H1881" s="141"/>
      <c r="I1881" s="54"/>
      <c r="J1881" s="54"/>
      <c r="K1881" s="63"/>
      <c r="L1881" s="54"/>
      <c r="M1881" s="54"/>
    </row>
    <row r="1882">
      <c r="A1882" s="54"/>
      <c r="B1882" s="140"/>
      <c r="C1882" s="140"/>
      <c r="D1882" s="54"/>
      <c r="E1882" s="54"/>
      <c r="F1882" s="54"/>
      <c r="G1882" s="141"/>
      <c r="H1882" s="141"/>
      <c r="I1882" s="54"/>
      <c r="J1882" s="54"/>
      <c r="K1882" s="63"/>
      <c r="L1882" s="54"/>
      <c r="M1882" s="54"/>
    </row>
    <row r="1883">
      <c r="A1883" s="54"/>
      <c r="B1883" s="140"/>
      <c r="C1883" s="140"/>
      <c r="D1883" s="54"/>
      <c r="E1883" s="54"/>
      <c r="F1883" s="54"/>
      <c r="G1883" s="141"/>
      <c r="H1883" s="141"/>
      <c r="I1883" s="54"/>
      <c r="J1883" s="54"/>
      <c r="K1883" s="63"/>
      <c r="L1883" s="54"/>
      <c r="M1883" s="54"/>
    </row>
    <row r="1884">
      <c r="A1884" s="54"/>
      <c r="B1884" s="140"/>
      <c r="C1884" s="140"/>
      <c r="D1884" s="54"/>
      <c r="E1884" s="54"/>
      <c r="F1884" s="54"/>
      <c r="G1884" s="141"/>
      <c r="H1884" s="141"/>
      <c r="I1884" s="54"/>
      <c r="J1884" s="54"/>
      <c r="K1884" s="63"/>
      <c r="L1884" s="54"/>
      <c r="M1884" s="54"/>
    </row>
    <row r="1885">
      <c r="A1885" s="54"/>
      <c r="B1885" s="140"/>
      <c r="C1885" s="140"/>
      <c r="D1885" s="54"/>
      <c r="E1885" s="54"/>
      <c r="F1885" s="54"/>
      <c r="G1885" s="141"/>
      <c r="H1885" s="141"/>
      <c r="I1885" s="54"/>
      <c r="J1885" s="54"/>
      <c r="K1885" s="63"/>
      <c r="L1885" s="54"/>
      <c r="M1885" s="54"/>
    </row>
    <row r="1886">
      <c r="A1886" s="54"/>
      <c r="B1886" s="140"/>
      <c r="C1886" s="140"/>
      <c r="D1886" s="54"/>
      <c r="E1886" s="54"/>
      <c r="F1886" s="54"/>
      <c r="G1886" s="141"/>
      <c r="H1886" s="141"/>
      <c r="I1886" s="54"/>
      <c r="J1886" s="54"/>
      <c r="K1886" s="63"/>
      <c r="L1886" s="54"/>
      <c r="M1886" s="54"/>
    </row>
    <row r="1887">
      <c r="A1887" s="54"/>
      <c r="B1887" s="140"/>
      <c r="C1887" s="140"/>
      <c r="D1887" s="54"/>
      <c r="E1887" s="54"/>
      <c r="F1887" s="54"/>
      <c r="G1887" s="141"/>
      <c r="H1887" s="141"/>
      <c r="I1887" s="54"/>
      <c r="J1887" s="54"/>
      <c r="K1887" s="63"/>
      <c r="L1887" s="54"/>
      <c r="M1887" s="54"/>
    </row>
    <row r="1888">
      <c r="A1888" s="54"/>
      <c r="B1888" s="140"/>
      <c r="C1888" s="140"/>
      <c r="D1888" s="54"/>
      <c r="E1888" s="54"/>
      <c r="F1888" s="54"/>
      <c r="G1888" s="141"/>
      <c r="H1888" s="141"/>
      <c r="I1888" s="54"/>
      <c r="J1888" s="54"/>
      <c r="K1888" s="63"/>
      <c r="L1888" s="54"/>
      <c r="M1888" s="54"/>
    </row>
    <row r="1889">
      <c r="A1889" s="54"/>
      <c r="B1889" s="140"/>
      <c r="C1889" s="140"/>
      <c r="D1889" s="54"/>
      <c r="E1889" s="54"/>
      <c r="F1889" s="54"/>
      <c r="G1889" s="141"/>
      <c r="H1889" s="141"/>
      <c r="I1889" s="54"/>
      <c r="J1889" s="54"/>
      <c r="K1889" s="63"/>
      <c r="L1889" s="54"/>
      <c r="M1889" s="54"/>
    </row>
    <row r="1890">
      <c r="A1890" s="54"/>
      <c r="B1890" s="140"/>
      <c r="C1890" s="140"/>
      <c r="D1890" s="54"/>
      <c r="E1890" s="54"/>
      <c r="F1890" s="54"/>
      <c r="G1890" s="141"/>
      <c r="H1890" s="141"/>
      <c r="I1890" s="54"/>
      <c r="J1890" s="54"/>
      <c r="K1890" s="63"/>
      <c r="L1890" s="54"/>
      <c r="M1890" s="54"/>
    </row>
    <row r="1891">
      <c r="A1891" s="54"/>
      <c r="B1891" s="140"/>
      <c r="C1891" s="140"/>
      <c r="D1891" s="54"/>
      <c r="E1891" s="54"/>
      <c r="F1891" s="54"/>
      <c r="G1891" s="141"/>
      <c r="H1891" s="141"/>
      <c r="I1891" s="54"/>
      <c r="J1891" s="54"/>
      <c r="K1891" s="63"/>
      <c r="L1891" s="54"/>
      <c r="M1891" s="54"/>
    </row>
    <row r="1892">
      <c r="A1892" s="54"/>
      <c r="B1892" s="140"/>
      <c r="C1892" s="140"/>
      <c r="D1892" s="54"/>
      <c r="E1892" s="54"/>
      <c r="F1892" s="54"/>
      <c r="G1892" s="141"/>
      <c r="H1892" s="141"/>
      <c r="I1892" s="54"/>
      <c r="J1892" s="54"/>
      <c r="K1892" s="63"/>
      <c r="L1892" s="54"/>
      <c r="M1892" s="54"/>
    </row>
    <row r="1893">
      <c r="A1893" s="54"/>
      <c r="B1893" s="140"/>
      <c r="C1893" s="140"/>
      <c r="D1893" s="54"/>
      <c r="E1893" s="54"/>
      <c r="F1893" s="54"/>
      <c r="G1893" s="141"/>
      <c r="H1893" s="141"/>
      <c r="I1893" s="54"/>
      <c r="J1893" s="54"/>
      <c r="K1893" s="63"/>
      <c r="L1893" s="54"/>
      <c r="M1893" s="54"/>
    </row>
    <row r="1894">
      <c r="A1894" s="54"/>
      <c r="B1894" s="140"/>
      <c r="C1894" s="140"/>
      <c r="D1894" s="54"/>
      <c r="E1894" s="54"/>
      <c r="F1894" s="54"/>
      <c r="G1894" s="141"/>
      <c r="H1894" s="141"/>
      <c r="I1894" s="54"/>
      <c r="J1894" s="54"/>
      <c r="K1894" s="63"/>
      <c r="L1894" s="54"/>
      <c r="M1894" s="54"/>
    </row>
    <row r="1895">
      <c r="A1895" s="54"/>
      <c r="B1895" s="140"/>
      <c r="C1895" s="140"/>
      <c r="D1895" s="54"/>
      <c r="E1895" s="54"/>
      <c r="F1895" s="54"/>
      <c r="G1895" s="141"/>
      <c r="H1895" s="141"/>
      <c r="I1895" s="54"/>
      <c r="J1895" s="54"/>
      <c r="K1895" s="63"/>
      <c r="L1895" s="54"/>
      <c r="M1895" s="54"/>
    </row>
    <row r="1896">
      <c r="A1896" s="54"/>
      <c r="B1896" s="140"/>
      <c r="C1896" s="140"/>
      <c r="D1896" s="54"/>
      <c r="E1896" s="54"/>
      <c r="F1896" s="54"/>
      <c r="G1896" s="141"/>
      <c r="H1896" s="141"/>
      <c r="I1896" s="54"/>
      <c r="J1896" s="54"/>
      <c r="K1896" s="63"/>
      <c r="L1896" s="54"/>
      <c r="M1896" s="54"/>
    </row>
    <row r="1897">
      <c r="A1897" s="54"/>
      <c r="B1897" s="140"/>
      <c r="C1897" s="140"/>
      <c r="D1897" s="54"/>
      <c r="E1897" s="54"/>
      <c r="F1897" s="54"/>
      <c r="G1897" s="141"/>
      <c r="H1897" s="141"/>
      <c r="I1897" s="54"/>
      <c r="J1897" s="54"/>
      <c r="K1897" s="63"/>
      <c r="L1897" s="54"/>
      <c r="M1897" s="54"/>
    </row>
    <row r="1898">
      <c r="A1898" s="54"/>
      <c r="B1898" s="140"/>
      <c r="C1898" s="140"/>
      <c r="D1898" s="54"/>
      <c r="E1898" s="54"/>
      <c r="F1898" s="54"/>
      <c r="G1898" s="141"/>
      <c r="H1898" s="141"/>
      <c r="I1898" s="54"/>
      <c r="J1898" s="54"/>
      <c r="K1898" s="63"/>
      <c r="L1898" s="54"/>
      <c r="M1898" s="54"/>
    </row>
    <row r="1899">
      <c r="A1899" s="54"/>
      <c r="B1899" s="140"/>
      <c r="C1899" s="140"/>
      <c r="D1899" s="54"/>
      <c r="E1899" s="54"/>
      <c r="F1899" s="54"/>
      <c r="G1899" s="141"/>
      <c r="H1899" s="141"/>
      <c r="I1899" s="54"/>
      <c r="J1899" s="54"/>
      <c r="K1899" s="63"/>
      <c r="L1899" s="54"/>
      <c r="M1899" s="54"/>
    </row>
    <row r="1900">
      <c r="A1900" s="54"/>
      <c r="B1900" s="140"/>
      <c r="C1900" s="140"/>
      <c r="D1900" s="54"/>
      <c r="E1900" s="54"/>
      <c r="F1900" s="54"/>
      <c r="G1900" s="141"/>
      <c r="H1900" s="141"/>
      <c r="I1900" s="54"/>
      <c r="J1900" s="54"/>
      <c r="K1900" s="63"/>
      <c r="L1900" s="54"/>
      <c r="M1900" s="54"/>
    </row>
    <row r="1901">
      <c r="A1901" s="54"/>
      <c r="B1901" s="140"/>
      <c r="C1901" s="140"/>
      <c r="D1901" s="54"/>
      <c r="E1901" s="54"/>
      <c r="F1901" s="54"/>
      <c r="G1901" s="141"/>
      <c r="H1901" s="141"/>
      <c r="I1901" s="54"/>
      <c r="J1901" s="54"/>
      <c r="K1901" s="63"/>
      <c r="L1901" s="54"/>
      <c r="M1901" s="54"/>
    </row>
    <row r="1902">
      <c r="A1902" s="54"/>
      <c r="B1902" s="140"/>
      <c r="C1902" s="140"/>
      <c r="D1902" s="54"/>
      <c r="E1902" s="54"/>
      <c r="F1902" s="54"/>
      <c r="G1902" s="141"/>
      <c r="H1902" s="141"/>
      <c r="I1902" s="54"/>
      <c r="J1902" s="54"/>
      <c r="K1902" s="63"/>
      <c r="L1902" s="54"/>
      <c r="M1902" s="54"/>
    </row>
    <row r="1903">
      <c r="A1903" s="54"/>
      <c r="B1903" s="140"/>
      <c r="C1903" s="140"/>
      <c r="D1903" s="54"/>
      <c r="E1903" s="54"/>
      <c r="F1903" s="54"/>
      <c r="G1903" s="141"/>
      <c r="H1903" s="141"/>
      <c r="I1903" s="54"/>
      <c r="J1903" s="54"/>
      <c r="K1903" s="63"/>
      <c r="L1903" s="54"/>
      <c r="M1903" s="54"/>
    </row>
    <row r="1904">
      <c r="A1904" s="54"/>
      <c r="B1904" s="140"/>
      <c r="C1904" s="140"/>
      <c r="D1904" s="54"/>
      <c r="E1904" s="54"/>
      <c r="F1904" s="54"/>
      <c r="G1904" s="141"/>
      <c r="H1904" s="141"/>
      <c r="I1904" s="54"/>
      <c r="J1904" s="54"/>
      <c r="K1904" s="63"/>
      <c r="L1904" s="54"/>
      <c r="M1904" s="54"/>
    </row>
    <row r="1905">
      <c r="A1905" s="54"/>
      <c r="B1905" s="140"/>
      <c r="C1905" s="140"/>
      <c r="D1905" s="54"/>
      <c r="E1905" s="54"/>
      <c r="F1905" s="54"/>
      <c r="G1905" s="141"/>
      <c r="H1905" s="141"/>
      <c r="I1905" s="54"/>
      <c r="J1905" s="54"/>
      <c r="K1905" s="63"/>
      <c r="L1905" s="54"/>
      <c r="M1905" s="54"/>
    </row>
    <row r="1906">
      <c r="A1906" s="54"/>
      <c r="B1906" s="140"/>
      <c r="C1906" s="140"/>
      <c r="D1906" s="54"/>
      <c r="E1906" s="54"/>
      <c r="F1906" s="54"/>
      <c r="G1906" s="141"/>
      <c r="H1906" s="141"/>
      <c r="I1906" s="54"/>
      <c r="J1906" s="54"/>
      <c r="K1906" s="63"/>
      <c r="L1906" s="54"/>
      <c r="M1906" s="54"/>
    </row>
    <row r="1907">
      <c r="A1907" s="54"/>
      <c r="B1907" s="140"/>
      <c r="C1907" s="140"/>
      <c r="D1907" s="54"/>
      <c r="E1907" s="54"/>
      <c r="F1907" s="54"/>
      <c r="G1907" s="141"/>
      <c r="H1907" s="141"/>
      <c r="I1907" s="54"/>
      <c r="J1907" s="54"/>
      <c r="K1907" s="63"/>
      <c r="L1907" s="54"/>
      <c r="M1907" s="54"/>
    </row>
    <row r="1908">
      <c r="A1908" s="54"/>
      <c r="B1908" s="140"/>
      <c r="C1908" s="140"/>
      <c r="D1908" s="54"/>
      <c r="E1908" s="54"/>
      <c r="F1908" s="54"/>
      <c r="G1908" s="141"/>
      <c r="H1908" s="141"/>
      <c r="I1908" s="54"/>
      <c r="J1908" s="54"/>
      <c r="K1908" s="63"/>
      <c r="L1908" s="54"/>
      <c r="M1908" s="54"/>
    </row>
    <row r="1909">
      <c r="A1909" s="54"/>
      <c r="B1909" s="140"/>
      <c r="C1909" s="140"/>
      <c r="D1909" s="54"/>
      <c r="E1909" s="54"/>
      <c r="F1909" s="54"/>
      <c r="G1909" s="141"/>
      <c r="H1909" s="141"/>
      <c r="I1909" s="54"/>
      <c r="J1909" s="54"/>
      <c r="K1909" s="63"/>
      <c r="L1909" s="54"/>
      <c r="M1909" s="54"/>
    </row>
    <row r="1910">
      <c r="A1910" s="54"/>
      <c r="B1910" s="140"/>
      <c r="C1910" s="140"/>
      <c r="D1910" s="54"/>
      <c r="E1910" s="54"/>
      <c r="F1910" s="54"/>
      <c r="G1910" s="141"/>
      <c r="H1910" s="141"/>
      <c r="I1910" s="54"/>
      <c r="J1910" s="54"/>
      <c r="K1910" s="63"/>
      <c r="L1910" s="54"/>
      <c r="M1910" s="54"/>
    </row>
    <row r="1911">
      <c r="A1911" s="54"/>
      <c r="B1911" s="140"/>
      <c r="C1911" s="140"/>
      <c r="D1911" s="54"/>
      <c r="E1911" s="54"/>
      <c r="F1911" s="54"/>
      <c r="G1911" s="141"/>
      <c r="H1911" s="141"/>
      <c r="I1911" s="54"/>
      <c r="J1911" s="54"/>
      <c r="K1911" s="63"/>
      <c r="L1911" s="54"/>
      <c r="M1911" s="54"/>
    </row>
    <row r="1912">
      <c r="A1912" s="54"/>
      <c r="B1912" s="140"/>
      <c r="C1912" s="140"/>
      <c r="D1912" s="54"/>
      <c r="E1912" s="54"/>
      <c r="F1912" s="54"/>
      <c r="G1912" s="141"/>
      <c r="H1912" s="141"/>
      <c r="I1912" s="54"/>
      <c r="J1912" s="54"/>
      <c r="K1912" s="63"/>
      <c r="L1912" s="54"/>
      <c r="M1912" s="54"/>
    </row>
    <row r="1913">
      <c r="A1913" s="54"/>
      <c r="B1913" s="140"/>
      <c r="C1913" s="140"/>
      <c r="D1913" s="54"/>
      <c r="E1913" s="54"/>
      <c r="F1913" s="54"/>
      <c r="G1913" s="141"/>
      <c r="H1913" s="141"/>
      <c r="I1913" s="54"/>
      <c r="J1913" s="54"/>
      <c r="K1913" s="63"/>
      <c r="L1913" s="54"/>
      <c r="M1913" s="54"/>
    </row>
    <row r="1914">
      <c r="A1914" s="54"/>
      <c r="B1914" s="140"/>
      <c r="C1914" s="140"/>
      <c r="D1914" s="54"/>
      <c r="E1914" s="54"/>
      <c r="F1914" s="54"/>
      <c r="G1914" s="141"/>
      <c r="H1914" s="141"/>
      <c r="I1914" s="54"/>
      <c r="J1914" s="54"/>
      <c r="K1914" s="63"/>
      <c r="L1914" s="54"/>
      <c r="M1914" s="54"/>
    </row>
    <row r="1915">
      <c r="A1915" s="54"/>
      <c r="B1915" s="140"/>
      <c r="C1915" s="140"/>
      <c r="D1915" s="54"/>
      <c r="E1915" s="54"/>
      <c r="F1915" s="54"/>
      <c r="G1915" s="141"/>
      <c r="H1915" s="141"/>
      <c r="I1915" s="54"/>
      <c r="J1915" s="54"/>
      <c r="K1915" s="63"/>
      <c r="L1915" s="54"/>
      <c r="M1915" s="54"/>
    </row>
    <row r="1916">
      <c r="A1916" s="54"/>
      <c r="B1916" s="140"/>
      <c r="C1916" s="140"/>
      <c r="D1916" s="54"/>
      <c r="E1916" s="54"/>
      <c r="F1916" s="54"/>
      <c r="G1916" s="141"/>
      <c r="H1916" s="141"/>
      <c r="I1916" s="54"/>
      <c r="J1916" s="54"/>
      <c r="K1916" s="63"/>
      <c r="L1916" s="54"/>
      <c r="M1916" s="54"/>
    </row>
    <row r="1917">
      <c r="A1917" s="54"/>
      <c r="B1917" s="140"/>
      <c r="C1917" s="140"/>
      <c r="D1917" s="54"/>
      <c r="E1917" s="54"/>
      <c r="F1917" s="54"/>
      <c r="G1917" s="141"/>
      <c r="H1917" s="141"/>
      <c r="I1917" s="54"/>
      <c r="J1917" s="54"/>
      <c r="K1917" s="63"/>
      <c r="L1917" s="54"/>
      <c r="M1917" s="54"/>
    </row>
    <row r="1918">
      <c r="A1918" s="54"/>
      <c r="B1918" s="140"/>
      <c r="C1918" s="140"/>
      <c r="D1918" s="54"/>
      <c r="E1918" s="54"/>
      <c r="F1918" s="54"/>
      <c r="G1918" s="141"/>
      <c r="H1918" s="141"/>
      <c r="I1918" s="54"/>
      <c r="J1918" s="54"/>
      <c r="K1918" s="63"/>
      <c r="L1918" s="54"/>
      <c r="M1918" s="54"/>
    </row>
    <row r="1919">
      <c r="A1919" s="54"/>
      <c r="B1919" s="140"/>
      <c r="C1919" s="140"/>
      <c r="D1919" s="54"/>
      <c r="E1919" s="54"/>
      <c r="F1919" s="54"/>
      <c r="G1919" s="141"/>
      <c r="H1919" s="141"/>
      <c r="I1919" s="54"/>
      <c r="J1919" s="54"/>
      <c r="K1919" s="63"/>
      <c r="L1919" s="54"/>
      <c r="M1919" s="54"/>
    </row>
    <row r="1920">
      <c r="A1920" s="54"/>
      <c r="B1920" s="140"/>
      <c r="C1920" s="140"/>
      <c r="D1920" s="54"/>
      <c r="E1920" s="54"/>
      <c r="F1920" s="54"/>
      <c r="G1920" s="141"/>
      <c r="H1920" s="141"/>
      <c r="I1920" s="54"/>
      <c r="J1920" s="54"/>
      <c r="K1920" s="63"/>
      <c r="L1920" s="54"/>
      <c r="M1920" s="54"/>
    </row>
    <row r="1921">
      <c r="A1921" s="54"/>
      <c r="B1921" s="140"/>
      <c r="C1921" s="140"/>
      <c r="D1921" s="54"/>
      <c r="E1921" s="54"/>
      <c r="F1921" s="54"/>
      <c r="G1921" s="141"/>
      <c r="H1921" s="141"/>
      <c r="I1921" s="54"/>
      <c r="J1921" s="54"/>
      <c r="K1921" s="63"/>
      <c r="L1921" s="54"/>
      <c r="M1921" s="54"/>
    </row>
    <row r="1922">
      <c r="A1922" s="54"/>
      <c r="B1922" s="140"/>
      <c r="C1922" s="140"/>
      <c r="D1922" s="54"/>
      <c r="E1922" s="54"/>
      <c r="F1922" s="54"/>
      <c r="G1922" s="141"/>
      <c r="H1922" s="141"/>
      <c r="I1922" s="54"/>
      <c r="J1922" s="54"/>
      <c r="K1922" s="63"/>
      <c r="L1922" s="54"/>
      <c r="M1922" s="54"/>
    </row>
    <row r="1923">
      <c r="A1923" s="54"/>
      <c r="B1923" s="140"/>
      <c r="C1923" s="140"/>
      <c r="D1923" s="54"/>
      <c r="E1923" s="54"/>
      <c r="F1923" s="54"/>
      <c r="G1923" s="141"/>
      <c r="H1923" s="141"/>
      <c r="I1923" s="54"/>
      <c r="J1923" s="54"/>
      <c r="K1923" s="63"/>
      <c r="L1923" s="54"/>
      <c r="M1923" s="54"/>
    </row>
    <row r="1924">
      <c r="A1924" s="54"/>
      <c r="B1924" s="140"/>
      <c r="C1924" s="140"/>
      <c r="D1924" s="54"/>
      <c r="E1924" s="54"/>
      <c r="F1924" s="54"/>
      <c r="G1924" s="141"/>
      <c r="H1924" s="141"/>
      <c r="I1924" s="54"/>
      <c r="J1924" s="54"/>
      <c r="K1924" s="63"/>
      <c r="L1924" s="54"/>
      <c r="M1924" s="54"/>
    </row>
    <row r="1925">
      <c r="A1925" s="54"/>
      <c r="B1925" s="140"/>
      <c r="C1925" s="140"/>
      <c r="D1925" s="54"/>
      <c r="E1925" s="54"/>
      <c r="F1925" s="54"/>
      <c r="G1925" s="141"/>
      <c r="H1925" s="141"/>
      <c r="I1925" s="54"/>
      <c r="J1925" s="54"/>
      <c r="K1925" s="63"/>
      <c r="L1925" s="54"/>
      <c r="M1925" s="54"/>
    </row>
    <row r="1926">
      <c r="A1926" s="54"/>
      <c r="B1926" s="140"/>
      <c r="C1926" s="140"/>
      <c r="D1926" s="54"/>
      <c r="E1926" s="54"/>
      <c r="F1926" s="54"/>
      <c r="G1926" s="141"/>
      <c r="H1926" s="141"/>
      <c r="I1926" s="54"/>
      <c r="J1926" s="54"/>
      <c r="K1926" s="63"/>
      <c r="L1926" s="54"/>
      <c r="M1926" s="54"/>
    </row>
    <row r="1927">
      <c r="A1927" s="54"/>
      <c r="B1927" s="140"/>
      <c r="C1927" s="140"/>
      <c r="D1927" s="54"/>
      <c r="E1927" s="54"/>
      <c r="F1927" s="54"/>
      <c r="G1927" s="141"/>
      <c r="H1927" s="141"/>
      <c r="I1927" s="54"/>
      <c r="J1927" s="54"/>
      <c r="K1927" s="63"/>
      <c r="L1927" s="54"/>
      <c r="M1927" s="54"/>
    </row>
    <row r="1928">
      <c r="A1928" s="54"/>
      <c r="B1928" s="140"/>
      <c r="C1928" s="140"/>
      <c r="D1928" s="54"/>
      <c r="E1928" s="54"/>
      <c r="F1928" s="54"/>
      <c r="G1928" s="141"/>
      <c r="H1928" s="141"/>
      <c r="I1928" s="54"/>
      <c r="J1928" s="54"/>
      <c r="K1928" s="63"/>
      <c r="L1928" s="54"/>
      <c r="M1928" s="54"/>
    </row>
    <row r="1929">
      <c r="A1929" s="54"/>
      <c r="B1929" s="140"/>
      <c r="C1929" s="140"/>
      <c r="D1929" s="54"/>
      <c r="E1929" s="54"/>
      <c r="F1929" s="54"/>
      <c r="G1929" s="141"/>
      <c r="H1929" s="141"/>
      <c r="I1929" s="54"/>
      <c r="J1929" s="54"/>
      <c r="K1929" s="63"/>
      <c r="L1929" s="54"/>
      <c r="M1929" s="54"/>
    </row>
    <row r="1930">
      <c r="A1930" s="54"/>
      <c r="B1930" s="140"/>
      <c r="C1930" s="140"/>
      <c r="D1930" s="54"/>
      <c r="E1930" s="54"/>
      <c r="F1930" s="54"/>
      <c r="G1930" s="141"/>
      <c r="H1930" s="141"/>
      <c r="I1930" s="54"/>
      <c r="J1930" s="54"/>
      <c r="K1930" s="63"/>
      <c r="L1930" s="54"/>
      <c r="M1930" s="54"/>
    </row>
    <row r="1931">
      <c r="A1931" s="54"/>
      <c r="B1931" s="140"/>
      <c r="C1931" s="140"/>
      <c r="D1931" s="54"/>
      <c r="E1931" s="54"/>
      <c r="F1931" s="54"/>
      <c r="G1931" s="141"/>
      <c r="H1931" s="141"/>
      <c r="I1931" s="54"/>
      <c r="J1931" s="54"/>
      <c r="K1931" s="63"/>
      <c r="L1931" s="54"/>
      <c r="M1931" s="54"/>
    </row>
    <row r="1932">
      <c r="A1932" s="54"/>
      <c r="B1932" s="140"/>
      <c r="C1932" s="140"/>
      <c r="D1932" s="54"/>
      <c r="E1932" s="54"/>
      <c r="F1932" s="54"/>
      <c r="G1932" s="141"/>
      <c r="H1932" s="141"/>
      <c r="I1932" s="54"/>
      <c r="J1932" s="54"/>
      <c r="K1932" s="63"/>
      <c r="L1932" s="54"/>
      <c r="M1932" s="54"/>
    </row>
    <row r="1933">
      <c r="A1933" s="54"/>
      <c r="B1933" s="140"/>
      <c r="C1933" s="140"/>
      <c r="D1933" s="54"/>
      <c r="E1933" s="54"/>
      <c r="F1933" s="54"/>
      <c r="G1933" s="141"/>
      <c r="H1933" s="141"/>
      <c r="I1933" s="54"/>
      <c r="J1933" s="54"/>
      <c r="K1933" s="63"/>
      <c r="L1933" s="54"/>
      <c r="M1933" s="54"/>
    </row>
    <row r="1934">
      <c r="A1934" s="54"/>
      <c r="B1934" s="140"/>
      <c r="C1934" s="140"/>
      <c r="D1934" s="54"/>
      <c r="E1934" s="54"/>
      <c r="F1934" s="54"/>
      <c r="G1934" s="141"/>
      <c r="H1934" s="141"/>
      <c r="I1934" s="54"/>
      <c r="J1934" s="54"/>
      <c r="K1934" s="63"/>
      <c r="L1934" s="54"/>
      <c r="M1934" s="54"/>
    </row>
    <row r="1935">
      <c r="A1935" s="54"/>
      <c r="B1935" s="140"/>
      <c r="C1935" s="140"/>
      <c r="D1935" s="54"/>
      <c r="E1935" s="54"/>
      <c r="F1935" s="54"/>
      <c r="G1935" s="141"/>
      <c r="H1935" s="141"/>
      <c r="I1935" s="54"/>
      <c r="J1935" s="54"/>
      <c r="K1935" s="63"/>
      <c r="L1935" s="54"/>
      <c r="M1935" s="54"/>
    </row>
    <row r="1936">
      <c r="A1936" s="54"/>
      <c r="B1936" s="140"/>
      <c r="C1936" s="140"/>
      <c r="D1936" s="54"/>
      <c r="E1936" s="54"/>
      <c r="F1936" s="54"/>
      <c r="G1936" s="141"/>
      <c r="H1936" s="141"/>
      <c r="I1936" s="54"/>
      <c r="J1936" s="54"/>
      <c r="K1936" s="63"/>
      <c r="L1936" s="54"/>
      <c r="M1936" s="54"/>
    </row>
    <row r="1937">
      <c r="A1937" s="54"/>
      <c r="B1937" s="140"/>
      <c r="C1937" s="140"/>
      <c r="D1937" s="54"/>
      <c r="E1937" s="54"/>
      <c r="F1937" s="54"/>
      <c r="G1937" s="141"/>
      <c r="H1937" s="141"/>
      <c r="I1937" s="54"/>
      <c r="J1937" s="54"/>
      <c r="K1937" s="63"/>
      <c r="L1937" s="54"/>
      <c r="M1937" s="54"/>
    </row>
    <row r="1938">
      <c r="A1938" s="54"/>
      <c r="B1938" s="140"/>
      <c r="C1938" s="140"/>
      <c r="D1938" s="54"/>
      <c r="E1938" s="54"/>
      <c r="F1938" s="54"/>
      <c r="G1938" s="141"/>
      <c r="H1938" s="141"/>
      <c r="I1938" s="54"/>
      <c r="J1938" s="54"/>
      <c r="K1938" s="63"/>
      <c r="L1938" s="54"/>
      <c r="M1938" s="54"/>
    </row>
    <row r="1939">
      <c r="A1939" s="54"/>
      <c r="B1939" s="140"/>
      <c r="C1939" s="140"/>
      <c r="D1939" s="54"/>
      <c r="E1939" s="54"/>
      <c r="F1939" s="54"/>
      <c r="G1939" s="141"/>
      <c r="H1939" s="141"/>
      <c r="I1939" s="54"/>
      <c r="J1939" s="54"/>
      <c r="K1939" s="63"/>
      <c r="L1939" s="54"/>
      <c r="M1939" s="54"/>
    </row>
    <row r="1940">
      <c r="A1940" s="54"/>
      <c r="B1940" s="140"/>
      <c r="C1940" s="140"/>
      <c r="D1940" s="54"/>
      <c r="E1940" s="54"/>
      <c r="F1940" s="54"/>
      <c r="G1940" s="141"/>
      <c r="H1940" s="141"/>
      <c r="I1940" s="54"/>
      <c r="J1940" s="54"/>
      <c r="K1940" s="63"/>
      <c r="L1940" s="54"/>
      <c r="M1940" s="54"/>
    </row>
    <row r="1941">
      <c r="A1941" s="54"/>
      <c r="B1941" s="140"/>
      <c r="C1941" s="140"/>
      <c r="D1941" s="54"/>
      <c r="E1941" s="54"/>
      <c r="F1941" s="54"/>
      <c r="G1941" s="141"/>
      <c r="H1941" s="141"/>
      <c r="I1941" s="54"/>
      <c r="J1941" s="54"/>
      <c r="K1941" s="63"/>
      <c r="L1941" s="54"/>
      <c r="M1941" s="54"/>
    </row>
    <row r="1942">
      <c r="A1942" s="54"/>
      <c r="B1942" s="140"/>
      <c r="C1942" s="140"/>
      <c r="D1942" s="54"/>
      <c r="E1942" s="54"/>
      <c r="F1942" s="54"/>
      <c r="G1942" s="141"/>
      <c r="H1942" s="141"/>
      <c r="I1942" s="54"/>
      <c r="J1942" s="54"/>
      <c r="K1942" s="63"/>
      <c r="L1942" s="54"/>
      <c r="M1942" s="54"/>
    </row>
    <row r="1943">
      <c r="A1943" s="54"/>
      <c r="B1943" s="140"/>
      <c r="C1943" s="140"/>
      <c r="D1943" s="54"/>
      <c r="E1943" s="54"/>
      <c r="F1943" s="54"/>
      <c r="G1943" s="141"/>
      <c r="H1943" s="141"/>
      <c r="I1943" s="54"/>
      <c r="J1943" s="54"/>
      <c r="K1943" s="63"/>
      <c r="L1943" s="54"/>
      <c r="M1943" s="54"/>
    </row>
    <row r="1944">
      <c r="A1944" s="54"/>
      <c r="B1944" s="140"/>
      <c r="C1944" s="140"/>
      <c r="D1944" s="54"/>
      <c r="E1944" s="54"/>
      <c r="F1944" s="54"/>
      <c r="G1944" s="141"/>
      <c r="H1944" s="141"/>
      <c r="I1944" s="54"/>
      <c r="J1944" s="54"/>
      <c r="K1944" s="63"/>
      <c r="L1944" s="54"/>
      <c r="M1944" s="54"/>
    </row>
    <row r="1945">
      <c r="A1945" s="54"/>
      <c r="B1945" s="140"/>
      <c r="C1945" s="140"/>
      <c r="D1945" s="54"/>
      <c r="E1945" s="54"/>
      <c r="F1945" s="54"/>
      <c r="G1945" s="141"/>
      <c r="H1945" s="141"/>
      <c r="I1945" s="54"/>
      <c r="J1945" s="54"/>
      <c r="K1945" s="63"/>
      <c r="L1945" s="54"/>
      <c r="M1945" s="54"/>
    </row>
    <row r="1946">
      <c r="A1946" s="54"/>
      <c r="B1946" s="140"/>
      <c r="C1946" s="140"/>
      <c r="D1946" s="54"/>
      <c r="E1946" s="54"/>
      <c r="F1946" s="54"/>
      <c r="G1946" s="141"/>
      <c r="H1946" s="141"/>
      <c r="I1946" s="54"/>
      <c r="J1946" s="54"/>
      <c r="K1946" s="63"/>
      <c r="L1946" s="54"/>
      <c r="M1946" s="54"/>
    </row>
    <row r="1947">
      <c r="A1947" s="54"/>
      <c r="B1947" s="140"/>
      <c r="C1947" s="140"/>
      <c r="D1947" s="54"/>
      <c r="E1947" s="54"/>
      <c r="F1947" s="54"/>
      <c r="G1947" s="141"/>
      <c r="H1947" s="141"/>
      <c r="I1947" s="54"/>
      <c r="J1947" s="54"/>
      <c r="K1947" s="63"/>
      <c r="L1947" s="54"/>
      <c r="M1947" s="54"/>
    </row>
    <row r="1948">
      <c r="A1948" s="54"/>
      <c r="B1948" s="140"/>
      <c r="C1948" s="140"/>
      <c r="D1948" s="54"/>
      <c r="E1948" s="54"/>
      <c r="F1948" s="54"/>
      <c r="G1948" s="141"/>
      <c r="H1948" s="141"/>
      <c r="I1948" s="54"/>
      <c r="J1948" s="54"/>
      <c r="K1948" s="63"/>
      <c r="L1948" s="54"/>
      <c r="M1948" s="54"/>
    </row>
    <row r="1949">
      <c r="A1949" s="54"/>
      <c r="B1949" s="140"/>
      <c r="C1949" s="140"/>
      <c r="D1949" s="54"/>
      <c r="E1949" s="54"/>
      <c r="F1949" s="54"/>
      <c r="G1949" s="141"/>
      <c r="H1949" s="141"/>
      <c r="I1949" s="54"/>
      <c r="J1949" s="54"/>
      <c r="K1949" s="63"/>
      <c r="L1949" s="54"/>
      <c r="M1949" s="54"/>
    </row>
    <row r="1950">
      <c r="A1950" s="54"/>
      <c r="B1950" s="140"/>
      <c r="C1950" s="140"/>
      <c r="D1950" s="54"/>
      <c r="E1950" s="54"/>
      <c r="F1950" s="54"/>
      <c r="G1950" s="141"/>
      <c r="H1950" s="141"/>
      <c r="I1950" s="54"/>
      <c r="J1950" s="54"/>
      <c r="K1950" s="63"/>
      <c r="L1950" s="54"/>
      <c r="M1950" s="54"/>
    </row>
    <row r="1951">
      <c r="A1951" s="54"/>
      <c r="B1951" s="140"/>
      <c r="C1951" s="140"/>
      <c r="D1951" s="54"/>
      <c r="E1951" s="54"/>
      <c r="F1951" s="54"/>
      <c r="G1951" s="141"/>
      <c r="H1951" s="141"/>
      <c r="I1951" s="54"/>
      <c r="J1951" s="54"/>
      <c r="K1951" s="63"/>
      <c r="L1951" s="54"/>
      <c r="M1951" s="54"/>
    </row>
    <row r="1952">
      <c r="A1952" s="54"/>
      <c r="B1952" s="140"/>
      <c r="C1952" s="140"/>
      <c r="D1952" s="54"/>
      <c r="E1952" s="54"/>
      <c r="F1952" s="54"/>
      <c r="G1952" s="141"/>
      <c r="H1952" s="141"/>
      <c r="I1952" s="54"/>
      <c r="J1952" s="54"/>
      <c r="K1952" s="63"/>
      <c r="L1952" s="54"/>
      <c r="M1952" s="54"/>
    </row>
    <row r="1953">
      <c r="A1953" s="54"/>
      <c r="B1953" s="140"/>
      <c r="C1953" s="140"/>
      <c r="D1953" s="54"/>
      <c r="E1953" s="54"/>
      <c r="F1953" s="54"/>
      <c r="G1953" s="141"/>
      <c r="H1953" s="141"/>
      <c r="I1953" s="54"/>
      <c r="J1953" s="54"/>
      <c r="K1953" s="63"/>
      <c r="L1953" s="54"/>
      <c r="M1953" s="54"/>
    </row>
    <row r="1954">
      <c r="A1954" s="54"/>
      <c r="B1954" s="140"/>
      <c r="C1954" s="140"/>
      <c r="D1954" s="54"/>
      <c r="E1954" s="54"/>
      <c r="F1954" s="54"/>
      <c r="G1954" s="141"/>
      <c r="H1954" s="141"/>
      <c r="I1954" s="54"/>
      <c r="J1954" s="54"/>
      <c r="K1954" s="63"/>
      <c r="L1954" s="54"/>
      <c r="M1954" s="54"/>
    </row>
    <row r="1955">
      <c r="A1955" s="54"/>
      <c r="B1955" s="140"/>
      <c r="C1955" s="140"/>
      <c r="D1955" s="54"/>
      <c r="E1955" s="54"/>
      <c r="F1955" s="54"/>
      <c r="G1955" s="141"/>
      <c r="H1955" s="141"/>
      <c r="I1955" s="54"/>
      <c r="J1955" s="54"/>
      <c r="K1955" s="63"/>
      <c r="L1955" s="54"/>
      <c r="M1955" s="54"/>
    </row>
    <row r="1956">
      <c r="A1956" s="54"/>
      <c r="B1956" s="140"/>
      <c r="C1956" s="140"/>
      <c r="D1956" s="54"/>
      <c r="E1956" s="54"/>
      <c r="F1956" s="54"/>
      <c r="G1956" s="141"/>
      <c r="H1956" s="141"/>
      <c r="I1956" s="54"/>
      <c r="J1956" s="54"/>
      <c r="K1956" s="63"/>
      <c r="L1956" s="54"/>
      <c r="M1956" s="54"/>
    </row>
    <row r="1957">
      <c r="A1957" s="54"/>
      <c r="B1957" s="140"/>
      <c r="C1957" s="140"/>
      <c r="D1957" s="54"/>
      <c r="E1957" s="54"/>
      <c r="F1957" s="54"/>
      <c r="G1957" s="141"/>
      <c r="H1957" s="141"/>
      <c r="I1957" s="54"/>
      <c r="J1957" s="54"/>
      <c r="K1957" s="63"/>
      <c r="L1957" s="54"/>
      <c r="M1957" s="54"/>
    </row>
    <row r="1958">
      <c r="A1958" s="54"/>
      <c r="B1958" s="140"/>
      <c r="C1958" s="140"/>
      <c r="D1958" s="54"/>
      <c r="E1958" s="54"/>
      <c r="F1958" s="54"/>
      <c r="G1958" s="141"/>
      <c r="H1958" s="141"/>
      <c r="I1958" s="54"/>
      <c r="J1958" s="54"/>
      <c r="K1958" s="63"/>
      <c r="L1958" s="54"/>
      <c r="M1958" s="54"/>
    </row>
    <row r="1959">
      <c r="A1959" s="54"/>
      <c r="B1959" s="140"/>
      <c r="C1959" s="140"/>
      <c r="D1959" s="54"/>
      <c r="E1959" s="54"/>
      <c r="F1959" s="54"/>
      <c r="G1959" s="141"/>
      <c r="H1959" s="141"/>
      <c r="I1959" s="54"/>
      <c r="J1959" s="54"/>
      <c r="K1959" s="63"/>
      <c r="L1959" s="54"/>
      <c r="M1959" s="54"/>
    </row>
    <row r="1960">
      <c r="A1960" s="54"/>
      <c r="B1960" s="140"/>
      <c r="C1960" s="140"/>
      <c r="D1960" s="54"/>
      <c r="E1960" s="54"/>
      <c r="F1960" s="54"/>
      <c r="G1960" s="141"/>
      <c r="H1960" s="141"/>
      <c r="I1960" s="54"/>
      <c r="J1960" s="54"/>
      <c r="K1960" s="63"/>
      <c r="L1960" s="54"/>
      <c r="M1960" s="54"/>
    </row>
    <row r="1961">
      <c r="A1961" s="54"/>
      <c r="B1961" s="140"/>
      <c r="C1961" s="140"/>
      <c r="D1961" s="54"/>
      <c r="E1961" s="54"/>
      <c r="F1961" s="54"/>
      <c r="G1961" s="141"/>
      <c r="H1961" s="141"/>
      <c r="I1961" s="54"/>
      <c r="J1961" s="54"/>
      <c r="K1961" s="63"/>
      <c r="L1961" s="54"/>
      <c r="M1961" s="54"/>
    </row>
    <row r="1962">
      <c r="A1962" s="54"/>
      <c r="B1962" s="140"/>
      <c r="C1962" s="140"/>
      <c r="D1962" s="54"/>
      <c r="E1962" s="54"/>
      <c r="F1962" s="54"/>
      <c r="G1962" s="141"/>
      <c r="H1962" s="141"/>
      <c r="I1962" s="54"/>
      <c r="J1962" s="54"/>
      <c r="K1962" s="63"/>
      <c r="L1962" s="54"/>
      <c r="M1962" s="54"/>
    </row>
    <row r="1963">
      <c r="A1963" s="54"/>
      <c r="B1963" s="140"/>
      <c r="C1963" s="140"/>
      <c r="D1963" s="54"/>
      <c r="E1963" s="54"/>
      <c r="F1963" s="54"/>
      <c r="G1963" s="141"/>
      <c r="H1963" s="141"/>
      <c r="I1963" s="54"/>
      <c r="J1963" s="54"/>
      <c r="K1963" s="63"/>
      <c r="L1963" s="54"/>
      <c r="M1963" s="54"/>
    </row>
    <row r="1964">
      <c r="A1964" s="54"/>
      <c r="B1964" s="140"/>
      <c r="C1964" s="140"/>
      <c r="D1964" s="54"/>
      <c r="E1964" s="54"/>
      <c r="F1964" s="54"/>
      <c r="G1964" s="141"/>
      <c r="H1964" s="141"/>
      <c r="I1964" s="54"/>
      <c r="J1964" s="54"/>
      <c r="K1964" s="63"/>
      <c r="L1964" s="54"/>
      <c r="M1964" s="54"/>
    </row>
    <row r="1965">
      <c r="A1965" s="54"/>
      <c r="B1965" s="140"/>
      <c r="C1965" s="140"/>
      <c r="D1965" s="54"/>
      <c r="E1965" s="54"/>
      <c r="F1965" s="54"/>
      <c r="G1965" s="141"/>
      <c r="H1965" s="141"/>
      <c r="I1965" s="54"/>
      <c r="J1965" s="54"/>
      <c r="K1965" s="63"/>
      <c r="L1965" s="54"/>
      <c r="M1965" s="54"/>
    </row>
    <row r="1966">
      <c r="A1966" s="54"/>
      <c r="B1966" s="140"/>
      <c r="C1966" s="140"/>
      <c r="D1966" s="54"/>
      <c r="E1966" s="54"/>
      <c r="F1966" s="54"/>
      <c r="G1966" s="141"/>
      <c r="H1966" s="141"/>
      <c r="I1966" s="54"/>
      <c r="J1966" s="54"/>
      <c r="K1966" s="63"/>
      <c r="L1966" s="54"/>
      <c r="M1966" s="54"/>
    </row>
    <row r="1967">
      <c r="A1967" s="54"/>
      <c r="B1967" s="140"/>
      <c r="C1967" s="140"/>
      <c r="D1967" s="54"/>
      <c r="E1967" s="54"/>
      <c r="F1967" s="54"/>
      <c r="G1967" s="141"/>
      <c r="H1967" s="141"/>
      <c r="I1967" s="54"/>
      <c r="J1967" s="54"/>
      <c r="K1967" s="63"/>
      <c r="L1967" s="54"/>
      <c r="M1967" s="54"/>
    </row>
    <row r="1968">
      <c r="A1968" s="54"/>
      <c r="B1968" s="140"/>
      <c r="C1968" s="140"/>
      <c r="D1968" s="54"/>
      <c r="E1968" s="54"/>
      <c r="F1968" s="54"/>
      <c r="G1968" s="141"/>
      <c r="H1968" s="141"/>
      <c r="I1968" s="54"/>
      <c r="J1968" s="54"/>
      <c r="K1968" s="63"/>
      <c r="L1968" s="54"/>
      <c r="M1968" s="54"/>
    </row>
    <row r="1969">
      <c r="A1969" s="54"/>
      <c r="B1969" s="140"/>
      <c r="C1969" s="140"/>
      <c r="D1969" s="54"/>
      <c r="E1969" s="54"/>
      <c r="F1969" s="54"/>
      <c r="G1969" s="141"/>
      <c r="H1969" s="141"/>
      <c r="I1969" s="54"/>
      <c r="J1969" s="54"/>
      <c r="K1969" s="63"/>
      <c r="L1969" s="54"/>
      <c r="M1969" s="54"/>
    </row>
    <row r="1970">
      <c r="A1970" s="54"/>
      <c r="B1970" s="140"/>
      <c r="C1970" s="140"/>
      <c r="D1970" s="54"/>
      <c r="E1970" s="54"/>
      <c r="F1970" s="54"/>
      <c r="G1970" s="141"/>
      <c r="H1970" s="141"/>
      <c r="I1970" s="54"/>
      <c r="J1970" s="54"/>
      <c r="K1970" s="63"/>
      <c r="L1970" s="54"/>
      <c r="M1970" s="54"/>
    </row>
    <row r="1971">
      <c r="A1971" s="54"/>
      <c r="B1971" s="140"/>
      <c r="C1971" s="140"/>
      <c r="D1971" s="54"/>
      <c r="E1971" s="54"/>
      <c r="F1971" s="54"/>
      <c r="G1971" s="141"/>
      <c r="H1971" s="141"/>
      <c r="I1971" s="54"/>
      <c r="J1971" s="54"/>
      <c r="K1971" s="63"/>
      <c r="L1971" s="54"/>
      <c r="M1971" s="54"/>
    </row>
    <row r="1972">
      <c r="A1972" s="54"/>
      <c r="B1972" s="140"/>
      <c r="C1972" s="140"/>
      <c r="D1972" s="54"/>
      <c r="E1972" s="54"/>
      <c r="F1972" s="54"/>
      <c r="G1972" s="141"/>
      <c r="H1972" s="141"/>
      <c r="I1972" s="54"/>
      <c r="J1972" s="54"/>
      <c r="K1972" s="63"/>
      <c r="L1972" s="54"/>
      <c r="M1972" s="54"/>
    </row>
    <row r="1973">
      <c r="A1973" s="54"/>
      <c r="B1973" s="140"/>
      <c r="C1973" s="140"/>
      <c r="D1973" s="54"/>
      <c r="E1973" s="54"/>
      <c r="F1973" s="54"/>
      <c r="G1973" s="141"/>
      <c r="H1973" s="141"/>
      <c r="I1973" s="54"/>
      <c r="J1973" s="54"/>
      <c r="K1973" s="63"/>
      <c r="L1973" s="54"/>
      <c r="M1973" s="54"/>
    </row>
    <row r="1974">
      <c r="A1974" s="54"/>
      <c r="B1974" s="140"/>
      <c r="C1974" s="140"/>
      <c r="D1974" s="54"/>
      <c r="E1974" s="54"/>
      <c r="F1974" s="54"/>
      <c r="G1974" s="141"/>
      <c r="H1974" s="141"/>
      <c r="I1974" s="54"/>
      <c r="J1974" s="54"/>
      <c r="K1974" s="63"/>
      <c r="L1974" s="54"/>
      <c r="M1974" s="54"/>
    </row>
    <row r="1975">
      <c r="A1975" s="54"/>
      <c r="B1975" s="140"/>
      <c r="C1975" s="140"/>
      <c r="D1975" s="54"/>
      <c r="E1975" s="54"/>
      <c r="F1975" s="54"/>
      <c r="G1975" s="141"/>
      <c r="H1975" s="141"/>
      <c r="I1975" s="54"/>
      <c r="J1975" s="54"/>
      <c r="K1975" s="63"/>
      <c r="L1975" s="54"/>
      <c r="M1975" s="54"/>
    </row>
    <row r="1976">
      <c r="A1976" s="54"/>
      <c r="B1976" s="140"/>
      <c r="C1976" s="140"/>
      <c r="D1976" s="54"/>
      <c r="E1976" s="54"/>
      <c r="F1976" s="54"/>
      <c r="G1976" s="141"/>
      <c r="H1976" s="141"/>
      <c r="I1976" s="54"/>
      <c r="J1976" s="54"/>
      <c r="K1976" s="63"/>
      <c r="L1976" s="54"/>
      <c r="M1976" s="54"/>
    </row>
    <row r="1977">
      <c r="A1977" s="54"/>
      <c r="B1977" s="140"/>
      <c r="C1977" s="140"/>
      <c r="D1977" s="54"/>
      <c r="E1977" s="54"/>
      <c r="F1977" s="54"/>
      <c r="G1977" s="141"/>
      <c r="H1977" s="141"/>
      <c r="I1977" s="54"/>
      <c r="J1977" s="54"/>
      <c r="K1977" s="63"/>
      <c r="L1977" s="54"/>
      <c r="M1977" s="54"/>
    </row>
    <row r="1978">
      <c r="A1978" s="54"/>
      <c r="B1978" s="140"/>
      <c r="C1978" s="140"/>
      <c r="D1978" s="54"/>
      <c r="E1978" s="54"/>
      <c r="F1978" s="54"/>
      <c r="G1978" s="141"/>
      <c r="H1978" s="141"/>
      <c r="I1978" s="54"/>
      <c r="J1978" s="54"/>
      <c r="K1978" s="63"/>
      <c r="L1978" s="54"/>
      <c r="M1978" s="54"/>
    </row>
    <row r="1979">
      <c r="A1979" s="54"/>
      <c r="B1979" s="140"/>
      <c r="C1979" s="140"/>
      <c r="D1979" s="54"/>
      <c r="E1979" s="54"/>
      <c r="F1979" s="54"/>
      <c r="G1979" s="141"/>
      <c r="H1979" s="141"/>
      <c r="I1979" s="54"/>
      <c r="J1979" s="54"/>
      <c r="K1979" s="63"/>
      <c r="L1979" s="54"/>
      <c r="M1979" s="54"/>
    </row>
    <row r="1980">
      <c r="A1980" s="54"/>
      <c r="B1980" s="140"/>
      <c r="C1980" s="140"/>
      <c r="D1980" s="54"/>
      <c r="E1980" s="54"/>
      <c r="F1980" s="54"/>
      <c r="G1980" s="141"/>
      <c r="H1980" s="141"/>
      <c r="I1980" s="54"/>
      <c r="J1980" s="54"/>
      <c r="K1980" s="63"/>
      <c r="L1980" s="54"/>
      <c r="M1980" s="54"/>
    </row>
    <row r="1981">
      <c r="A1981" s="54"/>
      <c r="B1981" s="140"/>
      <c r="C1981" s="140"/>
      <c r="D1981" s="54"/>
      <c r="E1981" s="54"/>
      <c r="F1981" s="54"/>
      <c r="G1981" s="141"/>
      <c r="H1981" s="141"/>
      <c r="I1981" s="54"/>
      <c r="J1981" s="54"/>
      <c r="K1981" s="63"/>
      <c r="L1981" s="54"/>
      <c r="M1981" s="54"/>
    </row>
    <row r="1982">
      <c r="A1982" s="54"/>
      <c r="B1982" s="140"/>
      <c r="C1982" s="140"/>
      <c r="D1982" s="54"/>
      <c r="E1982" s="54"/>
      <c r="F1982" s="54"/>
      <c r="G1982" s="141"/>
      <c r="H1982" s="141"/>
      <c r="I1982" s="54"/>
      <c r="J1982" s="54"/>
      <c r="K1982" s="63"/>
      <c r="L1982" s="54"/>
      <c r="M1982" s="54"/>
    </row>
    <row r="1983">
      <c r="A1983" s="54"/>
      <c r="B1983" s="140"/>
      <c r="C1983" s="140"/>
      <c r="D1983" s="54"/>
      <c r="E1983" s="54"/>
      <c r="F1983" s="54"/>
      <c r="G1983" s="141"/>
      <c r="H1983" s="141"/>
      <c r="I1983" s="54"/>
      <c r="J1983" s="54"/>
      <c r="K1983" s="63"/>
      <c r="L1983" s="54"/>
      <c r="M1983" s="54"/>
    </row>
    <row r="1984">
      <c r="A1984" s="54"/>
      <c r="B1984" s="140"/>
      <c r="C1984" s="140"/>
      <c r="D1984" s="54"/>
      <c r="E1984" s="54"/>
      <c r="F1984" s="54"/>
      <c r="G1984" s="141"/>
      <c r="H1984" s="141"/>
      <c r="I1984" s="54"/>
      <c r="J1984" s="54"/>
      <c r="K1984" s="63"/>
      <c r="L1984" s="54"/>
      <c r="M1984" s="54"/>
    </row>
    <row r="1985">
      <c r="A1985" s="54"/>
      <c r="B1985" s="140"/>
      <c r="C1985" s="140"/>
      <c r="D1985" s="54"/>
      <c r="E1985" s="54"/>
      <c r="F1985" s="54"/>
      <c r="G1985" s="141"/>
      <c r="H1985" s="141"/>
      <c r="I1985" s="54"/>
      <c r="J1985" s="54"/>
      <c r="K1985" s="63"/>
      <c r="L1985" s="54"/>
      <c r="M1985" s="54"/>
    </row>
    <row r="1986">
      <c r="A1986" s="54"/>
      <c r="B1986" s="140"/>
      <c r="C1986" s="140"/>
      <c r="D1986" s="54"/>
      <c r="E1986" s="54"/>
      <c r="F1986" s="54"/>
      <c r="G1986" s="141"/>
      <c r="H1986" s="141"/>
      <c r="I1986" s="54"/>
      <c r="J1986" s="54"/>
      <c r="K1986" s="63"/>
      <c r="L1986" s="54"/>
      <c r="M1986" s="54"/>
    </row>
    <row r="1987">
      <c r="A1987" s="54"/>
      <c r="B1987" s="140"/>
      <c r="C1987" s="140"/>
      <c r="D1987" s="54"/>
      <c r="E1987" s="54"/>
      <c r="F1987" s="54"/>
      <c r="G1987" s="141"/>
      <c r="H1987" s="141"/>
      <c r="I1987" s="54"/>
      <c r="J1987" s="54"/>
      <c r="K1987" s="63"/>
      <c r="L1987" s="54"/>
      <c r="M1987" s="54"/>
    </row>
    <row r="1988">
      <c r="A1988" s="54"/>
      <c r="B1988" s="140"/>
      <c r="C1988" s="140"/>
      <c r="D1988" s="54"/>
      <c r="E1988" s="54"/>
      <c r="F1988" s="54"/>
      <c r="G1988" s="141"/>
      <c r="H1988" s="141"/>
      <c r="I1988" s="54"/>
      <c r="J1988" s="54"/>
      <c r="K1988" s="63"/>
      <c r="L1988" s="54"/>
      <c r="M1988" s="54"/>
    </row>
    <row r="1989">
      <c r="A1989" s="54"/>
      <c r="B1989" s="140"/>
      <c r="C1989" s="140"/>
      <c r="D1989" s="54"/>
      <c r="E1989" s="54"/>
      <c r="F1989" s="54"/>
      <c r="G1989" s="141"/>
      <c r="H1989" s="141"/>
      <c r="I1989" s="54"/>
      <c r="J1989" s="54"/>
      <c r="K1989" s="63"/>
      <c r="L1989" s="54"/>
      <c r="M1989" s="54"/>
    </row>
    <row r="1990">
      <c r="A1990" s="54"/>
      <c r="B1990" s="140"/>
      <c r="C1990" s="140"/>
      <c r="D1990" s="54"/>
      <c r="E1990" s="54"/>
      <c r="F1990" s="54"/>
      <c r="G1990" s="141"/>
      <c r="H1990" s="141"/>
      <c r="I1990" s="54"/>
      <c r="J1990" s="54"/>
      <c r="K1990" s="63"/>
      <c r="L1990" s="54"/>
      <c r="M1990" s="54"/>
    </row>
    <row r="1991">
      <c r="A1991" s="54"/>
      <c r="B1991" s="140"/>
      <c r="C1991" s="140"/>
      <c r="D1991" s="54"/>
      <c r="E1991" s="54"/>
      <c r="F1991" s="54"/>
      <c r="G1991" s="141"/>
      <c r="H1991" s="141"/>
      <c r="I1991" s="54"/>
      <c r="J1991" s="54"/>
      <c r="K1991" s="63"/>
      <c r="L1991" s="54"/>
      <c r="M1991" s="54"/>
    </row>
  </sheetData>
  <mergeCells count="85">
    <mergeCell ref="B271:I271"/>
    <mergeCell ref="B276:I276"/>
    <mergeCell ref="B281:I281"/>
    <mergeCell ref="B285:I285"/>
    <mergeCell ref="B289:I289"/>
    <mergeCell ref="M290:O290"/>
    <mergeCell ref="B293:I293"/>
    <mergeCell ref="B295:I295"/>
    <mergeCell ref="B296:I296"/>
    <mergeCell ref="B297:I297"/>
    <mergeCell ref="M297:Q297"/>
    <mergeCell ref="B300:I300"/>
    <mergeCell ref="M301:Q301"/>
    <mergeCell ref="M306:Q306"/>
    <mergeCell ref="B305:I305"/>
    <mergeCell ref="B314:I314"/>
    <mergeCell ref="B315:I315"/>
    <mergeCell ref="M316:Q316"/>
    <mergeCell ref="B320:I320"/>
    <mergeCell ref="M321:Q321"/>
    <mergeCell ref="M326:Q326"/>
    <mergeCell ref="B344:I344"/>
    <mergeCell ref="M344:Q344"/>
    <mergeCell ref="B351:I351"/>
    <mergeCell ref="M352:Q352"/>
    <mergeCell ref="B364:I364"/>
    <mergeCell ref="M365:Q365"/>
    <mergeCell ref="B375:I375"/>
    <mergeCell ref="M376:Q376"/>
    <mergeCell ref="B325:I325"/>
    <mergeCell ref="B332:I332"/>
    <mergeCell ref="M333:Q333"/>
    <mergeCell ref="B338:I338"/>
    <mergeCell ref="M338:Q338"/>
    <mergeCell ref="B341:I341"/>
    <mergeCell ref="M341:Q341"/>
    <mergeCell ref="B3:I3"/>
    <mergeCell ref="B4:I4"/>
    <mergeCell ref="B7:I7"/>
    <mergeCell ref="B11:I11"/>
    <mergeCell ref="B15:I15"/>
    <mergeCell ref="B26:I26"/>
    <mergeCell ref="B27:I27"/>
    <mergeCell ref="B28:I28"/>
    <mergeCell ref="B29:I29"/>
    <mergeCell ref="B33:I33"/>
    <mergeCell ref="B41:I41"/>
    <mergeCell ref="B51:I51"/>
    <mergeCell ref="B64:I64"/>
    <mergeCell ref="B71:I71"/>
    <mergeCell ref="B86:I86"/>
    <mergeCell ref="B91:I91"/>
    <mergeCell ref="B99:I99"/>
    <mergeCell ref="B111:I111"/>
    <mergeCell ref="B123:I123"/>
    <mergeCell ref="B134:I134"/>
    <mergeCell ref="B135:I135"/>
    <mergeCell ref="B141:I141"/>
    <mergeCell ref="B149:I149"/>
    <mergeCell ref="B159:I159"/>
    <mergeCell ref="B165:I165"/>
    <mergeCell ref="B171:I171"/>
    <mergeCell ref="B179:I179"/>
    <mergeCell ref="B184:I184"/>
    <mergeCell ref="B188:I188"/>
    <mergeCell ref="B194:I194"/>
    <mergeCell ref="B201:I201"/>
    <mergeCell ref="B210:I210"/>
    <mergeCell ref="B213:I213"/>
    <mergeCell ref="B214:I214"/>
    <mergeCell ref="B218:I218"/>
    <mergeCell ref="B223:I223"/>
    <mergeCell ref="B226:I226"/>
    <mergeCell ref="B230:I230"/>
    <mergeCell ref="B232:I232"/>
    <mergeCell ref="B235:I235"/>
    <mergeCell ref="B236:I236"/>
    <mergeCell ref="B237:I237"/>
    <mergeCell ref="B242:I242"/>
    <mergeCell ref="B247:I247"/>
    <mergeCell ref="B249:I249"/>
    <mergeCell ref="B254:I254"/>
    <mergeCell ref="B258:I258"/>
    <mergeCell ref="B259:I259"/>
    <mergeCell ref="B267:I267"/>
  </mergeCells>
  <conditionalFormatting sqref="K1:K1991 L327">
    <cfRule type="cellIs" dxfId="1" priority="1" operator="greaterThanOrEqual">
      <formula>30</formula>
    </cfRule>
  </conditionalFormatting>
  <conditionalFormatting sqref="K1:K1991 L327">
    <cfRule type="cellIs" dxfId="4" priority="2" operator="greaterThanOrEqual">
      <formula>28</formula>
    </cfRule>
  </conditionalFormatting>
  <conditionalFormatting sqref="J1:J1991">
    <cfRule type="expression" dxfId="0" priority="3">
      <formula>ABS(J:J)&gt;5</formula>
    </cfRule>
  </conditionalFormatting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58" t="s">
        <v>54</v>
      </c>
      <c r="B1" s="527" t="s">
        <v>55</v>
      </c>
      <c r="C1" s="527"/>
      <c r="D1" s="120" t="s">
        <v>57</v>
      </c>
      <c r="E1" s="137" t="s">
        <v>58</v>
      </c>
      <c r="F1" s="137" t="s">
        <v>59</v>
      </c>
      <c r="G1" s="137" t="s">
        <v>60</v>
      </c>
      <c r="H1" s="137" t="s">
        <v>61</v>
      </c>
      <c r="I1" s="117" t="s">
        <v>62</v>
      </c>
      <c r="J1" s="137" t="s">
        <v>63</v>
      </c>
      <c r="K1" s="138" t="s">
        <v>64</v>
      </c>
      <c r="L1" s="195" t="s">
        <v>128</v>
      </c>
      <c r="M1" s="195">
        <v>31.0</v>
      </c>
      <c r="N1" s="9" t="s">
        <v>129</v>
      </c>
      <c r="O1" s="9">
        <v>70.0</v>
      </c>
      <c r="P1" s="44"/>
    </row>
    <row r="2">
      <c r="A2" s="576" t="s">
        <v>475</v>
      </c>
      <c r="B2" s="140"/>
      <c r="C2" s="140"/>
      <c r="D2" s="54"/>
      <c r="E2" s="141"/>
      <c r="F2" s="141">
        <f>SUM(F6:F1006)</f>
        <v>74759</v>
      </c>
      <c r="G2" s="141">
        <f>MAX(G5:G1000)</f>
        <v>540</v>
      </c>
      <c r="H2" s="141">
        <f t="shared" ref="H2:I2" si="1">SUM(H6:H1006)</f>
        <v>27847</v>
      </c>
      <c r="I2" s="141">
        <f t="shared" si="1"/>
        <v>28216.56</v>
      </c>
      <c r="J2" s="141">
        <f>H2-I2</f>
        <v>-369.56</v>
      </c>
      <c r="K2" s="63">
        <f>I2/F2*100</f>
        <v>37.743362</v>
      </c>
      <c r="L2" s="64" t="s">
        <v>65</v>
      </c>
      <c r="M2" s="65"/>
      <c r="P2" s="44"/>
    </row>
    <row r="3" ht="18.0" customHeight="1">
      <c r="A3" s="68"/>
      <c r="B3" s="577">
        <v>2023.0</v>
      </c>
      <c r="J3" s="578"/>
      <c r="K3" s="579"/>
      <c r="L3" s="580"/>
      <c r="M3" s="580"/>
      <c r="N3" s="581"/>
      <c r="O3" s="68"/>
      <c r="P3" s="69"/>
    </row>
    <row r="4">
      <c r="A4" s="68"/>
      <c r="B4" s="67" t="s">
        <v>72</v>
      </c>
      <c r="J4" s="582"/>
      <c r="K4" s="583"/>
      <c r="L4" s="68"/>
      <c r="M4" s="68"/>
      <c r="N4" s="68"/>
      <c r="O4" s="68"/>
      <c r="P4" s="69"/>
    </row>
    <row r="5">
      <c r="B5" s="519">
        <v>44988.0</v>
      </c>
      <c r="C5" s="519"/>
      <c r="D5" s="584" t="s">
        <v>86</v>
      </c>
      <c r="E5" s="148">
        <v>9236.0</v>
      </c>
      <c r="F5" s="149"/>
      <c r="G5" s="148">
        <v>535.0</v>
      </c>
      <c r="H5" s="585">
        <v>535.0</v>
      </c>
      <c r="I5" s="148">
        <v>396.01</v>
      </c>
      <c r="J5" s="13">
        <f t="shared" ref="J5:J8" si="2">H5-I5</f>
        <v>138.99</v>
      </c>
      <c r="K5" s="18"/>
      <c r="P5" s="44"/>
    </row>
    <row r="6">
      <c r="B6" s="519">
        <v>44992.0</v>
      </c>
      <c r="C6" s="519"/>
      <c r="D6" s="584" t="s">
        <v>86</v>
      </c>
      <c r="E6" s="148">
        <v>10014.0</v>
      </c>
      <c r="F6" s="148">
        <v>778.0</v>
      </c>
      <c r="G6" s="148">
        <v>540.0</v>
      </c>
      <c r="H6" s="586">
        <v>540.0</v>
      </c>
      <c r="I6" s="148">
        <v>288.02</v>
      </c>
      <c r="J6" s="13">
        <f t="shared" si="2"/>
        <v>251.98</v>
      </c>
      <c r="K6" s="18">
        <f t="shared" ref="K6:K8" si="3">I6/F6*100</f>
        <v>37.02056555</v>
      </c>
      <c r="P6" s="44"/>
    </row>
    <row r="7">
      <c r="B7" s="519">
        <v>44994.0</v>
      </c>
      <c r="C7" s="519"/>
      <c r="D7" s="584" t="s">
        <v>86</v>
      </c>
      <c r="E7" s="148">
        <v>11294.0</v>
      </c>
      <c r="F7" s="148">
        <v>1280.0</v>
      </c>
      <c r="G7" s="148">
        <v>503.0</v>
      </c>
      <c r="H7" s="586">
        <v>503.0</v>
      </c>
      <c r="I7" s="148">
        <v>400.0</v>
      </c>
      <c r="J7" s="13">
        <f t="shared" si="2"/>
        <v>103</v>
      </c>
      <c r="K7" s="18">
        <f t="shared" si="3"/>
        <v>31.25</v>
      </c>
      <c r="P7" s="44"/>
    </row>
    <row r="8">
      <c r="B8" s="519">
        <v>45008.0</v>
      </c>
      <c r="C8" s="519"/>
      <c r="D8" s="584" t="s">
        <v>144</v>
      </c>
      <c r="E8" s="148">
        <v>12530.0</v>
      </c>
      <c r="F8" s="148">
        <v>1236.0</v>
      </c>
      <c r="G8" s="148">
        <v>501.0</v>
      </c>
      <c r="H8" s="586">
        <v>501.0</v>
      </c>
      <c r="I8" s="148">
        <v>399.95</v>
      </c>
      <c r="J8" s="39">
        <f t="shared" si="2"/>
        <v>101.05</v>
      </c>
      <c r="K8" s="587">
        <f t="shared" si="3"/>
        <v>32.35841424</v>
      </c>
      <c r="P8" s="44"/>
    </row>
    <row r="9">
      <c r="A9" s="68"/>
      <c r="B9" s="67" t="s">
        <v>74</v>
      </c>
      <c r="J9" s="582"/>
      <c r="K9" s="583"/>
      <c r="L9" s="68"/>
      <c r="M9" s="68"/>
      <c r="N9" s="68"/>
      <c r="O9" s="68"/>
      <c r="P9" s="69"/>
    </row>
    <row r="10">
      <c r="B10" s="519">
        <v>45037.0</v>
      </c>
      <c r="C10" s="519"/>
      <c r="D10" s="584" t="s">
        <v>476</v>
      </c>
      <c r="E10" s="148">
        <v>13680.0</v>
      </c>
      <c r="F10" s="148">
        <v>1150.0</v>
      </c>
      <c r="G10" s="148">
        <v>540.0</v>
      </c>
      <c r="H10" s="148">
        <v>540.0</v>
      </c>
      <c r="I10" s="148">
        <v>438.49</v>
      </c>
      <c r="J10" s="588">
        <f t="shared" ref="J10:J11" si="4">H10-I10</f>
        <v>101.51</v>
      </c>
      <c r="K10" s="589">
        <f t="shared" ref="K10:K11" si="5">I10/F10*100</f>
        <v>38.12956522</v>
      </c>
      <c r="P10" s="44"/>
    </row>
    <row r="11">
      <c r="B11" s="519">
        <v>45043.0</v>
      </c>
      <c r="C11" s="519"/>
      <c r="D11" s="584" t="s">
        <v>476</v>
      </c>
      <c r="E11" s="148">
        <v>14941.0</v>
      </c>
      <c r="F11" s="148">
        <v>1261.0</v>
      </c>
      <c r="G11" s="148">
        <v>540.0</v>
      </c>
      <c r="H11" s="153">
        <v>540.0</v>
      </c>
      <c r="I11" s="148">
        <v>460.0</v>
      </c>
      <c r="J11" s="39">
        <f t="shared" si="4"/>
        <v>80</v>
      </c>
      <c r="K11" s="587">
        <f t="shared" si="5"/>
        <v>36.47898493</v>
      </c>
      <c r="P11" s="44"/>
    </row>
    <row r="12">
      <c r="A12" s="68"/>
      <c r="B12" s="67" t="s">
        <v>75</v>
      </c>
      <c r="J12" s="582"/>
      <c r="K12" s="583"/>
      <c r="L12" s="68"/>
      <c r="M12" s="68"/>
      <c r="N12" s="68"/>
      <c r="O12" s="68"/>
      <c r="P12" s="69"/>
    </row>
    <row r="13">
      <c r="B13" s="519">
        <v>45063.0</v>
      </c>
      <c r="C13" s="519"/>
      <c r="D13" s="584" t="s">
        <v>476</v>
      </c>
      <c r="E13" s="148">
        <v>16157.0</v>
      </c>
      <c r="F13" s="148">
        <v>1216.0</v>
      </c>
      <c r="G13" s="148">
        <v>540.0</v>
      </c>
      <c r="H13" s="148">
        <v>540.0</v>
      </c>
      <c r="I13" s="148">
        <v>450.0</v>
      </c>
      <c r="J13" s="588">
        <f t="shared" ref="J13:J14" si="6">H13-I13</f>
        <v>90</v>
      </c>
      <c r="K13" s="589">
        <f t="shared" ref="K13:K14" si="7">I13/F13*100</f>
        <v>37.00657895</v>
      </c>
      <c r="P13" s="44"/>
    </row>
    <row r="14">
      <c r="B14" s="519">
        <v>45073.0</v>
      </c>
      <c r="C14" s="519"/>
      <c r="D14" s="584" t="s">
        <v>476</v>
      </c>
      <c r="E14" s="148">
        <v>17180.0</v>
      </c>
      <c r="F14" s="148">
        <v>1023.0</v>
      </c>
      <c r="G14" s="148">
        <v>540.0</v>
      </c>
      <c r="H14" s="153">
        <v>540.0</v>
      </c>
      <c r="I14" s="148">
        <v>440.0</v>
      </c>
      <c r="J14" s="39">
        <f t="shared" si="6"/>
        <v>100</v>
      </c>
      <c r="K14" s="587">
        <f t="shared" si="7"/>
        <v>43.01075269</v>
      </c>
      <c r="P14" s="44"/>
    </row>
    <row r="15">
      <c r="A15" s="68"/>
      <c r="B15" s="67" t="s">
        <v>90</v>
      </c>
      <c r="J15" s="582"/>
      <c r="K15" s="583"/>
      <c r="L15" s="68"/>
      <c r="M15" s="68"/>
      <c r="N15" s="68"/>
      <c r="O15" s="68"/>
      <c r="P15" s="69"/>
    </row>
    <row r="16">
      <c r="B16" s="519">
        <v>45086.0</v>
      </c>
      <c r="C16" s="519"/>
      <c r="D16" s="584" t="s">
        <v>476</v>
      </c>
      <c r="E16" s="148">
        <v>18158.0</v>
      </c>
      <c r="F16" s="148">
        <v>978.0</v>
      </c>
      <c r="G16" s="148">
        <v>540.0</v>
      </c>
      <c r="H16" s="148">
        <v>540.0</v>
      </c>
      <c r="I16" s="148">
        <v>465.0</v>
      </c>
      <c r="J16" s="590">
        <f>H16-I16</f>
        <v>75</v>
      </c>
      <c r="K16" s="591">
        <f>I16/F16*100</f>
        <v>47.54601227</v>
      </c>
      <c r="P16" s="44"/>
    </row>
    <row r="17">
      <c r="A17" s="68"/>
      <c r="B17" s="67" t="s">
        <v>92</v>
      </c>
      <c r="J17" s="582"/>
      <c r="K17" s="583"/>
      <c r="L17" s="68"/>
      <c r="M17" s="68"/>
      <c r="N17" s="68"/>
      <c r="O17" s="68"/>
      <c r="P17" s="69"/>
    </row>
    <row r="18">
      <c r="B18" s="519">
        <v>45133.0</v>
      </c>
      <c r="C18" s="519"/>
      <c r="D18" s="149"/>
      <c r="E18" s="148">
        <v>19570.0</v>
      </c>
      <c r="F18" s="148">
        <v>1412.0</v>
      </c>
      <c r="G18" s="148">
        <v>493.0</v>
      </c>
      <c r="H18" s="148">
        <v>417.0</v>
      </c>
      <c r="I18" s="148">
        <v>400.0</v>
      </c>
      <c r="J18" s="590">
        <f>H18-I18</f>
        <v>17</v>
      </c>
      <c r="K18" s="591">
        <f>I18/F18*100</f>
        <v>28.3286119</v>
      </c>
      <c r="P18" s="44"/>
    </row>
    <row r="19">
      <c r="A19" s="68"/>
      <c r="B19" s="67" t="s">
        <v>95</v>
      </c>
      <c r="J19" s="582"/>
      <c r="K19" s="583"/>
      <c r="L19" s="68"/>
      <c r="M19" s="68"/>
      <c r="N19" s="68"/>
      <c r="O19" s="68"/>
      <c r="P19" s="69"/>
    </row>
    <row r="20">
      <c r="B20" s="519">
        <v>45140.0</v>
      </c>
      <c r="C20" s="519"/>
      <c r="D20" s="149"/>
      <c r="E20" s="148">
        <v>20577.0</v>
      </c>
      <c r="F20" s="148">
        <v>1007.0</v>
      </c>
      <c r="G20" s="148">
        <v>513.0</v>
      </c>
      <c r="H20" s="148">
        <v>419.0</v>
      </c>
      <c r="I20" s="148">
        <v>400.0</v>
      </c>
      <c r="J20" s="590">
        <f>H20-I20</f>
        <v>19</v>
      </c>
      <c r="K20" s="591">
        <f>I20/F20*100</f>
        <v>39.72194638</v>
      </c>
      <c r="P20" s="44"/>
    </row>
    <row r="21">
      <c r="A21" s="68"/>
      <c r="B21" s="67" t="s">
        <v>104</v>
      </c>
      <c r="J21" s="582"/>
      <c r="K21" s="583"/>
      <c r="L21" s="68"/>
      <c r="M21" s="68"/>
      <c r="N21" s="68"/>
      <c r="O21" s="68"/>
      <c r="P21" s="69"/>
    </row>
    <row r="22">
      <c r="B22" s="519">
        <v>45191.0</v>
      </c>
      <c r="C22" s="519"/>
      <c r="D22" s="584" t="s">
        <v>122</v>
      </c>
      <c r="E22" s="148">
        <v>21744.0</v>
      </c>
      <c r="F22" s="148">
        <v>1167.0</v>
      </c>
      <c r="G22" s="148">
        <v>490.0</v>
      </c>
      <c r="H22" s="148">
        <v>383.0</v>
      </c>
      <c r="I22" s="148">
        <v>400.0</v>
      </c>
      <c r="J22" s="588">
        <f t="shared" ref="J22:J23" si="8">H22-I22</f>
        <v>-17</v>
      </c>
      <c r="K22" s="589">
        <f t="shared" ref="K22:K23" si="9">I22/F22*100</f>
        <v>34.27592117</v>
      </c>
      <c r="P22" s="44"/>
    </row>
    <row r="23">
      <c r="B23" s="519">
        <v>45196.0</v>
      </c>
      <c r="C23" s="519"/>
      <c r="D23" s="584" t="s">
        <v>122</v>
      </c>
      <c r="E23" s="148">
        <v>22716.0</v>
      </c>
      <c r="F23" s="148">
        <v>972.0</v>
      </c>
      <c r="G23" s="148">
        <v>522.0</v>
      </c>
      <c r="H23" s="148">
        <v>393.0</v>
      </c>
      <c r="I23" s="148">
        <v>400.0</v>
      </c>
      <c r="J23" s="39">
        <f t="shared" si="8"/>
        <v>-7</v>
      </c>
      <c r="K23" s="587">
        <f t="shared" si="9"/>
        <v>41.15226337</v>
      </c>
      <c r="P23" s="44"/>
    </row>
    <row r="24">
      <c r="A24" s="68"/>
      <c r="B24" s="67" t="s">
        <v>96</v>
      </c>
      <c r="J24" s="582"/>
      <c r="K24" s="583"/>
      <c r="L24" s="68"/>
      <c r="M24" s="68"/>
      <c r="N24" s="68"/>
      <c r="O24" s="68"/>
      <c r="P24" s="69"/>
    </row>
    <row r="25">
      <c r="B25" s="519">
        <v>45202.0</v>
      </c>
      <c r="C25" s="519"/>
      <c r="D25" s="584" t="s">
        <v>122</v>
      </c>
      <c r="E25" s="148">
        <v>23520.0</v>
      </c>
      <c r="F25" s="148">
        <v>804.0</v>
      </c>
      <c r="G25" s="148">
        <v>540.0</v>
      </c>
      <c r="H25" s="148">
        <v>368.0</v>
      </c>
      <c r="I25" s="148">
        <v>390.67</v>
      </c>
      <c r="J25" s="590">
        <f>H25-I25</f>
        <v>-22.67</v>
      </c>
      <c r="K25" s="591">
        <f>I25/F25*100</f>
        <v>48.59079602</v>
      </c>
      <c r="P25" s="44"/>
    </row>
    <row r="26">
      <c r="A26" s="68"/>
      <c r="B26" s="67" t="s">
        <v>97</v>
      </c>
      <c r="J26" s="582"/>
      <c r="K26" s="583"/>
      <c r="L26" s="68"/>
      <c r="M26" s="68"/>
      <c r="N26" s="68"/>
      <c r="O26" s="68"/>
      <c r="P26" s="69"/>
    </row>
    <row r="27">
      <c r="B27" s="592">
        <v>45244.0</v>
      </c>
      <c r="C27" s="592"/>
      <c r="D27" s="584" t="s">
        <v>122</v>
      </c>
      <c r="E27" s="148">
        <v>24493.0</v>
      </c>
      <c r="F27" s="148">
        <v>973.0</v>
      </c>
      <c r="G27" s="148">
        <v>516.0</v>
      </c>
      <c r="H27" s="148">
        <v>394.0</v>
      </c>
      <c r="I27" s="148">
        <v>393.49</v>
      </c>
      <c r="J27" s="588">
        <f t="shared" ref="J27:J29" si="10">H27-I27</f>
        <v>0.51</v>
      </c>
      <c r="K27" s="589">
        <f t="shared" ref="K27:K29" si="11">I27/F27*100</f>
        <v>40.44090442</v>
      </c>
      <c r="P27" s="44"/>
    </row>
    <row r="28">
      <c r="B28" s="592">
        <v>45249.0</v>
      </c>
      <c r="C28" s="592"/>
      <c r="D28" s="584" t="s">
        <v>122</v>
      </c>
      <c r="E28" s="148">
        <v>25173.0</v>
      </c>
      <c r="F28" s="148">
        <v>680.0</v>
      </c>
      <c r="G28" s="148">
        <v>527.0</v>
      </c>
      <c r="H28" s="148">
        <v>358.0</v>
      </c>
      <c r="I28" s="148">
        <v>372.71</v>
      </c>
      <c r="J28" s="13">
        <f t="shared" si="10"/>
        <v>-14.71</v>
      </c>
      <c r="K28" s="18">
        <f t="shared" si="11"/>
        <v>54.81029412</v>
      </c>
      <c r="P28" s="44"/>
    </row>
    <row r="29">
      <c r="B29" s="592">
        <v>45257.0</v>
      </c>
      <c r="C29" s="592"/>
      <c r="D29" s="584" t="s">
        <v>122</v>
      </c>
      <c r="E29" s="148">
        <v>25937.0</v>
      </c>
      <c r="F29" s="148">
        <v>764.0</v>
      </c>
      <c r="G29" s="148">
        <v>494.0</v>
      </c>
      <c r="H29" s="148">
        <v>400.0</v>
      </c>
      <c r="I29" s="148">
        <v>407.75</v>
      </c>
      <c r="J29" s="39">
        <f t="shared" si="10"/>
        <v>-7.75</v>
      </c>
      <c r="K29" s="587">
        <f t="shared" si="11"/>
        <v>53.37041885</v>
      </c>
      <c r="P29" s="44"/>
    </row>
    <row r="30">
      <c r="A30" s="68"/>
      <c r="B30" s="67" t="s">
        <v>98</v>
      </c>
      <c r="J30" s="582"/>
      <c r="K30" s="583"/>
      <c r="L30" s="68"/>
      <c r="M30" s="68"/>
      <c r="N30" s="68"/>
      <c r="O30" s="68"/>
      <c r="P30" s="69"/>
    </row>
    <row r="31">
      <c r="B31" s="519">
        <v>45263.0</v>
      </c>
      <c r="C31" s="519"/>
      <c r="D31" s="584" t="s">
        <v>290</v>
      </c>
      <c r="E31" s="148">
        <v>26562.0</v>
      </c>
      <c r="F31" s="148">
        <v>625.0</v>
      </c>
      <c r="G31" s="148">
        <v>511.0</v>
      </c>
      <c r="H31" s="148">
        <v>284.0</v>
      </c>
      <c r="I31" s="148">
        <v>273.34</v>
      </c>
      <c r="J31" s="588">
        <f t="shared" ref="J31:J34" si="12">H31-I31</f>
        <v>10.66</v>
      </c>
      <c r="K31" s="589">
        <f t="shared" ref="K31:K34" si="13">I31/F31*100</f>
        <v>43.7344</v>
      </c>
      <c r="P31" s="44"/>
    </row>
    <row r="32">
      <c r="B32" s="519">
        <v>45264.0</v>
      </c>
      <c r="C32" s="519"/>
      <c r="D32" s="584" t="s">
        <v>290</v>
      </c>
      <c r="E32" s="148">
        <v>27379.0</v>
      </c>
      <c r="F32" s="148">
        <v>817.0</v>
      </c>
      <c r="G32" s="148">
        <v>540.0</v>
      </c>
      <c r="H32" s="148">
        <v>283.0</v>
      </c>
      <c r="I32" s="148">
        <v>271.25</v>
      </c>
      <c r="J32" s="13">
        <f t="shared" si="12"/>
        <v>11.75</v>
      </c>
      <c r="K32" s="18">
        <f t="shared" si="13"/>
        <v>33.20073439</v>
      </c>
      <c r="P32" s="44"/>
    </row>
    <row r="33">
      <c r="B33" s="592">
        <v>45280.0</v>
      </c>
      <c r="C33" s="592"/>
      <c r="D33" s="584" t="s">
        <v>122</v>
      </c>
      <c r="E33" s="148">
        <v>28457.0</v>
      </c>
      <c r="F33" s="148">
        <v>1078.0</v>
      </c>
      <c r="G33" s="148">
        <v>540.0</v>
      </c>
      <c r="H33" s="148">
        <v>470.0</v>
      </c>
      <c r="I33" s="148">
        <v>500.0</v>
      </c>
      <c r="J33" s="13">
        <f t="shared" si="12"/>
        <v>-30</v>
      </c>
      <c r="K33" s="18">
        <f t="shared" si="13"/>
        <v>46.38218924</v>
      </c>
      <c r="P33" s="44"/>
    </row>
    <row r="34">
      <c r="B34" s="592">
        <v>45287.0</v>
      </c>
      <c r="C34" s="592"/>
      <c r="D34" s="584" t="s">
        <v>122</v>
      </c>
      <c r="E34" s="148">
        <v>29346.0</v>
      </c>
      <c r="F34" s="148">
        <v>889.0</v>
      </c>
      <c r="G34" s="148">
        <v>400.0</v>
      </c>
      <c r="H34" s="148">
        <v>282.0</v>
      </c>
      <c r="I34" s="148">
        <v>300.0</v>
      </c>
      <c r="J34" s="39">
        <f t="shared" si="12"/>
        <v>-18</v>
      </c>
      <c r="K34" s="587">
        <f t="shared" si="13"/>
        <v>33.74578178</v>
      </c>
      <c r="P34" s="44"/>
    </row>
    <row r="35">
      <c r="A35" s="68"/>
      <c r="B35" s="577">
        <v>2024.0</v>
      </c>
      <c r="J35" s="582"/>
      <c r="K35" s="583"/>
      <c r="L35" s="68"/>
      <c r="M35" s="68"/>
      <c r="N35" s="68"/>
      <c r="O35" s="68"/>
      <c r="P35" s="69"/>
    </row>
    <row r="36">
      <c r="A36" s="68"/>
      <c r="B36" s="67" t="s">
        <v>66</v>
      </c>
      <c r="J36" s="582"/>
      <c r="K36" s="583"/>
      <c r="L36" s="68"/>
      <c r="M36" s="68"/>
      <c r="N36" s="68"/>
      <c r="O36" s="68"/>
      <c r="P36" s="69"/>
    </row>
    <row r="37">
      <c r="B37" s="519">
        <v>45301.0</v>
      </c>
      <c r="C37" s="519"/>
      <c r="D37" s="584" t="s">
        <v>477</v>
      </c>
      <c r="E37" s="148">
        <v>30013.0</v>
      </c>
      <c r="F37" s="148">
        <v>667.0</v>
      </c>
      <c r="G37" s="148">
        <v>527.0</v>
      </c>
      <c r="H37" s="148">
        <v>434.0</v>
      </c>
      <c r="I37" s="148">
        <v>426.92</v>
      </c>
      <c r="J37" s="588">
        <f t="shared" ref="J37:J38" si="14">H37-I37</f>
        <v>7.08</v>
      </c>
      <c r="K37" s="589">
        <f t="shared" ref="K37:K38" si="15">I37/F37*100</f>
        <v>64.005997</v>
      </c>
      <c r="P37" s="44"/>
    </row>
    <row r="38">
      <c r="B38" s="519">
        <v>45302.0</v>
      </c>
      <c r="C38" s="519"/>
      <c r="D38" s="584" t="s">
        <v>477</v>
      </c>
      <c r="E38" s="148">
        <v>31081.0</v>
      </c>
      <c r="F38" s="148">
        <v>1068.0</v>
      </c>
      <c r="G38" s="148">
        <v>478.0</v>
      </c>
      <c r="H38" s="148">
        <v>319.0</v>
      </c>
      <c r="I38" s="148">
        <v>312.49</v>
      </c>
      <c r="J38" s="39">
        <f t="shared" si="14"/>
        <v>6.51</v>
      </c>
      <c r="K38" s="587">
        <f t="shared" si="15"/>
        <v>29.2593633</v>
      </c>
      <c r="P38" s="44"/>
    </row>
    <row r="39">
      <c r="A39" s="68"/>
      <c r="B39" s="67" t="s">
        <v>68</v>
      </c>
      <c r="J39" s="582"/>
      <c r="K39" s="583"/>
      <c r="L39" s="68"/>
      <c r="M39" s="68"/>
      <c r="N39" s="68"/>
      <c r="O39" s="68"/>
      <c r="P39" s="69"/>
    </row>
    <row r="40">
      <c r="A40" s="54"/>
      <c r="B40" s="164" t="s">
        <v>109</v>
      </c>
      <c r="C40" s="75"/>
      <c r="D40" s="75"/>
      <c r="E40" s="75"/>
      <c r="F40" s="75"/>
      <c r="G40" s="75"/>
      <c r="H40" s="75"/>
      <c r="I40" s="76"/>
      <c r="J40" s="54"/>
      <c r="K40" s="63"/>
      <c r="L40" s="54"/>
      <c r="M40" s="593"/>
      <c r="P40" s="44"/>
    </row>
    <row r="41">
      <c r="A41" s="68"/>
      <c r="B41" s="67" t="s">
        <v>72</v>
      </c>
      <c r="J41" s="582"/>
      <c r="K41" s="583"/>
      <c r="L41" s="68"/>
      <c r="M41" s="68"/>
      <c r="N41" s="68"/>
      <c r="O41" s="68"/>
      <c r="P41" s="69"/>
    </row>
    <row r="42">
      <c r="B42" s="519">
        <v>45359.0</v>
      </c>
      <c r="C42" s="519"/>
      <c r="D42" s="584" t="s">
        <v>122</v>
      </c>
      <c r="E42" s="148">
        <v>31961.0</v>
      </c>
      <c r="F42" s="148">
        <v>880.0</v>
      </c>
      <c r="G42" s="148">
        <v>528.0</v>
      </c>
      <c r="H42" s="148">
        <v>435.0</v>
      </c>
      <c r="I42" s="148">
        <v>442.2</v>
      </c>
      <c r="J42" s="588">
        <f t="shared" ref="J42:J46" si="16">H42-I42</f>
        <v>-7.2</v>
      </c>
      <c r="K42" s="589">
        <f t="shared" ref="K42:K46" si="17">I42/F42*100</f>
        <v>50.25</v>
      </c>
      <c r="M42" s="594" t="s">
        <v>118</v>
      </c>
      <c r="N42" s="75"/>
      <c r="O42" s="76"/>
      <c r="P42" s="44"/>
    </row>
    <row r="43">
      <c r="B43" s="519">
        <v>45369.0</v>
      </c>
      <c r="C43" s="519"/>
      <c r="D43" s="584" t="s">
        <v>161</v>
      </c>
      <c r="E43" s="148">
        <v>32730.0</v>
      </c>
      <c r="F43" s="148">
        <v>769.0</v>
      </c>
      <c r="G43" s="148">
        <v>540.0</v>
      </c>
      <c r="H43" s="148">
        <v>456.0</v>
      </c>
      <c r="I43" s="148">
        <v>426.33</v>
      </c>
      <c r="J43" s="13">
        <f t="shared" si="16"/>
        <v>29.67</v>
      </c>
      <c r="K43" s="18">
        <f t="shared" si="17"/>
        <v>55.43953186</v>
      </c>
      <c r="M43" s="78" t="s">
        <v>70</v>
      </c>
      <c r="N43" s="78" t="s">
        <v>71</v>
      </c>
      <c r="O43" s="78" t="s">
        <v>27</v>
      </c>
      <c r="P43" s="44"/>
    </row>
    <row r="44">
      <c r="B44" s="519">
        <v>45375.0</v>
      </c>
      <c r="C44" s="519"/>
      <c r="D44" s="584" t="s">
        <v>116</v>
      </c>
      <c r="E44" s="148">
        <v>34091.0</v>
      </c>
      <c r="F44" s="148">
        <v>1361.0</v>
      </c>
      <c r="G44" s="148">
        <v>540.0</v>
      </c>
      <c r="H44" s="148">
        <v>427.0</v>
      </c>
      <c r="I44" s="148">
        <v>423.74</v>
      </c>
      <c r="J44" s="13">
        <f t="shared" si="16"/>
        <v>3.26</v>
      </c>
      <c r="K44" s="18">
        <f t="shared" si="17"/>
        <v>31.13445996</v>
      </c>
      <c r="L44" s="595"/>
      <c r="M44" s="80">
        <f>SUM(F42:F46)</f>
        <v>6104</v>
      </c>
      <c r="N44" s="80">
        <f>SUM(I42:I46)</f>
        <v>2175.17</v>
      </c>
      <c r="O44" s="81">
        <f>N44/M44*100</f>
        <v>35.63515727</v>
      </c>
      <c r="P44" s="44"/>
    </row>
    <row r="45">
      <c r="B45" s="519">
        <v>45377.0</v>
      </c>
      <c r="C45" s="519"/>
      <c r="D45" s="584" t="s">
        <v>116</v>
      </c>
      <c r="E45" s="148">
        <v>35544.0</v>
      </c>
      <c r="F45" s="148">
        <v>1453.0</v>
      </c>
      <c r="G45" s="148">
        <v>540.0</v>
      </c>
      <c r="H45" s="148">
        <v>430.0</v>
      </c>
      <c r="I45" s="148">
        <v>411.32</v>
      </c>
      <c r="J45" s="13">
        <f t="shared" si="16"/>
        <v>18.68</v>
      </c>
      <c r="K45" s="18">
        <f t="shared" si="17"/>
        <v>28.3083276</v>
      </c>
      <c r="L45" s="596" t="s">
        <v>478</v>
      </c>
      <c r="P45" s="44"/>
    </row>
    <row r="46">
      <c r="B46" s="519">
        <v>45379.0</v>
      </c>
      <c r="C46" s="519"/>
      <c r="D46" s="584" t="s">
        <v>116</v>
      </c>
      <c r="E46" s="148">
        <v>37185.0</v>
      </c>
      <c r="F46" s="148">
        <v>1641.0</v>
      </c>
      <c r="G46" s="148">
        <v>540.0</v>
      </c>
      <c r="H46" s="148">
        <v>485.0</v>
      </c>
      <c r="I46" s="148">
        <v>471.58</v>
      </c>
      <c r="J46" s="39">
        <f t="shared" si="16"/>
        <v>13.42</v>
      </c>
      <c r="K46" s="587">
        <f t="shared" si="17"/>
        <v>28.73735527</v>
      </c>
      <c r="L46" s="595"/>
      <c r="P46" s="44"/>
    </row>
    <row r="47">
      <c r="A47" s="68"/>
      <c r="B47" s="67" t="s">
        <v>74</v>
      </c>
      <c r="J47" s="582"/>
      <c r="K47" s="583"/>
      <c r="L47" s="68"/>
      <c r="M47" s="68"/>
      <c r="N47" s="68"/>
      <c r="O47" s="68"/>
      <c r="P47" s="69"/>
    </row>
    <row r="48">
      <c r="B48" s="519">
        <v>45383.0</v>
      </c>
      <c r="C48" s="519"/>
      <c r="D48" s="584" t="s">
        <v>101</v>
      </c>
      <c r="E48" s="148">
        <v>38394.0</v>
      </c>
      <c r="F48" s="148">
        <v>1209.0</v>
      </c>
      <c r="G48" s="148">
        <v>540.0</v>
      </c>
      <c r="H48" s="148">
        <v>387.0</v>
      </c>
      <c r="I48" s="148">
        <v>388.17</v>
      </c>
      <c r="J48" s="588">
        <f t="shared" ref="J48:J53" si="18">H48-I48</f>
        <v>-1.17</v>
      </c>
      <c r="K48" s="589">
        <f t="shared" ref="K48:K53" si="19">I48/F48*100</f>
        <v>32.10669975</v>
      </c>
      <c r="M48" s="597" t="str">
        <f>"тотал"&amp;" "&amp;B47</f>
        <v>тотал АПРЕЛЬ</v>
      </c>
      <c r="N48" s="75"/>
      <c r="O48" s="76"/>
      <c r="P48" s="44"/>
    </row>
    <row r="49">
      <c r="B49" s="519">
        <v>45389.0</v>
      </c>
      <c r="C49" s="519"/>
      <c r="D49" s="584" t="s">
        <v>101</v>
      </c>
      <c r="E49" s="148">
        <v>39505.0</v>
      </c>
      <c r="F49" s="148">
        <v>1111.0</v>
      </c>
      <c r="G49" s="148">
        <v>303.0</v>
      </c>
      <c r="H49" s="148">
        <v>162.0</v>
      </c>
      <c r="I49" s="148">
        <v>143.88</v>
      </c>
      <c r="J49" s="13">
        <f t="shared" si="18"/>
        <v>18.12</v>
      </c>
      <c r="K49" s="18">
        <f t="shared" si="19"/>
        <v>12.95049505</v>
      </c>
      <c r="M49" s="598" t="s">
        <v>70</v>
      </c>
      <c r="N49" s="598" t="s">
        <v>71</v>
      </c>
      <c r="O49" s="598" t="s">
        <v>27</v>
      </c>
      <c r="P49" s="44"/>
    </row>
    <row r="50">
      <c r="B50" s="519">
        <v>45390.0</v>
      </c>
      <c r="C50" s="519"/>
      <c r="D50" s="584" t="s">
        <v>101</v>
      </c>
      <c r="E50" s="148">
        <v>39560.0</v>
      </c>
      <c r="F50" s="148">
        <v>55.0</v>
      </c>
      <c r="G50" s="148">
        <v>511.0</v>
      </c>
      <c r="H50" s="148">
        <v>238.0</v>
      </c>
      <c r="I50" s="148">
        <v>224.96</v>
      </c>
      <c r="J50" s="13">
        <f t="shared" si="18"/>
        <v>13.04</v>
      </c>
      <c r="K50" s="18">
        <f t="shared" si="19"/>
        <v>409.0181818</v>
      </c>
      <c r="M50" s="599">
        <f>SUM(F48:F53)</f>
        <v>4223</v>
      </c>
      <c r="N50" s="599">
        <f>SUM(I48:I53)</f>
        <v>1848.61</v>
      </c>
      <c r="O50" s="600">
        <f>N50/M50*100</f>
        <v>43.77480464</v>
      </c>
      <c r="P50" s="44"/>
    </row>
    <row r="51">
      <c r="B51" s="519">
        <v>45393.0</v>
      </c>
      <c r="C51" s="519"/>
      <c r="D51" s="584" t="s">
        <v>122</v>
      </c>
      <c r="E51" s="148">
        <v>40083.0</v>
      </c>
      <c r="F51" s="148">
        <v>523.0</v>
      </c>
      <c r="G51" s="148">
        <v>540.0</v>
      </c>
      <c r="H51" s="148">
        <v>257.0</v>
      </c>
      <c r="I51" s="148">
        <v>290.82</v>
      </c>
      <c r="J51" s="13">
        <f t="shared" si="18"/>
        <v>-33.82</v>
      </c>
      <c r="K51" s="18">
        <f t="shared" si="19"/>
        <v>55.60611855</v>
      </c>
      <c r="P51" s="44"/>
    </row>
    <row r="52">
      <c r="B52" s="519">
        <v>45399.0</v>
      </c>
      <c r="C52" s="519"/>
      <c r="D52" s="584" t="s">
        <v>122</v>
      </c>
      <c r="E52" s="148">
        <v>40822.0</v>
      </c>
      <c r="F52" s="148">
        <v>739.0</v>
      </c>
      <c r="G52" s="148">
        <v>540.0</v>
      </c>
      <c r="H52" s="148">
        <v>369.0</v>
      </c>
      <c r="I52" s="148">
        <v>400.49</v>
      </c>
      <c r="J52" s="13">
        <f t="shared" si="18"/>
        <v>-31.49</v>
      </c>
      <c r="K52" s="18">
        <f t="shared" si="19"/>
        <v>54.19350474</v>
      </c>
      <c r="P52" s="44"/>
    </row>
    <row r="53">
      <c r="B53" s="519">
        <v>45404.0</v>
      </c>
      <c r="C53" s="519"/>
      <c r="D53" s="584" t="s">
        <v>122</v>
      </c>
      <c r="E53" s="148">
        <v>41408.0</v>
      </c>
      <c r="F53" s="148">
        <v>586.0</v>
      </c>
      <c r="G53" s="148">
        <v>540.0</v>
      </c>
      <c r="H53" s="148">
        <v>364.0</v>
      </c>
      <c r="I53" s="148">
        <v>400.29</v>
      </c>
      <c r="J53" s="39">
        <f t="shared" si="18"/>
        <v>-36.29</v>
      </c>
      <c r="K53" s="587">
        <f t="shared" si="19"/>
        <v>68.30887372</v>
      </c>
      <c r="P53" s="44"/>
    </row>
    <row r="54">
      <c r="A54" s="68"/>
      <c r="B54" s="67" t="s">
        <v>75</v>
      </c>
      <c r="J54" s="582"/>
      <c r="K54" s="583"/>
      <c r="L54" s="68"/>
      <c r="M54" s="68"/>
      <c r="N54" s="68"/>
      <c r="O54" s="68"/>
      <c r="P54" s="69"/>
    </row>
    <row r="55">
      <c r="B55" s="519">
        <v>45425.0</v>
      </c>
      <c r="C55" s="519"/>
      <c r="D55" s="584" t="s">
        <v>122</v>
      </c>
      <c r="E55" s="148">
        <v>42078.0</v>
      </c>
      <c r="F55" s="148">
        <v>670.0</v>
      </c>
      <c r="G55" s="148">
        <v>540.0</v>
      </c>
      <c r="H55" s="148">
        <v>352.0</v>
      </c>
      <c r="I55" s="148">
        <v>380.16</v>
      </c>
      <c r="J55" s="588">
        <f t="shared" ref="J55:J57" si="20">H55-I55</f>
        <v>-28.16</v>
      </c>
      <c r="K55" s="589">
        <f t="shared" ref="K55:K57" si="21">I55/F55*100</f>
        <v>56.74029851</v>
      </c>
      <c r="M55" s="597" t="str">
        <f>"тотал"&amp;" "&amp;B54</f>
        <v>тотал МАЙ</v>
      </c>
      <c r="N55" s="75"/>
      <c r="O55" s="76"/>
      <c r="P55" s="44"/>
    </row>
    <row r="56">
      <c r="B56" s="519">
        <v>45431.0</v>
      </c>
      <c r="C56" s="519"/>
      <c r="D56" s="584" t="s">
        <v>122</v>
      </c>
      <c r="E56" s="148">
        <v>42918.0</v>
      </c>
      <c r="F56" s="148">
        <v>840.0</v>
      </c>
      <c r="G56" s="148">
        <v>540.0</v>
      </c>
      <c r="H56" s="148">
        <v>442.0</v>
      </c>
      <c r="I56" s="148">
        <v>436.94</v>
      </c>
      <c r="J56" s="13">
        <f t="shared" si="20"/>
        <v>5.06</v>
      </c>
      <c r="K56" s="18">
        <f t="shared" si="21"/>
        <v>52.01666667</v>
      </c>
      <c r="M56" s="598" t="s">
        <v>70</v>
      </c>
      <c r="N56" s="598" t="s">
        <v>71</v>
      </c>
      <c r="O56" s="598" t="s">
        <v>27</v>
      </c>
      <c r="P56" s="44"/>
    </row>
    <row r="57">
      <c r="B57" s="519">
        <v>45441.0</v>
      </c>
      <c r="C57" s="519"/>
      <c r="D57" s="584" t="s">
        <v>285</v>
      </c>
      <c r="E57" s="148">
        <v>43953.0</v>
      </c>
      <c r="F57" s="148">
        <v>1035.0</v>
      </c>
      <c r="G57" s="148">
        <v>540.0</v>
      </c>
      <c r="H57" s="148">
        <v>439.0</v>
      </c>
      <c r="I57" s="148">
        <v>428.46</v>
      </c>
      <c r="J57" s="39">
        <f t="shared" si="20"/>
        <v>10.54</v>
      </c>
      <c r="K57" s="587">
        <f t="shared" si="21"/>
        <v>41.39710145</v>
      </c>
      <c r="M57" s="599">
        <f>SUM(F55:F57)</f>
        <v>2545</v>
      </c>
      <c r="N57" s="599">
        <f>SUM(I55:I58)</f>
        <v>1245.56</v>
      </c>
      <c r="O57" s="600">
        <f>N57/M57*100</f>
        <v>48.94145383</v>
      </c>
      <c r="P57" s="44"/>
    </row>
    <row r="58">
      <c r="A58" s="68"/>
      <c r="B58" s="67" t="s">
        <v>90</v>
      </c>
      <c r="J58" s="582"/>
      <c r="K58" s="583"/>
      <c r="L58" s="68"/>
      <c r="M58" s="601" t="str">
        <f>"тотал"&amp;" "&amp;B58</f>
        <v>тотал ИЮНЬ</v>
      </c>
      <c r="N58" s="75"/>
      <c r="O58" s="76"/>
      <c r="P58" s="69"/>
    </row>
    <row r="59">
      <c r="B59" s="519">
        <v>45460.0</v>
      </c>
      <c r="C59" s="519"/>
      <c r="D59" s="584" t="s">
        <v>285</v>
      </c>
      <c r="E59" s="148">
        <v>45309.0</v>
      </c>
      <c r="F59" s="148">
        <v>1356.0</v>
      </c>
      <c r="G59" s="148">
        <v>527.0</v>
      </c>
      <c r="H59" s="148">
        <v>496.0</v>
      </c>
      <c r="I59" s="148">
        <v>475.42</v>
      </c>
      <c r="J59" s="588">
        <f t="shared" ref="J59:J60" si="22">H59-I59</f>
        <v>20.58</v>
      </c>
      <c r="K59" s="589">
        <f t="shared" ref="K59:K60" si="23">I59/F59*100</f>
        <v>35.06047198</v>
      </c>
      <c r="M59" s="599" t="s">
        <v>70</v>
      </c>
      <c r="N59" s="599" t="s">
        <v>71</v>
      </c>
      <c r="O59" s="599" t="s">
        <v>27</v>
      </c>
      <c r="P59" s="44"/>
    </row>
    <row r="60">
      <c r="B60" s="519">
        <v>45468.0</v>
      </c>
      <c r="C60" s="519"/>
      <c r="D60" s="584" t="s">
        <v>285</v>
      </c>
      <c r="E60" s="148">
        <v>46314.0</v>
      </c>
      <c r="F60" s="148">
        <v>1005.0</v>
      </c>
      <c r="G60" s="148">
        <v>540.0</v>
      </c>
      <c r="H60" s="148">
        <v>415.0</v>
      </c>
      <c r="I60" s="148">
        <v>408.61</v>
      </c>
      <c r="J60" s="39">
        <f t="shared" si="22"/>
        <v>6.39</v>
      </c>
      <c r="K60" s="587">
        <f t="shared" si="23"/>
        <v>40.65771144</v>
      </c>
      <c r="M60" s="599">
        <f>SUM(F59:F60)</f>
        <v>2361</v>
      </c>
      <c r="N60" s="599">
        <f>SUM(I59:I60)</f>
        <v>884.03</v>
      </c>
      <c r="O60" s="600">
        <f>N60/M60*100</f>
        <v>37.44303261</v>
      </c>
      <c r="P60" s="44"/>
    </row>
    <row r="61">
      <c r="A61" s="68"/>
      <c r="B61" s="67" t="s">
        <v>92</v>
      </c>
      <c r="J61" s="582"/>
      <c r="K61" s="583"/>
      <c r="L61" s="68"/>
      <c r="M61" s="601" t="str">
        <f>"тотал"&amp;" "&amp;B61</f>
        <v>тотал ИЮЛЬ</v>
      </c>
      <c r="N61" s="75"/>
      <c r="O61" s="76"/>
      <c r="P61" s="69"/>
    </row>
    <row r="62">
      <c r="B62" s="148" t="s">
        <v>426</v>
      </c>
      <c r="C62" s="148"/>
      <c r="D62" s="584" t="s">
        <v>285</v>
      </c>
      <c r="E62" s="148">
        <v>47421.0</v>
      </c>
      <c r="F62" s="148">
        <v>1107.0</v>
      </c>
      <c r="G62" s="148">
        <v>540.0</v>
      </c>
      <c r="H62" s="148">
        <v>396.0</v>
      </c>
      <c r="I62" s="148">
        <v>397.27</v>
      </c>
      <c r="J62" s="588">
        <f t="shared" ref="J62:J63" si="24">H62-I62</f>
        <v>-1.27</v>
      </c>
      <c r="K62" s="589">
        <f t="shared" ref="K62:K63" si="25">I62/F62*100</f>
        <v>35.8870822</v>
      </c>
      <c r="M62" s="599" t="s">
        <v>70</v>
      </c>
      <c r="N62" s="599" t="s">
        <v>71</v>
      </c>
      <c r="O62" s="599" t="s">
        <v>27</v>
      </c>
      <c r="P62" s="44"/>
    </row>
    <row r="63">
      <c r="B63" s="602">
        <v>45484.0</v>
      </c>
      <c r="C63" s="602"/>
      <c r="D63" s="584" t="s">
        <v>122</v>
      </c>
      <c r="E63" s="603">
        <v>48166.0</v>
      </c>
      <c r="F63" s="148">
        <v>745.0</v>
      </c>
      <c r="G63" s="148">
        <v>538.0</v>
      </c>
      <c r="H63" s="148">
        <v>321.0</v>
      </c>
      <c r="I63" s="148">
        <v>322.41</v>
      </c>
      <c r="J63" s="13">
        <f t="shared" si="24"/>
        <v>-1.41</v>
      </c>
      <c r="K63" s="18">
        <f t="shared" si="25"/>
        <v>43.27651007</v>
      </c>
      <c r="M63" s="599">
        <f>SUM(F62:F63)</f>
        <v>1852</v>
      </c>
      <c r="N63" s="599">
        <f>SUM(I62:I63)</f>
        <v>719.68</v>
      </c>
      <c r="O63" s="600">
        <f>N63/M63*100</f>
        <v>38.85961123</v>
      </c>
      <c r="P63" s="44"/>
    </row>
    <row r="64">
      <c r="A64" s="68"/>
      <c r="B64" s="67" t="s">
        <v>95</v>
      </c>
      <c r="J64" s="582"/>
      <c r="K64" s="583"/>
      <c r="L64" s="68"/>
      <c r="M64" s="604"/>
      <c r="N64" s="604"/>
      <c r="O64" s="604"/>
      <c r="P64" s="69"/>
    </row>
    <row r="65">
      <c r="A65" s="54"/>
      <c r="B65" s="164" t="s">
        <v>109</v>
      </c>
      <c r="C65" s="75"/>
      <c r="D65" s="75"/>
      <c r="E65" s="75"/>
      <c r="F65" s="75"/>
      <c r="G65" s="75"/>
      <c r="H65" s="75"/>
      <c r="I65" s="76"/>
      <c r="J65" s="54"/>
      <c r="K65" s="54"/>
      <c r="L65" s="54"/>
      <c r="M65" s="54"/>
      <c r="N65" s="54"/>
      <c r="P65" s="44"/>
    </row>
    <row r="66">
      <c r="A66" s="68"/>
      <c r="B66" s="67" t="s">
        <v>104</v>
      </c>
      <c r="J66" s="582"/>
      <c r="K66" s="583"/>
      <c r="L66" s="68"/>
      <c r="M66" s="601" t="str">
        <f>"тотал"&amp;" "&amp;B66</f>
        <v>тотал СЕНТЯБРЬ</v>
      </c>
      <c r="N66" s="75"/>
      <c r="O66" s="76"/>
      <c r="P66" s="69"/>
    </row>
    <row r="67">
      <c r="B67" s="187">
        <v>45558.0</v>
      </c>
      <c r="C67" s="187"/>
      <c r="D67" s="102"/>
      <c r="E67" s="188">
        <v>49034.0</v>
      </c>
      <c r="F67" s="102">
        <f>E67-E63</f>
        <v>868</v>
      </c>
      <c r="G67" s="101">
        <v>540.0</v>
      </c>
      <c r="H67" s="101">
        <v>381.0</v>
      </c>
      <c r="I67" s="101">
        <v>363.92</v>
      </c>
      <c r="J67" s="102">
        <f t="shared" ref="J67:J68" si="26">H67-I67</f>
        <v>17.08</v>
      </c>
      <c r="K67" s="103">
        <f t="shared" ref="K67:K68" si="27">I67/F67*100</f>
        <v>41.92626728</v>
      </c>
      <c r="M67" s="599" t="s">
        <v>70</v>
      </c>
      <c r="N67" s="599" t="s">
        <v>71</v>
      </c>
      <c r="O67" s="599" t="s">
        <v>27</v>
      </c>
      <c r="P67" s="44"/>
    </row>
    <row r="68">
      <c r="B68" s="187">
        <v>45562.0</v>
      </c>
      <c r="C68" s="187"/>
      <c r="D68" s="102"/>
      <c r="E68" s="101">
        <v>49697.0</v>
      </c>
      <c r="F68" s="102">
        <f>E68-E67</f>
        <v>663</v>
      </c>
      <c r="G68" s="101">
        <v>519.0</v>
      </c>
      <c r="H68" s="101">
        <v>231.0</v>
      </c>
      <c r="I68" s="101">
        <v>245.12</v>
      </c>
      <c r="J68" s="102">
        <f t="shared" si="26"/>
        <v>-14.12</v>
      </c>
      <c r="K68" s="103">
        <f t="shared" si="27"/>
        <v>36.97134238</v>
      </c>
      <c r="M68" s="599">
        <f>SUM(F67:F68)</f>
        <v>1531</v>
      </c>
      <c r="N68" s="599">
        <f>SUM(I67:I68)</f>
        <v>609.04</v>
      </c>
      <c r="O68" s="600">
        <f>N68/M68*100</f>
        <v>39.7805356</v>
      </c>
      <c r="P68" s="44"/>
    </row>
    <row r="69">
      <c r="A69" s="68"/>
      <c r="B69" s="67" t="s">
        <v>96</v>
      </c>
      <c r="J69" s="582"/>
      <c r="K69" s="583"/>
      <c r="L69" s="68"/>
      <c r="M69" s="604"/>
      <c r="N69" s="604"/>
      <c r="O69" s="68"/>
      <c r="P69" s="77" t="s">
        <v>28</v>
      </c>
      <c r="Q69" s="12" t="s">
        <v>78</v>
      </c>
    </row>
    <row r="70">
      <c r="B70" s="605">
        <v>45568.0</v>
      </c>
      <c r="C70" s="605"/>
      <c r="D70" s="13"/>
      <c r="E70" s="12">
        <v>50602.0</v>
      </c>
      <c r="F70" s="13">
        <f>E70-E68</f>
        <v>905</v>
      </c>
      <c r="G70" s="12">
        <v>398.0</v>
      </c>
      <c r="H70" s="12">
        <v>265.0</v>
      </c>
      <c r="I70" s="12">
        <v>273.34</v>
      </c>
      <c r="J70" s="13">
        <f>H70-I70</f>
        <v>-8.34</v>
      </c>
      <c r="K70" s="18">
        <f>I70/F70*100</f>
        <v>30.20331492</v>
      </c>
      <c r="P70" s="80">
        <f>(F70/100)*(K70-Q70)</f>
        <v>-7.21</v>
      </c>
      <c r="Q70" s="78">
        <v>31.0</v>
      </c>
    </row>
    <row r="71">
      <c r="A71" s="68"/>
      <c r="B71" s="67" t="s">
        <v>97</v>
      </c>
      <c r="J71" s="582"/>
      <c r="K71" s="583"/>
      <c r="L71" s="68"/>
      <c r="M71" s="604"/>
      <c r="N71" s="604"/>
      <c r="O71" s="604"/>
      <c r="P71" s="69"/>
    </row>
    <row r="72">
      <c r="B72" s="218">
        <v>45598.0</v>
      </c>
      <c r="C72" s="218"/>
      <c r="D72" s="13"/>
      <c r="E72" s="12">
        <v>51329.0</v>
      </c>
      <c r="F72" s="13">
        <f>E72-E70</f>
        <v>727</v>
      </c>
      <c r="G72" s="12">
        <v>540.0</v>
      </c>
      <c r="H72" s="12">
        <v>447.0</v>
      </c>
      <c r="I72" s="12">
        <v>447.79</v>
      </c>
      <c r="J72" s="13">
        <f t="shared" ref="J72:J74" si="28">H72-I72</f>
        <v>-0.79</v>
      </c>
      <c r="K72" s="18">
        <f t="shared" ref="K72:K74" si="29">I72/F72*100</f>
        <v>61.59422283</v>
      </c>
      <c r="M72" s="82" t="str">
        <f>"тотал"&amp;" "&amp;B71&amp;" "&amp;RIGHT(YEAR(B72),2)</f>
        <v>тотал НОЯБРЬ 24</v>
      </c>
      <c r="N72" s="75"/>
      <c r="O72" s="75"/>
      <c r="P72" s="75"/>
      <c r="Q72" s="76"/>
    </row>
    <row r="73">
      <c r="B73" s="218">
        <v>45604.0</v>
      </c>
      <c r="C73" s="218"/>
      <c r="D73" s="13"/>
      <c r="E73" s="12">
        <v>52023.0</v>
      </c>
      <c r="F73" s="13">
        <f>E73-E72</f>
        <v>694</v>
      </c>
      <c r="G73" s="12">
        <v>511.0</v>
      </c>
      <c r="H73" s="12">
        <v>302.0</v>
      </c>
      <c r="I73" s="606">
        <v>305.16</v>
      </c>
      <c r="J73" s="13">
        <f t="shared" si="28"/>
        <v>-3.16</v>
      </c>
      <c r="K73" s="18">
        <f t="shared" si="29"/>
        <v>43.97118156</v>
      </c>
      <c r="M73" s="598" t="s">
        <v>70</v>
      </c>
      <c r="N73" s="598" t="s">
        <v>71</v>
      </c>
      <c r="O73" s="598" t="s">
        <v>27</v>
      </c>
      <c r="P73" s="77" t="s">
        <v>28</v>
      </c>
      <c r="Q73" s="12" t="s">
        <v>78</v>
      </c>
    </row>
    <row r="74">
      <c r="B74" s="218">
        <v>45611.0</v>
      </c>
      <c r="C74" s="218"/>
      <c r="D74" s="13"/>
      <c r="E74" s="13"/>
      <c r="F74" s="12">
        <v>1176.75</v>
      </c>
      <c r="G74" s="13"/>
      <c r="H74" s="13"/>
      <c r="I74" s="12">
        <v>400.0</v>
      </c>
      <c r="J74" s="13">
        <f t="shared" si="28"/>
        <v>-400</v>
      </c>
      <c r="K74" s="18">
        <f t="shared" si="29"/>
        <v>33.99192692</v>
      </c>
      <c r="M74" s="599">
        <f>SUM(F72:F74)</f>
        <v>2597.75</v>
      </c>
      <c r="N74" s="599">
        <f>SUM(I72:I74)</f>
        <v>1152.95</v>
      </c>
      <c r="O74" s="600">
        <f>N74/M74*100</f>
        <v>44.38263882</v>
      </c>
      <c r="P74" s="79">
        <f>(M74/100)*(O74-Q74)</f>
        <v>347.6475</v>
      </c>
      <c r="Q74" s="78">
        <v>31.0</v>
      </c>
    </row>
    <row r="75">
      <c r="A75" s="68"/>
      <c r="B75" s="67" t="s">
        <v>98</v>
      </c>
      <c r="J75" s="582"/>
      <c r="K75" s="583"/>
      <c r="L75" s="68"/>
      <c r="M75" s="82" t="str">
        <f>"тотал"&amp;" "&amp;B75&amp;" "&amp;RIGHT(YEAR(B76),2)</f>
        <v>тотал ДЕКАБРЬ 24</v>
      </c>
      <c r="N75" s="75"/>
      <c r="O75" s="75"/>
      <c r="P75" s="75"/>
      <c r="Q75" s="76"/>
    </row>
    <row r="76">
      <c r="B76" s="605">
        <v>45632.0</v>
      </c>
      <c r="C76" s="605"/>
      <c r="D76" s="13"/>
      <c r="E76" s="13"/>
      <c r="F76" s="12">
        <v>1176.75</v>
      </c>
      <c r="G76" s="13"/>
      <c r="H76" s="13"/>
      <c r="I76" s="12">
        <v>453.44</v>
      </c>
      <c r="J76" s="13">
        <f t="shared" ref="J76:J77" si="30">H76-I76</f>
        <v>-453.44</v>
      </c>
      <c r="K76" s="18">
        <f t="shared" ref="K76:K77" si="31">I76/F76*100</f>
        <v>38.53324835</v>
      </c>
      <c r="M76" s="598" t="s">
        <v>70</v>
      </c>
      <c r="N76" s="598" t="s">
        <v>71</v>
      </c>
      <c r="O76" s="598" t="s">
        <v>27</v>
      </c>
      <c r="P76" s="77" t="s">
        <v>28</v>
      </c>
      <c r="Q76" s="12" t="s">
        <v>78</v>
      </c>
    </row>
    <row r="77">
      <c r="B77" s="605">
        <v>45635.0</v>
      </c>
      <c r="C77" s="605"/>
      <c r="D77" s="13"/>
      <c r="E77" s="13"/>
      <c r="F77" s="12">
        <v>1176.75</v>
      </c>
      <c r="G77" s="13"/>
      <c r="H77" s="13"/>
      <c r="I77" s="12">
        <v>450.61</v>
      </c>
      <c r="J77" s="13">
        <f t="shared" si="30"/>
        <v>-450.61</v>
      </c>
      <c r="K77" s="18">
        <f t="shared" si="31"/>
        <v>38.29275547</v>
      </c>
      <c r="M77" s="599">
        <f>SUM(F76:F77)</f>
        <v>2353.5</v>
      </c>
      <c r="N77" s="599">
        <f>SUM(I76:I77)</f>
        <v>904.05</v>
      </c>
      <c r="O77" s="600">
        <f>N77/M77*100</f>
        <v>38.41300191</v>
      </c>
      <c r="P77" s="79">
        <f>(M77/100)*(O77-Q77)</f>
        <v>174.465</v>
      </c>
      <c r="Q77" s="78">
        <v>31.0</v>
      </c>
    </row>
    <row r="78">
      <c r="A78" s="68"/>
      <c r="B78" s="191">
        <v>2025.0</v>
      </c>
      <c r="J78" s="582"/>
      <c r="K78" s="583"/>
      <c r="L78" s="68"/>
      <c r="M78" s="604"/>
      <c r="N78" s="604"/>
      <c r="O78" s="604"/>
      <c r="P78" s="69"/>
    </row>
    <row r="79">
      <c r="A79" s="89"/>
      <c r="B79" s="112" t="s">
        <v>66</v>
      </c>
      <c r="J79" s="89"/>
      <c r="K79" s="90"/>
      <c r="L79" s="89"/>
      <c r="M79" s="89"/>
      <c r="N79" s="89"/>
      <c r="O79" s="89"/>
      <c r="P79" s="9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</row>
    <row r="80">
      <c r="B80" s="189">
        <v>45672.0</v>
      </c>
      <c r="C80" s="189"/>
      <c r="D80" s="102"/>
      <c r="E80" s="101">
        <v>56730.0</v>
      </c>
      <c r="F80" s="101">
        <v>1176.75</v>
      </c>
      <c r="G80" s="101">
        <v>340.0</v>
      </c>
      <c r="H80" s="101">
        <v>202.0</v>
      </c>
      <c r="I80" s="101">
        <v>200.0</v>
      </c>
      <c r="J80" s="102">
        <f t="shared" ref="J80:J82" si="32">H80-I80</f>
        <v>2</v>
      </c>
      <c r="K80" s="103">
        <f t="shared" ref="K80:K82" si="33">I80/F80*100</f>
        <v>16.99596346</v>
      </c>
      <c r="M80" s="82" t="str">
        <f>"тотал"&amp;" "&amp;B79&amp;" "&amp;RIGHT(YEAR(B80),2)</f>
        <v>тотал ЯНВАРЬ 25</v>
      </c>
      <c r="N80" s="75"/>
      <c r="O80" s="75"/>
      <c r="P80" s="75"/>
      <c r="Q80" s="76"/>
    </row>
    <row r="81">
      <c r="A81" s="607"/>
      <c r="B81" s="189">
        <v>45677.0</v>
      </c>
      <c r="C81" s="189"/>
      <c r="D81" s="102"/>
      <c r="E81" s="101">
        <v>57307.0</v>
      </c>
      <c r="F81" s="102">
        <f t="shared" ref="F81:F82" si="34">E81-E80</f>
        <v>577</v>
      </c>
      <c r="G81" s="101">
        <v>428.0</v>
      </c>
      <c r="H81" s="101">
        <v>305.0</v>
      </c>
      <c r="I81" s="101">
        <v>300.0</v>
      </c>
      <c r="J81" s="102">
        <f t="shared" si="32"/>
        <v>5</v>
      </c>
      <c r="K81" s="103">
        <f t="shared" si="33"/>
        <v>51.99306759</v>
      </c>
      <c r="L81" s="607"/>
      <c r="M81" s="598" t="s">
        <v>70</v>
      </c>
      <c r="N81" s="598" t="s">
        <v>71</v>
      </c>
      <c r="O81" s="598" t="s">
        <v>27</v>
      </c>
      <c r="P81" s="77" t="s">
        <v>28</v>
      </c>
      <c r="Q81" s="12" t="s">
        <v>78</v>
      </c>
    </row>
    <row r="82">
      <c r="A82" s="607"/>
      <c r="B82" s="189">
        <v>45683.0</v>
      </c>
      <c r="C82" s="189"/>
      <c r="D82" s="102"/>
      <c r="E82" s="101">
        <v>58186.0</v>
      </c>
      <c r="F82" s="102">
        <f t="shared" si="34"/>
        <v>879</v>
      </c>
      <c r="G82" s="101">
        <v>427.0</v>
      </c>
      <c r="H82" s="101">
        <v>307.0</v>
      </c>
      <c r="I82" s="101">
        <v>300.0</v>
      </c>
      <c r="J82" s="102">
        <f t="shared" si="32"/>
        <v>7</v>
      </c>
      <c r="K82" s="103">
        <f t="shared" si="33"/>
        <v>34.12969283</v>
      </c>
      <c r="L82" s="607"/>
      <c r="M82" s="599">
        <f>SUM(F80:F82)</f>
        <v>2632.75</v>
      </c>
      <c r="N82" s="599">
        <f>SUM(I80:I82)</f>
        <v>800</v>
      </c>
      <c r="O82" s="600">
        <f>N82/M82*100</f>
        <v>30.38647802</v>
      </c>
      <c r="P82" s="79">
        <f>(M82/100)*(O82-Q82)</f>
        <v>-16.1525</v>
      </c>
      <c r="Q82" s="78">
        <v>31.0</v>
      </c>
    </row>
    <row r="83">
      <c r="A83" s="87" t="s">
        <v>77</v>
      </c>
      <c r="B83" s="88" t="str">
        <f>IF(L83=4,"АПРЕЛЬ",IF(L83=5,"МАЙ",IF(L83=1,"ЯНВАРЬ",IF(L83=2,"ФЕВРАЛЬ",IF(L83=3,"МАРТ",IF(L83=6,"ИЮНЬ",IF(L83=7,"ИЮЛЬ",IF(L83=8,"АВГУСТ",IF(L83=9,"СЕНТЯБРЬ",IF(L83=10,"ОКТЯБРЬ",IF(L83=11,"НОЯБРЬ",IF(L83=12,"ДЕКАБРЬ"))))))))))))</f>
        <v>ФЕВРАЛЬ</v>
      </c>
      <c r="J83" s="89"/>
      <c r="K83" s="90"/>
      <c r="L83" s="91">
        <f>MONTH(B84)</f>
        <v>2</v>
      </c>
      <c r="M83" s="89"/>
      <c r="N83" s="89"/>
      <c r="O83" s="89"/>
      <c r="P83" s="9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</row>
    <row r="84">
      <c r="A84" s="607"/>
      <c r="B84" s="189">
        <v>45690.0</v>
      </c>
      <c r="C84" s="189"/>
      <c r="D84" s="102"/>
      <c r="E84" s="101">
        <v>59050.0</v>
      </c>
      <c r="F84" s="102">
        <f>E84-E82</f>
        <v>864</v>
      </c>
      <c r="G84" s="101">
        <v>409.0</v>
      </c>
      <c r="H84" s="101">
        <v>312.0</v>
      </c>
      <c r="I84" s="101">
        <v>300.0</v>
      </c>
      <c r="J84" s="102">
        <f t="shared" ref="J84:J86" si="35">H84-I84</f>
        <v>12</v>
      </c>
      <c r="K84" s="103">
        <f t="shared" ref="K84:K86" si="36">I84/F84*100</f>
        <v>34.72222222</v>
      </c>
      <c r="L84" s="607"/>
      <c r="M84" s="82" t="str">
        <f>"тотал"&amp;" "&amp;B83&amp;" "&amp;RIGHT(YEAR(B84),2)</f>
        <v>тотал ФЕВРАЛЬ 25</v>
      </c>
      <c r="N84" s="75"/>
      <c r="O84" s="75"/>
      <c r="P84" s="75"/>
      <c r="Q84" s="76"/>
    </row>
    <row r="85">
      <c r="A85" s="607"/>
      <c r="B85" s="189">
        <v>45696.0</v>
      </c>
      <c r="C85" s="189"/>
      <c r="D85" s="102"/>
      <c r="E85" s="101">
        <v>59915.0</v>
      </c>
      <c r="F85" s="102">
        <f t="shared" ref="F85:F86" si="37">E85-E84</f>
        <v>865</v>
      </c>
      <c r="G85" s="101">
        <v>379.0</v>
      </c>
      <c r="H85" s="101">
        <v>312.0</v>
      </c>
      <c r="I85" s="101">
        <v>300.0</v>
      </c>
      <c r="J85" s="102">
        <f t="shared" si="35"/>
        <v>12</v>
      </c>
      <c r="K85" s="103">
        <f t="shared" si="36"/>
        <v>34.68208092</v>
      </c>
      <c r="L85" s="607"/>
      <c r="M85" s="598" t="s">
        <v>70</v>
      </c>
      <c r="N85" s="598" t="s">
        <v>71</v>
      </c>
      <c r="O85" s="598" t="s">
        <v>27</v>
      </c>
      <c r="P85" s="77" t="s">
        <v>28</v>
      </c>
      <c r="Q85" s="12" t="s">
        <v>78</v>
      </c>
    </row>
    <row r="86">
      <c r="A86" s="607"/>
      <c r="B86" s="189">
        <v>45702.0</v>
      </c>
      <c r="C86" s="189"/>
      <c r="D86" s="102"/>
      <c r="E86" s="101">
        <v>60778.0</v>
      </c>
      <c r="F86" s="102">
        <f t="shared" si="37"/>
        <v>863</v>
      </c>
      <c r="G86" s="101">
        <v>356.0</v>
      </c>
      <c r="H86" s="101">
        <v>317.0</v>
      </c>
      <c r="I86" s="101">
        <v>300.0</v>
      </c>
      <c r="J86" s="102">
        <f t="shared" si="35"/>
        <v>17</v>
      </c>
      <c r="K86" s="103">
        <f t="shared" si="36"/>
        <v>34.76245655</v>
      </c>
      <c r="L86" s="607"/>
      <c r="M86" s="599">
        <f>SUM(F84:F86)</f>
        <v>2592</v>
      </c>
      <c r="N86" s="599">
        <f>SUM(I84:I86)</f>
        <v>900</v>
      </c>
      <c r="O86" s="600">
        <f>N86/M86*100</f>
        <v>34.72222222</v>
      </c>
      <c r="P86" s="79">
        <f>(M86/100)*(O86-Q86)</f>
        <v>96.48</v>
      </c>
      <c r="Q86" s="78">
        <v>31.0</v>
      </c>
    </row>
    <row r="87">
      <c r="A87" s="87" t="s">
        <v>77</v>
      </c>
      <c r="B87" s="88" t="str">
        <f>IF(L87=4,"АПРЕЛЬ",IF(L87=5,"МАЙ",IF(L87=1,"ЯНВАРЬ",IF(L87=2,"ФЕВРАЛЬ",IF(L87=3,"МАРТ",IF(L87=6,"ИЮНЬ",IF(L87=7,"ИЮЛЬ",IF(L87=8,"АВГУСТ",IF(L87=9,"СЕНТЯБРЬ",IF(L87=10,"ОКТЯБРЬ",IF(L87=11,"НОЯБРЬ",IF(L87=12,"ДЕКАБРЬ"))))))))))))</f>
        <v>МАРТ</v>
      </c>
      <c r="J87" s="89"/>
      <c r="K87" s="90"/>
      <c r="L87" s="91">
        <f>MONTH(B88)</f>
        <v>3</v>
      </c>
      <c r="M87" s="89"/>
      <c r="N87" s="89"/>
      <c r="O87" s="89"/>
      <c r="P87" s="9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</row>
    <row r="88">
      <c r="A88" s="607"/>
      <c r="B88" s="189">
        <v>45724.0</v>
      </c>
      <c r="C88" s="189"/>
      <c r="D88" s="102"/>
      <c r="E88" s="101">
        <v>61535.0</v>
      </c>
      <c r="F88" s="102">
        <f>E88-E86</f>
        <v>757</v>
      </c>
      <c r="G88" s="101">
        <v>94.0</v>
      </c>
      <c r="H88" s="101">
        <v>54.0</v>
      </c>
      <c r="I88" s="101">
        <v>45.0</v>
      </c>
      <c r="J88" s="102">
        <f t="shared" ref="J88:J92" si="38">H88-I88</f>
        <v>9</v>
      </c>
      <c r="K88" s="103">
        <f t="shared" ref="K88:K92" si="39">I88/F88*100</f>
        <v>5.944517834</v>
      </c>
      <c r="L88" s="607"/>
      <c r="M88" s="82" t="str">
        <f>"тотал"&amp;" "&amp;B87&amp;" "&amp;RIGHT(YEAR(B88),2)</f>
        <v>тотал МАРТ 25</v>
      </c>
      <c r="N88" s="75"/>
      <c r="O88" s="75"/>
      <c r="P88" s="75"/>
      <c r="Q88" s="76"/>
    </row>
    <row r="89">
      <c r="A89" s="607"/>
      <c r="B89" s="189">
        <v>45724.0</v>
      </c>
      <c r="C89" s="189"/>
      <c r="D89" s="102"/>
      <c r="E89" s="101">
        <v>61590.0</v>
      </c>
      <c r="F89" s="102">
        <f t="shared" ref="F89:F92" si="40">E89-E88</f>
        <v>55</v>
      </c>
      <c r="G89" s="101">
        <v>529.0</v>
      </c>
      <c r="H89" s="101">
        <v>457.0</v>
      </c>
      <c r="I89" s="101">
        <v>455.0</v>
      </c>
      <c r="J89" s="102">
        <f t="shared" si="38"/>
        <v>2</v>
      </c>
      <c r="K89" s="103">
        <f t="shared" si="39"/>
        <v>827.2727273</v>
      </c>
      <c r="L89" s="607"/>
      <c r="M89" s="598" t="s">
        <v>70</v>
      </c>
      <c r="N89" s="598" t="s">
        <v>71</v>
      </c>
      <c r="O89" s="598" t="s">
        <v>27</v>
      </c>
      <c r="P89" s="77" t="s">
        <v>28</v>
      </c>
      <c r="Q89" s="12" t="s">
        <v>78</v>
      </c>
    </row>
    <row r="90">
      <c r="A90" s="607"/>
      <c r="B90" s="189">
        <v>45730.0</v>
      </c>
      <c r="C90" s="189"/>
      <c r="D90" s="102"/>
      <c r="E90" s="101">
        <v>62397.0</v>
      </c>
      <c r="F90" s="102">
        <f t="shared" si="40"/>
        <v>807</v>
      </c>
      <c r="G90" s="101">
        <v>538.0</v>
      </c>
      <c r="H90" s="101">
        <v>306.0</v>
      </c>
      <c r="I90" s="101">
        <v>300.0</v>
      </c>
      <c r="J90" s="102">
        <f t="shared" si="38"/>
        <v>6</v>
      </c>
      <c r="K90" s="103">
        <f t="shared" si="39"/>
        <v>37.17472119</v>
      </c>
      <c r="L90" s="607"/>
      <c r="M90" s="599">
        <f>SUM(F88:F92)</f>
        <v>3444</v>
      </c>
      <c r="N90" s="599">
        <f>SUM(I88:I92)</f>
        <v>1400</v>
      </c>
      <c r="O90" s="600">
        <f>N90/M90*100</f>
        <v>40.6504065</v>
      </c>
      <c r="P90" s="79">
        <f>(M90/100)*(O90-Q90)</f>
        <v>332.36</v>
      </c>
      <c r="Q90" s="78">
        <v>31.0</v>
      </c>
    </row>
    <row r="91">
      <c r="A91" s="607"/>
      <c r="B91" s="189">
        <v>45736.0</v>
      </c>
      <c r="C91" s="189"/>
      <c r="D91" s="102"/>
      <c r="E91" s="101">
        <v>63236.0</v>
      </c>
      <c r="F91" s="102">
        <f t="shared" si="40"/>
        <v>839</v>
      </c>
      <c r="G91" s="101">
        <v>540.0</v>
      </c>
      <c r="H91" s="101">
        <v>301.0</v>
      </c>
      <c r="I91" s="101">
        <v>300.0</v>
      </c>
      <c r="J91" s="102">
        <f t="shared" si="38"/>
        <v>1</v>
      </c>
      <c r="K91" s="103">
        <f t="shared" si="39"/>
        <v>35.7568534</v>
      </c>
      <c r="L91" s="607"/>
      <c r="M91" s="607"/>
      <c r="N91" s="607"/>
      <c r="P91" s="44"/>
    </row>
    <row r="92">
      <c r="A92" s="607"/>
      <c r="B92" s="189">
        <v>45774.0</v>
      </c>
      <c r="C92" s="189"/>
      <c r="D92" s="102"/>
      <c r="E92" s="101">
        <v>64222.0</v>
      </c>
      <c r="F92" s="102">
        <f t="shared" si="40"/>
        <v>986</v>
      </c>
      <c r="G92" s="101">
        <v>495.0</v>
      </c>
      <c r="H92" s="101">
        <v>307.0</v>
      </c>
      <c r="I92" s="101">
        <v>300.0</v>
      </c>
      <c r="J92" s="102">
        <f t="shared" si="38"/>
        <v>7</v>
      </c>
      <c r="K92" s="103">
        <f t="shared" si="39"/>
        <v>30.42596349</v>
      </c>
      <c r="L92" s="607"/>
      <c r="M92" s="607"/>
      <c r="N92" s="607"/>
      <c r="P92" s="44"/>
    </row>
    <row r="93">
      <c r="A93" s="87" t="s">
        <v>77</v>
      </c>
      <c r="B93" s="88" t="str">
        <f>IF(L93=4,"АПРЕЛЬ",IF(L93=5,"МАЙ",IF(L93=1,"ЯНВАРЬ",IF(L93=2,"ФЕВРАЛЬ",IF(L93=3,"МАРТ",IF(L93=6,"ИЮНЬ",IF(L93=7,"ИЮЛЬ",IF(L93=8,"АВГУСТ",IF(L93=9,"СЕНТЯБРЬ",IF(L93=10,"ОКТЯБРЬ",IF(L93=11,"НОЯБРЬ",IF(L93=12,"ДЕКАБРЬ"))))))))))))</f>
        <v>АПРЕЛЬ</v>
      </c>
      <c r="J93" s="89"/>
      <c r="K93" s="90"/>
      <c r="L93" s="91">
        <f>MONTH(B94)</f>
        <v>4</v>
      </c>
      <c r="M93" s="89"/>
      <c r="N93" s="89"/>
      <c r="O93" s="89"/>
      <c r="P93" s="93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</row>
    <row r="94">
      <c r="A94" s="608" t="s">
        <v>479</v>
      </c>
      <c r="B94" s="189">
        <v>45748.0</v>
      </c>
      <c r="C94" s="189"/>
      <c r="D94" s="13"/>
      <c r="E94" s="12">
        <v>64602.0</v>
      </c>
      <c r="F94" s="13">
        <f>E94-E92</f>
        <v>380</v>
      </c>
      <c r="G94" s="12">
        <v>518.0</v>
      </c>
      <c r="H94" s="12">
        <v>130.0</v>
      </c>
      <c r="I94" s="609">
        <v>126.84</v>
      </c>
      <c r="J94" s="13">
        <f t="shared" ref="J94:J98" si="41">H94-I94</f>
        <v>3.16</v>
      </c>
      <c r="K94" s="18">
        <f t="shared" ref="K94:K98" si="42">I94/F94*100</f>
        <v>33.37894737</v>
      </c>
      <c r="L94" s="607"/>
      <c r="M94" s="82" t="str">
        <f>"тотал"&amp;" "&amp;B93&amp;" "&amp;RIGHT(YEAR(B94),2)</f>
        <v>тотал АПРЕЛЬ 25</v>
      </c>
      <c r="N94" s="75"/>
      <c r="O94" s="75"/>
      <c r="P94" s="75"/>
      <c r="Q94" s="76"/>
    </row>
    <row r="95">
      <c r="A95" s="610" t="s">
        <v>446</v>
      </c>
      <c r="B95" s="611">
        <v>45752.0</v>
      </c>
      <c r="C95" s="611"/>
      <c r="D95" s="612"/>
      <c r="E95" s="491">
        <v>65650.0</v>
      </c>
      <c r="F95" s="612">
        <f t="shared" ref="F95:F98" si="43">E95-E94</f>
        <v>1048</v>
      </c>
      <c r="G95" s="491">
        <v>522.0</v>
      </c>
      <c r="H95" s="613">
        <v>372.0</v>
      </c>
      <c r="I95" s="613">
        <v>360.38</v>
      </c>
      <c r="J95" s="13">
        <f t="shared" si="41"/>
        <v>11.62</v>
      </c>
      <c r="K95" s="18">
        <f t="shared" si="42"/>
        <v>34.38740458</v>
      </c>
      <c r="L95" s="607"/>
      <c r="M95" s="598" t="s">
        <v>70</v>
      </c>
      <c r="N95" s="598" t="s">
        <v>71</v>
      </c>
      <c r="O95" s="598" t="s">
        <v>27</v>
      </c>
      <c r="P95" s="77" t="s">
        <v>28</v>
      </c>
      <c r="Q95" s="12" t="s">
        <v>78</v>
      </c>
    </row>
    <row r="96">
      <c r="A96" s="607"/>
      <c r="B96" s="189">
        <v>45764.0</v>
      </c>
      <c r="C96" s="189"/>
      <c r="D96" s="614"/>
      <c r="E96" s="606">
        <v>66380.0</v>
      </c>
      <c r="F96" s="350">
        <f t="shared" si="43"/>
        <v>730</v>
      </c>
      <c r="G96" s="12">
        <v>540.0</v>
      </c>
      <c r="H96" s="12">
        <v>286.0</v>
      </c>
      <c r="I96" s="12">
        <v>288.29</v>
      </c>
      <c r="J96" s="13">
        <f t="shared" si="41"/>
        <v>-2.29</v>
      </c>
      <c r="K96" s="18">
        <f t="shared" si="42"/>
        <v>39.49178082</v>
      </c>
      <c r="L96" s="607"/>
      <c r="M96" s="599">
        <f>SUM(F94:F98)</f>
        <v>3927</v>
      </c>
      <c r="N96" s="599">
        <f>SUM(I94:I98)</f>
        <v>1297.32</v>
      </c>
      <c r="O96" s="600">
        <f>N96/M96*100</f>
        <v>33.03590527</v>
      </c>
      <c r="P96" s="79">
        <f>(M96/100)*(O96-Q96)</f>
        <v>79.95</v>
      </c>
      <c r="Q96" s="78">
        <v>31.0</v>
      </c>
    </row>
    <row r="97">
      <c r="A97" s="607"/>
      <c r="B97" s="189">
        <v>45769.0</v>
      </c>
      <c r="C97" s="189"/>
      <c r="D97" s="614"/>
      <c r="E97" s="606">
        <v>67046.0</v>
      </c>
      <c r="F97" s="350">
        <f t="shared" si="43"/>
        <v>666</v>
      </c>
      <c r="G97" s="12">
        <v>540.0</v>
      </c>
      <c r="H97" s="12">
        <v>216.0</v>
      </c>
      <c r="I97" s="12">
        <v>221.81</v>
      </c>
      <c r="J97" s="13">
        <f t="shared" si="41"/>
        <v>-5.81</v>
      </c>
      <c r="K97" s="18">
        <f t="shared" si="42"/>
        <v>33.3048048</v>
      </c>
      <c r="L97" s="607"/>
      <c r="M97" s="607"/>
      <c r="N97" s="607"/>
      <c r="P97" s="44"/>
    </row>
    <row r="98">
      <c r="A98" s="607"/>
      <c r="B98" s="189">
        <v>45775.0</v>
      </c>
      <c r="C98" s="189"/>
      <c r="D98" s="614"/>
      <c r="E98" s="606">
        <v>68149.0</v>
      </c>
      <c r="F98" s="350">
        <f t="shared" si="43"/>
        <v>1103</v>
      </c>
      <c r="G98" s="12">
        <v>472.0</v>
      </c>
      <c r="H98" s="12">
        <v>317.0</v>
      </c>
      <c r="I98" s="12">
        <v>300.0</v>
      </c>
      <c r="J98" s="13">
        <f t="shared" si="41"/>
        <v>17</v>
      </c>
      <c r="K98" s="18">
        <f t="shared" si="42"/>
        <v>27.19854941</v>
      </c>
      <c r="L98" s="607"/>
      <c r="M98" s="607"/>
      <c r="N98" s="607"/>
      <c r="P98" s="44"/>
    </row>
    <row r="99">
      <c r="A99" s="87" t="s">
        <v>77</v>
      </c>
      <c r="B99" s="88" t="str">
        <f>IF(L99=4,"АПРЕЛЬ",IF(L99=5,"МАЙ",IF(L99=1,"ЯНВАРЬ",IF(L99=2,"ФЕВРАЛЬ",IF(L99=3,"МАРТ",IF(L99=6,"ИЮНЬ",IF(L99=7,"ИЮЛЬ",IF(L99=8,"АВГУСТ",IF(L99=9,"СЕНТЯБРЬ",IF(L99=10,"ОКТЯБРЬ",IF(L99=11,"НОЯБРЬ",IF(L99=12,"ДЕКАБРЬ"))))))))))))</f>
        <v>МАЙ</v>
      </c>
      <c r="J99" s="89"/>
      <c r="K99" s="90"/>
      <c r="L99" s="91">
        <f>MONTH(B100)</f>
        <v>5</v>
      </c>
      <c r="M99" s="89"/>
      <c r="N99" s="89"/>
      <c r="O99" s="89"/>
      <c r="P99" s="93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</row>
    <row r="100">
      <c r="A100" s="607"/>
      <c r="B100" s="189">
        <v>45790.0</v>
      </c>
      <c r="C100" s="189"/>
      <c r="D100" s="614"/>
      <c r="E100" s="606">
        <v>68622.0</v>
      </c>
      <c r="F100" s="614">
        <f>E100-E98</f>
        <v>473</v>
      </c>
      <c r="G100" s="12">
        <v>540.0</v>
      </c>
      <c r="H100" s="12">
        <v>226.0</v>
      </c>
      <c r="I100" s="12">
        <v>232.48</v>
      </c>
      <c r="J100" s="13">
        <f t="shared" ref="J100:J103" si="44">H100-I100</f>
        <v>-6.48</v>
      </c>
      <c r="K100" s="18">
        <f t="shared" ref="K100:K103" si="45">I100/F100*100</f>
        <v>49.15010571</v>
      </c>
      <c r="L100" s="607"/>
      <c r="M100" s="82" t="str">
        <f>"тотал"&amp;" "&amp;B99&amp;" "&amp;RIGHT(YEAR(B100),2)</f>
        <v>тотал МАЙ 25</v>
      </c>
      <c r="N100" s="75"/>
      <c r="O100" s="75"/>
      <c r="P100" s="75"/>
      <c r="Q100" s="76"/>
    </row>
    <row r="101">
      <c r="A101" s="607"/>
      <c r="B101" s="189">
        <v>45796.0</v>
      </c>
      <c r="C101" s="101" t="s">
        <v>120</v>
      </c>
      <c r="D101" s="614"/>
      <c r="E101" s="606">
        <v>69392.0</v>
      </c>
      <c r="F101" s="614">
        <f t="shared" ref="F101:F103" si="46">E101-E100</f>
        <v>770</v>
      </c>
      <c r="G101" s="12">
        <v>536.0</v>
      </c>
      <c r="H101" s="12">
        <v>257.0</v>
      </c>
      <c r="I101" s="12">
        <v>250.0</v>
      </c>
      <c r="J101" s="13">
        <f t="shared" si="44"/>
        <v>7</v>
      </c>
      <c r="K101" s="18">
        <f t="shared" si="45"/>
        <v>32.46753247</v>
      </c>
      <c r="L101" s="607"/>
      <c r="M101" s="598" t="s">
        <v>70</v>
      </c>
      <c r="N101" s="598" t="s">
        <v>71</v>
      </c>
      <c r="O101" s="598" t="s">
        <v>27</v>
      </c>
      <c r="P101" s="77" t="s">
        <v>28</v>
      </c>
      <c r="Q101" s="12" t="s">
        <v>78</v>
      </c>
    </row>
    <row r="102">
      <c r="A102" s="607"/>
      <c r="B102" s="189">
        <v>45800.0</v>
      </c>
      <c r="C102" s="606" t="s">
        <v>99</v>
      </c>
      <c r="D102" s="614"/>
      <c r="E102" s="606">
        <v>70029.0</v>
      </c>
      <c r="F102" s="614">
        <f t="shared" si="46"/>
        <v>637</v>
      </c>
      <c r="G102" s="12">
        <v>540.0</v>
      </c>
      <c r="H102" s="12">
        <v>231.0</v>
      </c>
      <c r="I102" s="13">
        <f>300-64.56</f>
        <v>235.44</v>
      </c>
      <c r="J102" s="13">
        <f t="shared" si="44"/>
        <v>-4.44</v>
      </c>
      <c r="K102" s="18">
        <f t="shared" si="45"/>
        <v>36.96075353</v>
      </c>
      <c r="L102" s="607"/>
      <c r="M102" s="599">
        <f>SUM(F100:F103)</f>
        <v>2756</v>
      </c>
      <c r="N102" s="599">
        <f>SUM(I100:I103)</f>
        <v>967.92</v>
      </c>
      <c r="O102" s="600">
        <f>N102/M102*100</f>
        <v>35.12046444</v>
      </c>
      <c r="P102" s="79">
        <f>(M102/100)*(O102-Q102)</f>
        <v>113.56</v>
      </c>
      <c r="Q102" s="78">
        <v>31.0</v>
      </c>
    </row>
    <row r="103">
      <c r="A103" s="607"/>
      <c r="B103" s="189">
        <v>45804.0</v>
      </c>
      <c r="C103" s="606" t="s">
        <v>99</v>
      </c>
      <c r="D103" s="606" t="s">
        <v>285</v>
      </c>
      <c r="E103" s="606">
        <v>70905.0</v>
      </c>
      <c r="F103" s="614">
        <f t="shared" si="46"/>
        <v>876</v>
      </c>
      <c r="G103" s="12">
        <v>525.0</v>
      </c>
      <c r="H103" s="12">
        <v>257.0</v>
      </c>
      <c r="I103" s="13">
        <f>140+110</f>
        <v>250</v>
      </c>
      <c r="J103" s="13">
        <f t="shared" si="44"/>
        <v>7</v>
      </c>
      <c r="K103" s="18">
        <f t="shared" si="45"/>
        <v>28.53881279</v>
      </c>
      <c r="L103" s="607"/>
      <c r="M103" s="607"/>
      <c r="N103" s="607"/>
      <c r="P103" s="44"/>
    </row>
    <row r="104">
      <c r="A104" s="87" t="s">
        <v>77</v>
      </c>
      <c r="B104" s="88" t="str">
        <f>IF(L104=4,"АПРЕЛЬ",IF(L104=5,"МАЙ",IF(L104=1,"ЯНВАРЬ",IF(L104=2,"ФЕВРАЛЬ",IF(L104=3,"МАРТ",IF(L104=6,"ИЮНЬ",IF(L104=7,"ИЮЛЬ",IF(L104=8,"АВГУСТ",IF(L104=9,"СЕНТЯБРЬ",IF(L104=10,"ОКТЯБРЬ",IF(L104=11,"НОЯБРЬ",IF(L104=12,"ДЕКАБРЬ"))))))))))))</f>
        <v>ИЮНЬ</v>
      </c>
      <c r="J104" s="89"/>
      <c r="K104" s="90"/>
      <c r="L104" s="91">
        <f>MONTH(B105)</f>
        <v>6</v>
      </c>
      <c r="M104" s="89"/>
      <c r="N104" s="89"/>
      <c r="O104" s="89"/>
      <c r="P104" s="93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</row>
    <row r="105">
      <c r="A105" s="607"/>
      <c r="B105" s="615">
        <v>45809.0</v>
      </c>
      <c r="C105" s="606" t="s">
        <v>390</v>
      </c>
      <c r="D105" s="606" t="s">
        <v>122</v>
      </c>
      <c r="E105" s="606">
        <v>71750.0</v>
      </c>
      <c r="F105" s="614">
        <f>E105-E103</f>
        <v>845</v>
      </c>
      <c r="G105" s="12">
        <v>529.0</v>
      </c>
      <c r="H105" s="12">
        <v>292.0</v>
      </c>
      <c r="I105" s="13">
        <f>500-209.99</f>
        <v>290.01</v>
      </c>
      <c r="J105" s="13">
        <f t="shared" ref="J105:J109" si="47">H105-I105</f>
        <v>1.99</v>
      </c>
      <c r="K105" s="18">
        <f t="shared" ref="K105:K109" si="48">I105/F105*100</f>
        <v>34.32071006</v>
      </c>
      <c r="L105" s="607"/>
      <c r="M105" s="82" t="str">
        <f>"тотал"&amp;" "&amp;B104&amp;" "&amp;RIGHT(YEAR(B105),2)</f>
        <v>тотал ИЮНЬ 25</v>
      </c>
      <c r="N105" s="75"/>
      <c r="O105" s="75"/>
      <c r="P105" s="75"/>
      <c r="Q105" s="76"/>
    </row>
    <row r="106">
      <c r="A106" s="607"/>
      <c r="B106" s="615">
        <v>45816.0</v>
      </c>
      <c r="C106" s="606" t="s">
        <v>390</v>
      </c>
      <c r="D106" s="606" t="s">
        <v>122</v>
      </c>
      <c r="E106" s="606">
        <v>72887.0</v>
      </c>
      <c r="F106" s="614">
        <f t="shared" ref="F106:F109" si="49">E106-E105</f>
        <v>1137</v>
      </c>
      <c r="G106" s="12">
        <v>508.0</v>
      </c>
      <c r="H106" s="12">
        <v>382.0</v>
      </c>
      <c r="I106" s="13">
        <f>127.84*3</f>
        <v>383.52</v>
      </c>
      <c r="J106" s="13">
        <f t="shared" si="47"/>
        <v>-1.52</v>
      </c>
      <c r="K106" s="18">
        <f t="shared" si="48"/>
        <v>33.73087071</v>
      </c>
      <c r="L106" s="607"/>
      <c r="M106" s="598" t="s">
        <v>70</v>
      </c>
      <c r="N106" s="598" t="s">
        <v>71</v>
      </c>
      <c r="O106" s="598" t="s">
        <v>27</v>
      </c>
      <c r="P106" s="77" t="s">
        <v>28</v>
      </c>
      <c r="Q106" s="12" t="s">
        <v>78</v>
      </c>
    </row>
    <row r="107">
      <c r="A107" s="607"/>
      <c r="B107" s="615">
        <v>45826.0</v>
      </c>
      <c r="C107" s="349" t="s">
        <v>472</v>
      </c>
      <c r="D107" s="606" t="s">
        <v>285</v>
      </c>
      <c r="E107" s="606">
        <v>73587.0</v>
      </c>
      <c r="F107" s="614">
        <f t="shared" si="49"/>
        <v>700</v>
      </c>
      <c r="G107" s="12">
        <v>527.0</v>
      </c>
      <c r="H107" s="12">
        <v>256.0</v>
      </c>
      <c r="I107" s="12">
        <v>250.0</v>
      </c>
      <c r="J107" s="13">
        <f t="shared" si="47"/>
        <v>6</v>
      </c>
      <c r="K107" s="18">
        <f t="shared" si="48"/>
        <v>35.71428571</v>
      </c>
      <c r="L107" s="607"/>
      <c r="M107" s="599">
        <f>SUM(F105:F109)</f>
        <v>4159</v>
      </c>
      <c r="N107" s="599">
        <f>SUM(I105:I109)</f>
        <v>1473.53</v>
      </c>
      <c r="O107" s="600">
        <f>N107/M107*100</f>
        <v>35.42991104</v>
      </c>
      <c r="P107" s="79">
        <f>(M107/100)*(O107-Q107)</f>
        <v>184.24</v>
      </c>
      <c r="Q107" s="78">
        <v>31.0</v>
      </c>
    </row>
    <row r="108">
      <c r="A108" s="607"/>
      <c r="B108" s="615">
        <v>45831.0</v>
      </c>
      <c r="C108" s="349" t="s">
        <v>472</v>
      </c>
      <c r="D108" s="606" t="s">
        <v>285</v>
      </c>
      <c r="E108" s="606">
        <v>74463.0</v>
      </c>
      <c r="F108" s="614">
        <f t="shared" si="49"/>
        <v>876</v>
      </c>
      <c r="G108" s="12">
        <v>479.0</v>
      </c>
      <c r="H108" s="12">
        <v>257.0</v>
      </c>
      <c r="I108" s="12">
        <v>250.0</v>
      </c>
      <c r="J108" s="13">
        <f t="shared" si="47"/>
        <v>7</v>
      </c>
      <c r="K108" s="18">
        <f t="shared" si="48"/>
        <v>28.53881279</v>
      </c>
      <c r="L108" s="607"/>
      <c r="M108" s="607"/>
      <c r="N108" s="607"/>
      <c r="P108" s="44"/>
    </row>
    <row r="109">
      <c r="A109" s="607"/>
      <c r="B109" s="615">
        <v>45835.0</v>
      </c>
      <c r="C109" s="349" t="s">
        <v>472</v>
      </c>
      <c r="D109" s="606" t="s">
        <v>285</v>
      </c>
      <c r="E109" s="606">
        <v>75064.0</v>
      </c>
      <c r="F109" s="614">
        <f t="shared" si="49"/>
        <v>601</v>
      </c>
      <c r="G109" s="12">
        <v>540.0</v>
      </c>
      <c r="H109" s="12">
        <v>279.0</v>
      </c>
      <c r="I109" s="12">
        <v>300.0</v>
      </c>
      <c r="J109" s="13">
        <f t="shared" si="47"/>
        <v>-21</v>
      </c>
      <c r="K109" s="18">
        <f t="shared" si="48"/>
        <v>49.91680532</v>
      </c>
      <c r="L109" s="607"/>
      <c r="M109" s="607"/>
      <c r="N109" s="607"/>
      <c r="P109" s="44"/>
    </row>
    <row r="110">
      <c r="A110" s="87" t="s">
        <v>77</v>
      </c>
      <c r="B110" s="88" t="str">
        <f>IF(L110=4,"АПРЕЛЬ",IF(L110=5,"МАЙ",IF(L110=1,"ЯНВАРЬ",IF(L110=2,"ФЕВРАЛЬ",IF(L110=3,"МАРТ",IF(L110=6,"ИЮНЬ",IF(L110=7,"ИЮЛЬ",IF(L110=8,"АВГУСТ",IF(L110=9,"СЕНТЯБРЬ",IF(L110=10,"ОКТЯБРЬ",IF(L110=11,"НОЯБРЬ",IF(L110=12,"ДЕКАБРЬ"))))))))))))</f>
        <v>ИЮЛЬ</v>
      </c>
      <c r="J110" s="89"/>
      <c r="K110" s="90"/>
      <c r="L110" s="91">
        <f>MONTH(B111)</f>
        <v>7</v>
      </c>
      <c r="M110" s="89"/>
      <c r="N110" s="89"/>
      <c r="O110" s="89"/>
      <c r="P110" s="93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</row>
    <row r="111">
      <c r="A111" s="607"/>
      <c r="B111" s="615">
        <v>45839.0</v>
      </c>
      <c r="C111" s="606" t="s">
        <v>99</v>
      </c>
      <c r="D111" s="606" t="s">
        <v>285</v>
      </c>
      <c r="E111" s="606">
        <v>75730.0</v>
      </c>
      <c r="F111" s="614">
        <f>E111-E109</f>
        <v>666</v>
      </c>
      <c r="G111" s="12">
        <v>540.0</v>
      </c>
      <c r="H111" s="12">
        <v>241.0</v>
      </c>
      <c r="I111" s="13">
        <f>250-7.85</f>
        <v>242.15</v>
      </c>
      <c r="J111" s="13">
        <f t="shared" ref="J111:J115" si="50">H111-I111</f>
        <v>-1.15</v>
      </c>
      <c r="K111" s="18">
        <f t="shared" ref="K111:K115" si="51">I111/F111*100</f>
        <v>36.35885886</v>
      </c>
      <c r="L111" s="607"/>
      <c r="M111" s="82" t="str">
        <f>"тотал"&amp;" "&amp;B110&amp;" "&amp;RIGHT(YEAR(B111),2)</f>
        <v>тотал ИЮЛЬ 25</v>
      </c>
      <c r="N111" s="75"/>
      <c r="O111" s="75"/>
      <c r="P111" s="75"/>
      <c r="Q111" s="76"/>
    </row>
    <row r="112">
      <c r="A112" s="607"/>
      <c r="B112" s="615">
        <v>45842.0</v>
      </c>
      <c r="C112" s="606" t="s">
        <v>99</v>
      </c>
      <c r="D112" s="606" t="s">
        <v>285</v>
      </c>
      <c r="E112" s="606">
        <v>76515.0</v>
      </c>
      <c r="F112" s="614">
        <f t="shared" ref="F112:F115" si="52">E112-E111</f>
        <v>785</v>
      </c>
      <c r="G112" s="12">
        <v>540.0</v>
      </c>
      <c r="H112" s="12">
        <v>233.0</v>
      </c>
      <c r="I112" s="12">
        <v>239.64</v>
      </c>
      <c r="J112" s="13">
        <f t="shared" si="50"/>
        <v>-6.64</v>
      </c>
      <c r="K112" s="18">
        <f t="shared" si="51"/>
        <v>30.52738854</v>
      </c>
      <c r="L112" s="607"/>
      <c r="M112" s="598" t="s">
        <v>70</v>
      </c>
      <c r="N112" s="598" t="s">
        <v>71</v>
      </c>
      <c r="O112" s="598" t="s">
        <v>27</v>
      </c>
      <c r="P112" s="77" t="s">
        <v>28</v>
      </c>
      <c r="Q112" s="12" t="s">
        <v>78</v>
      </c>
    </row>
    <row r="113">
      <c r="A113" s="607"/>
      <c r="B113" s="615">
        <v>45860.0</v>
      </c>
      <c r="C113" s="606" t="s">
        <v>99</v>
      </c>
      <c r="D113" s="606" t="s">
        <v>285</v>
      </c>
      <c r="E113" s="606">
        <v>77237.0</v>
      </c>
      <c r="F113" s="614">
        <f t="shared" si="52"/>
        <v>722</v>
      </c>
      <c r="G113" s="12">
        <v>540.0</v>
      </c>
      <c r="H113" s="12">
        <v>230.0</v>
      </c>
      <c r="I113" s="13">
        <f>250-17.09</f>
        <v>232.91</v>
      </c>
      <c r="J113" s="13">
        <f t="shared" si="50"/>
        <v>-2.91</v>
      </c>
      <c r="K113" s="18">
        <f t="shared" si="51"/>
        <v>32.25900277</v>
      </c>
      <c r="L113" s="607"/>
      <c r="M113" s="599">
        <f>SUM(F111:F115)</f>
        <v>3427</v>
      </c>
      <c r="N113" s="599">
        <f>SUM(I111:I115)</f>
        <v>1149.7</v>
      </c>
      <c r="O113" s="600">
        <f>N113/M113*100</f>
        <v>33.54829297</v>
      </c>
      <c r="P113" s="79">
        <f>(M113/100)*(O113-Q113)</f>
        <v>87.33</v>
      </c>
      <c r="Q113" s="78">
        <v>31.0</v>
      </c>
    </row>
    <row r="114">
      <c r="A114" s="607"/>
      <c r="B114" s="615">
        <v>45863.0</v>
      </c>
      <c r="C114" s="606" t="s">
        <v>99</v>
      </c>
      <c r="D114" s="606" t="s">
        <v>285</v>
      </c>
      <c r="E114" s="606">
        <v>77859.0</v>
      </c>
      <c r="F114" s="614">
        <f t="shared" si="52"/>
        <v>622</v>
      </c>
      <c r="G114" s="12">
        <v>540.0</v>
      </c>
      <c r="H114" s="12">
        <v>228.0</v>
      </c>
      <c r="I114" s="13">
        <f>250-24.99</f>
        <v>225.01</v>
      </c>
      <c r="J114" s="13">
        <f t="shared" si="50"/>
        <v>2.99</v>
      </c>
      <c r="K114" s="18">
        <f t="shared" si="51"/>
        <v>36.17524116</v>
      </c>
      <c r="L114" s="607"/>
      <c r="M114" s="607"/>
      <c r="N114" s="607"/>
      <c r="P114" s="44"/>
    </row>
    <row r="115">
      <c r="A115" s="607"/>
      <c r="B115" s="615">
        <v>45869.0</v>
      </c>
      <c r="C115" s="606" t="s">
        <v>99</v>
      </c>
      <c r="D115" s="606" t="s">
        <v>285</v>
      </c>
      <c r="E115" s="606">
        <v>78491.0</v>
      </c>
      <c r="F115" s="614">
        <f t="shared" si="52"/>
        <v>632</v>
      </c>
      <c r="G115" s="12">
        <v>539.0</v>
      </c>
      <c r="H115" s="12">
        <v>218.0</v>
      </c>
      <c r="I115" s="13">
        <f>250-40.01</f>
        <v>209.99</v>
      </c>
      <c r="J115" s="13">
        <f t="shared" si="50"/>
        <v>8.01</v>
      </c>
      <c r="K115" s="18">
        <f t="shared" si="51"/>
        <v>33.22626582</v>
      </c>
      <c r="L115" s="607"/>
      <c r="M115" s="607"/>
      <c r="N115" s="607"/>
      <c r="P115" s="44"/>
    </row>
    <row r="116">
      <c r="A116" s="87" t="s">
        <v>77</v>
      </c>
      <c r="B116" s="88" t="str">
        <f>IF(L116=4,"АПРЕЛЬ",IF(L116=5,"МАЙ",IF(L116=1,"ЯНВАРЬ",IF(L116=2,"ФЕВРАЛЬ",IF(L116=3,"МАРТ",IF(L116=6,"ИЮНЬ",IF(L116=7,"ИЮЛЬ",IF(L116=8,"АВГУСТ",IF(L116=9,"СЕНТЯБРЬ",IF(L116=10,"ОКТЯБРЬ",IF(L116=11,"НОЯБРЬ",IF(L116=12,"ДЕКАБРЬ"))))))))))))</f>
        <v>АВГУСТ</v>
      </c>
      <c r="J116" s="89"/>
      <c r="K116" s="90"/>
      <c r="L116" s="91">
        <f>MONTH(B117)</f>
        <v>8</v>
      </c>
      <c r="M116" s="89"/>
      <c r="N116" s="89"/>
      <c r="O116" s="89"/>
      <c r="P116" s="93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</row>
    <row r="117">
      <c r="A117" s="607"/>
      <c r="B117" s="615">
        <v>45871.0</v>
      </c>
      <c r="C117" s="606" t="s">
        <v>99</v>
      </c>
      <c r="D117" s="606" t="s">
        <v>285</v>
      </c>
      <c r="E117" s="606">
        <v>79015.0</v>
      </c>
      <c r="F117" s="614">
        <f>E117-E115</f>
        <v>524</v>
      </c>
      <c r="G117" s="12">
        <v>395.0</v>
      </c>
      <c r="H117" s="12">
        <v>42.0</v>
      </c>
      <c r="I117" s="12">
        <v>40.0</v>
      </c>
      <c r="J117" s="13">
        <f t="shared" ref="J117:J123" si="53">H117-I117</f>
        <v>2</v>
      </c>
      <c r="K117" s="18">
        <f t="shared" ref="K117:K123" si="54">I117/F117*100</f>
        <v>7.633587786</v>
      </c>
      <c r="L117" s="607"/>
      <c r="M117" s="82" t="str">
        <f>"тотал"&amp;" "&amp;B116&amp;" "&amp;RIGHT(YEAR(B117),2)</f>
        <v>тотал АВГУСТ 25</v>
      </c>
      <c r="N117" s="75"/>
      <c r="O117" s="75"/>
      <c r="P117" s="75"/>
      <c r="Q117" s="76"/>
    </row>
    <row r="118">
      <c r="A118" s="607"/>
      <c r="B118" s="615">
        <v>45872.0</v>
      </c>
      <c r="C118" s="606" t="s">
        <v>99</v>
      </c>
      <c r="D118" s="606" t="s">
        <v>285</v>
      </c>
      <c r="E118" s="606">
        <v>79220.0</v>
      </c>
      <c r="F118" s="614">
        <f t="shared" ref="F118:F123" si="55">E118-E117</f>
        <v>205</v>
      </c>
      <c r="G118" s="12">
        <v>540.0</v>
      </c>
      <c r="H118" s="12">
        <v>208.0</v>
      </c>
      <c r="I118" s="13">
        <f>300-90.34</f>
        <v>209.66</v>
      </c>
      <c r="J118" s="13">
        <f t="shared" si="53"/>
        <v>-1.66</v>
      </c>
      <c r="K118" s="18">
        <f t="shared" si="54"/>
        <v>102.2731707</v>
      </c>
      <c r="L118" s="607"/>
      <c r="M118" s="598" t="s">
        <v>70</v>
      </c>
      <c r="N118" s="598" t="s">
        <v>71</v>
      </c>
      <c r="O118" s="598" t="s">
        <v>27</v>
      </c>
      <c r="P118" s="77" t="s">
        <v>28</v>
      </c>
      <c r="Q118" s="12" t="s">
        <v>78</v>
      </c>
    </row>
    <row r="119">
      <c r="A119" s="607"/>
      <c r="B119" s="615">
        <v>45874.0</v>
      </c>
      <c r="C119" s="606" t="s">
        <v>99</v>
      </c>
      <c r="D119" s="606" t="s">
        <v>285</v>
      </c>
      <c r="E119" s="606">
        <v>79694.0</v>
      </c>
      <c r="F119" s="614">
        <f t="shared" si="55"/>
        <v>474</v>
      </c>
      <c r="G119" s="12">
        <v>487.0</v>
      </c>
      <c r="H119" s="12">
        <v>92.0</v>
      </c>
      <c r="I119" s="12">
        <v>90.0</v>
      </c>
      <c r="J119" s="13">
        <f t="shared" si="53"/>
        <v>2</v>
      </c>
      <c r="K119" s="18">
        <f t="shared" si="54"/>
        <v>18.98734177</v>
      </c>
      <c r="L119" s="607"/>
      <c r="M119" s="599">
        <f>SUM(F117:F123)</f>
        <v>2923</v>
      </c>
      <c r="N119" s="599">
        <f>SUM(I117:I123)</f>
        <v>939.55</v>
      </c>
      <c r="O119" s="600">
        <f>N119/M119*100</f>
        <v>32.14334588</v>
      </c>
      <c r="P119" s="79">
        <f>(M119/100)*(O119-Q119)</f>
        <v>33.42</v>
      </c>
      <c r="Q119" s="78">
        <v>31.0</v>
      </c>
    </row>
    <row r="120">
      <c r="A120" s="607"/>
      <c r="B120" s="615">
        <v>45877.0</v>
      </c>
      <c r="C120" s="606" t="s">
        <v>99</v>
      </c>
      <c r="D120" s="606" t="s">
        <v>285</v>
      </c>
      <c r="E120" s="606">
        <v>80140.0</v>
      </c>
      <c r="F120" s="614">
        <f t="shared" si="55"/>
        <v>446</v>
      </c>
      <c r="G120" s="12">
        <v>540.0</v>
      </c>
      <c r="H120" s="12">
        <v>219.0</v>
      </c>
      <c r="I120" s="13">
        <f>300-79.98</f>
        <v>220.02</v>
      </c>
      <c r="J120" s="13">
        <f t="shared" si="53"/>
        <v>-1.02</v>
      </c>
      <c r="K120" s="18">
        <f t="shared" si="54"/>
        <v>49.33183857</v>
      </c>
      <c r="L120" s="607"/>
      <c r="M120" s="607"/>
      <c r="N120" s="607"/>
      <c r="P120" s="44"/>
    </row>
    <row r="121">
      <c r="A121" s="607"/>
      <c r="B121" s="615">
        <v>45879.0</v>
      </c>
      <c r="C121" s="606" t="s">
        <v>99</v>
      </c>
      <c r="D121" s="606" t="s">
        <v>285</v>
      </c>
      <c r="E121" s="606">
        <v>80546.0</v>
      </c>
      <c r="F121" s="614">
        <f t="shared" si="55"/>
        <v>406</v>
      </c>
      <c r="G121" s="12">
        <v>485.0</v>
      </c>
      <c r="H121" s="12">
        <v>80.0</v>
      </c>
      <c r="I121" s="12">
        <v>79.98</v>
      </c>
      <c r="J121" s="13">
        <f t="shared" si="53"/>
        <v>0.02</v>
      </c>
      <c r="K121" s="18">
        <f t="shared" si="54"/>
        <v>19.69950739</v>
      </c>
      <c r="L121" s="607"/>
      <c r="M121" s="607"/>
      <c r="N121" s="607"/>
      <c r="P121" s="44"/>
    </row>
    <row r="122">
      <c r="A122" s="607"/>
      <c r="B122" s="615">
        <v>45897.0</v>
      </c>
      <c r="C122" s="606" t="s">
        <v>99</v>
      </c>
      <c r="D122" s="606" t="s">
        <v>285</v>
      </c>
      <c r="E122" s="606">
        <v>80994.0</v>
      </c>
      <c r="F122" s="614">
        <f t="shared" si="55"/>
        <v>448</v>
      </c>
      <c r="G122" s="12">
        <v>540.0</v>
      </c>
      <c r="H122" s="12">
        <v>204.0</v>
      </c>
      <c r="I122" s="13">
        <f>300-98.11</f>
        <v>201.89</v>
      </c>
      <c r="J122" s="13">
        <f t="shared" si="53"/>
        <v>2.11</v>
      </c>
      <c r="K122" s="18">
        <f t="shared" si="54"/>
        <v>45.06473214</v>
      </c>
      <c r="L122" s="607"/>
      <c r="M122" s="607"/>
      <c r="N122" s="607"/>
      <c r="P122" s="44"/>
    </row>
    <row r="123">
      <c r="A123" s="607"/>
      <c r="B123" s="615">
        <v>45899.0</v>
      </c>
      <c r="C123" s="606" t="s">
        <v>99</v>
      </c>
      <c r="D123" s="606" t="s">
        <v>285</v>
      </c>
      <c r="E123" s="606">
        <v>81414.0</v>
      </c>
      <c r="F123" s="614">
        <f t="shared" si="55"/>
        <v>420</v>
      </c>
      <c r="G123" s="12">
        <v>496.0</v>
      </c>
      <c r="H123" s="12">
        <v>101.0</v>
      </c>
      <c r="I123" s="12">
        <v>98.0</v>
      </c>
      <c r="J123" s="13">
        <f t="shared" si="53"/>
        <v>3</v>
      </c>
      <c r="K123" s="18">
        <f t="shared" si="54"/>
        <v>23.33333333</v>
      </c>
      <c r="L123" s="607"/>
      <c r="M123" s="607"/>
      <c r="N123" s="607"/>
      <c r="P123" s="44"/>
    </row>
    <row r="124">
      <c r="A124" s="87" t="s">
        <v>77</v>
      </c>
      <c r="B124" s="88" t="str">
        <f>IF(L124=4,"АПРЕЛЬ",IF(L124=5,"МАЙ",IF(L124=1,"ЯНВАРЬ",IF(L124=2,"ФЕВРАЛЬ",IF(L124=3,"МАРТ",IF(L124=6,"ИЮНЬ",IF(L124=7,"ИЮЛЬ",IF(L124=8,"АВГУСТ",IF(L124=9,"СЕНТЯБРЬ",IF(L124=10,"ОКТЯБРЬ",IF(L124=11,"НОЯБРЬ",IF(L124=12,"ДЕКАБРЬ"))))))))))))</f>
        <v>СЕНТЯБРЬ</v>
      </c>
      <c r="J124" s="89"/>
      <c r="K124" s="90"/>
      <c r="L124" s="91">
        <f>MONTH(B125)</f>
        <v>9</v>
      </c>
      <c r="M124" s="89"/>
      <c r="N124" s="89"/>
      <c r="O124" s="89"/>
      <c r="P124" s="93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</row>
    <row r="125">
      <c r="A125" s="607"/>
      <c r="B125" s="615">
        <v>45902.0</v>
      </c>
      <c r="C125" s="211" t="s">
        <v>99</v>
      </c>
      <c r="D125" s="211" t="s">
        <v>285</v>
      </c>
      <c r="E125" s="606">
        <v>81749.0</v>
      </c>
      <c r="F125" s="614">
        <f>E125-E123</f>
        <v>335</v>
      </c>
      <c r="G125" s="12">
        <v>527.0</v>
      </c>
      <c r="H125" s="12">
        <v>152.0</v>
      </c>
      <c r="I125" s="12">
        <v>150.0</v>
      </c>
      <c r="J125" s="13">
        <f t="shared" ref="J125:J131" si="56">H125-I125</f>
        <v>2</v>
      </c>
      <c r="K125" s="18">
        <f t="shared" ref="K125:K131" si="57">I125/F125*100</f>
        <v>44.7761194</v>
      </c>
      <c r="L125" s="607"/>
      <c r="M125" s="82" t="str">
        <f>"тотал"&amp;" "&amp;B124&amp;" "&amp;RIGHT(YEAR(B125),2)</f>
        <v>тотал СЕНТЯБРЬ 25</v>
      </c>
      <c r="N125" s="75"/>
      <c r="O125" s="75"/>
      <c r="P125" s="75"/>
      <c r="Q125" s="76"/>
    </row>
    <row r="126">
      <c r="A126" s="607"/>
      <c r="B126" s="615">
        <v>45904.0</v>
      </c>
      <c r="C126" s="211" t="s">
        <v>99</v>
      </c>
      <c r="D126" s="211" t="s">
        <v>285</v>
      </c>
      <c r="E126" s="606">
        <v>82079.0</v>
      </c>
      <c r="F126" s="614">
        <f t="shared" ref="F126:F131" si="58">E126-E125</f>
        <v>330</v>
      </c>
      <c r="G126" s="12">
        <v>540.0</v>
      </c>
      <c r="H126" s="12">
        <v>137.0</v>
      </c>
      <c r="I126" s="12">
        <v>143.78</v>
      </c>
      <c r="J126" s="13">
        <f t="shared" si="56"/>
        <v>-6.78</v>
      </c>
      <c r="K126" s="18">
        <f t="shared" si="57"/>
        <v>43.56969697</v>
      </c>
      <c r="L126" s="607"/>
      <c r="M126" s="598" t="s">
        <v>70</v>
      </c>
      <c r="N126" s="598" t="s">
        <v>71</v>
      </c>
      <c r="O126" s="598" t="s">
        <v>27</v>
      </c>
      <c r="P126" s="77" t="s">
        <v>28</v>
      </c>
      <c r="Q126" s="12" t="s">
        <v>78</v>
      </c>
    </row>
    <row r="127">
      <c r="A127" s="607"/>
      <c r="B127" s="615">
        <v>45906.0</v>
      </c>
      <c r="C127" s="211" t="s">
        <v>99</v>
      </c>
      <c r="D127" s="211" t="s">
        <v>285</v>
      </c>
      <c r="E127" s="606">
        <v>82501.0</v>
      </c>
      <c r="F127" s="614">
        <f t="shared" si="58"/>
        <v>422</v>
      </c>
      <c r="G127" s="12">
        <v>540.0</v>
      </c>
      <c r="H127" s="12">
        <v>130.0</v>
      </c>
      <c r="I127" s="13">
        <f>150-15.51</f>
        <v>134.49</v>
      </c>
      <c r="J127" s="13">
        <f t="shared" si="56"/>
        <v>-4.49</v>
      </c>
      <c r="K127" s="18">
        <f t="shared" si="57"/>
        <v>31.86966825</v>
      </c>
      <c r="L127" s="607"/>
      <c r="M127" s="599">
        <f>SUM(F125:F131)</f>
        <v>2581</v>
      </c>
      <c r="N127" s="599">
        <f>SUM(I125:I131)</f>
        <v>886.03</v>
      </c>
      <c r="O127" s="600">
        <f>N127/M127*100</f>
        <v>34.32894227</v>
      </c>
      <c r="P127" s="79">
        <f>(M127/100)*(O127-Q127)</f>
        <v>85.92</v>
      </c>
      <c r="Q127" s="78">
        <v>31.0</v>
      </c>
    </row>
    <row r="128">
      <c r="A128" s="607"/>
      <c r="B128" s="615">
        <v>45909.0</v>
      </c>
      <c r="C128" s="211" t="s">
        <v>99</v>
      </c>
      <c r="D128" s="211" t="s">
        <v>285</v>
      </c>
      <c r="E128" s="606">
        <v>83164.0</v>
      </c>
      <c r="F128" s="614">
        <f t="shared" si="58"/>
        <v>663</v>
      </c>
      <c r="G128" s="12">
        <v>415.0</v>
      </c>
      <c r="H128" s="12">
        <v>72.0</v>
      </c>
      <c r="I128" s="12">
        <v>70.08</v>
      </c>
      <c r="J128" s="13">
        <f t="shared" si="56"/>
        <v>1.92</v>
      </c>
      <c r="K128" s="18">
        <f t="shared" si="57"/>
        <v>10.57013575</v>
      </c>
      <c r="L128" s="607"/>
      <c r="M128" s="607"/>
      <c r="N128" s="607"/>
      <c r="P128" s="44"/>
    </row>
    <row r="129">
      <c r="A129" s="607"/>
      <c r="B129" s="615">
        <v>45910.0</v>
      </c>
      <c r="C129" s="211" t="s">
        <v>99</v>
      </c>
      <c r="D129" s="211" t="s">
        <v>285</v>
      </c>
      <c r="E129" s="606">
        <v>83190.0</v>
      </c>
      <c r="F129" s="614">
        <f t="shared" si="58"/>
        <v>26</v>
      </c>
      <c r="G129" s="12">
        <v>540.0</v>
      </c>
      <c r="H129" s="12">
        <v>139.0</v>
      </c>
      <c r="I129" s="12">
        <v>143.78</v>
      </c>
      <c r="J129" s="13">
        <f t="shared" si="56"/>
        <v>-4.78</v>
      </c>
      <c r="K129" s="18">
        <f t="shared" si="57"/>
        <v>553</v>
      </c>
      <c r="L129" s="607"/>
      <c r="M129" s="607"/>
      <c r="N129" s="607"/>
      <c r="P129" s="44"/>
    </row>
    <row r="130">
      <c r="A130" s="607"/>
      <c r="B130" s="615">
        <v>45912.0</v>
      </c>
      <c r="C130" s="211" t="s">
        <v>99</v>
      </c>
      <c r="D130" s="211" t="s">
        <v>285</v>
      </c>
      <c r="E130" s="606">
        <v>83562.0</v>
      </c>
      <c r="F130" s="614">
        <f t="shared" si="58"/>
        <v>372</v>
      </c>
      <c r="G130" s="12">
        <v>540.0</v>
      </c>
      <c r="H130" s="12">
        <v>136.0</v>
      </c>
      <c r="I130" s="13">
        <f>150-6.1</f>
        <v>143.9</v>
      </c>
      <c r="J130" s="13">
        <f t="shared" si="56"/>
        <v>-7.9</v>
      </c>
      <c r="K130" s="18">
        <f t="shared" si="57"/>
        <v>38.6827957</v>
      </c>
      <c r="L130" s="607"/>
      <c r="M130" s="607"/>
      <c r="N130" s="607"/>
      <c r="P130" s="44"/>
    </row>
    <row r="131">
      <c r="A131" s="607"/>
      <c r="B131" s="615">
        <v>45915.0</v>
      </c>
      <c r="C131" s="211" t="s">
        <v>99</v>
      </c>
      <c r="D131" s="211" t="s">
        <v>285</v>
      </c>
      <c r="E131" s="606">
        <v>83995.0</v>
      </c>
      <c r="F131" s="614">
        <f t="shared" si="58"/>
        <v>433</v>
      </c>
      <c r="G131" s="12">
        <v>493.0</v>
      </c>
      <c r="H131" s="12">
        <v>102.0</v>
      </c>
      <c r="I131" s="12">
        <v>100.0</v>
      </c>
      <c r="J131" s="13">
        <f t="shared" si="56"/>
        <v>2</v>
      </c>
      <c r="K131" s="18">
        <f t="shared" si="57"/>
        <v>23.09468822</v>
      </c>
      <c r="L131" s="607"/>
      <c r="M131" s="607"/>
      <c r="N131" s="607"/>
      <c r="P131" s="44"/>
    </row>
    <row r="132">
      <c r="A132" s="607"/>
      <c r="B132" s="615"/>
      <c r="C132" s="614"/>
      <c r="D132" s="614"/>
      <c r="E132" s="606"/>
      <c r="F132" s="614"/>
      <c r="G132" s="13"/>
      <c r="H132" s="13"/>
      <c r="I132" s="13"/>
      <c r="J132" s="13"/>
      <c r="K132" s="18"/>
      <c r="L132" s="607"/>
      <c r="M132" s="607"/>
      <c r="N132" s="607"/>
      <c r="P132" s="44"/>
    </row>
    <row r="133">
      <c r="A133" s="607"/>
      <c r="B133" s="614"/>
      <c r="C133" s="614"/>
      <c r="D133" s="614"/>
      <c r="E133" s="614"/>
      <c r="F133" s="614"/>
      <c r="G133" s="13"/>
      <c r="H133" s="13"/>
      <c r="I133" s="13"/>
      <c r="J133" s="13"/>
      <c r="K133" s="18"/>
      <c r="L133" s="607"/>
      <c r="M133" s="607"/>
      <c r="N133" s="607"/>
      <c r="P133" s="44"/>
    </row>
    <row r="134">
      <c r="A134" s="607"/>
      <c r="B134" s="614"/>
      <c r="C134" s="614"/>
      <c r="D134" s="614"/>
      <c r="E134" s="614"/>
      <c r="F134" s="614"/>
      <c r="G134" s="13"/>
      <c r="H134" s="13"/>
      <c r="I134" s="13"/>
      <c r="J134" s="13"/>
      <c r="K134" s="18"/>
      <c r="L134" s="607"/>
      <c r="M134" s="607"/>
      <c r="N134" s="607"/>
      <c r="P134" s="44"/>
    </row>
    <row r="135">
      <c r="A135" s="607"/>
      <c r="B135" s="614"/>
      <c r="C135" s="614"/>
      <c r="D135" s="614"/>
      <c r="E135" s="614"/>
      <c r="F135" s="614"/>
      <c r="G135" s="13"/>
      <c r="H135" s="13"/>
      <c r="I135" s="13"/>
      <c r="J135" s="13"/>
      <c r="K135" s="18"/>
      <c r="L135" s="607"/>
      <c r="M135" s="607"/>
      <c r="N135" s="607"/>
      <c r="P135" s="44"/>
    </row>
    <row r="136">
      <c r="A136" s="607"/>
      <c r="B136" s="614"/>
      <c r="C136" s="614"/>
      <c r="D136" s="614"/>
      <c r="E136" s="614"/>
      <c r="F136" s="614"/>
      <c r="G136" s="13"/>
      <c r="H136" s="13"/>
      <c r="I136" s="13"/>
      <c r="J136" s="13"/>
      <c r="K136" s="18"/>
      <c r="L136" s="607"/>
      <c r="M136" s="607"/>
      <c r="N136" s="607"/>
      <c r="P136" s="44"/>
    </row>
    <row r="137">
      <c r="A137" s="607"/>
      <c r="B137" s="614"/>
      <c r="C137" s="614"/>
      <c r="D137" s="614"/>
      <c r="E137" s="614"/>
      <c r="F137" s="614"/>
      <c r="G137" s="13"/>
      <c r="H137" s="13"/>
      <c r="I137" s="13"/>
      <c r="J137" s="13"/>
      <c r="K137" s="18"/>
      <c r="L137" s="607"/>
      <c r="M137" s="607"/>
      <c r="N137" s="607"/>
      <c r="P137" s="44"/>
    </row>
    <row r="138">
      <c r="A138" s="607"/>
      <c r="B138" s="614"/>
      <c r="C138" s="614"/>
      <c r="D138" s="614"/>
      <c r="E138" s="614"/>
      <c r="F138" s="614"/>
      <c r="G138" s="13"/>
      <c r="H138" s="13"/>
      <c r="I138" s="13"/>
      <c r="J138" s="13"/>
      <c r="K138" s="18"/>
      <c r="L138" s="607"/>
      <c r="M138" s="607"/>
      <c r="N138" s="607"/>
      <c r="P138" s="44"/>
    </row>
    <row r="139">
      <c r="A139" s="607"/>
      <c r="B139" s="614"/>
      <c r="C139" s="614"/>
      <c r="D139" s="614"/>
      <c r="E139" s="614"/>
      <c r="F139" s="614"/>
      <c r="G139" s="13"/>
      <c r="H139" s="13"/>
      <c r="I139" s="13"/>
      <c r="J139" s="13"/>
      <c r="K139" s="18"/>
      <c r="L139" s="607"/>
      <c r="M139" s="607"/>
      <c r="N139" s="607"/>
      <c r="P139" s="44"/>
    </row>
    <row r="140">
      <c r="A140" s="607"/>
      <c r="B140" s="614"/>
      <c r="C140" s="614"/>
      <c r="D140" s="614"/>
      <c r="E140" s="614"/>
      <c r="F140" s="614"/>
      <c r="G140" s="13"/>
      <c r="H140" s="13"/>
      <c r="I140" s="13"/>
      <c r="J140" s="13"/>
      <c r="K140" s="18"/>
      <c r="L140" s="607"/>
      <c r="M140" s="607"/>
      <c r="N140" s="607"/>
      <c r="P140" s="44"/>
    </row>
    <row r="141">
      <c r="A141" s="607"/>
      <c r="B141" s="614"/>
      <c r="C141" s="614"/>
      <c r="D141" s="614"/>
      <c r="E141" s="614"/>
      <c r="F141" s="614"/>
      <c r="G141" s="13"/>
      <c r="H141" s="13"/>
      <c r="I141" s="13"/>
      <c r="J141" s="13"/>
      <c r="K141" s="18"/>
      <c r="L141" s="607"/>
      <c r="M141" s="607"/>
      <c r="N141" s="607"/>
      <c r="P141" s="44"/>
    </row>
    <row r="142">
      <c r="A142" s="607"/>
      <c r="B142" s="614"/>
      <c r="C142" s="614"/>
      <c r="D142" s="614"/>
      <c r="E142" s="614"/>
      <c r="F142" s="614"/>
      <c r="G142" s="13"/>
      <c r="H142" s="13"/>
      <c r="I142" s="13"/>
      <c r="J142" s="13"/>
      <c r="K142" s="18"/>
      <c r="L142" s="607"/>
      <c r="M142" s="607"/>
      <c r="N142" s="607"/>
      <c r="P142" s="44"/>
    </row>
    <row r="143">
      <c r="A143" s="607"/>
      <c r="B143" s="614"/>
      <c r="C143" s="614"/>
      <c r="D143" s="614"/>
      <c r="E143" s="614"/>
      <c r="F143" s="614"/>
      <c r="G143" s="13"/>
      <c r="H143" s="13"/>
      <c r="I143" s="13"/>
      <c r="J143" s="13"/>
      <c r="K143" s="18"/>
      <c r="L143" s="607"/>
      <c r="M143" s="607"/>
      <c r="N143" s="607"/>
      <c r="P143" s="44"/>
    </row>
    <row r="144">
      <c r="A144" s="607"/>
      <c r="B144" s="614"/>
      <c r="C144" s="614"/>
      <c r="D144" s="614"/>
      <c r="E144" s="614"/>
      <c r="F144" s="614"/>
      <c r="G144" s="13"/>
      <c r="H144" s="13"/>
      <c r="I144" s="13"/>
      <c r="J144" s="13"/>
      <c r="K144" s="18"/>
      <c r="L144" s="607"/>
      <c r="M144" s="607"/>
      <c r="N144" s="607"/>
      <c r="P144" s="44"/>
    </row>
    <row r="145">
      <c r="A145" s="607"/>
      <c r="B145" s="616"/>
      <c r="C145" s="616"/>
      <c r="D145" s="616"/>
      <c r="E145" s="616"/>
      <c r="F145" s="616"/>
      <c r="K145" s="35"/>
      <c r="L145" s="607"/>
      <c r="M145" s="607"/>
      <c r="N145" s="607"/>
      <c r="P145" s="44"/>
    </row>
    <row r="146">
      <c r="A146" s="607"/>
      <c r="B146" s="616"/>
      <c r="C146" s="616"/>
      <c r="D146" s="616"/>
      <c r="E146" s="616"/>
      <c r="F146" s="616"/>
      <c r="K146" s="35"/>
      <c r="L146" s="607"/>
      <c r="M146" s="607"/>
      <c r="N146" s="607"/>
      <c r="P146" s="44"/>
    </row>
    <row r="147">
      <c r="A147" s="607"/>
      <c r="B147" s="616"/>
      <c r="C147" s="616"/>
      <c r="D147" s="616"/>
      <c r="E147" s="616"/>
      <c r="F147" s="616"/>
      <c r="K147" s="35"/>
      <c r="L147" s="607"/>
      <c r="M147" s="607"/>
      <c r="N147" s="607"/>
      <c r="P147" s="44"/>
    </row>
    <row r="148">
      <c r="A148" s="607"/>
      <c r="B148" s="616"/>
      <c r="C148" s="616"/>
      <c r="D148" s="616"/>
      <c r="E148" s="616"/>
      <c r="F148" s="616"/>
      <c r="K148" s="35"/>
      <c r="L148" s="607"/>
      <c r="M148" s="607"/>
      <c r="N148" s="607"/>
      <c r="P148" s="44"/>
    </row>
    <row r="149">
      <c r="A149" s="607"/>
      <c r="B149" s="616"/>
      <c r="C149" s="616"/>
      <c r="D149" s="616"/>
      <c r="E149" s="616"/>
      <c r="F149" s="616"/>
      <c r="K149" s="35"/>
      <c r="L149" s="607"/>
      <c r="M149" s="607"/>
      <c r="N149" s="607"/>
      <c r="P149" s="44"/>
    </row>
    <row r="150">
      <c r="A150" s="607"/>
      <c r="B150" s="616"/>
      <c r="C150" s="616"/>
      <c r="D150" s="616"/>
      <c r="E150" s="616"/>
      <c r="F150" s="616"/>
      <c r="K150" s="35"/>
      <c r="L150" s="607"/>
      <c r="M150" s="607"/>
      <c r="N150" s="607"/>
      <c r="P150" s="44"/>
    </row>
    <row r="151">
      <c r="A151" s="607"/>
      <c r="B151" s="616"/>
      <c r="C151" s="616"/>
      <c r="D151" s="616"/>
      <c r="E151" s="616"/>
      <c r="F151" s="616"/>
      <c r="K151" s="35"/>
      <c r="L151" s="607"/>
      <c r="M151" s="607"/>
      <c r="N151" s="607"/>
      <c r="P151" s="44"/>
    </row>
    <row r="152">
      <c r="A152" s="607"/>
      <c r="B152" s="616"/>
      <c r="C152" s="616"/>
      <c r="D152" s="616"/>
      <c r="E152" s="616"/>
      <c r="F152" s="616"/>
      <c r="K152" s="35"/>
      <c r="L152" s="607"/>
      <c r="M152" s="607"/>
      <c r="N152" s="607"/>
      <c r="P152" s="44"/>
    </row>
    <row r="153">
      <c r="A153" s="607"/>
      <c r="B153" s="616"/>
      <c r="C153" s="616"/>
      <c r="D153" s="616"/>
      <c r="E153" s="616"/>
      <c r="F153" s="616"/>
      <c r="K153" s="35"/>
      <c r="L153" s="607"/>
      <c r="M153" s="607"/>
      <c r="N153" s="607"/>
      <c r="P153" s="44"/>
    </row>
    <row r="154">
      <c r="A154" s="607"/>
      <c r="B154" s="616"/>
      <c r="C154" s="616"/>
      <c r="D154" s="616"/>
      <c r="E154" s="616"/>
      <c r="F154" s="616"/>
      <c r="K154" s="35"/>
      <c r="L154" s="607"/>
      <c r="M154" s="607"/>
      <c r="N154" s="607"/>
      <c r="P154" s="44"/>
    </row>
    <row r="155">
      <c r="A155" s="607"/>
      <c r="B155" s="616"/>
      <c r="C155" s="616"/>
      <c r="D155" s="616"/>
      <c r="E155" s="616"/>
      <c r="F155" s="616"/>
      <c r="K155" s="35"/>
      <c r="L155" s="607"/>
      <c r="M155" s="607"/>
      <c r="N155" s="607"/>
      <c r="P155" s="44"/>
    </row>
    <row r="156">
      <c r="A156" s="607"/>
      <c r="B156" s="616"/>
      <c r="C156" s="616"/>
      <c r="D156" s="616"/>
      <c r="E156" s="616"/>
      <c r="F156" s="616"/>
      <c r="K156" s="35"/>
      <c r="L156" s="607"/>
      <c r="M156" s="607"/>
      <c r="N156" s="607"/>
      <c r="P156" s="44"/>
    </row>
    <row r="157">
      <c r="A157" s="607"/>
      <c r="B157" s="616"/>
      <c r="C157" s="616"/>
      <c r="D157" s="616"/>
      <c r="E157" s="616"/>
      <c r="F157" s="616"/>
      <c r="K157" s="35"/>
      <c r="L157" s="607"/>
      <c r="M157" s="607"/>
      <c r="N157" s="607"/>
      <c r="P157" s="44"/>
    </row>
    <row r="158">
      <c r="A158" s="607"/>
      <c r="B158" s="616"/>
      <c r="C158" s="616"/>
      <c r="D158" s="616"/>
      <c r="E158" s="616"/>
      <c r="F158" s="616"/>
      <c r="K158" s="35"/>
      <c r="L158" s="607"/>
      <c r="M158" s="607"/>
      <c r="N158" s="607"/>
      <c r="P158" s="44"/>
    </row>
    <row r="159">
      <c r="A159" s="607"/>
      <c r="B159" s="616"/>
      <c r="C159" s="616"/>
      <c r="D159" s="616"/>
      <c r="E159" s="616"/>
      <c r="F159" s="616"/>
      <c r="K159" s="35"/>
      <c r="L159" s="607"/>
      <c r="M159" s="607"/>
      <c r="N159" s="607"/>
      <c r="P159" s="44"/>
    </row>
    <row r="160">
      <c r="A160" s="607"/>
      <c r="B160" s="616"/>
      <c r="C160" s="616"/>
      <c r="D160" s="616"/>
      <c r="E160" s="616"/>
      <c r="F160" s="616"/>
      <c r="K160" s="35"/>
      <c r="L160" s="607"/>
      <c r="M160" s="607"/>
      <c r="N160" s="607"/>
      <c r="P160" s="44"/>
    </row>
    <row r="161">
      <c r="A161" s="607"/>
      <c r="B161" s="616"/>
      <c r="C161" s="616"/>
      <c r="D161" s="616"/>
      <c r="E161" s="616"/>
      <c r="F161" s="616"/>
      <c r="K161" s="35"/>
      <c r="L161" s="607"/>
      <c r="M161" s="607"/>
      <c r="N161" s="607"/>
      <c r="P161" s="44"/>
    </row>
    <row r="162">
      <c r="A162" s="607"/>
      <c r="B162" s="616"/>
      <c r="C162" s="616"/>
      <c r="D162" s="616"/>
      <c r="E162" s="616"/>
      <c r="F162" s="616"/>
      <c r="K162" s="35"/>
      <c r="L162" s="607"/>
      <c r="M162" s="607"/>
      <c r="N162" s="607"/>
      <c r="P162" s="44"/>
    </row>
    <row r="163">
      <c r="A163" s="607"/>
      <c r="B163" s="616"/>
      <c r="C163" s="616"/>
      <c r="D163" s="616"/>
      <c r="E163" s="616"/>
      <c r="F163" s="616"/>
      <c r="K163" s="35"/>
      <c r="L163" s="607"/>
      <c r="M163" s="607"/>
      <c r="N163" s="607"/>
      <c r="P163" s="44"/>
    </row>
    <row r="164">
      <c r="A164" s="607"/>
      <c r="B164" s="616"/>
      <c r="C164" s="616"/>
      <c r="D164" s="616"/>
      <c r="E164" s="616"/>
      <c r="F164" s="616"/>
      <c r="K164" s="35"/>
      <c r="L164" s="607"/>
      <c r="M164" s="607"/>
      <c r="N164" s="607"/>
      <c r="P164" s="44"/>
    </row>
    <row r="165">
      <c r="A165" s="607"/>
      <c r="B165" s="616"/>
      <c r="C165" s="616"/>
      <c r="D165" s="616"/>
      <c r="E165" s="616"/>
      <c r="F165" s="616"/>
      <c r="K165" s="35"/>
      <c r="L165" s="607"/>
      <c r="M165" s="607"/>
      <c r="N165" s="607"/>
      <c r="P165" s="44"/>
    </row>
    <row r="166">
      <c r="A166" s="607"/>
      <c r="B166" s="616"/>
      <c r="C166" s="616"/>
      <c r="D166" s="616"/>
      <c r="E166" s="616"/>
      <c r="F166" s="616"/>
      <c r="K166" s="35"/>
      <c r="L166" s="607"/>
      <c r="M166" s="607"/>
      <c r="N166" s="607"/>
      <c r="P166" s="44"/>
    </row>
    <row r="167">
      <c r="A167" s="607"/>
      <c r="B167" s="616"/>
      <c r="C167" s="616"/>
      <c r="D167" s="616"/>
      <c r="E167" s="616"/>
      <c r="F167" s="616"/>
      <c r="K167" s="35"/>
      <c r="L167" s="607"/>
      <c r="M167" s="607"/>
      <c r="N167" s="607"/>
      <c r="P167" s="44"/>
    </row>
    <row r="168">
      <c r="A168" s="607"/>
      <c r="B168" s="616"/>
      <c r="C168" s="616"/>
      <c r="D168" s="616"/>
      <c r="E168" s="616"/>
      <c r="F168" s="616"/>
      <c r="K168" s="35"/>
      <c r="L168" s="607"/>
      <c r="M168" s="607"/>
      <c r="N168" s="607"/>
      <c r="P168" s="44"/>
    </row>
    <row r="169">
      <c r="A169" s="607"/>
      <c r="B169" s="616"/>
      <c r="C169" s="616"/>
      <c r="D169" s="616"/>
      <c r="E169" s="616"/>
      <c r="F169" s="616"/>
      <c r="K169" s="35"/>
      <c r="L169" s="607"/>
      <c r="M169" s="607"/>
      <c r="N169" s="607"/>
      <c r="P169" s="44"/>
    </row>
    <row r="170">
      <c r="A170" s="607"/>
      <c r="B170" s="616"/>
      <c r="C170" s="616"/>
      <c r="D170" s="616"/>
      <c r="E170" s="616"/>
      <c r="F170" s="616"/>
      <c r="K170" s="35"/>
      <c r="L170" s="607"/>
      <c r="M170" s="607"/>
      <c r="N170" s="607"/>
      <c r="P170" s="44"/>
    </row>
    <row r="171">
      <c r="A171" s="607"/>
      <c r="B171" s="616"/>
      <c r="C171" s="616"/>
      <c r="D171" s="616"/>
      <c r="E171" s="616"/>
      <c r="F171" s="616"/>
      <c r="K171" s="35"/>
      <c r="L171" s="607"/>
      <c r="M171" s="607"/>
      <c r="N171" s="607"/>
      <c r="P171" s="44"/>
    </row>
    <row r="172">
      <c r="A172" s="607"/>
      <c r="B172" s="616"/>
      <c r="C172" s="616"/>
      <c r="D172" s="616"/>
      <c r="E172" s="616"/>
      <c r="F172" s="616"/>
      <c r="K172" s="35"/>
      <c r="L172" s="607"/>
      <c r="M172" s="607"/>
      <c r="N172" s="607"/>
      <c r="P172" s="44"/>
    </row>
    <row r="173">
      <c r="A173" s="607"/>
      <c r="K173" s="35"/>
      <c r="L173" s="607"/>
      <c r="M173" s="607"/>
      <c r="N173" s="607"/>
      <c r="P173" s="44"/>
    </row>
    <row r="174">
      <c r="A174" s="607"/>
      <c r="K174" s="35"/>
      <c r="L174" s="607"/>
      <c r="M174" s="607"/>
      <c r="N174" s="607"/>
      <c r="P174" s="44"/>
    </row>
    <row r="175">
      <c r="A175" s="607"/>
      <c r="K175" s="35"/>
      <c r="L175" s="607"/>
      <c r="M175" s="607"/>
      <c r="N175" s="607"/>
      <c r="P175" s="44"/>
    </row>
    <row r="176">
      <c r="A176" s="607"/>
      <c r="K176" s="35"/>
      <c r="L176" s="607"/>
      <c r="M176" s="607"/>
      <c r="N176" s="607"/>
      <c r="P176" s="44"/>
    </row>
    <row r="177">
      <c r="A177" s="607"/>
      <c r="K177" s="35"/>
      <c r="L177" s="607"/>
      <c r="M177" s="607"/>
      <c r="N177" s="607"/>
      <c r="P177" s="44"/>
    </row>
    <row r="178">
      <c r="A178" s="607"/>
      <c r="K178" s="35"/>
      <c r="L178" s="607"/>
      <c r="M178" s="607"/>
      <c r="N178" s="607"/>
      <c r="P178" s="44"/>
    </row>
    <row r="179">
      <c r="A179" s="607"/>
      <c r="K179" s="35"/>
      <c r="L179" s="607"/>
      <c r="M179" s="607"/>
      <c r="N179" s="607"/>
      <c r="P179" s="44"/>
    </row>
    <row r="180">
      <c r="A180" s="607"/>
      <c r="K180" s="35"/>
      <c r="L180" s="607"/>
      <c r="M180" s="607"/>
      <c r="N180" s="607"/>
      <c r="P180" s="44"/>
    </row>
    <row r="181">
      <c r="A181" s="607"/>
      <c r="K181" s="35"/>
      <c r="L181" s="607"/>
      <c r="M181" s="607"/>
      <c r="N181" s="607"/>
      <c r="P181" s="44"/>
    </row>
    <row r="182">
      <c r="A182" s="607"/>
      <c r="K182" s="35"/>
      <c r="L182" s="607"/>
      <c r="M182" s="607"/>
      <c r="N182" s="607"/>
      <c r="P182" s="44"/>
    </row>
    <row r="183">
      <c r="A183" s="607"/>
      <c r="K183" s="35"/>
      <c r="L183" s="607"/>
      <c r="M183" s="607"/>
      <c r="N183" s="607"/>
      <c r="P183" s="44"/>
    </row>
    <row r="184">
      <c r="A184" s="607"/>
      <c r="K184" s="35"/>
      <c r="L184" s="607"/>
      <c r="M184" s="607"/>
      <c r="N184" s="607"/>
      <c r="P184" s="44"/>
    </row>
    <row r="185">
      <c r="A185" s="607"/>
      <c r="K185" s="35"/>
      <c r="L185" s="607"/>
      <c r="M185" s="607"/>
      <c r="N185" s="607"/>
      <c r="P185" s="44"/>
    </row>
    <row r="186">
      <c r="A186" s="607"/>
      <c r="K186" s="35"/>
      <c r="L186" s="607"/>
      <c r="M186" s="607"/>
      <c r="N186" s="607"/>
      <c r="P186" s="44"/>
    </row>
    <row r="187">
      <c r="A187" s="607"/>
      <c r="K187" s="35"/>
      <c r="L187" s="607"/>
      <c r="M187" s="607"/>
      <c r="N187" s="607"/>
      <c r="P187" s="44"/>
    </row>
    <row r="188">
      <c r="A188" s="607"/>
      <c r="K188" s="35"/>
      <c r="L188" s="607"/>
      <c r="M188" s="607"/>
      <c r="N188" s="607"/>
      <c r="P188" s="44"/>
    </row>
    <row r="189">
      <c r="A189" s="607"/>
      <c r="K189" s="35"/>
      <c r="L189" s="607"/>
      <c r="M189" s="607"/>
      <c r="N189" s="607"/>
      <c r="P189" s="44"/>
    </row>
    <row r="190">
      <c r="A190" s="607"/>
      <c r="K190" s="35"/>
      <c r="L190" s="607"/>
      <c r="M190" s="607"/>
      <c r="N190" s="607"/>
      <c r="P190" s="44"/>
    </row>
    <row r="191">
      <c r="A191" s="607"/>
      <c r="K191" s="35"/>
      <c r="L191" s="607"/>
      <c r="M191" s="607"/>
      <c r="N191" s="607"/>
      <c r="P191" s="44"/>
    </row>
    <row r="192">
      <c r="A192" s="607"/>
      <c r="K192" s="35"/>
      <c r="L192" s="607"/>
      <c r="M192" s="607"/>
      <c r="N192" s="607"/>
      <c r="P192" s="44"/>
    </row>
    <row r="193">
      <c r="A193" s="607"/>
      <c r="K193" s="35"/>
      <c r="L193" s="607"/>
      <c r="M193" s="607"/>
      <c r="N193" s="607"/>
      <c r="P193" s="44"/>
    </row>
    <row r="194">
      <c r="A194" s="607"/>
      <c r="K194" s="35"/>
      <c r="L194" s="607"/>
      <c r="M194" s="607"/>
      <c r="N194" s="607"/>
      <c r="P194" s="44"/>
    </row>
    <row r="195">
      <c r="A195" s="607"/>
      <c r="K195" s="35"/>
      <c r="L195" s="607"/>
      <c r="M195" s="607"/>
      <c r="N195" s="607"/>
      <c r="P195" s="44"/>
    </row>
    <row r="196">
      <c r="A196" s="607"/>
      <c r="K196" s="35"/>
      <c r="L196" s="607"/>
      <c r="M196" s="607"/>
      <c r="N196" s="607"/>
      <c r="P196" s="44"/>
    </row>
    <row r="197">
      <c r="A197" s="607"/>
      <c r="K197" s="35"/>
      <c r="L197" s="607"/>
      <c r="M197" s="607"/>
      <c r="N197" s="607"/>
      <c r="P197" s="44"/>
    </row>
    <row r="198">
      <c r="A198" s="607"/>
      <c r="K198" s="35"/>
      <c r="L198" s="607"/>
      <c r="M198" s="607"/>
      <c r="N198" s="607"/>
      <c r="P198" s="44"/>
    </row>
    <row r="199">
      <c r="A199" s="607"/>
      <c r="B199" s="607"/>
      <c r="C199" s="607"/>
      <c r="D199" s="607"/>
      <c r="E199" s="607"/>
      <c r="F199" s="607"/>
      <c r="G199" s="607"/>
      <c r="H199" s="607"/>
      <c r="I199" s="607"/>
      <c r="J199" s="607"/>
      <c r="K199" s="617"/>
      <c r="L199" s="607"/>
      <c r="M199" s="607"/>
      <c r="N199" s="607"/>
      <c r="P199" s="44"/>
    </row>
    <row r="200">
      <c r="A200" s="607"/>
      <c r="B200" s="607"/>
      <c r="C200" s="607"/>
      <c r="D200" s="607"/>
      <c r="E200" s="607"/>
      <c r="F200" s="607"/>
      <c r="G200" s="607"/>
      <c r="H200" s="607"/>
      <c r="I200" s="607"/>
      <c r="J200" s="607"/>
      <c r="K200" s="617"/>
      <c r="L200" s="607"/>
      <c r="M200" s="607"/>
      <c r="N200" s="607"/>
      <c r="P200" s="44"/>
    </row>
    <row r="201">
      <c r="A201" s="607"/>
      <c r="B201" s="607"/>
      <c r="C201" s="607"/>
      <c r="D201" s="607"/>
      <c r="E201" s="607"/>
      <c r="F201" s="607"/>
      <c r="G201" s="607"/>
      <c r="H201" s="607"/>
      <c r="I201" s="607"/>
      <c r="J201" s="607"/>
      <c r="K201" s="617"/>
      <c r="L201" s="607"/>
      <c r="M201" s="607"/>
      <c r="N201" s="607"/>
      <c r="P201" s="44"/>
    </row>
    <row r="202">
      <c r="A202" s="607"/>
      <c r="B202" s="607"/>
      <c r="C202" s="607"/>
      <c r="D202" s="607"/>
      <c r="E202" s="607"/>
      <c r="F202" s="607"/>
      <c r="G202" s="607"/>
      <c r="H202" s="607"/>
      <c r="I202" s="607"/>
      <c r="J202" s="607"/>
      <c r="K202" s="617"/>
      <c r="L202" s="607"/>
      <c r="M202" s="607"/>
      <c r="N202" s="607"/>
      <c r="P202" s="44"/>
    </row>
    <row r="203">
      <c r="A203" s="607"/>
      <c r="B203" s="607"/>
      <c r="C203" s="607"/>
      <c r="D203" s="607"/>
      <c r="E203" s="607"/>
      <c r="F203" s="607"/>
      <c r="G203" s="607"/>
      <c r="H203" s="607"/>
      <c r="I203" s="607"/>
      <c r="J203" s="607"/>
      <c r="K203" s="617"/>
      <c r="L203" s="607"/>
      <c r="M203" s="607"/>
      <c r="N203" s="607"/>
      <c r="P203" s="44"/>
    </row>
    <row r="204">
      <c r="A204" s="607"/>
      <c r="B204" s="607"/>
      <c r="C204" s="607"/>
      <c r="D204" s="607"/>
      <c r="E204" s="607"/>
      <c r="F204" s="607"/>
      <c r="G204" s="607"/>
      <c r="H204" s="607"/>
      <c r="I204" s="607"/>
      <c r="J204" s="607"/>
      <c r="K204" s="617"/>
      <c r="L204" s="607"/>
      <c r="M204" s="607"/>
      <c r="N204" s="607"/>
      <c r="P204" s="44"/>
    </row>
    <row r="205">
      <c r="A205" s="607"/>
      <c r="B205" s="607"/>
      <c r="C205" s="607"/>
      <c r="D205" s="607"/>
      <c r="E205" s="607"/>
      <c r="F205" s="607"/>
      <c r="G205" s="607"/>
      <c r="H205" s="607"/>
      <c r="I205" s="607"/>
      <c r="J205" s="607"/>
      <c r="K205" s="617"/>
      <c r="L205" s="607"/>
      <c r="M205" s="607"/>
      <c r="N205" s="607"/>
      <c r="P205" s="44"/>
    </row>
    <row r="206">
      <c r="A206" s="607"/>
      <c r="B206" s="607"/>
      <c r="C206" s="607"/>
      <c r="D206" s="607"/>
      <c r="E206" s="607"/>
      <c r="F206" s="607"/>
      <c r="G206" s="607"/>
      <c r="H206" s="607"/>
      <c r="I206" s="607"/>
      <c r="J206" s="607"/>
      <c r="K206" s="617"/>
      <c r="L206" s="607"/>
      <c r="M206" s="607"/>
      <c r="N206" s="607"/>
      <c r="P206" s="44"/>
    </row>
    <row r="207">
      <c r="A207" s="607"/>
      <c r="B207" s="607"/>
      <c r="C207" s="607"/>
      <c r="D207" s="607"/>
      <c r="E207" s="607"/>
      <c r="F207" s="607"/>
      <c r="G207" s="607"/>
      <c r="H207" s="607"/>
      <c r="I207" s="607"/>
      <c r="J207" s="607"/>
      <c r="K207" s="617"/>
      <c r="L207" s="607"/>
      <c r="M207" s="607"/>
      <c r="N207" s="607"/>
      <c r="P207" s="44"/>
    </row>
    <row r="208">
      <c r="A208" s="607"/>
      <c r="B208" s="607"/>
      <c r="C208" s="607"/>
      <c r="D208" s="607"/>
      <c r="E208" s="607"/>
      <c r="F208" s="607"/>
      <c r="G208" s="607"/>
      <c r="H208" s="607"/>
      <c r="I208" s="607"/>
      <c r="J208" s="607"/>
      <c r="K208" s="617"/>
      <c r="L208" s="607"/>
      <c r="M208" s="607"/>
      <c r="N208" s="607"/>
      <c r="P208" s="44"/>
    </row>
    <row r="209">
      <c r="A209" s="607"/>
      <c r="B209" s="607"/>
      <c r="C209" s="607"/>
      <c r="D209" s="607"/>
      <c r="E209" s="607"/>
      <c r="F209" s="607"/>
      <c r="G209" s="607"/>
      <c r="H209" s="607"/>
      <c r="I209" s="607"/>
      <c r="J209" s="607"/>
      <c r="K209" s="617"/>
      <c r="L209" s="607"/>
      <c r="M209" s="607"/>
      <c r="N209" s="607"/>
      <c r="P209" s="44"/>
    </row>
    <row r="210">
      <c r="A210" s="607"/>
      <c r="B210" s="607"/>
      <c r="C210" s="607"/>
      <c r="D210" s="607"/>
      <c r="E210" s="607"/>
      <c r="F210" s="607"/>
      <c r="G210" s="607"/>
      <c r="H210" s="607"/>
      <c r="I210" s="607"/>
      <c r="J210" s="607"/>
      <c r="K210" s="617"/>
      <c r="L210" s="607"/>
      <c r="M210" s="607"/>
      <c r="N210" s="607"/>
      <c r="P210" s="44"/>
    </row>
    <row r="211">
      <c r="A211" s="607"/>
      <c r="B211" s="607"/>
      <c r="C211" s="607"/>
      <c r="D211" s="607"/>
      <c r="E211" s="607"/>
      <c r="F211" s="607"/>
      <c r="G211" s="607"/>
      <c r="H211" s="607"/>
      <c r="I211" s="607"/>
      <c r="J211" s="607"/>
      <c r="K211" s="617"/>
      <c r="L211" s="607"/>
      <c r="M211" s="607"/>
      <c r="N211" s="607"/>
      <c r="P211" s="44"/>
    </row>
    <row r="212">
      <c r="A212" s="607"/>
      <c r="B212" s="607"/>
      <c r="C212" s="607"/>
      <c r="D212" s="607"/>
      <c r="E212" s="607"/>
      <c r="F212" s="607"/>
      <c r="G212" s="607"/>
      <c r="H212" s="607"/>
      <c r="I212" s="607"/>
      <c r="J212" s="607"/>
      <c r="K212" s="617"/>
      <c r="L212" s="607"/>
      <c r="M212" s="607"/>
      <c r="N212" s="607"/>
      <c r="P212" s="44"/>
    </row>
    <row r="213">
      <c r="A213" s="607"/>
      <c r="B213" s="607"/>
      <c r="C213" s="607"/>
      <c r="D213" s="607"/>
      <c r="E213" s="607"/>
      <c r="F213" s="607"/>
      <c r="G213" s="607"/>
      <c r="H213" s="607"/>
      <c r="I213" s="607"/>
      <c r="J213" s="607"/>
      <c r="K213" s="617"/>
      <c r="L213" s="607"/>
      <c r="M213" s="607"/>
      <c r="N213" s="607"/>
      <c r="P213" s="44"/>
    </row>
    <row r="214">
      <c r="A214" s="607"/>
      <c r="B214" s="607"/>
      <c r="C214" s="607"/>
      <c r="D214" s="607"/>
      <c r="E214" s="607"/>
      <c r="F214" s="607"/>
      <c r="G214" s="607"/>
      <c r="H214" s="607"/>
      <c r="I214" s="607"/>
      <c r="J214" s="607"/>
      <c r="K214" s="617"/>
      <c r="L214" s="607"/>
      <c r="M214" s="607"/>
      <c r="N214" s="607"/>
      <c r="P214" s="44"/>
    </row>
    <row r="215">
      <c r="A215" s="607"/>
      <c r="B215" s="607"/>
      <c r="C215" s="607"/>
      <c r="D215" s="607"/>
      <c r="E215" s="607"/>
      <c r="F215" s="607"/>
      <c r="G215" s="607"/>
      <c r="H215" s="607"/>
      <c r="I215" s="607"/>
      <c r="J215" s="607"/>
      <c r="K215" s="617"/>
      <c r="L215" s="607"/>
      <c r="M215" s="607"/>
      <c r="N215" s="607"/>
      <c r="P215" s="44"/>
    </row>
    <row r="216">
      <c r="A216" s="607"/>
      <c r="B216" s="607"/>
      <c r="C216" s="607"/>
      <c r="D216" s="607"/>
      <c r="E216" s="607"/>
      <c r="F216" s="607"/>
      <c r="G216" s="607"/>
      <c r="H216" s="607"/>
      <c r="I216" s="607"/>
      <c r="J216" s="607"/>
      <c r="K216" s="617"/>
      <c r="L216" s="607"/>
      <c r="M216" s="607"/>
      <c r="N216" s="607"/>
      <c r="P216" s="44"/>
    </row>
    <row r="217">
      <c r="A217" s="607"/>
      <c r="B217" s="607"/>
      <c r="C217" s="607"/>
      <c r="D217" s="607"/>
      <c r="E217" s="607"/>
      <c r="F217" s="607"/>
      <c r="G217" s="607"/>
      <c r="H217" s="607"/>
      <c r="I217" s="607"/>
      <c r="J217" s="607"/>
      <c r="K217" s="617"/>
      <c r="L217" s="607"/>
      <c r="M217" s="607"/>
      <c r="N217" s="607"/>
      <c r="P217" s="44"/>
    </row>
    <row r="218">
      <c r="A218" s="607"/>
      <c r="B218" s="607"/>
      <c r="C218" s="607"/>
      <c r="D218" s="607"/>
      <c r="E218" s="607"/>
      <c r="F218" s="607"/>
      <c r="G218" s="607"/>
      <c r="H218" s="607"/>
      <c r="I218" s="607"/>
      <c r="J218" s="607"/>
      <c r="K218" s="617"/>
      <c r="L218" s="607"/>
      <c r="M218" s="607"/>
      <c r="N218" s="607"/>
      <c r="P218" s="44"/>
    </row>
    <row r="219">
      <c r="A219" s="607"/>
      <c r="B219" s="607"/>
      <c r="C219" s="607"/>
      <c r="D219" s="607"/>
      <c r="E219" s="607"/>
      <c r="F219" s="607"/>
      <c r="G219" s="607"/>
      <c r="H219" s="607"/>
      <c r="I219" s="607"/>
      <c r="J219" s="607"/>
      <c r="K219" s="617"/>
      <c r="L219" s="607"/>
      <c r="M219" s="607"/>
      <c r="N219" s="607"/>
      <c r="P219" s="44"/>
    </row>
    <row r="220">
      <c r="A220" s="607"/>
      <c r="B220" s="607"/>
      <c r="C220" s="607"/>
      <c r="D220" s="607"/>
      <c r="E220" s="607"/>
      <c r="F220" s="607"/>
      <c r="G220" s="607"/>
      <c r="H220" s="607"/>
      <c r="I220" s="607"/>
      <c r="J220" s="607"/>
      <c r="K220" s="617"/>
      <c r="L220" s="607"/>
      <c r="M220" s="607"/>
      <c r="N220" s="607"/>
      <c r="P220" s="44"/>
    </row>
    <row r="221">
      <c r="A221" s="607"/>
      <c r="B221" s="607"/>
      <c r="C221" s="607"/>
      <c r="D221" s="607"/>
      <c r="E221" s="607"/>
      <c r="F221" s="607"/>
      <c r="G221" s="607"/>
      <c r="H221" s="607"/>
      <c r="I221" s="607"/>
      <c r="J221" s="607"/>
      <c r="K221" s="617"/>
      <c r="L221" s="607"/>
      <c r="M221" s="607"/>
      <c r="N221" s="607"/>
      <c r="P221" s="44"/>
    </row>
    <row r="222">
      <c r="A222" s="607"/>
      <c r="B222" s="607"/>
      <c r="C222" s="607"/>
      <c r="D222" s="607"/>
      <c r="E222" s="607"/>
      <c r="F222" s="607"/>
      <c r="G222" s="607"/>
      <c r="H222" s="607"/>
      <c r="I222" s="607"/>
      <c r="J222" s="607"/>
      <c r="K222" s="617"/>
      <c r="L222" s="607"/>
      <c r="M222" s="607"/>
      <c r="N222" s="607"/>
      <c r="P222" s="44"/>
    </row>
    <row r="223">
      <c r="A223" s="607"/>
      <c r="B223" s="607"/>
      <c r="C223" s="607"/>
      <c r="D223" s="607"/>
      <c r="E223" s="607"/>
      <c r="F223" s="607"/>
      <c r="G223" s="607"/>
      <c r="H223" s="607"/>
      <c r="I223" s="607"/>
      <c r="J223" s="607"/>
      <c r="K223" s="617"/>
      <c r="L223" s="607"/>
      <c r="M223" s="607"/>
      <c r="N223" s="607"/>
      <c r="P223" s="44"/>
    </row>
    <row r="224">
      <c r="A224" s="607"/>
      <c r="B224" s="607"/>
      <c r="C224" s="607"/>
      <c r="D224" s="607"/>
      <c r="E224" s="607"/>
      <c r="F224" s="607"/>
      <c r="G224" s="607"/>
      <c r="H224" s="607"/>
      <c r="I224" s="607"/>
      <c r="J224" s="607"/>
      <c r="K224" s="617"/>
      <c r="L224" s="607"/>
      <c r="M224" s="607"/>
      <c r="N224" s="607"/>
      <c r="P224" s="44"/>
    </row>
    <row r="225">
      <c r="A225" s="607"/>
      <c r="B225" s="607"/>
      <c r="C225" s="607"/>
      <c r="D225" s="607"/>
      <c r="E225" s="607"/>
      <c r="F225" s="607"/>
      <c r="G225" s="607"/>
      <c r="H225" s="607"/>
      <c r="I225" s="607"/>
      <c r="J225" s="607"/>
      <c r="K225" s="617"/>
      <c r="L225" s="607"/>
      <c r="M225" s="607"/>
      <c r="N225" s="607"/>
      <c r="P225" s="44"/>
    </row>
    <row r="226">
      <c r="A226" s="607"/>
      <c r="B226" s="607"/>
      <c r="C226" s="607"/>
      <c r="D226" s="607"/>
      <c r="E226" s="607"/>
      <c r="F226" s="607"/>
      <c r="G226" s="607"/>
      <c r="H226" s="607"/>
      <c r="I226" s="607"/>
      <c r="J226" s="607"/>
      <c r="K226" s="617"/>
      <c r="L226" s="607"/>
      <c r="M226" s="607"/>
      <c r="N226" s="607"/>
      <c r="P226" s="44"/>
    </row>
    <row r="227">
      <c r="A227" s="607"/>
      <c r="B227" s="607"/>
      <c r="C227" s="607"/>
      <c r="D227" s="607"/>
      <c r="E227" s="607"/>
      <c r="F227" s="607"/>
      <c r="G227" s="607"/>
      <c r="H227" s="607"/>
      <c r="I227" s="607"/>
      <c r="J227" s="607"/>
      <c r="K227" s="617"/>
      <c r="L227" s="607"/>
      <c r="M227" s="607"/>
      <c r="N227" s="607"/>
      <c r="P227" s="44"/>
    </row>
    <row r="228">
      <c r="A228" s="607"/>
      <c r="B228" s="607"/>
      <c r="C228" s="607"/>
      <c r="D228" s="607"/>
      <c r="E228" s="607"/>
      <c r="F228" s="607"/>
      <c r="G228" s="607"/>
      <c r="H228" s="607"/>
      <c r="I228" s="607"/>
      <c r="J228" s="607"/>
      <c r="K228" s="617"/>
      <c r="L228" s="607"/>
      <c r="M228" s="607"/>
      <c r="N228" s="607"/>
      <c r="P228" s="44"/>
    </row>
    <row r="229">
      <c r="A229" s="607"/>
      <c r="B229" s="607"/>
      <c r="C229" s="607"/>
      <c r="D229" s="607"/>
      <c r="E229" s="607"/>
      <c r="F229" s="607"/>
      <c r="G229" s="607"/>
      <c r="H229" s="607"/>
      <c r="I229" s="607"/>
      <c r="J229" s="607"/>
      <c r="K229" s="617"/>
      <c r="L229" s="607"/>
      <c r="M229" s="607"/>
      <c r="N229" s="607"/>
      <c r="P229" s="44"/>
    </row>
    <row r="230">
      <c r="A230" s="607"/>
      <c r="B230" s="607"/>
      <c r="C230" s="607"/>
      <c r="D230" s="607"/>
      <c r="E230" s="607"/>
      <c r="F230" s="607"/>
      <c r="G230" s="607"/>
      <c r="H230" s="607"/>
      <c r="I230" s="607"/>
      <c r="J230" s="607"/>
      <c r="K230" s="617"/>
      <c r="L230" s="607"/>
      <c r="M230" s="607"/>
      <c r="N230" s="607"/>
      <c r="P230" s="44"/>
    </row>
    <row r="231">
      <c r="A231" s="607"/>
      <c r="B231" s="607"/>
      <c r="C231" s="607"/>
      <c r="D231" s="607"/>
      <c r="E231" s="607"/>
      <c r="F231" s="607"/>
      <c r="G231" s="607"/>
      <c r="H231" s="607"/>
      <c r="I231" s="607"/>
      <c r="J231" s="607"/>
      <c r="K231" s="617"/>
      <c r="L231" s="607"/>
      <c r="M231" s="607"/>
      <c r="N231" s="607"/>
      <c r="P231" s="44"/>
    </row>
    <row r="232">
      <c r="A232" s="607"/>
      <c r="B232" s="607"/>
      <c r="C232" s="607"/>
      <c r="D232" s="607"/>
      <c r="E232" s="607"/>
      <c r="F232" s="607"/>
      <c r="G232" s="607"/>
      <c r="H232" s="607"/>
      <c r="I232" s="607"/>
      <c r="J232" s="607"/>
      <c r="K232" s="617"/>
      <c r="L232" s="607"/>
      <c r="M232" s="607"/>
      <c r="N232" s="607"/>
      <c r="P232" s="44"/>
    </row>
    <row r="233">
      <c r="A233" s="607"/>
      <c r="B233" s="607"/>
      <c r="C233" s="607"/>
      <c r="D233" s="607"/>
      <c r="E233" s="607"/>
      <c r="F233" s="607"/>
      <c r="G233" s="607"/>
      <c r="H233" s="607"/>
      <c r="I233" s="607"/>
      <c r="J233" s="607"/>
      <c r="K233" s="617"/>
      <c r="L233" s="607"/>
      <c r="M233" s="607"/>
      <c r="N233" s="607"/>
      <c r="P233" s="44"/>
    </row>
    <row r="234">
      <c r="A234" s="607"/>
      <c r="B234" s="607"/>
      <c r="C234" s="607"/>
      <c r="D234" s="607"/>
      <c r="E234" s="607"/>
      <c r="F234" s="607"/>
      <c r="G234" s="607"/>
      <c r="H234" s="607"/>
      <c r="I234" s="607"/>
      <c r="J234" s="607"/>
      <c r="K234" s="617"/>
      <c r="L234" s="607"/>
      <c r="M234" s="607"/>
      <c r="N234" s="607"/>
      <c r="P234" s="44"/>
    </row>
    <row r="235">
      <c r="A235" s="607"/>
      <c r="B235" s="607"/>
      <c r="C235" s="607"/>
      <c r="D235" s="607"/>
      <c r="E235" s="607"/>
      <c r="F235" s="607"/>
      <c r="G235" s="607"/>
      <c r="H235" s="607"/>
      <c r="I235" s="607"/>
      <c r="J235" s="607"/>
      <c r="K235" s="617"/>
      <c r="L235" s="607"/>
      <c r="M235" s="607"/>
      <c r="N235" s="607"/>
      <c r="P235" s="44"/>
    </row>
    <row r="236">
      <c r="A236" s="607"/>
      <c r="B236" s="607"/>
      <c r="C236" s="607"/>
      <c r="D236" s="607"/>
      <c r="E236" s="607"/>
      <c r="F236" s="607"/>
      <c r="G236" s="607"/>
      <c r="H236" s="607"/>
      <c r="I236" s="607"/>
      <c r="J236" s="607"/>
      <c r="K236" s="617"/>
      <c r="L236" s="607"/>
      <c r="M236" s="607"/>
      <c r="N236" s="607"/>
      <c r="P236" s="44"/>
    </row>
    <row r="237">
      <c r="A237" s="607"/>
      <c r="B237" s="607"/>
      <c r="C237" s="607"/>
      <c r="D237" s="607"/>
      <c r="E237" s="607"/>
      <c r="F237" s="607"/>
      <c r="G237" s="607"/>
      <c r="H237" s="607"/>
      <c r="I237" s="607"/>
      <c r="J237" s="607"/>
      <c r="K237" s="617"/>
      <c r="L237" s="607"/>
      <c r="M237" s="607"/>
      <c r="N237" s="607"/>
      <c r="P237" s="44"/>
    </row>
    <row r="238">
      <c r="A238" s="607"/>
      <c r="B238" s="607"/>
      <c r="C238" s="607"/>
      <c r="D238" s="607"/>
      <c r="E238" s="607"/>
      <c r="F238" s="607"/>
      <c r="G238" s="607"/>
      <c r="H238" s="607"/>
      <c r="I238" s="607"/>
      <c r="J238" s="607"/>
      <c r="K238" s="617"/>
      <c r="L238" s="607"/>
      <c r="M238" s="607"/>
      <c r="N238" s="607"/>
      <c r="P238" s="44"/>
    </row>
    <row r="239">
      <c r="A239" s="607"/>
      <c r="B239" s="607"/>
      <c r="C239" s="607"/>
      <c r="D239" s="607"/>
      <c r="E239" s="607"/>
      <c r="F239" s="607"/>
      <c r="G239" s="607"/>
      <c r="H239" s="607"/>
      <c r="I239" s="607"/>
      <c r="J239" s="607"/>
      <c r="K239" s="617"/>
      <c r="L239" s="607"/>
      <c r="M239" s="607"/>
      <c r="N239" s="607"/>
      <c r="P239" s="44"/>
    </row>
    <row r="240">
      <c r="A240" s="607"/>
      <c r="B240" s="607"/>
      <c r="C240" s="607"/>
      <c r="D240" s="607"/>
      <c r="E240" s="607"/>
      <c r="F240" s="607"/>
      <c r="G240" s="607"/>
      <c r="H240" s="607"/>
      <c r="I240" s="607"/>
      <c r="J240" s="607"/>
      <c r="K240" s="617"/>
      <c r="L240" s="607"/>
      <c r="M240" s="607"/>
      <c r="N240" s="607"/>
      <c r="P240" s="44"/>
    </row>
    <row r="241">
      <c r="A241" s="607"/>
      <c r="B241" s="607"/>
      <c r="C241" s="607"/>
      <c r="D241" s="607"/>
      <c r="E241" s="607"/>
      <c r="F241" s="607"/>
      <c r="G241" s="607"/>
      <c r="H241" s="607"/>
      <c r="I241" s="607"/>
      <c r="J241" s="607"/>
      <c r="K241" s="617"/>
      <c r="L241" s="607"/>
      <c r="M241" s="607"/>
      <c r="N241" s="607"/>
      <c r="P241" s="44"/>
    </row>
    <row r="242">
      <c r="A242" s="607"/>
      <c r="B242" s="607"/>
      <c r="C242" s="607"/>
      <c r="D242" s="607"/>
      <c r="E242" s="607"/>
      <c r="F242" s="607"/>
      <c r="G242" s="607"/>
      <c r="H242" s="607"/>
      <c r="I242" s="607"/>
      <c r="J242" s="607"/>
      <c r="K242" s="617"/>
      <c r="L242" s="607"/>
      <c r="M242" s="607"/>
      <c r="N242" s="607"/>
      <c r="P242" s="44"/>
    </row>
    <row r="243">
      <c r="A243" s="607"/>
      <c r="B243" s="607"/>
      <c r="C243" s="607"/>
      <c r="D243" s="607"/>
      <c r="E243" s="607"/>
      <c r="F243" s="607"/>
      <c r="G243" s="607"/>
      <c r="H243" s="607"/>
      <c r="I243" s="607"/>
      <c r="J243" s="607"/>
      <c r="K243" s="617"/>
      <c r="L243" s="607"/>
      <c r="M243" s="607"/>
      <c r="N243" s="607"/>
      <c r="P243" s="44"/>
    </row>
    <row r="244">
      <c r="A244" s="607"/>
      <c r="B244" s="607"/>
      <c r="C244" s="607"/>
      <c r="D244" s="607"/>
      <c r="E244" s="607"/>
      <c r="F244" s="607"/>
      <c r="G244" s="607"/>
      <c r="H244" s="607"/>
      <c r="I244" s="607"/>
      <c r="J244" s="607"/>
      <c r="K244" s="617"/>
      <c r="L244" s="607"/>
      <c r="M244" s="607"/>
      <c r="N244" s="607"/>
      <c r="P244" s="44"/>
    </row>
    <row r="245">
      <c r="A245" s="607"/>
      <c r="B245" s="607"/>
      <c r="C245" s="607"/>
      <c r="D245" s="607"/>
      <c r="E245" s="607"/>
      <c r="F245" s="607"/>
      <c r="G245" s="607"/>
      <c r="H245" s="607"/>
      <c r="I245" s="607"/>
      <c r="J245" s="607"/>
      <c r="K245" s="617"/>
      <c r="L245" s="607"/>
      <c r="M245" s="607"/>
      <c r="N245" s="607"/>
      <c r="P245" s="44"/>
    </row>
    <row r="246">
      <c r="A246" s="607"/>
      <c r="B246" s="607"/>
      <c r="C246" s="607"/>
      <c r="D246" s="607"/>
      <c r="E246" s="607"/>
      <c r="F246" s="607"/>
      <c r="G246" s="607"/>
      <c r="H246" s="607"/>
      <c r="I246" s="607"/>
      <c r="J246" s="607"/>
      <c r="K246" s="617"/>
      <c r="L246" s="607"/>
      <c r="M246" s="607"/>
      <c r="N246" s="607"/>
      <c r="P246" s="44"/>
    </row>
    <row r="247">
      <c r="A247" s="607"/>
      <c r="B247" s="607"/>
      <c r="C247" s="607"/>
      <c r="D247" s="607"/>
      <c r="E247" s="607"/>
      <c r="F247" s="607"/>
      <c r="G247" s="607"/>
      <c r="H247" s="607"/>
      <c r="I247" s="607"/>
      <c r="J247" s="607"/>
      <c r="K247" s="617"/>
      <c r="L247" s="607"/>
      <c r="M247" s="607"/>
      <c r="N247" s="607"/>
      <c r="P247" s="44"/>
    </row>
    <row r="248">
      <c r="A248" s="607"/>
      <c r="B248" s="607"/>
      <c r="C248" s="607"/>
      <c r="D248" s="607"/>
      <c r="E248" s="607"/>
      <c r="F248" s="607"/>
      <c r="G248" s="607"/>
      <c r="H248" s="607"/>
      <c r="I248" s="607"/>
      <c r="J248" s="607"/>
      <c r="K248" s="617"/>
      <c r="L248" s="607"/>
      <c r="M248" s="607"/>
      <c r="N248" s="607"/>
      <c r="P248" s="44"/>
    </row>
    <row r="249">
      <c r="A249" s="607"/>
      <c r="B249" s="607"/>
      <c r="C249" s="607"/>
      <c r="D249" s="607"/>
      <c r="E249" s="607"/>
      <c r="F249" s="607"/>
      <c r="G249" s="607"/>
      <c r="H249" s="607"/>
      <c r="I249" s="607"/>
      <c r="J249" s="607"/>
      <c r="K249" s="617"/>
      <c r="L249" s="607"/>
      <c r="M249" s="607"/>
      <c r="N249" s="607"/>
      <c r="P249" s="44"/>
    </row>
    <row r="250">
      <c r="A250" s="607"/>
      <c r="B250" s="607"/>
      <c r="C250" s="607"/>
      <c r="D250" s="607"/>
      <c r="E250" s="607"/>
      <c r="F250" s="607"/>
      <c r="G250" s="607"/>
      <c r="H250" s="607"/>
      <c r="I250" s="607"/>
      <c r="J250" s="607"/>
      <c r="K250" s="617"/>
      <c r="L250" s="607"/>
      <c r="M250" s="607"/>
      <c r="N250" s="607"/>
      <c r="P250" s="44"/>
    </row>
    <row r="251">
      <c r="A251" s="607"/>
      <c r="B251" s="607"/>
      <c r="C251" s="607"/>
      <c r="D251" s="607"/>
      <c r="E251" s="607"/>
      <c r="F251" s="607"/>
      <c r="G251" s="607"/>
      <c r="H251" s="607"/>
      <c r="I251" s="607"/>
      <c r="J251" s="607"/>
      <c r="K251" s="617"/>
      <c r="L251" s="607"/>
      <c r="M251" s="607"/>
      <c r="N251" s="607"/>
      <c r="P251" s="44"/>
    </row>
    <row r="252">
      <c r="A252" s="607"/>
      <c r="B252" s="607"/>
      <c r="C252" s="607"/>
      <c r="D252" s="607"/>
      <c r="E252" s="607"/>
      <c r="F252" s="607"/>
      <c r="G252" s="607"/>
      <c r="H252" s="607"/>
      <c r="I252" s="607"/>
      <c r="J252" s="607"/>
      <c r="K252" s="617"/>
      <c r="L252" s="607"/>
      <c r="M252" s="607"/>
      <c r="N252" s="607"/>
      <c r="P252" s="44"/>
    </row>
    <row r="253">
      <c r="A253" s="607"/>
      <c r="B253" s="607"/>
      <c r="C253" s="607"/>
      <c r="D253" s="607"/>
      <c r="E253" s="607"/>
      <c r="F253" s="607"/>
      <c r="G253" s="607"/>
      <c r="H253" s="607"/>
      <c r="I253" s="607"/>
      <c r="J253" s="607"/>
      <c r="K253" s="617"/>
      <c r="L253" s="607"/>
      <c r="M253" s="607"/>
      <c r="N253" s="607"/>
      <c r="P253" s="44"/>
    </row>
    <row r="254">
      <c r="A254" s="607"/>
      <c r="B254" s="607"/>
      <c r="C254" s="607"/>
      <c r="D254" s="607"/>
      <c r="E254" s="607"/>
      <c r="F254" s="607"/>
      <c r="G254" s="607"/>
      <c r="H254" s="607"/>
      <c r="I254" s="607"/>
      <c r="J254" s="607"/>
      <c r="K254" s="617"/>
      <c r="L254" s="607"/>
      <c r="M254" s="607"/>
      <c r="N254" s="607"/>
      <c r="P254" s="44"/>
    </row>
    <row r="255">
      <c r="A255" s="607"/>
      <c r="B255" s="607"/>
      <c r="C255" s="607"/>
      <c r="D255" s="607"/>
      <c r="E255" s="607"/>
      <c r="F255" s="607"/>
      <c r="G255" s="607"/>
      <c r="H255" s="607"/>
      <c r="I255" s="607"/>
      <c r="J255" s="607"/>
      <c r="K255" s="617"/>
      <c r="L255" s="607"/>
      <c r="M255" s="607"/>
      <c r="N255" s="607"/>
      <c r="P255" s="44"/>
    </row>
    <row r="256">
      <c r="A256" s="607"/>
      <c r="B256" s="607"/>
      <c r="C256" s="607"/>
      <c r="D256" s="607"/>
      <c r="E256" s="607"/>
      <c r="F256" s="607"/>
      <c r="G256" s="607"/>
      <c r="H256" s="607"/>
      <c r="I256" s="607"/>
      <c r="J256" s="607"/>
      <c r="K256" s="617"/>
      <c r="L256" s="607"/>
      <c r="M256" s="607"/>
      <c r="N256" s="607"/>
      <c r="P256" s="44"/>
    </row>
    <row r="257">
      <c r="A257" s="607"/>
      <c r="B257" s="607"/>
      <c r="C257" s="607"/>
      <c r="D257" s="607"/>
      <c r="E257" s="607"/>
      <c r="F257" s="607"/>
      <c r="G257" s="607"/>
      <c r="H257" s="607"/>
      <c r="I257" s="607"/>
      <c r="J257" s="607"/>
      <c r="K257" s="617"/>
      <c r="L257" s="607"/>
      <c r="M257" s="607"/>
      <c r="N257" s="607"/>
      <c r="P257" s="44"/>
    </row>
    <row r="258">
      <c r="A258" s="607"/>
      <c r="B258" s="607"/>
      <c r="C258" s="607"/>
      <c r="D258" s="607"/>
      <c r="E258" s="607"/>
      <c r="F258" s="607"/>
      <c r="G258" s="607"/>
      <c r="H258" s="607"/>
      <c r="I258" s="607"/>
      <c r="J258" s="607"/>
      <c r="K258" s="617"/>
      <c r="L258" s="607"/>
      <c r="M258" s="607"/>
      <c r="N258" s="607"/>
      <c r="P258" s="44"/>
    </row>
    <row r="259">
      <c r="A259" s="607"/>
      <c r="B259" s="607"/>
      <c r="C259" s="607"/>
      <c r="D259" s="607"/>
      <c r="E259" s="607"/>
      <c r="F259" s="607"/>
      <c r="G259" s="607"/>
      <c r="H259" s="607"/>
      <c r="I259" s="607"/>
      <c r="J259" s="607"/>
      <c r="K259" s="617"/>
      <c r="L259" s="607"/>
      <c r="M259" s="607"/>
      <c r="N259" s="607"/>
      <c r="P259" s="44"/>
    </row>
    <row r="260">
      <c r="A260" s="607"/>
      <c r="B260" s="607"/>
      <c r="C260" s="607"/>
      <c r="D260" s="607"/>
      <c r="E260" s="607"/>
      <c r="F260" s="607"/>
      <c r="G260" s="607"/>
      <c r="H260" s="607"/>
      <c r="I260" s="607"/>
      <c r="J260" s="607"/>
      <c r="K260" s="617"/>
      <c r="L260" s="607"/>
      <c r="M260" s="607"/>
      <c r="N260" s="607"/>
      <c r="P260" s="44"/>
    </row>
    <row r="261">
      <c r="A261" s="607"/>
      <c r="B261" s="607"/>
      <c r="C261" s="607"/>
      <c r="D261" s="607"/>
      <c r="E261" s="607"/>
      <c r="F261" s="607"/>
      <c r="G261" s="607"/>
      <c r="H261" s="607"/>
      <c r="I261" s="607"/>
      <c r="J261" s="607"/>
      <c r="K261" s="617"/>
      <c r="L261" s="607"/>
      <c r="M261" s="607"/>
      <c r="N261" s="607"/>
      <c r="P261" s="44"/>
    </row>
    <row r="262">
      <c r="A262" s="607"/>
      <c r="B262" s="607"/>
      <c r="C262" s="607"/>
      <c r="D262" s="607"/>
      <c r="E262" s="607"/>
      <c r="F262" s="607"/>
      <c r="G262" s="607"/>
      <c r="H262" s="607"/>
      <c r="I262" s="607"/>
      <c r="J262" s="607"/>
      <c r="K262" s="617"/>
      <c r="L262" s="607"/>
      <c r="M262" s="607"/>
      <c r="N262" s="607"/>
      <c r="P262" s="44"/>
    </row>
    <row r="263">
      <c r="A263" s="607"/>
      <c r="B263" s="607"/>
      <c r="C263" s="607"/>
      <c r="D263" s="607"/>
      <c r="E263" s="607"/>
      <c r="F263" s="607"/>
      <c r="G263" s="607"/>
      <c r="H263" s="607"/>
      <c r="I263" s="607"/>
      <c r="J263" s="607"/>
      <c r="K263" s="617"/>
      <c r="L263" s="607"/>
      <c r="M263" s="607"/>
      <c r="N263" s="607"/>
      <c r="P263" s="44"/>
    </row>
    <row r="264">
      <c r="A264" s="607"/>
      <c r="B264" s="607"/>
      <c r="C264" s="607"/>
      <c r="D264" s="607"/>
      <c r="E264" s="607"/>
      <c r="F264" s="607"/>
      <c r="G264" s="607"/>
      <c r="H264" s="607"/>
      <c r="I264" s="607"/>
      <c r="J264" s="607"/>
      <c r="K264" s="617"/>
      <c r="L264" s="607"/>
      <c r="M264" s="607"/>
      <c r="N264" s="607"/>
      <c r="P264" s="44"/>
    </row>
    <row r="265">
      <c r="A265" s="607"/>
      <c r="B265" s="607"/>
      <c r="C265" s="607"/>
      <c r="D265" s="607"/>
      <c r="E265" s="607"/>
      <c r="F265" s="607"/>
      <c r="G265" s="607"/>
      <c r="H265" s="607"/>
      <c r="I265" s="607"/>
      <c r="J265" s="607"/>
      <c r="K265" s="617"/>
      <c r="L265" s="607"/>
      <c r="M265" s="607"/>
      <c r="N265" s="607"/>
      <c r="P265" s="44"/>
    </row>
    <row r="266">
      <c r="A266" s="607"/>
      <c r="B266" s="607"/>
      <c r="C266" s="607"/>
      <c r="D266" s="607"/>
      <c r="E266" s="607"/>
      <c r="F266" s="607"/>
      <c r="G266" s="607"/>
      <c r="H266" s="607"/>
      <c r="I266" s="607"/>
      <c r="J266" s="607"/>
      <c r="K266" s="617"/>
      <c r="L266" s="607"/>
      <c r="M266" s="607"/>
      <c r="N266" s="607"/>
      <c r="P266" s="44"/>
    </row>
    <row r="267">
      <c r="A267" s="607"/>
      <c r="B267" s="607"/>
      <c r="C267" s="607"/>
      <c r="D267" s="607"/>
      <c r="E267" s="607"/>
      <c r="F267" s="607"/>
      <c r="G267" s="607"/>
      <c r="H267" s="607"/>
      <c r="I267" s="607"/>
      <c r="J267" s="607"/>
      <c r="K267" s="617"/>
      <c r="L267" s="607"/>
      <c r="M267" s="607"/>
      <c r="N267" s="607"/>
      <c r="P267" s="44"/>
    </row>
    <row r="268">
      <c r="A268" s="607"/>
      <c r="B268" s="607"/>
      <c r="C268" s="607"/>
      <c r="D268" s="607"/>
      <c r="E268" s="607"/>
      <c r="F268" s="607"/>
      <c r="G268" s="607"/>
      <c r="H268" s="607"/>
      <c r="I268" s="607"/>
      <c r="J268" s="607"/>
      <c r="K268" s="617"/>
      <c r="L268" s="607"/>
      <c r="M268" s="607"/>
      <c r="N268" s="607"/>
      <c r="P268" s="44"/>
    </row>
    <row r="269">
      <c r="A269" s="607"/>
      <c r="B269" s="607"/>
      <c r="C269" s="607"/>
      <c r="D269" s="607"/>
      <c r="E269" s="607"/>
      <c r="F269" s="607"/>
      <c r="G269" s="607"/>
      <c r="H269" s="607"/>
      <c r="I269" s="607"/>
      <c r="J269" s="607"/>
      <c r="K269" s="617"/>
      <c r="L269" s="607"/>
      <c r="M269" s="607"/>
      <c r="N269" s="607"/>
      <c r="P269" s="44"/>
    </row>
    <row r="270">
      <c r="A270" s="607"/>
      <c r="B270" s="607"/>
      <c r="C270" s="607"/>
      <c r="D270" s="607"/>
      <c r="E270" s="607"/>
      <c r="F270" s="607"/>
      <c r="G270" s="607"/>
      <c r="H270" s="607"/>
      <c r="I270" s="607"/>
      <c r="J270" s="607"/>
      <c r="K270" s="617"/>
      <c r="L270" s="607"/>
      <c r="M270" s="607"/>
      <c r="N270" s="607"/>
      <c r="P270" s="44"/>
    </row>
    <row r="271">
      <c r="A271" s="607"/>
      <c r="B271" s="607"/>
      <c r="C271" s="607"/>
      <c r="D271" s="607"/>
      <c r="E271" s="607"/>
      <c r="F271" s="607"/>
      <c r="G271" s="607"/>
      <c r="H271" s="607"/>
      <c r="I271" s="607"/>
      <c r="J271" s="607"/>
      <c r="K271" s="617"/>
      <c r="L271" s="607"/>
      <c r="M271" s="607"/>
      <c r="N271" s="607"/>
      <c r="P271" s="44"/>
    </row>
    <row r="272">
      <c r="A272" s="607"/>
      <c r="B272" s="607"/>
      <c r="C272" s="607"/>
      <c r="D272" s="607"/>
      <c r="E272" s="607"/>
      <c r="F272" s="607"/>
      <c r="G272" s="607"/>
      <c r="H272" s="607"/>
      <c r="I272" s="607"/>
      <c r="J272" s="607"/>
      <c r="K272" s="617"/>
      <c r="L272" s="607"/>
      <c r="M272" s="607"/>
      <c r="N272" s="607"/>
      <c r="P272" s="44"/>
    </row>
    <row r="273">
      <c r="A273" s="607"/>
      <c r="B273" s="607"/>
      <c r="C273" s="607"/>
      <c r="D273" s="607"/>
      <c r="E273" s="607"/>
      <c r="F273" s="607"/>
      <c r="G273" s="607"/>
      <c r="H273" s="607"/>
      <c r="I273" s="607"/>
      <c r="J273" s="607"/>
      <c r="K273" s="617"/>
      <c r="L273" s="607"/>
      <c r="M273" s="607"/>
      <c r="N273" s="607"/>
      <c r="P273" s="44"/>
    </row>
    <row r="274">
      <c r="A274" s="607"/>
      <c r="B274" s="607"/>
      <c r="C274" s="607"/>
      <c r="D274" s="607"/>
      <c r="E274" s="607"/>
      <c r="F274" s="607"/>
      <c r="G274" s="607"/>
      <c r="H274" s="607"/>
      <c r="I274" s="607"/>
      <c r="J274" s="607"/>
      <c r="K274" s="617"/>
      <c r="L274" s="607"/>
      <c r="M274" s="607"/>
      <c r="N274" s="607"/>
      <c r="P274" s="44"/>
    </row>
    <row r="275">
      <c r="A275" s="607"/>
      <c r="B275" s="607"/>
      <c r="C275" s="607"/>
      <c r="D275" s="607"/>
      <c r="E275" s="607"/>
      <c r="F275" s="607"/>
      <c r="G275" s="607"/>
      <c r="H275" s="607"/>
      <c r="I275" s="607"/>
      <c r="J275" s="607"/>
      <c r="K275" s="617"/>
      <c r="L275" s="607"/>
      <c r="M275" s="607"/>
      <c r="N275" s="607"/>
      <c r="P275" s="44"/>
    </row>
    <row r="276">
      <c r="A276" s="607"/>
      <c r="B276" s="607"/>
      <c r="C276" s="607"/>
      <c r="D276" s="607"/>
      <c r="E276" s="607"/>
      <c r="F276" s="607"/>
      <c r="G276" s="607"/>
      <c r="H276" s="607"/>
      <c r="I276" s="607"/>
      <c r="J276" s="607"/>
      <c r="K276" s="617"/>
      <c r="L276" s="607"/>
      <c r="M276" s="607"/>
      <c r="N276" s="607"/>
      <c r="P276" s="44"/>
    </row>
    <row r="277">
      <c r="A277" s="607"/>
      <c r="B277" s="607"/>
      <c r="C277" s="607"/>
      <c r="D277" s="607"/>
      <c r="E277" s="607"/>
      <c r="F277" s="607"/>
      <c r="G277" s="607"/>
      <c r="H277" s="607"/>
      <c r="I277" s="607"/>
      <c r="J277" s="607"/>
      <c r="K277" s="617"/>
      <c r="L277" s="607"/>
      <c r="M277" s="607"/>
      <c r="N277" s="607"/>
      <c r="P277" s="44"/>
    </row>
    <row r="278">
      <c r="A278" s="607"/>
      <c r="B278" s="607"/>
      <c r="C278" s="607"/>
      <c r="D278" s="607"/>
      <c r="E278" s="607"/>
      <c r="F278" s="607"/>
      <c r="G278" s="607"/>
      <c r="H278" s="607"/>
      <c r="I278" s="607"/>
      <c r="J278" s="607"/>
      <c r="K278" s="617"/>
      <c r="L278" s="607"/>
      <c r="M278" s="607"/>
      <c r="N278" s="607"/>
      <c r="P278" s="44"/>
    </row>
    <row r="279">
      <c r="A279" s="607"/>
      <c r="B279" s="607"/>
      <c r="C279" s="607"/>
      <c r="D279" s="607"/>
      <c r="E279" s="607"/>
      <c r="F279" s="607"/>
      <c r="G279" s="607"/>
      <c r="H279" s="607"/>
      <c r="I279" s="607"/>
      <c r="J279" s="607"/>
      <c r="K279" s="617"/>
      <c r="L279" s="607"/>
      <c r="M279" s="607"/>
      <c r="N279" s="607"/>
      <c r="P279" s="44"/>
    </row>
    <row r="280">
      <c r="A280" s="607"/>
      <c r="B280" s="607"/>
      <c r="C280" s="607"/>
      <c r="D280" s="607"/>
      <c r="E280" s="607"/>
      <c r="F280" s="607"/>
      <c r="G280" s="607"/>
      <c r="H280" s="607"/>
      <c r="I280" s="607"/>
      <c r="J280" s="607"/>
      <c r="K280" s="617"/>
      <c r="L280" s="607"/>
      <c r="M280" s="607"/>
      <c r="N280" s="607"/>
      <c r="P280" s="44"/>
    </row>
    <row r="281">
      <c r="A281" s="607"/>
      <c r="B281" s="607"/>
      <c r="C281" s="607"/>
      <c r="D281" s="607"/>
      <c r="E281" s="607"/>
      <c r="F281" s="607"/>
      <c r="G281" s="607"/>
      <c r="H281" s="607"/>
      <c r="I281" s="607"/>
      <c r="J281" s="607"/>
      <c r="K281" s="617"/>
      <c r="L281" s="607"/>
      <c r="M281" s="607"/>
      <c r="N281" s="607"/>
      <c r="P281" s="44"/>
    </row>
    <row r="282">
      <c r="A282" s="607"/>
      <c r="B282" s="607"/>
      <c r="C282" s="607"/>
      <c r="D282" s="607"/>
      <c r="E282" s="607"/>
      <c r="F282" s="607"/>
      <c r="G282" s="607"/>
      <c r="H282" s="607"/>
      <c r="I282" s="607"/>
      <c r="J282" s="607"/>
      <c r="K282" s="617"/>
      <c r="L282" s="607"/>
      <c r="M282" s="607"/>
      <c r="N282" s="607"/>
      <c r="P282" s="44"/>
    </row>
    <row r="283">
      <c r="A283" s="607"/>
      <c r="B283" s="607"/>
      <c r="C283" s="607"/>
      <c r="D283" s="607"/>
      <c r="E283" s="607"/>
      <c r="F283" s="607"/>
      <c r="G283" s="607"/>
      <c r="H283" s="607"/>
      <c r="I283" s="607"/>
      <c r="J283" s="607"/>
      <c r="K283" s="617"/>
      <c r="L283" s="607"/>
      <c r="M283" s="607"/>
      <c r="N283" s="607"/>
      <c r="P283" s="44"/>
    </row>
    <row r="284">
      <c r="A284" s="607"/>
      <c r="B284" s="607"/>
      <c r="C284" s="607"/>
      <c r="D284" s="607"/>
      <c r="E284" s="607"/>
      <c r="F284" s="607"/>
      <c r="G284" s="607"/>
      <c r="H284" s="607"/>
      <c r="I284" s="607"/>
      <c r="J284" s="607"/>
      <c r="K284" s="617"/>
      <c r="L284" s="607"/>
      <c r="M284" s="607"/>
      <c r="N284" s="607"/>
      <c r="P284" s="44"/>
    </row>
    <row r="285">
      <c r="A285" s="607"/>
      <c r="B285" s="607"/>
      <c r="C285" s="607"/>
      <c r="D285" s="607"/>
      <c r="E285" s="607"/>
      <c r="F285" s="607"/>
      <c r="G285" s="607"/>
      <c r="H285" s="607"/>
      <c r="I285" s="607"/>
      <c r="J285" s="607"/>
      <c r="K285" s="617"/>
      <c r="L285" s="607"/>
      <c r="M285" s="607"/>
      <c r="N285" s="607"/>
      <c r="P285" s="44"/>
    </row>
    <row r="286">
      <c r="A286" s="607"/>
      <c r="B286" s="607"/>
      <c r="C286" s="607"/>
      <c r="D286" s="607"/>
      <c r="E286" s="607"/>
      <c r="F286" s="607"/>
      <c r="G286" s="607"/>
      <c r="H286" s="607"/>
      <c r="I286" s="607"/>
      <c r="J286" s="607"/>
      <c r="K286" s="617"/>
      <c r="L286" s="607"/>
      <c r="M286" s="607"/>
      <c r="N286" s="607"/>
      <c r="P286" s="44"/>
    </row>
    <row r="287">
      <c r="A287" s="607"/>
      <c r="B287" s="607"/>
      <c r="C287" s="607"/>
      <c r="D287" s="607"/>
      <c r="E287" s="607"/>
      <c r="F287" s="607"/>
      <c r="G287" s="607"/>
      <c r="H287" s="607"/>
      <c r="I287" s="607"/>
      <c r="J287" s="607"/>
      <c r="K287" s="617"/>
      <c r="L287" s="607"/>
      <c r="M287" s="607"/>
      <c r="N287" s="607"/>
      <c r="P287" s="44"/>
    </row>
    <row r="288">
      <c r="A288" s="607"/>
      <c r="B288" s="607"/>
      <c r="C288" s="607"/>
      <c r="D288" s="607"/>
      <c r="E288" s="607"/>
      <c r="F288" s="607"/>
      <c r="G288" s="607"/>
      <c r="H288" s="607"/>
      <c r="I288" s="607"/>
      <c r="J288" s="607"/>
      <c r="K288" s="617"/>
      <c r="L288" s="607"/>
      <c r="M288" s="607"/>
      <c r="N288" s="607"/>
      <c r="P288" s="44"/>
    </row>
    <row r="289">
      <c r="A289" s="607"/>
      <c r="B289" s="607"/>
      <c r="C289" s="607"/>
      <c r="D289" s="607"/>
      <c r="E289" s="607"/>
      <c r="F289" s="607"/>
      <c r="G289" s="607"/>
      <c r="H289" s="607"/>
      <c r="I289" s="607"/>
      <c r="J289" s="607"/>
      <c r="K289" s="617"/>
      <c r="L289" s="607"/>
      <c r="M289" s="607"/>
      <c r="N289" s="607"/>
      <c r="P289" s="44"/>
    </row>
    <row r="290">
      <c r="A290" s="607"/>
      <c r="B290" s="607"/>
      <c r="C290" s="607"/>
      <c r="D290" s="607"/>
      <c r="E290" s="607"/>
      <c r="F290" s="607"/>
      <c r="G290" s="607"/>
      <c r="H290" s="607"/>
      <c r="I290" s="607"/>
      <c r="J290" s="607"/>
      <c r="K290" s="617"/>
      <c r="L290" s="607"/>
      <c r="M290" s="607"/>
      <c r="N290" s="607"/>
      <c r="P290" s="44"/>
    </row>
    <row r="291">
      <c r="A291" s="607"/>
      <c r="B291" s="607"/>
      <c r="C291" s="607"/>
      <c r="D291" s="607"/>
      <c r="E291" s="607"/>
      <c r="F291" s="607"/>
      <c r="G291" s="607"/>
      <c r="H291" s="607"/>
      <c r="I291" s="607"/>
      <c r="J291" s="607"/>
      <c r="K291" s="617"/>
      <c r="L291" s="607"/>
      <c r="M291" s="607"/>
      <c r="N291" s="607"/>
      <c r="P291" s="44"/>
    </row>
    <row r="292">
      <c r="A292" s="607"/>
      <c r="B292" s="607"/>
      <c r="C292" s="607"/>
      <c r="D292" s="607"/>
      <c r="E292" s="607"/>
      <c r="F292" s="607"/>
      <c r="G292" s="607"/>
      <c r="H292" s="607"/>
      <c r="I292" s="607"/>
      <c r="J292" s="607"/>
      <c r="K292" s="617"/>
      <c r="L292" s="607"/>
      <c r="M292" s="607"/>
      <c r="N292" s="607"/>
      <c r="P292" s="44"/>
    </row>
    <row r="293">
      <c r="A293" s="607"/>
      <c r="B293" s="607"/>
      <c r="C293" s="607"/>
      <c r="D293" s="607"/>
      <c r="E293" s="607"/>
      <c r="F293" s="607"/>
      <c r="G293" s="607"/>
      <c r="H293" s="607"/>
      <c r="I293" s="607"/>
      <c r="J293" s="607"/>
      <c r="K293" s="617"/>
      <c r="L293" s="607"/>
      <c r="M293" s="607"/>
      <c r="N293" s="607"/>
      <c r="P293" s="44"/>
    </row>
    <row r="294">
      <c r="A294" s="607"/>
      <c r="B294" s="607"/>
      <c r="C294" s="607"/>
      <c r="D294" s="607"/>
      <c r="E294" s="607"/>
      <c r="F294" s="607"/>
      <c r="G294" s="607"/>
      <c r="H294" s="607"/>
      <c r="I294" s="607"/>
      <c r="J294" s="607"/>
      <c r="K294" s="617"/>
      <c r="L294" s="607"/>
      <c r="M294" s="607"/>
      <c r="N294" s="607"/>
      <c r="P294" s="44"/>
    </row>
    <row r="295">
      <c r="A295" s="607"/>
      <c r="B295" s="607"/>
      <c r="C295" s="607"/>
      <c r="D295" s="607"/>
      <c r="E295" s="607"/>
      <c r="F295" s="607"/>
      <c r="G295" s="607"/>
      <c r="H295" s="607"/>
      <c r="I295" s="607"/>
      <c r="J295" s="607"/>
      <c r="K295" s="617"/>
      <c r="L295" s="607"/>
      <c r="M295" s="607"/>
      <c r="N295" s="607"/>
      <c r="P295" s="44"/>
    </row>
    <row r="296">
      <c r="A296" s="607"/>
      <c r="B296" s="607"/>
      <c r="C296" s="607"/>
      <c r="D296" s="607"/>
      <c r="E296" s="607"/>
      <c r="F296" s="607"/>
      <c r="G296" s="607"/>
      <c r="H296" s="607"/>
      <c r="I296" s="607"/>
      <c r="J296" s="607"/>
      <c r="K296" s="617"/>
      <c r="L296" s="607"/>
      <c r="M296" s="607"/>
      <c r="N296" s="607"/>
      <c r="P296" s="44"/>
    </row>
    <row r="297">
      <c r="A297" s="607"/>
      <c r="B297" s="607"/>
      <c r="C297" s="607"/>
      <c r="D297" s="607"/>
      <c r="E297" s="607"/>
      <c r="F297" s="607"/>
      <c r="G297" s="607"/>
      <c r="H297" s="607"/>
      <c r="I297" s="607"/>
      <c r="J297" s="607"/>
      <c r="K297" s="617"/>
      <c r="L297" s="607"/>
      <c r="M297" s="607"/>
      <c r="N297" s="607"/>
      <c r="P297" s="44"/>
    </row>
    <row r="298">
      <c r="A298" s="607"/>
      <c r="B298" s="607"/>
      <c r="C298" s="607"/>
      <c r="D298" s="607"/>
      <c r="E298" s="607"/>
      <c r="F298" s="607"/>
      <c r="G298" s="607"/>
      <c r="H298" s="607"/>
      <c r="I298" s="607"/>
      <c r="J298" s="607"/>
      <c r="K298" s="617"/>
      <c r="L298" s="607"/>
      <c r="M298" s="607"/>
      <c r="N298" s="607"/>
      <c r="P298" s="44"/>
    </row>
    <row r="299">
      <c r="A299" s="607"/>
      <c r="B299" s="607"/>
      <c r="C299" s="607"/>
      <c r="D299" s="607"/>
      <c r="E299" s="607"/>
      <c r="F299" s="607"/>
      <c r="G299" s="607"/>
      <c r="H299" s="607"/>
      <c r="I299" s="607"/>
      <c r="J299" s="607"/>
      <c r="K299" s="617"/>
      <c r="L299" s="607"/>
      <c r="M299" s="607"/>
      <c r="N299" s="607"/>
      <c r="P299" s="44"/>
    </row>
    <row r="300">
      <c r="A300" s="607"/>
      <c r="B300" s="607"/>
      <c r="C300" s="607"/>
      <c r="D300" s="607"/>
      <c r="E300" s="607"/>
      <c r="F300" s="607"/>
      <c r="G300" s="607"/>
      <c r="H300" s="607"/>
      <c r="I300" s="607"/>
      <c r="J300" s="607"/>
      <c r="K300" s="617"/>
      <c r="L300" s="607"/>
      <c r="M300" s="607"/>
      <c r="N300" s="607"/>
      <c r="P300" s="44"/>
    </row>
    <row r="301">
      <c r="A301" s="607"/>
      <c r="B301" s="607"/>
      <c r="C301" s="607"/>
      <c r="D301" s="607"/>
      <c r="E301" s="607"/>
      <c r="F301" s="607"/>
      <c r="G301" s="607"/>
      <c r="H301" s="607"/>
      <c r="I301" s="607"/>
      <c r="J301" s="607"/>
      <c r="K301" s="617"/>
      <c r="L301" s="607"/>
      <c r="M301" s="607"/>
      <c r="N301" s="607"/>
      <c r="P301" s="44"/>
    </row>
    <row r="302">
      <c r="A302" s="607"/>
      <c r="B302" s="607"/>
      <c r="C302" s="607"/>
      <c r="D302" s="607"/>
      <c r="E302" s="607"/>
      <c r="F302" s="607"/>
      <c r="G302" s="607"/>
      <c r="H302" s="607"/>
      <c r="I302" s="607"/>
      <c r="J302" s="607"/>
      <c r="K302" s="617"/>
      <c r="L302" s="607"/>
      <c r="M302" s="607"/>
      <c r="N302" s="607"/>
      <c r="P302" s="44"/>
    </row>
    <row r="303">
      <c r="A303" s="607"/>
      <c r="B303" s="607"/>
      <c r="C303" s="607"/>
      <c r="D303" s="607"/>
      <c r="E303" s="607"/>
      <c r="F303" s="607"/>
      <c r="G303" s="607"/>
      <c r="H303" s="607"/>
      <c r="I303" s="607"/>
      <c r="J303" s="607"/>
      <c r="K303" s="617"/>
      <c r="L303" s="607"/>
      <c r="M303" s="607"/>
      <c r="N303" s="607"/>
      <c r="P303" s="44"/>
    </row>
    <row r="304">
      <c r="A304" s="607"/>
      <c r="B304" s="607"/>
      <c r="C304" s="607"/>
      <c r="D304" s="607"/>
      <c r="E304" s="607"/>
      <c r="F304" s="607"/>
      <c r="G304" s="607"/>
      <c r="H304" s="607"/>
      <c r="I304" s="607"/>
      <c r="J304" s="607"/>
      <c r="K304" s="617"/>
      <c r="L304" s="607"/>
      <c r="M304" s="607"/>
      <c r="N304" s="607"/>
      <c r="P304" s="44"/>
    </row>
    <row r="305">
      <c r="A305" s="607"/>
      <c r="B305" s="607"/>
      <c r="C305" s="607"/>
      <c r="D305" s="607"/>
      <c r="E305" s="607"/>
      <c r="F305" s="607"/>
      <c r="G305" s="607"/>
      <c r="H305" s="607"/>
      <c r="I305" s="607"/>
      <c r="J305" s="607"/>
      <c r="K305" s="617"/>
      <c r="L305" s="607"/>
      <c r="M305" s="607"/>
      <c r="N305" s="607"/>
      <c r="P305" s="44"/>
    </row>
    <row r="306">
      <c r="A306" s="607"/>
      <c r="B306" s="607"/>
      <c r="C306" s="607"/>
      <c r="D306" s="607"/>
      <c r="E306" s="607"/>
      <c r="F306" s="607"/>
      <c r="G306" s="607"/>
      <c r="H306" s="607"/>
      <c r="I306" s="607"/>
      <c r="J306" s="607"/>
      <c r="K306" s="617"/>
      <c r="L306" s="607"/>
      <c r="M306" s="607"/>
      <c r="N306" s="607"/>
      <c r="P306" s="44"/>
    </row>
    <row r="307">
      <c r="A307" s="607"/>
      <c r="B307" s="607"/>
      <c r="C307" s="607"/>
      <c r="D307" s="607"/>
      <c r="E307" s="607"/>
      <c r="F307" s="607"/>
      <c r="G307" s="607"/>
      <c r="H307" s="607"/>
      <c r="I307" s="607"/>
      <c r="J307" s="607"/>
      <c r="K307" s="617"/>
      <c r="L307" s="607"/>
      <c r="M307" s="607"/>
      <c r="N307" s="607"/>
      <c r="P307" s="44"/>
    </row>
    <row r="308">
      <c r="A308" s="607"/>
      <c r="B308" s="607"/>
      <c r="C308" s="607"/>
      <c r="D308" s="607"/>
      <c r="E308" s="607"/>
      <c r="F308" s="607"/>
      <c r="G308" s="607"/>
      <c r="H308" s="607"/>
      <c r="I308" s="607"/>
      <c r="J308" s="607"/>
      <c r="K308" s="617"/>
      <c r="L308" s="607"/>
      <c r="M308" s="607"/>
      <c r="N308" s="607"/>
      <c r="P308" s="44"/>
    </row>
    <row r="309">
      <c r="A309" s="607"/>
      <c r="B309" s="607"/>
      <c r="C309" s="607"/>
      <c r="D309" s="607"/>
      <c r="E309" s="607"/>
      <c r="F309" s="607"/>
      <c r="G309" s="607"/>
      <c r="H309" s="607"/>
      <c r="I309" s="607"/>
      <c r="J309" s="607"/>
      <c r="K309" s="617"/>
      <c r="L309" s="607"/>
      <c r="M309" s="607"/>
      <c r="N309" s="607"/>
      <c r="P309" s="44"/>
    </row>
    <row r="310">
      <c r="A310" s="607"/>
      <c r="B310" s="607"/>
      <c r="C310" s="607"/>
      <c r="D310" s="607"/>
      <c r="E310" s="607"/>
      <c r="F310" s="607"/>
      <c r="G310" s="607"/>
      <c r="H310" s="607"/>
      <c r="I310" s="607"/>
      <c r="J310" s="607"/>
      <c r="K310" s="617"/>
      <c r="L310" s="607"/>
      <c r="M310" s="607"/>
      <c r="N310" s="607"/>
      <c r="P310" s="44"/>
    </row>
    <row r="311">
      <c r="A311" s="607"/>
      <c r="B311" s="607"/>
      <c r="C311" s="607"/>
      <c r="D311" s="607"/>
      <c r="E311" s="607"/>
      <c r="F311" s="607"/>
      <c r="G311" s="607"/>
      <c r="H311" s="607"/>
      <c r="I311" s="607"/>
      <c r="J311" s="607"/>
      <c r="K311" s="617"/>
      <c r="L311" s="607"/>
      <c r="M311" s="607"/>
      <c r="N311" s="607"/>
      <c r="P311" s="44"/>
    </row>
    <row r="312">
      <c r="A312" s="607"/>
      <c r="B312" s="607"/>
      <c r="C312" s="607"/>
      <c r="D312" s="607"/>
      <c r="E312" s="607"/>
      <c r="F312" s="607"/>
      <c r="G312" s="607"/>
      <c r="H312" s="607"/>
      <c r="I312" s="607"/>
      <c r="J312" s="607"/>
      <c r="K312" s="617"/>
      <c r="L312" s="607"/>
      <c r="M312" s="607"/>
      <c r="N312" s="607"/>
      <c r="P312" s="44"/>
    </row>
    <row r="313">
      <c r="A313" s="607"/>
      <c r="B313" s="607"/>
      <c r="C313" s="607"/>
      <c r="D313" s="607"/>
      <c r="E313" s="607"/>
      <c r="F313" s="607"/>
      <c r="G313" s="607"/>
      <c r="H313" s="607"/>
      <c r="I313" s="607"/>
      <c r="J313" s="607"/>
      <c r="K313" s="617"/>
      <c r="L313" s="607"/>
      <c r="M313" s="607"/>
      <c r="N313" s="607"/>
      <c r="P313" s="44"/>
    </row>
    <row r="314">
      <c r="A314" s="607"/>
      <c r="B314" s="607"/>
      <c r="C314" s="607"/>
      <c r="D314" s="607"/>
      <c r="E314" s="607"/>
      <c r="F314" s="607"/>
      <c r="G314" s="607"/>
      <c r="H314" s="607"/>
      <c r="I314" s="607"/>
      <c r="J314" s="607"/>
      <c r="K314" s="617"/>
      <c r="L314" s="607"/>
      <c r="M314" s="607"/>
      <c r="N314" s="607"/>
      <c r="P314" s="44"/>
    </row>
    <row r="315">
      <c r="A315" s="607"/>
      <c r="B315" s="607"/>
      <c r="C315" s="607"/>
      <c r="D315" s="607"/>
      <c r="E315" s="607"/>
      <c r="F315" s="607"/>
      <c r="G315" s="607"/>
      <c r="H315" s="607"/>
      <c r="I315" s="607"/>
      <c r="J315" s="607"/>
      <c r="K315" s="617"/>
      <c r="L315" s="607"/>
      <c r="M315" s="607"/>
      <c r="N315" s="607"/>
      <c r="P315" s="44"/>
    </row>
    <row r="316">
      <c r="A316" s="607"/>
      <c r="B316" s="607"/>
      <c r="C316" s="607"/>
      <c r="D316" s="607"/>
      <c r="E316" s="607"/>
      <c r="F316" s="607"/>
      <c r="G316" s="607"/>
      <c r="H316" s="607"/>
      <c r="I316" s="607"/>
      <c r="J316" s="607"/>
      <c r="K316" s="617"/>
      <c r="L316" s="607"/>
      <c r="M316" s="607"/>
      <c r="N316" s="607"/>
      <c r="P316" s="44"/>
    </row>
    <row r="317">
      <c r="A317" s="607"/>
      <c r="B317" s="607"/>
      <c r="C317" s="607"/>
      <c r="D317" s="607"/>
      <c r="E317" s="607"/>
      <c r="F317" s="607"/>
      <c r="G317" s="607"/>
      <c r="H317" s="607"/>
      <c r="I317" s="607"/>
      <c r="J317" s="607"/>
      <c r="K317" s="617"/>
      <c r="L317" s="607"/>
      <c r="M317" s="607"/>
      <c r="N317" s="607"/>
      <c r="P317" s="44"/>
    </row>
    <row r="318">
      <c r="A318" s="607"/>
      <c r="B318" s="607"/>
      <c r="C318" s="607"/>
      <c r="D318" s="607"/>
      <c r="E318" s="607"/>
      <c r="F318" s="607"/>
      <c r="G318" s="607"/>
      <c r="H318" s="607"/>
      <c r="I318" s="607"/>
      <c r="J318" s="607"/>
      <c r="K318" s="617"/>
      <c r="L318" s="607"/>
      <c r="M318" s="607"/>
      <c r="N318" s="607"/>
      <c r="P318" s="44"/>
    </row>
    <row r="319">
      <c r="A319" s="607"/>
      <c r="B319" s="607"/>
      <c r="C319" s="607"/>
      <c r="D319" s="607"/>
      <c r="E319" s="607"/>
      <c r="F319" s="607"/>
      <c r="G319" s="607"/>
      <c r="H319" s="607"/>
      <c r="I319" s="607"/>
      <c r="J319" s="607"/>
      <c r="K319" s="617"/>
      <c r="L319" s="607"/>
      <c r="M319" s="607"/>
      <c r="N319" s="607"/>
      <c r="P319" s="44"/>
    </row>
    <row r="320">
      <c r="A320" s="607"/>
      <c r="B320" s="607"/>
      <c r="C320" s="607"/>
      <c r="D320" s="607"/>
      <c r="E320" s="607"/>
      <c r="F320" s="607"/>
      <c r="G320" s="607"/>
      <c r="H320" s="607"/>
      <c r="I320" s="607"/>
      <c r="J320" s="607"/>
      <c r="K320" s="617"/>
      <c r="L320" s="607"/>
      <c r="M320" s="607"/>
      <c r="N320" s="607"/>
      <c r="P320" s="44"/>
    </row>
    <row r="321">
      <c r="A321" s="607"/>
      <c r="B321" s="607"/>
      <c r="C321" s="607"/>
      <c r="D321" s="607"/>
      <c r="E321" s="607"/>
      <c r="F321" s="607"/>
      <c r="G321" s="607"/>
      <c r="H321" s="607"/>
      <c r="I321" s="607"/>
      <c r="J321" s="607"/>
      <c r="K321" s="617"/>
      <c r="L321" s="607"/>
      <c r="M321" s="607"/>
      <c r="N321" s="607"/>
      <c r="P321" s="44"/>
    </row>
    <row r="322">
      <c r="A322" s="607"/>
      <c r="B322" s="607"/>
      <c r="C322" s="607"/>
      <c r="D322" s="607"/>
      <c r="E322" s="607"/>
      <c r="F322" s="607"/>
      <c r="G322" s="607"/>
      <c r="H322" s="607"/>
      <c r="I322" s="607"/>
      <c r="J322" s="607"/>
      <c r="K322" s="617"/>
      <c r="L322" s="607"/>
      <c r="M322" s="607"/>
      <c r="N322" s="607"/>
      <c r="P322" s="44"/>
    </row>
    <row r="323">
      <c r="A323" s="607"/>
      <c r="B323" s="607"/>
      <c r="C323" s="607"/>
      <c r="D323" s="607"/>
      <c r="E323" s="607"/>
      <c r="F323" s="607"/>
      <c r="G323" s="607"/>
      <c r="H323" s="607"/>
      <c r="I323" s="607"/>
      <c r="J323" s="607"/>
      <c r="K323" s="617"/>
      <c r="L323" s="607"/>
      <c r="M323" s="607"/>
      <c r="N323" s="607"/>
      <c r="P323" s="44"/>
    </row>
    <row r="324">
      <c r="A324" s="607"/>
      <c r="B324" s="607"/>
      <c r="C324" s="607"/>
      <c r="D324" s="607"/>
      <c r="E324" s="607"/>
      <c r="F324" s="607"/>
      <c r="G324" s="607"/>
      <c r="H324" s="607"/>
      <c r="I324" s="607"/>
      <c r="J324" s="607"/>
      <c r="K324" s="617"/>
      <c r="L324" s="607"/>
      <c r="M324" s="607"/>
      <c r="N324" s="607"/>
      <c r="P324" s="44"/>
    </row>
    <row r="325">
      <c r="A325" s="607"/>
      <c r="B325" s="607"/>
      <c r="C325" s="607"/>
      <c r="D325" s="607"/>
      <c r="E325" s="607"/>
      <c r="F325" s="607"/>
      <c r="G325" s="607"/>
      <c r="H325" s="607"/>
      <c r="I325" s="607"/>
      <c r="J325" s="607"/>
      <c r="K325" s="617"/>
      <c r="L325" s="607"/>
      <c r="M325" s="607"/>
      <c r="N325" s="607"/>
      <c r="P325" s="44"/>
    </row>
    <row r="326">
      <c r="A326" s="607"/>
      <c r="B326" s="607"/>
      <c r="C326" s="607"/>
      <c r="D326" s="607"/>
      <c r="E326" s="607"/>
      <c r="F326" s="607"/>
      <c r="G326" s="607"/>
      <c r="H326" s="607"/>
      <c r="I326" s="607"/>
      <c r="J326" s="607"/>
      <c r="K326" s="617"/>
      <c r="L326" s="607"/>
      <c r="M326" s="607"/>
      <c r="N326" s="607"/>
      <c r="P326" s="44"/>
    </row>
    <row r="327">
      <c r="A327" s="607"/>
      <c r="B327" s="607"/>
      <c r="C327" s="607"/>
      <c r="D327" s="607"/>
      <c r="E327" s="607"/>
      <c r="F327" s="607"/>
      <c r="G327" s="607"/>
      <c r="H327" s="607"/>
      <c r="I327" s="607"/>
      <c r="J327" s="607"/>
      <c r="K327" s="617"/>
      <c r="L327" s="607"/>
      <c r="M327" s="607"/>
      <c r="N327" s="607"/>
      <c r="P327" s="44"/>
    </row>
    <row r="328">
      <c r="A328" s="607"/>
      <c r="B328" s="607"/>
      <c r="C328" s="607"/>
      <c r="D328" s="607"/>
      <c r="E328" s="607"/>
      <c r="F328" s="607"/>
      <c r="G328" s="607"/>
      <c r="H328" s="607"/>
      <c r="I328" s="607"/>
      <c r="J328" s="607"/>
      <c r="K328" s="617"/>
      <c r="L328" s="607"/>
      <c r="M328" s="607"/>
      <c r="N328" s="607"/>
      <c r="P328" s="44"/>
    </row>
    <row r="329">
      <c r="A329" s="607"/>
      <c r="B329" s="607"/>
      <c r="C329" s="607"/>
      <c r="D329" s="607"/>
      <c r="E329" s="607"/>
      <c r="F329" s="607"/>
      <c r="G329" s="607"/>
      <c r="H329" s="607"/>
      <c r="I329" s="607"/>
      <c r="J329" s="607"/>
      <c r="K329" s="617"/>
      <c r="L329" s="607"/>
      <c r="M329" s="607"/>
      <c r="N329" s="607"/>
      <c r="P329" s="44"/>
    </row>
    <row r="330">
      <c r="A330" s="607"/>
      <c r="B330" s="607"/>
      <c r="C330" s="607"/>
      <c r="D330" s="607"/>
      <c r="E330" s="607"/>
      <c r="F330" s="607"/>
      <c r="G330" s="607"/>
      <c r="H330" s="607"/>
      <c r="I330" s="607"/>
      <c r="J330" s="607"/>
      <c r="K330" s="617"/>
      <c r="L330" s="607"/>
      <c r="M330" s="607"/>
      <c r="N330" s="607"/>
      <c r="P330" s="44"/>
    </row>
    <row r="331">
      <c r="A331" s="607"/>
      <c r="B331" s="607"/>
      <c r="C331" s="607"/>
      <c r="D331" s="607"/>
      <c r="E331" s="607"/>
      <c r="F331" s="607"/>
      <c r="G331" s="607"/>
      <c r="H331" s="607"/>
      <c r="I331" s="607"/>
      <c r="J331" s="607"/>
      <c r="K331" s="617"/>
      <c r="L331" s="607"/>
      <c r="M331" s="607"/>
      <c r="N331" s="607"/>
      <c r="P331" s="44"/>
    </row>
    <row r="332">
      <c r="A332" s="607"/>
      <c r="B332" s="607"/>
      <c r="C332" s="607"/>
      <c r="D332" s="607"/>
      <c r="E332" s="607"/>
      <c r="F332" s="607"/>
      <c r="G332" s="607"/>
      <c r="H332" s="607"/>
      <c r="I332" s="607"/>
      <c r="J332" s="607"/>
      <c r="K332" s="617"/>
      <c r="L332" s="607"/>
      <c r="M332" s="607"/>
      <c r="N332" s="607"/>
      <c r="P332" s="44"/>
    </row>
    <row r="333">
      <c r="A333" s="607"/>
      <c r="B333" s="607"/>
      <c r="C333" s="607"/>
      <c r="D333" s="607"/>
      <c r="E333" s="607"/>
      <c r="F333" s="607"/>
      <c r="G333" s="607"/>
      <c r="H333" s="607"/>
      <c r="I333" s="607"/>
      <c r="J333" s="607"/>
      <c r="K333" s="617"/>
      <c r="L333" s="607"/>
      <c r="M333" s="607"/>
      <c r="N333" s="607"/>
      <c r="P333" s="44"/>
    </row>
    <row r="334">
      <c r="A334" s="607"/>
      <c r="B334" s="607"/>
      <c r="C334" s="607"/>
      <c r="D334" s="607"/>
      <c r="E334" s="607"/>
      <c r="F334" s="607"/>
      <c r="G334" s="607"/>
      <c r="H334" s="607"/>
      <c r="I334" s="607"/>
      <c r="J334" s="607"/>
      <c r="K334" s="617"/>
      <c r="L334" s="607"/>
      <c r="M334" s="607"/>
      <c r="N334" s="607"/>
      <c r="P334" s="44"/>
    </row>
    <row r="335">
      <c r="A335" s="607"/>
      <c r="B335" s="607"/>
      <c r="C335" s="607"/>
      <c r="D335" s="607"/>
      <c r="E335" s="607"/>
      <c r="F335" s="607"/>
      <c r="G335" s="607"/>
      <c r="H335" s="607"/>
      <c r="I335" s="607"/>
      <c r="J335" s="607"/>
      <c r="K335" s="617"/>
      <c r="L335" s="607"/>
      <c r="M335" s="607"/>
      <c r="N335" s="607"/>
      <c r="P335" s="44"/>
    </row>
    <row r="336">
      <c r="A336" s="607"/>
      <c r="B336" s="607"/>
      <c r="C336" s="607"/>
      <c r="D336" s="607"/>
      <c r="E336" s="607"/>
      <c r="F336" s="607"/>
      <c r="G336" s="607"/>
      <c r="H336" s="607"/>
      <c r="I336" s="607"/>
      <c r="J336" s="607"/>
      <c r="K336" s="617"/>
      <c r="L336" s="607"/>
      <c r="M336" s="607"/>
      <c r="N336" s="607"/>
      <c r="P336" s="44"/>
    </row>
    <row r="337">
      <c r="A337" s="607"/>
      <c r="B337" s="607"/>
      <c r="C337" s="607"/>
      <c r="D337" s="607"/>
      <c r="E337" s="607"/>
      <c r="F337" s="607"/>
      <c r="G337" s="607"/>
      <c r="H337" s="607"/>
      <c r="I337" s="607"/>
      <c r="J337" s="607"/>
      <c r="K337" s="617"/>
      <c r="L337" s="607"/>
      <c r="M337" s="607"/>
      <c r="N337" s="607"/>
      <c r="P337" s="44"/>
    </row>
    <row r="338">
      <c r="A338" s="607"/>
      <c r="B338" s="607"/>
      <c r="C338" s="607"/>
      <c r="D338" s="607"/>
      <c r="E338" s="607"/>
      <c r="F338" s="607"/>
      <c r="G338" s="607"/>
      <c r="H338" s="607"/>
      <c r="I338" s="607"/>
      <c r="J338" s="607"/>
      <c r="K338" s="617"/>
      <c r="L338" s="607"/>
      <c r="M338" s="607"/>
      <c r="N338" s="607"/>
      <c r="P338" s="44"/>
    </row>
    <row r="339">
      <c r="A339" s="607"/>
      <c r="B339" s="607"/>
      <c r="C339" s="607"/>
      <c r="D339" s="607"/>
      <c r="E339" s="607"/>
      <c r="F339" s="607"/>
      <c r="G339" s="607"/>
      <c r="H339" s="607"/>
      <c r="I339" s="607"/>
      <c r="J339" s="607"/>
      <c r="K339" s="617"/>
      <c r="L339" s="607"/>
      <c r="M339" s="607"/>
      <c r="N339" s="607"/>
      <c r="P339" s="44"/>
    </row>
    <row r="340">
      <c r="A340" s="607"/>
      <c r="B340" s="607"/>
      <c r="C340" s="607"/>
      <c r="D340" s="607"/>
      <c r="E340" s="607"/>
      <c r="F340" s="607"/>
      <c r="G340" s="607"/>
      <c r="H340" s="607"/>
      <c r="I340" s="607"/>
      <c r="J340" s="607"/>
      <c r="K340" s="617"/>
      <c r="L340" s="607"/>
      <c r="M340" s="607"/>
      <c r="N340" s="607"/>
      <c r="P340" s="44"/>
    </row>
    <row r="341">
      <c r="A341" s="607"/>
      <c r="B341" s="607"/>
      <c r="C341" s="607"/>
      <c r="D341" s="607"/>
      <c r="E341" s="607"/>
      <c r="F341" s="607"/>
      <c r="G341" s="607"/>
      <c r="H341" s="607"/>
      <c r="I341" s="607"/>
      <c r="J341" s="607"/>
      <c r="K341" s="617"/>
      <c r="L341" s="607"/>
      <c r="M341" s="607"/>
      <c r="N341" s="607"/>
      <c r="P341" s="44"/>
    </row>
    <row r="342">
      <c r="A342" s="607"/>
      <c r="B342" s="607"/>
      <c r="C342" s="607"/>
      <c r="D342" s="607"/>
      <c r="E342" s="607"/>
      <c r="F342" s="607"/>
      <c r="G342" s="607"/>
      <c r="H342" s="607"/>
      <c r="I342" s="607"/>
      <c r="J342" s="607"/>
      <c r="K342" s="617"/>
      <c r="L342" s="607"/>
      <c r="M342" s="607"/>
      <c r="N342" s="607"/>
      <c r="P342" s="44"/>
    </row>
    <row r="343">
      <c r="A343" s="607"/>
      <c r="B343" s="607"/>
      <c r="C343" s="607"/>
      <c r="D343" s="607"/>
      <c r="E343" s="607"/>
      <c r="F343" s="607"/>
      <c r="G343" s="607"/>
      <c r="H343" s="607"/>
      <c r="I343" s="607"/>
      <c r="J343" s="607"/>
      <c r="K343" s="617"/>
      <c r="L343" s="607"/>
      <c r="M343" s="607"/>
      <c r="N343" s="607"/>
      <c r="P343" s="44"/>
    </row>
    <row r="344">
      <c r="A344" s="607"/>
      <c r="B344" s="607"/>
      <c r="C344" s="607"/>
      <c r="D344" s="607"/>
      <c r="E344" s="607"/>
      <c r="F344" s="607"/>
      <c r="G344" s="607"/>
      <c r="H344" s="607"/>
      <c r="I344" s="607"/>
      <c r="J344" s="607"/>
      <c r="K344" s="617"/>
      <c r="L344" s="607"/>
      <c r="M344" s="607"/>
      <c r="N344" s="607"/>
      <c r="P344" s="44"/>
    </row>
    <row r="345">
      <c r="A345" s="607"/>
      <c r="B345" s="607"/>
      <c r="C345" s="607"/>
      <c r="D345" s="607"/>
      <c r="E345" s="607"/>
      <c r="F345" s="607"/>
      <c r="G345" s="607"/>
      <c r="H345" s="607"/>
      <c r="I345" s="607"/>
      <c r="J345" s="607"/>
      <c r="K345" s="617"/>
      <c r="L345" s="607"/>
      <c r="M345" s="607"/>
      <c r="N345" s="607"/>
      <c r="P345" s="44"/>
    </row>
    <row r="346">
      <c r="A346" s="607"/>
      <c r="B346" s="607"/>
      <c r="C346" s="607"/>
      <c r="D346" s="607"/>
      <c r="E346" s="607"/>
      <c r="F346" s="607"/>
      <c r="G346" s="607"/>
      <c r="H346" s="607"/>
      <c r="I346" s="607"/>
      <c r="J346" s="607"/>
      <c r="K346" s="617"/>
      <c r="L346" s="607"/>
      <c r="M346" s="607"/>
      <c r="N346" s="607"/>
      <c r="P346" s="44"/>
    </row>
    <row r="347">
      <c r="A347" s="607"/>
      <c r="B347" s="607"/>
      <c r="C347" s="607"/>
      <c r="D347" s="607"/>
      <c r="E347" s="607"/>
      <c r="F347" s="607"/>
      <c r="G347" s="607"/>
      <c r="H347" s="607"/>
      <c r="I347" s="607"/>
      <c r="J347" s="607"/>
      <c r="K347" s="617"/>
      <c r="L347" s="607"/>
      <c r="M347" s="607"/>
      <c r="N347" s="607"/>
      <c r="P347" s="44"/>
    </row>
    <row r="348">
      <c r="A348" s="607"/>
      <c r="B348" s="607"/>
      <c r="C348" s="607"/>
      <c r="D348" s="607"/>
      <c r="E348" s="607"/>
      <c r="F348" s="607"/>
      <c r="G348" s="607"/>
      <c r="H348" s="607"/>
      <c r="I348" s="607"/>
      <c r="J348" s="607"/>
      <c r="K348" s="617"/>
      <c r="L348" s="607"/>
      <c r="M348" s="607"/>
      <c r="N348" s="607"/>
      <c r="P348" s="44"/>
    </row>
    <row r="349">
      <c r="A349" s="607"/>
      <c r="B349" s="607"/>
      <c r="C349" s="607"/>
      <c r="D349" s="607"/>
      <c r="E349" s="607"/>
      <c r="F349" s="607"/>
      <c r="G349" s="607"/>
      <c r="H349" s="607"/>
      <c r="I349" s="607"/>
      <c r="J349" s="607"/>
      <c r="K349" s="617"/>
      <c r="L349" s="607"/>
      <c r="M349" s="607"/>
      <c r="N349" s="607"/>
      <c r="P349" s="44"/>
    </row>
    <row r="350">
      <c r="A350" s="607"/>
      <c r="B350" s="607"/>
      <c r="C350" s="607"/>
      <c r="D350" s="607"/>
      <c r="E350" s="607"/>
      <c r="F350" s="607"/>
      <c r="G350" s="607"/>
      <c r="H350" s="607"/>
      <c r="I350" s="607"/>
      <c r="J350" s="607"/>
      <c r="K350" s="617"/>
      <c r="L350" s="607"/>
      <c r="M350" s="607"/>
      <c r="N350" s="607"/>
      <c r="P350" s="44"/>
    </row>
    <row r="351">
      <c r="A351" s="607"/>
      <c r="B351" s="607"/>
      <c r="C351" s="607"/>
      <c r="D351" s="607"/>
      <c r="E351" s="607"/>
      <c r="F351" s="607"/>
      <c r="G351" s="607"/>
      <c r="H351" s="607"/>
      <c r="I351" s="607"/>
      <c r="J351" s="607"/>
      <c r="K351" s="617"/>
      <c r="L351" s="607"/>
      <c r="M351" s="607"/>
      <c r="N351" s="607"/>
      <c r="P351" s="44"/>
    </row>
    <row r="352">
      <c r="A352" s="607"/>
      <c r="B352" s="607"/>
      <c r="C352" s="607"/>
      <c r="D352" s="607"/>
      <c r="E352" s="607"/>
      <c r="F352" s="607"/>
      <c r="G352" s="607"/>
      <c r="H352" s="607"/>
      <c r="I352" s="607"/>
      <c r="J352" s="607"/>
      <c r="K352" s="617"/>
      <c r="L352" s="607"/>
      <c r="M352" s="607"/>
      <c r="N352" s="607"/>
      <c r="P352" s="44"/>
    </row>
    <row r="353">
      <c r="A353" s="607"/>
      <c r="B353" s="607"/>
      <c r="C353" s="607"/>
      <c r="D353" s="607"/>
      <c r="E353" s="607"/>
      <c r="F353" s="607"/>
      <c r="G353" s="607"/>
      <c r="H353" s="607"/>
      <c r="I353" s="607"/>
      <c r="J353" s="607"/>
      <c r="K353" s="617"/>
      <c r="L353" s="607"/>
      <c r="M353" s="607"/>
      <c r="N353" s="607"/>
      <c r="P353" s="44"/>
    </row>
    <row r="354">
      <c r="A354" s="607"/>
      <c r="B354" s="607"/>
      <c r="C354" s="607"/>
      <c r="D354" s="607"/>
      <c r="E354" s="607"/>
      <c r="F354" s="607"/>
      <c r="G354" s="607"/>
      <c r="H354" s="607"/>
      <c r="I354" s="607"/>
      <c r="J354" s="607"/>
      <c r="K354" s="617"/>
      <c r="L354" s="607"/>
      <c r="M354" s="607"/>
      <c r="N354" s="607"/>
      <c r="P354" s="44"/>
    </row>
    <row r="355">
      <c r="A355" s="607"/>
      <c r="B355" s="607"/>
      <c r="C355" s="607"/>
      <c r="D355" s="607"/>
      <c r="E355" s="607"/>
      <c r="F355" s="607"/>
      <c r="G355" s="607"/>
      <c r="H355" s="607"/>
      <c r="I355" s="607"/>
      <c r="J355" s="607"/>
      <c r="K355" s="617"/>
      <c r="L355" s="607"/>
      <c r="M355" s="607"/>
      <c r="N355" s="607"/>
      <c r="P355" s="44"/>
    </row>
    <row r="356">
      <c r="A356" s="607"/>
      <c r="B356" s="607"/>
      <c r="C356" s="607"/>
      <c r="D356" s="607"/>
      <c r="E356" s="607"/>
      <c r="F356" s="607"/>
      <c r="G356" s="607"/>
      <c r="H356" s="607"/>
      <c r="I356" s="607"/>
      <c r="J356" s="607"/>
      <c r="K356" s="617"/>
      <c r="L356" s="607"/>
      <c r="M356" s="607"/>
      <c r="N356" s="607"/>
      <c r="P356" s="44"/>
    </row>
    <row r="357">
      <c r="A357" s="607"/>
      <c r="B357" s="607"/>
      <c r="C357" s="607"/>
      <c r="D357" s="607"/>
      <c r="E357" s="607"/>
      <c r="F357" s="607"/>
      <c r="G357" s="607"/>
      <c r="H357" s="607"/>
      <c r="I357" s="607"/>
      <c r="J357" s="607"/>
      <c r="K357" s="617"/>
      <c r="L357" s="607"/>
      <c r="M357" s="607"/>
      <c r="N357" s="607"/>
      <c r="P357" s="44"/>
    </row>
    <row r="358">
      <c r="A358" s="607"/>
      <c r="B358" s="607"/>
      <c r="C358" s="607"/>
      <c r="D358" s="607"/>
      <c r="E358" s="607"/>
      <c r="F358" s="607"/>
      <c r="G358" s="607"/>
      <c r="H358" s="607"/>
      <c r="I358" s="607"/>
      <c r="J358" s="607"/>
      <c r="K358" s="617"/>
      <c r="L358" s="607"/>
      <c r="M358" s="607"/>
      <c r="N358" s="607"/>
      <c r="P358" s="44"/>
    </row>
    <row r="359">
      <c r="A359" s="607"/>
      <c r="B359" s="607"/>
      <c r="C359" s="607"/>
      <c r="D359" s="607"/>
      <c r="E359" s="607"/>
      <c r="F359" s="607"/>
      <c r="G359" s="607"/>
      <c r="H359" s="607"/>
      <c r="I359" s="607"/>
      <c r="J359" s="607"/>
      <c r="K359" s="617"/>
      <c r="L359" s="607"/>
      <c r="M359" s="607"/>
      <c r="N359" s="607"/>
      <c r="P359" s="44"/>
    </row>
    <row r="360">
      <c r="A360" s="607"/>
      <c r="B360" s="607"/>
      <c r="C360" s="607"/>
      <c r="D360" s="607"/>
      <c r="E360" s="607"/>
      <c r="F360" s="607"/>
      <c r="G360" s="607"/>
      <c r="H360" s="607"/>
      <c r="I360" s="607"/>
      <c r="J360" s="607"/>
      <c r="K360" s="617"/>
      <c r="L360" s="607"/>
      <c r="M360" s="607"/>
      <c r="N360" s="607"/>
      <c r="P360" s="44"/>
    </row>
    <row r="361">
      <c r="A361" s="607"/>
      <c r="B361" s="607"/>
      <c r="C361" s="607"/>
      <c r="D361" s="607"/>
      <c r="E361" s="607"/>
      <c r="F361" s="607"/>
      <c r="G361" s="607"/>
      <c r="H361" s="607"/>
      <c r="I361" s="607"/>
      <c r="J361" s="607"/>
      <c r="K361" s="617"/>
      <c r="L361" s="607"/>
      <c r="M361" s="607"/>
      <c r="N361" s="607"/>
      <c r="P361" s="44"/>
    </row>
    <row r="362">
      <c r="A362" s="607"/>
      <c r="B362" s="607"/>
      <c r="C362" s="607"/>
      <c r="D362" s="607"/>
      <c r="E362" s="607"/>
      <c r="F362" s="607"/>
      <c r="G362" s="607"/>
      <c r="H362" s="607"/>
      <c r="I362" s="607"/>
      <c r="J362" s="607"/>
      <c r="K362" s="617"/>
      <c r="L362" s="607"/>
      <c r="M362" s="607"/>
      <c r="N362" s="607"/>
      <c r="P362" s="44"/>
    </row>
    <row r="363">
      <c r="A363" s="607"/>
      <c r="B363" s="607"/>
      <c r="C363" s="607"/>
      <c r="D363" s="607"/>
      <c r="E363" s="607"/>
      <c r="F363" s="607"/>
      <c r="G363" s="607"/>
      <c r="H363" s="607"/>
      <c r="I363" s="607"/>
      <c r="J363" s="607"/>
      <c r="K363" s="617"/>
      <c r="L363" s="607"/>
      <c r="M363" s="607"/>
      <c r="N363" s="607"/>
      <c r="P363" s="44"/>
    </row>
    <row r="364">
      <c r="A364" s="607"/>
      <c r="B364" s="607"/>
      <c r="C364" s="607"/>
      <c r="D364" s="607"/>
      <c r="E364" s="607"/>
      <c r="F364" s="607"/>
      <c r="G364" s="607"/>
      <c r="H364" s="607"/>
      <c r="I364" s="607"/>
      <c r="J364" s="607"/>
      <c r="K364" s="617"/>
      <c r="L364" s="607"/>
      <c r="M364" s="607"/>
      <c r="N364" s="607"/>
      <c r="P364" s="44"/>
    </row>
    <row r="365">
      <c r="A365" s="607"/>
      <c r="B365" s="607"/>
      <c r="C365" s="607"/>
      <c r="D365" s="607"/>
      <c r="E365" s="607"/>
      <c r="F365" s="607"/>
      <c r="G365" s="607"/>
      <c r="H365" s="607"/>
      <c r="I365" s="607"/>
      <c r="J365" s="607"/>
      <c r="K365" s="617"/>
      <c r="L365" s="607"/>
      <c r="M365" s="607"/>
      <c r="N365" s="607"/>
      <c r="P365" s="44"/>
    </row>
    <row r="366">
      <c r="A366" s="607"/>
      <c r="B366" s="607"/>
      <c r="C366" s="607"/>
      <c r="D366" s="607"/>
      <c r="E366" s="607"/>
      <c r="F366" s="607"/>
      <c r="G366" s="607"/>
      <c r="H366" s="607"/>
      <c r="I366" s="607"/>
      <c r="J366" s="607"/>
      <c r="K366" s="617"/>
      <c r="L366" s="607"/>
      <c r="M366" s="607"/>
      <c r="N366" s="607"/>
      <c r="P366" s="44"/>
    </row>
    <row r="367">
      <c r="A367" s="607"/>
      <c r="B367" s="607"/>
      <c r="C367" s="607"/>
      <c r="D367" s="607"/>
      <c r="E367" s="607"/>
      <c r="F367" s="607"/>
      <c r="G367" s="607"/>
      <c r="H367" s="607"/>
      <c r="I367" s="607"/>
      <c r="J367" s="607"/>
      <c r="K367" s="617"/>
      <c r="L367" s="607"/>
      <c r="M367" s="607"/>
      <c r="N367" s="607"/>
      <c r="P367" s="44"/>
    </row>
    <row r="368">
      <c r="A368" s="607"/>
      <c r="B368" s="607"/>
      <c r="C368" s="607"/>
      <c r="D368" s="607"/>
      <c r="E368" s="607"/>
      <c r="F368" s="607"/>
      <c r="G368" s="607"/>
      <c r="H368" s="607"/>
      <c r="I368" s="607"/>
      <c r="J368" s="607"/>
      <c r="K368" s="617"/>
      <c r="L368" s="607"/>
      <c r="M368" s="607"/>
      <c r="N368" s="607"/>
      <c r="P368" s="44"/>
    </row>
    <row r="369">
      <c r="A369" s="607"/>
      <c r="B369" s="607"/>
      <c r="C369" s="607"/>
      <c r="D369" s="607"/>
      <c r="E369" s="607"/>
      <c r="F369" s="607"/>
      <c r="G369" s="607"/>
      <c r="H369" s="607"/>
      <c r="I369" s="607"/>
      <c r="J369" s="607"/>
      <c r="K369" s="617"/>
      <c r="L369" s="607"/>
      <c r="M369" s="607"/>
      <c r="N369" s="607"/>
      <c r="P369" s="44"/>
    </row>
    <row r="370">
      <c r="A370" s="607"/>
      <c r="B370" s="607"/>
      <c r="C370" s="607"/>
      <c r="D370" s="607"/>
      <c r="E370" s="607"/>
      <c r="F370" s="607"/>
      <c r="G370" s="607"/>
      <c r="H370" s="607"/>
      <c r="I370" s="607"/>
      <c r="J370" s="607"/>
      <c r="K370" s="617"/>
      <c r="L370" s="607"/>
      <c r="M370" s="607"/>
      <c r="N370" s="607"/>
      <c r="P370" s="44"/>
    </row>
    <row r="371">
      <c r="A371" s="607"/>
      <c r="B371" s="607"/>
      <c r="C371" s="607"/>
      <c r="D371" s="607"/>
      <c r="E371" s="607"/>
      <c r="F371" s="607"/>
      <c r="G371" s="607"/>
      <c r="H371" s="607"/>
      <c r="I371" s="607"/>
      <c r="J371" s="607"/>
      <c r="K371" s="617"/>
      <c r="L371" s="607"/>
      <c r="M371" s="607"/>
      <c r="N371" s="607"/>
      <c r="P371" s="44"/>
    </row>
    <row r="372">
      <c r="A372" s="607"/>
      <c r="B372" s="607"/>
      <c r="C372" s="607"/>
      <c r="D372" s="607"/>
      <c r="E372" s="607"/>
      <c r="F372" s="607"/>
      <c r="G372" s="607"/>
      <c r="H372" s="607"/>
      <c r="I372" s="607"/>
      <c r="J372" s="607"/>
      <c r="K372" s="617"/>
      <c r="L372" s="607"/>
      <c r="M372" s="607"/>
      <c r="N372" s="607"/>
      <c r="P372" s="44"/>
    </row>
    <row r="373">
      <c r="A373" s="607"/>
      <c r="B373" s="607"/>
      <c r="C373" s="607"/>
      <c r="D373" s="607"/>
      <c r="E373" s="607"/>
      <c r="F373" s="607"/>
      <c r="G373" s="607"/>
      <c r="H373" s="607"/>
      <c r="I373" s="607"/>
      <c r="J373" s="607"/>
      <c r="K373" s="617"/>
      <c r="L373" s="607"/>
      <c r="M373" s="607"/>
      <c r="N373" s="607"/>
      <c r="P373" s="44"/>
    </row>
    <row r="374">
      <c r="A374" s="607"/>
      <c r="B374" s="607"/>
      <c r="C374" s="607"/>
      <c r="D374" s="607"/>
      <c r="E374" s="607"/>
      <c r="F374" s="607"/>
      <c r="G374" s="607"/>
      <c r="H374" s="607"/>
      <c r="I374" s="607"/>
      <c r="J374" s="607"/>
      <c r="K374" s="617"/>
      <c r="L374" s="607"/>
      <c r="M374" s="607"/>
      <c r="N374" s="607"/>
      <c r="P374" s="44"/>
    </row>
    <row r="375">
      <c r="A375" s="607"/>
      <c r="B375" s="607"/>
      <c r="C375" s="607"/>
      <c r="D375" s="607"/>
      <c r="E375" s="607"/>
      <c r="F375" s="607"/>
      <c r="G375" s="607"/>
      <c r="H375" s="607"/>
      <c r="I375" s="607"/>
      <c r="J375" s="607"/>
      <c r="K375" s="617"/>
      <c r="L375" s="607"/>
      <c r="M375" s="607"/>
      <c r="N375" s="607"/>
      <c r="P375" s="44"/>
    </row>
    <row r="376">
      <c r="A376" s="607"/>
      <c r="B376" s="607"/>
      <c r="C376" s="607"/>
      <c r="D376" s="607"/>
      <c r="E376" s="607"/>
      <c r="F376" s="607"/>
      <c r="G376" s="607"/>
      <c r="H376" s="607"/>
      <c r="I376" s="607"/>
      <c r="J376" s="607"/>
      <c r="K376" s="617"/>
      <c r="L376" s="607"/>
      <c r="M376" s="607"/>
      <c r="N376" s="607"/>
      <c r="P376" s="44"/>
    </row>
    <row r="377">
      <c r="A377" s="607"/>
      <c r="B377" s="607"/>
      <c r="C377" s="607"/>
      <c r="D377" s="607"/>
      <c r="E377" s="607"/>
      <c r="F377" s="607"/>
      <c r="G377" s="607"/>
      <c r="H377" s="607"/>
      <c r="I377" s="607"/>
      <c r="J377" s="607"/>
      <c r="K377" s="617"/>
      <c r="L377" s="607"/>
      <c r="M377" s="607"/>
      <c r="N377" s="607"/>
      <c r="P377" s="44"/>
    </row>
    <row r="378">
      <c r="A378" s="607"/>
      <c r="B378" s="607"/>
      <c r="C378" s="607"/>
      <c r="D378" s="607"/>
      <c r="E378" s="607"/>
      <c r="F378" s="607"/>
      <c r="G378" s="607"/>
      <c r="H378" s="607"/>
      <c r="I378" s="607"/>
      <c r="J378" s="607"/>
      <c r="K378" s="617"/>
      <c r="L378" s="607"/>
      <c r="M378" s="607"/>
      <c r="N378" s="607"/>
      <c r="P378" s="44"/>
    </row>
    <row r="379">
      <c r="A379" s="607"/>
      <c r="B379" s="607"/>
      <c r="C379" s="607"/>
      <c r="D379" s="607"/>
      <c r="E379" s="607"/>
      <c r="F379" s="607"/>
      <c r="G379" s="607"/>
      <c r="H379" s="607"/>
      <c r="I379" s="607"/>
      <c r="J379" s="607"/>
      <c r="K379" s="617"/>
      <c r="L379" s="607"/>
      <c r="M379" s="607"/>
      <c r="N379" s="607"/>
      <c r="P379" s="44"/>
    </row>
    <row r="380">
      <c r="A380" s="607"/>
      <c r="B380" s="607"/>
      <c r="C380" s="607"/>
      <c r="D380" s="607"/>
      <c r="E380" s="607"/>
      <c r="F380" s="607"/>
      <c r="G380" s="607"/>
      <c r="H380" s="607"/>
      <c r="I380" s="607"/>
      <c r="J380" s="607"/>
      <c r="K380" s="617"/>
      <c r="L380" s="607"/>
      <c r="M380" s="607"/>
      <c r="N380" s="607"/>
      <c r="P380" s="44"/>
    </row>
    <row r="381">
      <c r="A381" s="607"/>
      <c r="B381" s="607"/>
      <c r="C381" s="607"/>
      <c r="D381" s="607"/>
      <c r="E381" s="607"/>
      <c r="F381" s="607"/>
      <c r="G381" s="607"/>
      <c r="H381" s="607"/>
      <c r="I381" s="607"/>
      <c r="J381" s="607"/>
      <c r="K381" s="617"/>
      <c r="L381" s="607"/>
      <c r="M381" s="607"/>
      <c r="N381" s="607"/>
      <c r="P381" s="44"/>
    </row>
    <row r="382">
      <c r="A382" s="607"/>
      <c r="B382" s="607"/>
      <c r="C382" s="607"/>
      <c r="D382" s="607"/>
      <c r="E382" s="607"/>
      <c r="F382" s="607"/>
      <c r="G382" s="607"/>
      <c r="H382" s="607"/>
      <c r="I382" s="607"/>
      <c r="J382" s="607"/>
      <c r="K382" s="617"/>
      <c r="L382" s="607"/>
      <c r="M382" s="607"/>
      <c r="N382" s="607"/>
      <c r="P382" s="44"/>
    </row>
    <row r="383">
      <c r="A383" s="607"/>
      <c r="B383" s="607"/>
      <c r="C383" s="607"/>
      <c r="D383" s="607"/>
      <c r="E383" s="607"/>
      <c r="F383" s="607"/>
      <c r="G383" s="607"/>
      <c r="H383" s="607"/>
      <c r="I383" s="607"/>
      <c r="J383" s="607"/>
      <c r="K383" s="617"/>
      <c r="L383" s="607"/>
      <c r="M383" s="607"/>
      <c r="N383" s="607"/>
      <c r="P383" s="44"/>
    </row>
    <row r="384">
      <c r="A384" s="607"/>
      <c r="B384" s="607"/>
      <c r="C384" s="607"/>
      <c r="D384" s="607"/>
      <c r="E384" s="607"/>
      <c r="F384" s="607"/>
      <c r="G384" s="607"/>
      <c r="H384" s="607"/>
      <c r="I384" s="607"/>
      <c r="J384" s="607"/>
      <c r="K384" s="617"/>
      <c r="L384" s="607"/>
      <c r="M384" s="607"/>
      <c r="N384" s="607"/>
      <c r="P384" s="44"/>
    </row>
    <row r="385">
      <c r="A385" s="607"/>
      <c r="B385" s="607"/>
      <c r="C385" s="607"/>
      <c r="D385" s="607"/>
      <c r="E385" s="607"/>
      <c r="F385" s="607"/>
      <c r="G385" s="607"/>
      <c r="H385" s="607"/>
      <c r="I385" s="607"/>
      <c r="J385" s="607"/>
      <c r="K385" s="617"/>
      <c r="L385" s="607"/>
      <c r="M385" s="607"/>
      <c r="N385" s="607"/>
      <c r="P385" s="44"/>
    </row>
    <row r="386">
      <c r="A386" s="607"/>
      <c r="B386" s="607"/>
      <c r="C386" s="607"/>
      <c r="D386" s="607"/>
      <c r="E386" s="607"/>
      <c r="F386" s="607"/>
      <c r="G386" s="607"/>
      <c r="H386" s="607"/>
      <c r="I386" s="607"/>
      <c r="J386" s="607"/>
      <c r="K386" s="617"/>
      <c r="L386" s="607"/>
      <c r="M386" s="607"/>
      <c r="N386" s="607"/>
      <c r="P386" s="44"/>
    </row>
    <row r="387">
      <c r="A387" s="607"/>
      <c r="B387" s="607"/>
      <c r="C387" s="607"/>
      <c r="D387" s="607"/>
      <c r="E387" s="607"/>
      <c r="F387" s="607"/>
      <c r="G387" s="607"/>
      <c r="H387" s="607"/>
      <c r="I387" s="607"/>
      <c r="J387" s="607"/>
      <c r="K387" s="617"/>
      <c r="L387" s="607"/>
      <c r="M387" s="607"/>
      <c r="N387" s="607"/>
      <c r="P387" s="44"/>
    </row>
    <row r="388">
      <c r="A388" s="607"/>
      <c r="B388" s="607"/>
      <c r="C388" s="607"/>
      <c r="D388" s="607"/>
      <c r="E388" s="607"/>
      <c r="F388" s="607"/>
      <c r="G388" s="607"/>
      <c r="H388" s="607"/>
      <c r="I388" s="607"/>
      <c r="J388" s="607"/>
      <c r="K388" s="617"/>
      <c r="L388" s="607"/>
      <c r="M388" s="607"/>
      <c r="N388" s="607"/>
      <c r="P388" s="44"/>
    </row>
    <row r="389">
      <c r="A389" s="607"/>
      <c r="B389" s="607"/>
      <c r="C389" s="607"/>
      <c r="D389" s="607"/>
      <c r="E389" s="607"/>
      <c r="F389" s="607"/>
      <c r="G389" s="607"/>
      <c r="H389" s="607"/>
      <c r="I389" s="607"/>
      <c r="J389" s="607"/>
      <c r="K389" s="617"/>
      <c r="L389" s="607"/>
      <c r="M389" s="607"/>
      <c r="N389" s="607"/>
      <c r="P389" s="44"/>
    </row>
    <row r="390">
      <c r="A390" s="607"/>
      <c r="B390" s="607"/>
      <c r="C390" s="607"/>
      <c r="D390" s="607"/>
      <c r="E390" s="607"/>
      <c r="F390" s="607"/>
      <c r="G390" s="607"/>
      <c r="H390" s="607"/>
      <c r="I390" s="607"/>
      <c r="J390" s="607"/>
      <c r="K390" s="617"/>
      <c r="L390" s="607"/>
      <c r="M390" s="607"/>
      <c r="N390" s="607"/>
      <c r="P390" s="44"/>
    </row>
    <row r="391">
      <c r="A391" s="607"/>
      <c r="B391" s="607"/>
      <c r="C391" s="607"/>
      <c r="D391" s="607"/>
      <c r="E391" s="607"/>
      <c r="F391" s="607"/>
      <c r="G391" s="607"/>
      <c r="H391" s="607"/>
      <c r="I391" s="607"/>
      <c r="J391" s="607"/>
      <c r="K391" s="617"/>
      <c r="L391" s="607"/>
      <c r="M391" s="607"/>
      <c r="N391" s="607"/>
      <c r="P391" s="44"/>
    </row>
    <row r="392">
      <c r="A392" s="607"/>
      <c r="B392" s="607"/>
      <c r="C392" s="607"/>
      <c r="D392" s="607"/>
      <c r="E392" s="607"/>
      <c r="F392" s="607"/>
      <c r="G392" s="607"/>
      <c r="H392" s="607"/>
      <c r="I392" s="607"/>
      <c r="J392" s="607"/>
      <c r="K392" s="617"/>
      <c r="L392" s="607"/>
      <c r="M392" s="607"/>
      <c r="N392" s="607"/>
      <c r="P392" s="44"/>
    </row>
    <row r="393">
      <c r="A393" s="607"/>
      <c r="B393" s="607"/>
      <c r="C393" s="607"/>
      <c r="D393" s="607"/>
      <c r="E393" s="607"/>
      <c r="F393" s="607"/>
      <c r="G393" s="607"/>
      <c r="H393" s="607"/>
      <c r="I393" s="607"/>
      <c r="J393" s="607"/>
      <c r="K393" s="617"/>
      <c r="L393" s="607"/>
      <c r="M393" s="607"/>
      <c r="N393" s="607"/>
      <c r="P393" s="44"/>
    </row>
    <row r="394">
      <c r="A394" s="607"/>
      <c r="B394" s="607"/>
      <c r="C394" s="607"/>
      <c r="D394" s="607"/>
      <c r="E394" s="607"/>
      <c r="F394" s="607"/>
      <c r="G394" s="607"/>
      <c r="H394" s="607"/>
      <c r="I394" s="607"/>
      <c r="J394" s="607"/>
      <c r="K394" s="617"/>
      <c r="L394" s="607"/>
      <c r="M394" s="607"/>
      <c r="N394" s="607"/>
      <c r="P394" s="44"/>
    </row>
    <row r="395">
      <c r="A395" s="607"/>
      <c r="B395" s="607"/>
      <c r="C395" s="607"/>
      <c r="D395" s="607"/>
      <c r="E395" s="607"/>
      <c r="F395" s="607"/>
      <c r="G395" s="607"/>
      <c r="H395" s="607"/>
      <c r="I395" s="607"/>
      <c r="J395" s="607"/>
      <c r="K395" s="617"/>
      <c r="L395" s="607"/>
      <c r="M395" s="607"/>
      <c r="N395" s="607"/>
      <c r="P395" s="44"/>
    </row>
    <row r="396">
      <c r="A396" s="607"/>
      <c r="B396" s="607"/>
      <c r="C396" s="607"/>
      <c r="D396" s="607"/>
      <c r="E396" s="607"/>
      <c r="F396" s="607"/>
      <c r="G396" s="607"/>
      <c r="H396" s="607"/>
      <c r="I396" s="607"/>
      <c r="J396" s="607"/>
      <c r="K396" s="617"/>
      <c r="L396" s="607"/>
      <c r="M396" s="607"/>
      <c r="N396" s="607"/>
      <c r="P396" s="44"/>
    </row>
    <row r="397">
      <c r="A397" s="607"/>
      <c r="B397" s="607"/>
      <c r="C397" s="607"/>
      <c r="D397" s="607"/>
      <c r="E397" s="607"/>
      <c r="F397" s="607"/>
      <c r="G397" s="607"/>
      <c r="H397" s="607"/>
      <c r="I397" s="607"/>
      <c r="J397" s="607"/>
      <c r="K397" s="617"/>
      <c r="L397" s="607"/>
      <c r="M397" s="607"/>
      <c r="N397" s="607"/>
      <c r="P397" s="44"/>
    </row>
    <row r="398">
      <c r="A398" s="607"/>
      <c r="B398" s="607"/>
      <c r="C398" s="607"/>
      <c r="D398" s="607"/>
      <c r="E398" s="607"/>
      <c r="F398" s="607"/>
      <c r="G398" s="607"/>
      <c r="H398" s="607"/>
      <c r="I398" s="607"/>
      <c r="J398" s="607"/>
      <c r="K398" s="617"/>
      <c r="L398" s="607"/>
      <c r="M398" s="607"/>
      <c r="N398" s="607"/>
      <c r="P398" s="44"/>
    </row>
    <row r="399">
      <c r="A399" s="607"/>
      <c r="B399" s="607"/>
      <c r="C399" s="607"/>
      <c r="D399" s="607"/>
      <c r="E399" s="607"/>
      <c r="F399" s="607"/>
      <c r="G399" s="607"/>
      <c r="H399" s="607"/>
      <c r="I399" s="607"/>
      <c r="J399" s="607"/>
      <c r="K399" s="617"/>
      <c r="L399" s="607"/>
      <c r="M399" s="607"/>
      <c r="N399" s="607"/>
      <c r="P399" s="44"/>
    </row>
    <row r="400">
      <c r="A400" s="607"/>
      <c r="B400" s="607"/>
      <c r="C400" s="607"/>
      <c r="D400" s="607"/>
      <c r="E400" s="607"/>
      <c r="F400" s="607"/>
      <c r="G400" s="607"/>
      <c r="H400" s="607"/>
      <c r="I400" s="607"/>
      <c r="J400" s="607"/>
      <c r="K400" s="617"/>
      <c r="L400" s="607"/>
      <c r="M400" s="607"/>
      <c r="N400" s="607"/>
      <c r="P400" s="44"/>
    </row>
    <row r="401">
      <c r="A401" s="607"/>
      <c r="B401" s="607"/>
      <c r="C401" s="607"/>
      <c r="D401" s="607"/>
      <c r="E401" s="607"/>
      <c r="F401" s="607"/>
      <c r="G401" s="607"/>
      <c r="H401" s="607"/>
      <c r="I401" s="607"/>
      <c r="J401" s="607"/>
      <c r="K401" s="617"/>
      <c r="L401" s="607"/>
      <c r="M401" s="607"/>
      <c r="N401" s="607"/>
      <c r="P401" s="44"/>
    </row>
    <row r="402">
      <c r="A402" s="607"/>
      <c r="B402" s="607"/>
      <c r="C402" s="607"/>
      <c r="D402" s="607"/>
      <c r="E402" s="607"/>
      <c r="F402" s="607"/>
      <c r="G402" s="607"/>
      <c r="H402" s="607"/>
      <c r="I402" s="607"/>
      <c r="J402" s="607"/>
      <c r="K402" s="617"/>
      <c r="L402" s="607"/>
      <c r="M402" s="607"/>
      <c r="N402" s="607"/>
      <c r="P402" s="44"/>
    </row>
    <row r="403">
      <c r="A403" s="607"/>
      <c r="B403" s="607"/>
      <c r="C403" s="607"/>
      <c r="D403" s="607"/>
      <c r="E403" s="607"/>
      <c r="F403" s="607"/>
      <c r="G403" s="607"/>
      <c r="H403" s="607"/>
      <c r="I403" s="607"/>
      <c r="J403" s="607"/>
      <c r="K403" s="617"/>
      <c r="L403" s="607"/>
      <c r="M403" s="607"/>
      <c r="N403" s="607"/>
      <c r="P403" s="44"/>
    </row>
    <row r="404">
      <c r="A404" s="607"/>
      <c r="B404" s="607"/>
      <c r="C404" s="607"/>
      <c r="D404" s="607"/>
      <c r="E404" s="607"/>
      <c r="F404" s="607"/>
      <c r="G404" s="607"/>
      <c r="H404" s="607"/>
      <c r="I404" s="607"/>
      <c r="J404" s="607"/>
      <c r="K404" s="617"/>
      <c r="L404" s="607"/>
      <c r="M404" s="607"/>
      <c r="N404" s="607"/>
      <c r="P404" s="44"/>
    </row>
    <row r="405">
      <c r="A405" s="607"/>
      <c r="B405" s="607"/>
      <c r="C405" s="607"/>
      <c r="D405" s="607"/>
      <c r="E405" s="607"/>
      <c r="F405" s="607"/>
      <c r="G405" s="607"/>
      <c r="H405" s="607"/>
      <c r="I405" s="607"/>
      <c r="J405" s="607"/>
      <c r="K405" s="617"/>
      <c r="L405" s="607"/>
      <c r="M405" s="607"/>
      <c r="N405" s="607"/>
      <c r="P405" s="44"/>
    </row>
    <row r="406">
      <c r="A406" s="607"/>
      <c r="B406" s="607"/>
      <c r="C406" s="607"/>
      <c r="D406" s="607"/>
      <c r="E406" s="607"/>
      <c r="F406" s="607"/>
      <c r="G406" s="607"/>
      <c r="H406" s="607"/>
      <c r="I406" s="607"/>
      <c r="J406" s="607"/>
      <c r="K406" s="617"/>
      <c r="L406" s="607"/>
      <c r="M406" s="607"/>
      <c r="N406" s="607"/>
      <c r="P406" s="44"/>
    </row>
    <row r="407">
      <c r="A407" s="607"/>
      <c r="B407" s="607"/>
      <c r="C407" s="607"/>
      <c r="D407" s="607"/>
      <c r="E407" s="607"/>
      <c r="F407" s="607"/>
      <c r="G407" s="607"/>
      <c r="H407" s="607"/>
      <c r="I407" s="607"/>
      <c r="J407" s="607"/>
      <c r="K407" s="617"/>
      <c r="L407" s="607"/>
      <c r="M407" s="607"/>
      <c r="N407" s="607"/>
      <c r="P407" s="44"/>
    </row>
    <row r="408">
      <c r="A408" s="607"/>
      <c r="B408" s="607"/>
      <c r="C408" s="607"/>
      <c r="D408" s="607"/>
      <c r="E408" s="607"/>
      <c r="F408" s="607"/>
      <c r="G408" s="607"/>
      <c r="H408" s="607"/>
      <c r="I408" s="607"/>
      <c r="J408" s="607"/>
      <c r="K408" s="617"/>
      <c r="L408" s="607"/>
      <c r="M408" s="607"/>
      <c r="N408" s="607"/>
      <c r="P408" s="44"/>
    </row>
    <row r="409">
      <c r="A409" s="607"/>
      <c r="B409" s="607"/>
      <c r="C409" s="607"/>
      <c r="D409" s="607"/>
      <c r="E409" s="607"/>
      <c r="F409" s="607"/>
      <c r="G409" s="607"/>
      <c r="H409" s="607"/>
      <c r="I409" s="607"/>
      <c r="J409" s="607"/>
      <c r="K409" s="617"/>
      <c r="L409" s="607"/>
      <c r="M409" s="607"/>
      <c r="N409" s="607"/>
      <c r="P409" s="44"/>
    </row>
    <row r="410">
      <c r="A410" s="607"/>
      <c r="B410" s="607"/>
      <c r="C410" s="607"/>
      <c r="D410" s="607"/>
      <c r="E410" s="607"/>
      <c r="F410" s="607"/>
      <c r="G410" s="607"/>
      <c r="H410" s="607"/>
      <c r="I410" s="607"/>
      <c r="J410" s="607"/>
      <c r="K410" s="617"/>
      <c r="L410" s="607"/>
      <c r="M410" s="607"/>
      <c r="N410" s="607"/>
      <c r="P410" s="44"/>
    </row>
    <row r="411">
      <c r="A411" s="607"/>
      <c r="B411" s="607"/>
      <c r="C411" s="607"/>
      <c r="D411" s="607"/>
      <c r="E411" s="607"/>
      <c r="F411" s="607"/>
      <c r="G411" s="607"/>
      <c r="H411" s="607"/>
      <c r="I411" s="607"/>
      <c r="J411" s="607"/>
      <c r="K411" s="617"/>
      <c r="L411" s="607"/>
      <c r="M411" s="607"/>
      <c r="N411" s="607"/>
      <c r="P411" s="44"/>
    </row>
    <row r="412">
      <c r="A412" s="607"/>
      <c r="B412" s="607"/>
      <c r="C412" s="607"/>
      <c r="D412" s="607"/>
      <c r="E412" s="607"/>
      <c r="F412" s="607"/>
      <c r="G412" s="607"/>
      <c r="H412" s="607"/>
      <c r="I412" s="607"/>
      <c r="J412" s="607"/>
      <c r="K412" s="617"/>
      <c r="L412" s="607"/>
      <c r="M412" s="607"/>
      <c r="N412" s="607"/>
      <c r="P412" s="44"/>
    </row>
    <row r="413">
      <c r="A413" s="607"/>
      <c r="B413" s="607"/>
      <c r="C413" s="607"/>
      <c r="D413" s="607"/>
      <c r="E413" s="607"/>
      <c r="F413" s="607"/>
      <c r="G413" s="607"/>
      <c r="H413" s="607"/>
      <c r="I413" s="607"/>
      <c r="J413" s="607"/>
      <c r="K413" s="617"/>
      <c r="L413" s="607"/>
      <c r="M413" s="607"/>
      <c r="N413" s="607"/>
      <c r="P413" s="44"/>
    </row>
    <row r="414">
      <c r="A414" s="607"/>
      <c r="B414" s="607"/>
      <c r="C414" s="607"/>
      <c r="D414" s="607"/>
      <c r="E414" s="607"/>
      <c r="F414" s="607"/>
      <c r="G414" s="607"/>
      <c r="H414" s="607"/>
      <c r="I414" s="607"/>
      <c r="J414" s="607"/>
      <c r="K414" s="617"/>
      <c r="L414" s="607"/>
      <c r="M414" s="607"/>
      <c r="N414" s="607"/>
      <c r="P414" s="44"/>
    </row>
    <row r="415">
      <c r="A415" s="607"/>
      <c r="B415" s="607"/>
      <c r="C415" s="607"/>
      <c r="D415" s="607"/>
      <c r="E415" s="607"/>
      <c r="F415" s="607"/>
      <c r="G415" s="607"/>
      <c r="H415" s="607"/>
      <c r="I415" s="607"/>
      <c r="J415" s="607"/>
      <c r="K415" s="617"/>
      <c r="L415" s="607"/>
      <c r="M415" s="607"/>
      <c r="N415" s="607"/>
      <c r="P415" s="44"/>
    </row>
    <row r="416">
      <c r="A416" s="607"/>
      <c r="B416" s="607"/>
      <c r="C416" s="607"/>
      <c r="D416" s="607"/>
      <c r="E416" s="607"/>
      <c r="F416" s="607"/>
      <c r="G416" s="607"/>
      <c r="H416" s="607"/>
      <c r="I416" s="607"/>
      <c r="J416" s="607"/>
      <c r="K416" s="617"/>
      <c r="L416" s="607"/>
      <c r="M416" s="607"/>
      <c r="N416" s="607"/>
      <c r="P416" s="44"/>
    </row>
    <row r="417">
      <c r="A417" s="607"/>
      <c r="B417" s="607"/>
      <c r="C417" s="607"/>
      <c r="D417" s="607"/>
      <c r="E417" s="607"/>
      <c r="F417" s="607"/>
      <c r="G417" s="607"/>
      <c r="H417" s="607"/>
      <c r="I417" s="607"/>
      <c r="J417" s="607"/>
      <c r="K417" s="617"/>
      <c r="L417" s="607"/>
      <c r="M417" s="607"/>
      <c r="N417" s="607"/>
      <c r="P417" s="44"/>
    </row>
    <row r="418">
      <c r="A418" s="607"/>
      <c r="B418" s="607"/>
      <c r="C418" s="607"/>
      <c r="D418" s="607"/>
      <c r="E418" s="607"/>
      <c r="F418" s="607"/>
      <c r="G418" s="607"/>
      <c r="H418" s="607"/>
      <c r="I418" s="607"/>
      <c r="J418" s="607"/>
      <c r="K418" s="617"/>
      <c r="L418" s="607"/>
      <c r="M418" s="607"/>
      <c r="N418" s="607"/>
      <c r="P418" s="44"/>
    </row>
    <row r="419">
      <c r="A419" s="607"/>
      <c r="B419" s="607"/>
      <c r="C419" s="607"/>
      <c r="D419" s="607"/>
      <c r="E419" s="607"/>
      <c r="F419" s="607"/>
      <c r="G419" s="607"/>
      <c r="H419" s="607"/>
      <c r="I419" s="607"/>
      <c r="J419" s="607"/>
      <c r="K419" s="617"/>
      <c r="L419" s="607"/>
      <c r="M419" s="607"/>
      <c r="N419" s="607"/>
      <c r="P419" s="44"/>
    </row>
    <row r="420">
      <c r="A420" s="607"/>
      <c r="B420" s="607"/>
      <c r="C420" s="607"/>
      <c r="D420" s="607"/>
      <c r="E420" s="607"/>
      <c r="F420" s="607"/>
      <c r="G420" s="607"/>
      <c r="H420" s="607"/>
      <c r="I420" s="607"/>
      <c r="J420" s="607"/>
      <c r="K420" s="617"/>
      <c r="L420" s="607"/>
      <c r="M420" s="607"/>
      <c r="N420" s="607"/>
      <c r="P420" s="44"/>
    </row>
    <row r="421">
      <c r="A421" s="607"/>
      <c r="B421" s="607"/>
      <c r="C421" s="607"/>
      <c r="D421" s="607"/>
      <c r="E421" s="607"/>
      <c r="F421" s="607"/>
      <c r="G421" s="607"/>
      <c r="H421" s="607"/>
      <c r="I421" s="607"/>
      <c r="J421" s="607"/>
      <c r="K421" s="617"/>
      <c r="L421" s="607"/>
      <c r="M421" s="607"/>
      <c r="N421" s="607"/>
      <c r="P421" s="44"/>
    </row>
    <row r="422">
      <c r="A422" s="607"/>
      <c r="B422" s="607"/>
      <c r="C422" s="607"/>
      <c r="D422" s="607"/>
      <c r="E422" s="607"/>
      <c r="F422" s="607"/>
      <c r="G422" s="607"/>
      <c r="H422" s="607"/>
      <c r="I422" s="607"/>
      <c r="J422" s="607"/>
      <c r="K422" s="617"/>
      <c r="L422" s="607"/>
      <c r="M422" s="607"/>
      <c r="N422" s="607"/>
      <c r="P422" s="44"/>
    </row>
    <row r="423">
      <c r="A423" s="607"/>
      <c r="B423" s="607"/>
      <c r="C423" s="607"/>
      <c r="D423" s="607"/>
      <c r="E423" s="607"/>
      <c r="F423" s="607"/>
      <c r="G423" s="607"/>
      <c r="H423" s="607"/>
      <c r="I423" s="607"/>
      <c r="J423" s="607"/>
      <c r="K423" s="617"/>
      <c r="L423" s="607"/>
      <c r="M423" s="607"/>
      <c r="N423" s="607"/>
      <c r="P423" s="44"/>
    </row>
    <row r="424">
      <c r="A424" s="607"/>
      <c r="B424" s="607"/>
      <c r="C424" s="607"/>
      <c r="D424" s="607"/>
      <c r="E424" s="607"/>
      <c r="F424" s="607"/>
      <c r="G424" s="607"/>
      <c r="H424" s="607"/>
      <c r="I424" s="607"/>
      <c r="J424" s="607"/>
      <c r="K424" s="617"/>
      <c r="L424" s="607"/>
      <c r="M424" s="607"/>
      <c r="N424" s="607"/>
      <c r="P424" s="44"/>
    </row>
    <row r="425">
      <c r="A425" s="607"/>
      <c r="B425" s="607"/>
      <c r="C425" s="607"/>
      <c r="D425" s="607"/>
      <c r="E425" s="607"/>
      <c r="F425" s="607"/>
      <c r="G425" s="607"/>
      <c r="H425" s="607"/>
      <c r="I425" s="607"/>
      <c r="J425" s="607"/>
      <c r="K425" s="617"/>
      <c r="L425" s="607"/>
      <c r="M425" s="607"/>
      <c r="N425" s="607"/>
      <c r="P425" s="44"/>
    </row>
    <row r="426">
      <c r="A426" s="607"/>
      <c r="B426" s="607"/>
      <c r="C426" s="607"/>
      <c r="D426" s="607"/>
      <c r="E426" s="607"/>
      <c r="F426" s="607"/>
      <c r="G426" s="607"/>
      <c r="H426" s="607"/>
      <c r="I426" s="607"/>
      <c r="J426" s="607"/>
      <c r="K426" s="617"/>
      <c r="L426" s="607"/>
      <c r="M426" s="607"/>
      <c r="N426" s="607"/>
      <c r="P426" s="44"/>
    </row>
    <row r="427">
      <c r="A427" s="607"/>
      <c r="B427" s="607"/>
      <c r="C427" s="607"/>
      <c r="D427" s="607"/>
      <c r="E427" s="607"/>
      <c r="F427" s="607"/>
      <c r="G427" s="607"/>
      <c r="H427" s="607"/>
      <c r="I427" s="607"/>
      <c r="J427" s="607"/>
      <c r="K427" s="617"/>
      <c r="L427" s="607"/>
      <c r="M427" s="607"/>
      <c r="N427" s="607"/>
      <c r="P427" s="44"/>
    </row>
    <row r="428">
      <c r="A428" s="607"/>
      <c r="B428" s="607"/>
      <c r="C428" s="607"/>
      <c r="D428" s="607"/>
      <c r="E428" s="607"/>
      <c r="F428" s="607"/>
      <c r="G428" s="607"/>
      <c r="H428" s="607"/>
      <c r="I428" s="607"/>
      <c r="J428" s="607"/>
      <c r="K428" s="617"/>
      <c r="L428" s="607"/>
      <c r="M428" s="607"/>
      <c r="N428" s="607"/>
      <c r="P428" s="44"/>
    </row>
    <row r="429">
      <c r="A429" s="607"/>
      <c r="B429" s="607"/>
      <c r="C429" s="607"/>
      <c r="D429" s="607"/>
      <c r="E429" s="607"/>
      <c r="F429" s="607"/>
      <c r="G429" s="607"/>
      <c r="H429" s="607"/>
      <c r="I429" s="607"/>
      <c r="J429" s="607"/>
      <c r="K429" s="617"/>
      <c r="L429" s="607"/>
      <c r="M429" s="607"/>
      <c r="N429" s="607"/>
      <c r="P429" s="44"/>
    </row>
    <row r="430">
      <c r="A430" s="607"/>
      <c r="B430" s="607"/>
      <c r="C430" s="607"/>
      <c r="D430" s="607"/>
      <c r="E430" s="607"/>
      <c r="F430" s="607"/>
      <c r="G430" s="607"/>
      <c r="H430" s="607"/>
      <c r="I430" s="607"/>
      <c r="J430" s="607"/>
      <c r="K430" s="617"/>
      <c r="L430" s="607"/>
      <c r="M430" s="607"/>
      <c r="N430" s="607"/>
      <c r="P430" s="44"/>
    </row>
    <row r="431">
      <c r="A431" s="607"/>
      <c r="B431" s="607"/>
      <c r="C431" s="607"/>
      <c r="D431" s="607"/>
      <c r="E431" s="607"/>
      <c r="F431" s="607"/>
      <c r="G431" s="607"/>
      <c r="H431" s="607"/>
      <c r="I431" s="607"/>
      <c r="J431" s="607"/>
      <c r="K431" s="617"/>
      <c r="L431" s="607"/>
      <c r="M431" s="607"/>
      <c r="N431" s="607"/>
      <c r="P431" s="44"/>
    </row>
    <row r="432">
      <c r="A432" s="607"/>
      <c r="B432" s="607"/>
      <c r="C432" s="607"/>
      <c r="D432" s="607"/>
      <c r="E432" s="607"/>
      <c r="F432" s="607"/>
      <c r="G432" s="607"/>
      <c r="H432" s="607"/>
      <c r="I432" s="607"/>
      <c r="J432" s="607"/>
      <c r="K432" s="617"/>
      <c r="L432" s="607"/>
      <c r="M432" s="607"/>
      <c r="N432" s="607"/>
      <c r="P432" s="44"/>
    </row>
    <row r="433">
      <c r="A433" s="607"/>
      <c r="B433" s="607"/>
      <c r="C433" s="607"/>
      <c r="D433" s="607"/>
      <c r="E433" s="607"/>
      <c r="F433" s="607"/>
      <c r="G433" s="607"/>
      <c r="H433" s="607"/>
      <c r="I433" s="607"/>
      <c r="J433" s="607"/>
      <c r="K433" s="617"/>
      <c r="L433" s="607"/>
      <c r="M433" s="607"/>
      <c r="N433" s="607"/>
      <c r="P433" s="44"/>
    </row>
    <row r="434">
      <c r="A434" s="607"/>
      <c r="B434" s="607"/>
      <c r="C434" s="607"/>
      <c r="D434" s="607"/>
      <c r="E434" s="607"/>
      <c r="F434" s="607"/>
      <c r="G434" s="607"/>
      <c r="H434" s="607"/>
      <c r="I434" s="607"/>
      <c r="J434" s="607"/>
      <c r="K434" s="617"/>
      <c r="L434" s="607"/>
      <c r="M434" s="607"/>
      <c r="N434" s="607"/>
      <c r="P434" s="44"/>
    </row>
    <row r="435">
      <c r="A435" s="607"/>
      <c r="B435" s="607"/>
      <c r="C435" s="607"/>
      <c r="D435" s="607"/>
      <c r="E435" s="607"/>
      <c r="F435" s="607"/>
      <c r="G435" s="607"/>
      <c r="H435" s="607"/>
      <c r="I435" s="607"/>
      <c r="J435" s="607"/>
      <c r="K435" s="617"/>
      <c r="L435" s="607"/>
      <c r="M435" s="607"/>
      <c r="N435" s="607"/>
      <c r="P435" s="44"/>
    </row>
    <row r="436">
      <c r="A436" s="607"/>
      <c r="B436" s="607"/>
      <c r="C436" s="607"/>
      <c r="D436" s="607"/>
      <c r="E436" s="607"/>
      <c r="F436" s="607"/>
      <c r="G436" s="607"/>
      <c r="H436" s="607"/>
      <c r="I436" s="607"/>
      <c r="J436" s="607"/>
      <c r="K436" s="617"/>
      <c r="L436" s="607"/>
      <c r="M436" s="607"/>
      <c r="N436" s="607"/>
      <c r="P436" s="44"/>
    </row>
    <row r="437">
      <c r="A437" s="607"/>
      <c r="B437" s="607"/>
      <c r="C437" s="607"/>
      <c r="D437" s="607"/>
      <c r="E437" s="607"/>
      <c r="F437" s="607"/>
      <c r="G437" s="607"/>
      <c r="H437" s="607"/>
      <c r="I437" s="607"/>
      <c r="J437" s="607"/>
      <c r="K437" s="617"/>
      <c r="L437" s="607"/>
      <c r="M437" s="607"/>
      <c r="N437" s="607"/>
      <c r="P437" s="44"/>
    </row>
    <row r="438">
      <c r="A438" s="607"/>
      <c r="B438" s="607"/>
      <c r="C438" s="607"/>
      <c r="D438" s="607"/>
      <c r="E438" s="607"/>
      <c r="F438" s="607"/>
      <c r="G438" s="607"/>
      <c r="H438" s="607"/>
      <c r="I438" s="607"/>
      <c r="J438" s="607"/>
      <c r="K438" s="617"/>
      <c r="L438" s="607"/>
      <c r="M438" s="607"/>
      <c r="N438" s="607"/>
      <c r="P438" s="44"/>
    </row>
    <row r="439">
      <c r="A439" s="607"/>
      <c r="B439" s="607"/>
      <c r="C439" s="607"/>
      <c r="D439" s="607"/>
      <c r="E439" s="607"/>
      <c r="F439" s="607"/>
      <c r="G439" s="607"/>
      <c r="H439" s="607"/>
      <c r="I439" s="607"/>
      <c r="J439" s="607"/>
      <c r="K439" s="617"/>
      <c r="L439" s="607"/>
      <c r="M439" s="607"/>
      <c r="N439" s="607"/>
      <c r="P439" s="44"/>
    </row>
    <row r="440">
      <c r="A440" s="607"/>
      <c r="B440" s="607"/>
      <c r="C440" s="607"/>
      <c r="D440" s="607"/>
      <c r="E440" s="607"/>
      <c r="F440" s="607"/>
      <c r="G440" s="607"/>
      <c r="H440" s="607"/>
      <c r="I440" s="607"/>
      <c r="J440" s="607"/>
      <c r="K440" s="617"/>
      <c r="L440" s="607"/>
      <c r="M440" s="607"/>
      <c r="N440" s="607"/>
      <c r="P440" s="44"/>
    </row>
    <row r="441">
      <c r="A441" s="607"/>
      <c r="B441" s="607"/>
      <c r="C441" s="607"/>
      <c r="D441" s="607"/>
      <c r="E441" s="607"/>
      <c r="F441" s="607"/>
      <c r="G441" s="607"/>
      <c r="H441" s="607"/>
      <c r="I441" s="607"/>
      <c r="J441" s="607"/>
      <c r="K441" s="617"/>
      <c r="L441" s="607"/>
      <c r="M441" s="607"/>
      <c r="N441" s="607"/>
      <c r="P441" s="44"/>
    </row>
    <row r="442">
      <c r="A442" s="607"/>
      <c r="B442" s="607"/>
      <c r="C442" s="607"/>
      <c r="D442" s="607"/>
      <c r="E442" s="607"/>
      <c r="F442" s="607"/>
      <c r="G442" s="607"/>
      <c r="H442" s="607"/>
      <c r="I442" s="607"/>
      <c r="J442" s="607"/>
      <c r="K442" s="617"/>
      <c r="L442" s="607"/>
      <c r="M442" s="607"/>
      <c r="N442" s="607"/>
      <c r="P442" s="44"/>
    </row>
    <row r="443">
      <c r="A443" s="607"/>
      <c r="B443" s="607"/>
      <c r="C443" s="607"/>
      <c r="D443" s="607"/>
      <c r="E443" s="607"/>
      <c r="F443" s="607"/>
      <c r="G443" s="607"/>
      <c r="H443" s="607"/>
      <c r="I443" s="607"/>
      <c r="J443" s="607"/>
      <c r="K443" s="617"/>
      <c r="L443" s="607"/>
      <c r="M443" s="607"/>
      <c r="N443" s="607"/>
      <c r="P443" s="44"/>
    </row>
    <row r="444">
      <c r="A444" s="607"/>
      <c r="B444" s="607"/>
      <c r="C444" s="607"/>
      <c r="D444" s="607"/>
      <c r="E444" s="607"/>
      <c r="F444" s="607"/>
      <c r="G444" s="607"/>
      <c r="H444" s="607"/>
      <c r="I444" s="607"/>
      <c r="J444" s="607"/>
      <c r="K444" s="617"/>
      <c r="L444" s="607"/>
      <c r="M444" s="607"/>
      <c r="N444" s="607"/>
      <c r="P444" s="44"/>
    </row>
    <row r="445">
      <c r="A445" s="607"/>
      <c r="B445" s="607"/>
      <c r="C445" s="607"/>
      <c r="D445" s="607"/>
      <c r="E445" s="607"/>
      <c r="F445" s="607"/>
      <c r="G445" s="607"/>
      <c r="H445" s="607"/>
      <c r="I445" s="607"/>
      <c r="J445" s="607"/>
      <c r="K445" s="617"/>
      <c r="L445" s="607"/>
      <c r="M445" s="607"/>
      <c r="N445" s="607"/>
      <c r="P445" s="44"/>
    </row>
    <row r="446">
      <c r="A446" s="607"/>
      <c r="B446" s="607"/>
      <c r="C446" s="607"/>
      <c r="D446" s="607"/>
      <c r="E446" s="607"/>
      <c r="F446" s="607"/>
      <c r="G446" s="607"/>
      <c r="H446" s="607"/>
      <c r="I446" s="607"/>
      <c r="J446" s="607"/>
      <c r="K446" s="617"/>
      <c r="L446" s="607"/>
      <c r="M446" s="607"/>
      <c r="N446" s="607"/>
      <c r="P446" s="44"/>
    </row>
    <row r="447">
      <c r="A447" s="607"/>
      <c r="B447" s="607"/>
      <c r="C447" s="607"/>
      <c r="D447" s="607"/>
      <c r="E447" s="607"/>
      <c r="F447" s="607"/>
      <c r="G447" s="607"/>
      <c r="H447" s="607"/>
      <c r="I447" s="607"/>
      <c r="J447" s="607"/>
      <c r="K447" s="617"/>
      <c r="L447" s="607"/>
      <c r="M447" s="607"/>
      <c r="N447" s="607"/>
      <c r="P447" s="44"/>
    </row>
    <row r="448">
      <c r="A448" s="607"/>
      <c r="B448" s="607"/>
      <c r="C448" s="607"/>
      <c r="D448" s="607"/>
      <c r="E448" s="607"/>
      <c r="F448" s="607"/>
      <c r="G448" s="607"/>
      <c r="H448" s="607"/>
      <c r="I448" s="607"/>
      <c r="J448" s="607"/>
      <c r="K448" s="617"/>
      <c r="L448" s="607"/>
      <c r="M448" s="607"/>
      <c r="N448" s="607"/>
      <c r="P448" s="44"/>
    </row>
    <row r="449">
      <c r="A449" s="607"/>
      <c r="B449" s="607"/>
      <c r="C449" s="607"/>
      <c r="D449" s="607"/>
      <c r="E449" s="607"/>
      <c r="F449" s="607"/>
      <c r="G449" s="607"/>
      <c r="H449" s="607"/>
      <c r="I449" s="607"/>
      <c r="J449" s="607"/>
      <c r="K449" s="617"/>
      <c r="L449" s="607"/>
      <c r="M449" s="607"/>
      <c r="N449" s="607"/>
      <c r="P449" s="44"/>
    </row>
    <row r="450">
      <c r="A450" s="607"/>
      <c r="B450" s="607"/>
      <c r="C450" s="607"/>
      <c r="D450" s="607"/>
      <c r="E450" s="607"/>
      <c r="F450" s="607"/>
      <c r="G450" s="607"/>
      <c r="H450" s="607"/>
      <c r="I450" s="607"/>
      <c r="J450" s="607"/>
      <c r="K450" s="617"/>
      <c r="L450" s="607"/>
      <c r="M450" s="607"/>
      <c r="N450" s="607"/>
      <c r="P450" s="44"/>
    </row>
    <row r="451">
      <c r="A451" s="607"/>
      <c r="B451" s="607"/>
      <c r="C451" s="607"/>
      <c r="D451" s="607"/>
      <c r="E451" s="607"/>
      <c r="F451" s="607"/>
      <c r="G451" s="607"/>
      <c r="H451" s="607"/>
      <c r="I451" s="607"/>
      <c r="J451" s="607"/>
      <c r="K451" s="617"/>
      <c r="L451" s="607"/>
      <c r="M451" s="607"/>
      <c r="N451" s="607"/>
      <c r="P451" s="44"/>
    </row>
    <row r="452">
      <c r="A452" s="607"/>
      <c r="B452" s="607"/>
      <c r="C452" s="607"/>
      <c r="D452" s="607"/>
      <c r="E452" s="607"/>
      <c r="F452" s="607"/>
      <c r="G452" s="607"/>
      <c r="H452" s="607"/>
      <c r="I452" s="607"/>
      <c r="J452" s="607"/>
      <c r="K452" s="617"/>
      <c r="L452" s="607"/>
      <c r="M452" s="607"/>
      <c r="N452" s="607"/>
      <c r="P452" s="44"/>
    </row>
    <row r="453">
      <c r="A453" s="607"/>
      <c r="B453" s="607"/>
      <c r="C453" s="607"/>
      <c r="D453" s="607"/>
      <c r="E453" s="607"/>
      <c r="F453" s="607"/>
      <c r="G453" s="607"/>
      <c r="H453" s="607"/>
      <c r="I453" s="607"/>
      <c r="J453" s="607"/>
      <c r="K453" s="617"/>
      <c r="L453" s="607"/>
      <c r="M453" s="607"/>
      <c r="N453" s="607"/>
      <c r="P453" s="44"/>
    </row>
    <row r="454">
      <c r="A454" s="607"/>
      <c r="B454" s="607"/>
      <c r="C454" s="607"/>
      <c r="D454" s="607"/>
      <c r="E454" s="607"/>
      <c r="F454" s="607"/>
      <c r="G454" s="607"/>
      <c r="H454" s="607"/>
      <c r="I454" s="607"/>
      <c r="J454" s="607"/>
      <c r="K454" s="617"/>
      <c r="L454" s="607"/>
      <c r="M454" s="607"/>
      <c r="N454" s="607"/>
      <c r="P454" s="44"/>
    </row>
    <row r="455">
      <c r="A455" s="607"/>
      <c r="B455" s="607"/>
      <c r="C455" s="607"/>
      <c r="D455" s="607"/>
      <c r="E455" s="607"/>
      <c r="F455" s="607"/>
      <c r="G455" s="607"/>
      <c r="H455" s="607"/>
      <c r="I455" s="607"/>
      <c r="J455" s="607"/>
      <c r="K455" s="617"/>
      <c r="L455" s="607"/>
      <c r="M455" s="607"/>
      <c r="N455" s="607"/>
      <c r="P455" s="44"/>
    </row>
    <row r="456">
      <c r="A456" s="607"/>
      <c r="B456" s="607"/>
      <c r="C456" s="607"/>
      <c r="D456" s="607"/>
      <c r="E456" s="607"/>
      <c r="F456" s="607"/>
      <c r="G456" s="607"/>
      <c r="H456" s="607"/>
      <c r="I456" s="607"/>
      <c r="J456" s="607"/>
      <c r="K456" s="617"/>
      <c r="L456" s="607"/>
      <c r="M456" s="607"/>
      <c r="N456" s="607"/>
      <c r="P456" s="44"/>
    </row>
    <row r="457">
      <c r="A457" s="607"/>
      <c r="B457" s="607"/>
      <c r="C457" s="607"/>
      <c r="D457" s="607"/>
      <c r="E457" s="607"/>
      <c r="F457" s="607"/>
      <c r="G457" s="607"/>
      <c r="H457" s="607"/>
      <c r="I457" s="607"/>
      <c r="J457" s="607"/>
      <c r="K457" s="617"/>
      <c r="L457" s="607"/>
      <c r="M457" s="607"/>
      <c r="N457" s="607"/>
      <c r="P457" s="44"/>
    </row>
    <row r="458">
      <c r="A458" s="607"/>
      <c r="B458" s="607"/>
      <c r="C458" s="607"/>
      <c r="D458" s="607"/>
      <c r="E458" s="607"/>
      <c r="F458" s="607"/>
      <c r="G458" s="607"/>
      <c r="H458" s="607"/>
      <c r="I458" s="607"/>
      <c r="J458" s="607"/>
      <c r="K458" s="617"/>
      <c r="L458" s="607"/>
      <c r="M458" s="607"/>
      <c r="N458" s="607"/>
      <c r="P458" s="44"/>
    </row>
    <row r="459">
      <c r="A459" s="607"/>
      <c r="B459" s="607"/>
      <c r="C459" s="607"/>
      <c r="D459" s="607"/>
      <c r="E459" s="607"/>
      <c r="F459" s="607"/>
      <c r="G459" s="607"/>
      <c r="H459" s="607"/>
      <c r="I459" s="607"/>
      <c r="J459" s="607"/>
      <c r="K459" s="617"/>
      <c r="L459" s="607"/>
      <c r="M459" s="607"/>
      <c r="N459" s="607"/>
      <c r="P459" s="44"/>
    </row>
    <row r="460">
      <c r="A460" s="607"/>
      <c r="B460" s="607"/>
      <c r="C460" s="607"/>
      <c r="D460" s="607"/>
      <c r="E460" s="607"/>
      <c r="F460" s="607"/>
      <c r="G460" s="607"/>
      <c r="H460" s="607"/>
      <c r="I460" s="607"/>
      <c r="J460" s="607"/>
      <c r="K460" s="617"/>
      <c r="L460" s="607"/>
      <c r="M460" s="607"/>
      <c r="N460" s="607"/>
      <c r="P460" s="44"/>
    </row>
    <row r="461">
      <c r="A461" s="607"/>
      <c r="B461" s="607"/>
      <c r="C461" s="607"/>
      <c r="D461" s="607"/>
      <c r="E461" s="607"/>
      <c r="F461" s="607"/>
      <c r="G461" s="607"/>
      <c r="H461" s="607"/>
      <c r="I461" s="607"/>
      <c r="J461" s="607"/>
      <c r="K461" s="617"/>
      <c r="L461" s="607"/>
      <c r="M461" s="607"/>
      <c r="N461" s="607"/>
      <c r="P461" s="44"/>
    </row>
    <row r="462">
      <c r="A462" s="607"/>
      <c r="B462" s="607"/>
      <c r="C462" s="607"/>
      <c r="D462" s="607"/>
      <c r="E462" s="607"/>
      <c r="F462" s="607"/>
      <c r="G462" s="607"/>
      <c r="H462" s="607"/>
      <c r="I462" s="607"/>
      <c r="J462" s="607"/>
      <c r="K462" s="617"/>
      <c r="L462" s="607"/>
      <c r="M462" s="607"/>
      <c r="N462" s="607"/>
      <c r="P462" s="44"/>
    </row>
    <row r="463">
      <c r="A463" s="607"/>
      <c r="B463" s="607"/>
      <c r="C463" s="607"/>
      <c r="D463" s="607"/>
      <c r="E463" s="607"/>
      <c r="F463" s="607"/>
      <c r="G463" s="607"/>
      <c r="H463" s="607"/>
      <c r="I463" s="607"/>
      <c r="J463" s="607"/>
      <c r="K463" s="617"/>
      <c r="L463" s="607"/>
      <c r="M463" s="607"/>
      <c r="N463" s="607"/>
      <c r="P463" s="44"/>
    </row>
    <row r="464">
      <c r="A464" s="607"/>
      <c r="B464" s="607"/>
      <c r="C464" s="607"/>
      <c r="D464" s="607"/>
      <c r="E464" s="607"/>
      <c r="F464" s="607"/>
      <c r="G464" s="607"/>
      <c r="H464" s="607"/>
      <c r="I464" s="607"/>
      <c r="J464" s="607"/>
      <c r="K464" s="617"/>
      <c r="L464" s="607"/>
      <c r="M464" s="607"/>
      <c r="N464" s="607"/>
      <c r="P464" s="44"/>
    </row>
    <row r="465">
      <c r="A465" s="607"/>
      <c r="B465" s="607"/>
      <c r="C465" s="607"/>
      <c r="D465" s="607"/>
      <c r="E465" s="607"/>
      <c r="F465" s="607"/>
      <c r="G465" s="607"/>
      <c r="H465" s="607"/>
      <c r="I465" s="607"/>
      <c r="J465" s="607"/>
      <c r="K465" s="617"/>
      <c r="L465" s="607"/>
      <c r="M465" s="607"/>
      <c r="N465" s="607"/>
      <c r="P465" s="44"/>
    </row>
    <row r="466">
      <c r="A466" s="607"/>
      <c r="B466" s="607"/>
      <c r="C466" s="607"/>
      <c r="D466" s="607"/>
      <c r="E466" s="607"/>
      <c r="F466" s="607"/>
      <c r="G466" s="607"/>
      <c r="H466" s="607"/>
      <c r="I466" s="607"/>
      <c r="J466" s="607"/>
      <c r="K466" s="617"/>
      <c r="L466" s="607"/>
      <c r="M466" s="607"/>
      <c r="N466" s="607"/>
      <c r="P466" s="44"/>
    </row>
    <row r="467">
      <c r="A467" s="607"/>
      <c r="B467" s="607"/>
      <c r="C467" s="607"/>
      <c r="D467" s="607"/>
      <c r="E467" s="607"/>
      <c r="F467" s="607"/>
      <c r="G467" s="607"/>
      <c r="H467" s="607"/>
      <c r="I467" s="607"/>
      <c r="J467" s="607"/>
      <c r="K467" s="617"/>
      <c r="L467" s="607"/>
      <c r="M467" s="607"/>
      <c r="N467" s="607"/>
      <c r="P467" s="44"/>
    </row>
    <row r="468">
      <c r="A468" s="607"/>
      <c r="B468" s="607"/>
      <c r="C468" s="607"/>
      <c r="D468" s="607"/>
      <c r="E468" s="607"/>
      <c r="F468" s="607"/>
      <c r="G468" s="607"/>
      <c r="H468" s="607"/>
      <c r="I468" s="607"/>
      <c r="J468" s="607"/>
      <c r="K468" s="617"/>
      <c r="L468" s="607"/>
      <c r="M468" s="607"/>
      <c r="N468" s="607"/>
      <c r="P468" s="44"/>
    </row>
    <row r="469">
      <c r="A469" s="607"/>
      <c r="B469" s="607"/>
      <c r="C469" s="607"/>
      <c r="D469" s="607"/>
      <c r="E469" s="607"/>
      <c r="F469" s="607"/>
      <c r="G469" s="607"/>
      <c r="H469" s="607"/>
      <c r="I469" s="607"/>
      <c r="J469" s="607"/>
      <c r="K469" s="617"/>
      <c r="L469" s="607"/>
      <c r="M469" s="607"/>
      <c r="N469" s="607"/>
      <c r="P469" s="44"/>
    </row>
    <row r="470">
      <c r="A470" s="607"/>
      <c r="B470" s="607"/>
      <c r="C470" s="607"/>
      <c r="D470" s="607"/>
      <c r="E470" s="607"/>
      <c r="F470" s="607"/>
      <c r="G470" s="607"/>
      <c r="H470" s="607"/>
      <c r="I470" s="607"/>
      <c r="J470" s="607"/>
      <c r="K470" s="617"/>
      <c r="L470" s="607"/>
      <c r="M470" s="607"/>
      <c r="N470" s="607"/>
      <c r="P470" s="44"/>
    </row>
    <row r="471">
      <c r="A471" s="607"/>
      <c r="B471" s="607"/>
      <c r="C471" s="607"/>
      <c r="D471" s="607"/>
      <c r="E471" s="607"/>
      <c r="F471" s="607"/>
      <c r="G471" s="607"/>
      <c r="H471" s="607"/>
      <c r="I471" s="607"/>
      <c r="J471" s="607"/>
      <c r="K471" s="617"/>
      <c r="L471" s="607"/>
      <c r="M471" s="607"/>
      <c r="N471" s="607"/>
      <c r="P471" s="44"/>
    </row>
    <row r="472">
      <c r="A472" s="607"/>
      <c r="B472" s="607"/>
      <c r="C472" s="607"/>
      <c r="D472" s="607"/>
      <c r="E472" s="607"/>
      <c r="F472" s="607"/>
      <c r="G472" s="607"/>
      <c r="H472" s="607"/>
      <c r="I472" s="607"/>
      <c r="J472" s="607"/>
      <c r="K472" s="617"/>
      <c r="L472" s="607"/>
      <c r="M472" s="607"/>
      <c r="N472" s="607"/>
      <c r="P472" s="44"/>
    </row>
    <row r="473">
      <c r="A473" s="607"/>
      <c r="B473" s="607"/>
      <c r="C473" s="607"/>
      <c r="D473" s="607"/>
      <c r="E473" s="607"/>
      <c r="F473" s="607"/>
      <c r="G473" s="607"/>
      <c r="H473" s="607"/>
      <c r="I473" s="607"/>
      <c r="J473" s="607"/>
      <c r="K473" s="617"/>
      <c r="L473" s="607"/>
      <c r="M473" s="607"/>
      <c r="N473" s="607"/>
      <c r="P473" s="44"/>
    </row>
    <row r="474">
      <c r="A474" s="607"/>
      <c r="B474" s="607"/>
      <c r="C474" s="607"/>
      <c r="D474" s="607"/>
      <c r="E474" s="607"/>
      <c r="F474" s="607"/>
      <c r="G474" s="607"/>
      <c r="H474" s="607"/>
      <c r="I474" s="607"/>
      <c r="J474" s="607"/>
      <c r="K474" s="617"/>
      <c r="L474" s="607"/>
      <c r="M474" s="607"/>
      <c r="N474" s="607"/>
      <c r="P474" s="44"/>
    </row>
    <row r="475">
      <c r="A475" s="607"/>
      <c r="B475" s="607"/>
      <c r="C475" s="607"/>
      <c r="D475" s="607"/>
      <c r="E475" s="607"/>
      <c r="F475" s="607"/>
      <c r="G475" s="607"/>
      <c r="H475" s="607"/>
      <c r="I475" s="607"/>
      <c r="J475" s="607"/>
      <c r="K475" s="617"/>
      <c r="L475" s="607"/>
      <c r="M475" s="607"/>
      <c r="N475" s="607"/>
      <c r="P475" s="44"/>
    </row>
    <row r="476">
      <c r="A476" s="607"/>
      <c r="B476" s="607"/>
      <c r="C476" s="607"/>
      <c r="D476" s="607"/>
      <c r="E476" s="607"/>
      <c r="F476" s="607"/>
      <c r="G476" s="607"/>
      <c r="H476" s="607"/>
      <c r="I476" s="607"/>
      <c r="J476" s="607"/>
      <c r="K476" s="617"/>
      <c r="L476" s="607"/>
      <c r="M476" s="607"/>
      <c r="N476" s="607"/>
      <c r="P476" s="44"/>
    </row>
    <row r="477">
      <c r="A477" s="607"/>
      <c r="B477" s="607"/>
      <c r="C477" s="607"/>
      <c r="D477" s="607"/>
      <c r="E477" s="607"/>
      <c r="F477" s="607"/>
      <c r="G477" s="607"/>
      <c r="H477" s="607"/>
      <c r="I477" s="607"/>
      <c r="J477" s="607"/>
      <c r="K477" s="617"/>
      <c r="L477" s="607"/>
      <c r="M477" s="607"/>
      <c r="N477" s="607"/>
      <c r="P477" s="44"/>
    </row>
    <row r="478">
      <c r="A478" s="607"/>
      <c r="B478" s="607"/>
      <c r="C478" s="607"/>
      <c r="D478" s="607"/>
      <c r="E478" s="607"/>
      <c r="F478" s="607"/>
      <c r="G478" s="607"/>
      <c r="H478" s="607"/>
      <c r="I478" s="607"/>
      <c r="J478" s="607"/>
      <c r="K478" s="617"/>
      <c r="L478" s="607"/>
      <c r="M478" s="607"/>
      <c r="N478" s="607"/>
      <c r="P478" s="44"/>
    </row>
    <row r="479">
      <c r="A479" s="607"/>
      <c r="B479" s="607"/>
      <c r="C479" s="607"/>
      <c r="D479" s="607"/>
      <c r="E479" s="607"/>
      <c r="F479" s="607"/>
      <c r="G479" s="607"/>
      <c r="H479" s="607"/>
      <c r="I479" s="607"/>
      <c r="J479" s="607"/>
      <c r="K479" s="617"/>
      <c r="L479" s="607"/>
      <c r="M479" s="607"/>
      <c r="N479" s="607"/>
      <c r="P479" s="44"/>
    </row>
    <row r="480">
      <c r="A480" s="607"/>
      <c r="B480" s="607"/>
      <c r="C480" s="607"/>
      <c r="D480" s="607"/>
      <c r="E480" s="607"/>
      <c r="F480" s="607"/>
      <c r="G480" s="607"/>
      <c r="H480" s="607"/>
      <c r="I480" s="607"/>
      <c r="J480" s="607"/>
      <c r="K480" s="617"/>
      <c r="L480" s="607"/>
      <c r="M480" s="607"/>
      <c r="N480" s="607"/>
      <c r="P480" s="44"/>
    </row>
    <row r="481">
      <c r="A481" s="607"/>
      <c r="B481" s="607"/>
      <c r="C481" s="607"/>
      <c r="D481" s="607"/>
      <c r="E481" s="607"/>
      <c r="F481" s="607"/>
      <c r="G481" s="607"/>
      <c r="H481" s="607"/>
      <c r="I481" s="607"/>
      <c r="J481" s="607"/>
      <c r="K481" s="617"/>
      <c r="L481" s="607"/>
      <c r="M481" s="607"/>
      <c r="N481" s="607"/>
      <c r="P481" s="44"/>
    </row>
    <row r="482">
      <c r="A482" s="607"/>
      <c r="B482" s="607"/>
      <c r="C482" s="607"/>
      <c r="D482" s="607"/>
      <c r="E482" s="607"/>
      <c r="F482" s="607"/>
      <c r="G482" s="607"/>
      <c r="H482" s="607"/>
      <c r="I482" s="607"/>
      <c r="J482" s="607"/>
      <c r="K482" s="617"/>
      <c r="L482" s="607"/>
      <c r="M482" s="607"/>
      <c r="N482" s="607"/>
      <c r="P482" s="44"/>
    </row>
    <row r="483">
      <c r="A483" s="607"/>
      <c r="B483" s="607"/>
      <c r="C483" s="607"/>
      <c r="D483" s="607"/>
      <c r="E483" s="607"/>
      <c r="F483" s="607"/>
      <c r="G483" s="607"/>
      <c r="H483" s="607"/>
      <c r="I483" s="607"/>
      <c r="J483" s="607"/>
      <c r="K483" s="617"/>
      <c r="L483" s="607"/>
      <c r="M483" s="607"/>
      <c r="N483" s="607"/>
      <c r="P483" s="44"/>
    </row>
    <row r="484">
      <c r="A484" s="607"/>
      <c r="B484" s="607"/>
      <c r="C484" s="607"/>
      <c r="D484" s="607"/>
      <c r="E484" s="607"/>
      <c r="F484" s="607"/>
      <c r="G484" s="607"/>
      <c r="H484" s="607"/>
      <c r="I484" s="607"/>
      <c r="J484" s="607"/>
      <c r="K484" s="617"/>
      <c r="L484" s="607"/>
      <c r="M484" s="607"/>
      <c r="N484" s="607"/>
      <c r="P484" s="44"/>
    </row>
    <row r="485">
      <c r="A485" s="607"/>
      <c r="B485" s="607"/>
      <c r="C485" s="607"/>
      <c r="D485" s="607"/>
      <c r="E485" s="607"/>
      <c r="F485" s="607"/>
      <c r="G485" s="607"/>
      <c r="H485" s="607"/>
      <c r="I485" s="607"/>
      <c r="J485" s="607"/>
      <c r="K485" s="617"/>
      <c r="L485" s="607"/>
      <c r="M485" s="607"/>
      <c r="N485" s="607"/>
      <c r="P485" s="44"/>
    </row>
    <row r="486">
      <c r="A486" s="607"/>
      <c r="B486" s="607"/>
      <c r="C486" s="607"/>
      <c r="D486" s="607"/>
      <c r="E486" s="607"/>
      <c r="F486" s="607"/>
      <c r="G486" s="607"/>
      <c r="H486" s="607"/>
      <c r="I486" s="607"/>
      <c r="J486" s="607"/>
      <c r="K486" s="617"/>
      <c r="L486" s="607"/>
      <c r="M486" s="607"/>
      <c r="N486" s="607"/>
      <c r="P486" s="44"/>
    </row>
    <row r="487">
      <c r="A487" s="607"/>
      <c r="B487" s="607"/>
      <c r="C487" s="607"/>
      <c r="D487" s="607"/>
      <c r="E487" s="607"/>
      <c r="F487" s="607"/>
      <c r="G487" s="607"/>
      <c r="H487" s="607"/>
      <c r="I487" s="607"/>
      <c r="J487" s="607"/>
      <c r="K487" s="617"/>
      <c r="L487" s="607"/>
      <c r="M487" s="607"/>
      <c r="N487" s="607"/>
      <c r="P487" s="44"/>
    </row>
    <row r="488">
      <c r="A488" s="607"/>
      <c r="B488" s="607"/>
      <c r="C488" s="607"/>
      <c r="D488" s="607"/>
      <c r="E488" s="607"/>
      <c r="F488" s="607"/>
      <c r="G488" s="607"/>
      <c r="H488" s="607"/>
      <c r="I488" s="607"/>
      <c r="J488" s="607"/>
      <c r="K488" s="617"/>
      <c r="L488" s="607"/>
      <c r="M488" s="607"/>
      <c r="N488" s="607"/>
      <c r="P488" s="44"/>
    </row>
    <row r="489">
      <c r="A489" s="607"/>
      <c r="B489" s="607"/>
      <c r="C489" s="607"/>
      <c r="D489" s="607"/>
      <c r="E489" s="607"/>
      <c r="F489" s="607"/>
      <c r="G489" s="607"/>
      <c r="H489" s="607"/>
      <c r="I489" s="607"/>
      <c r="J489" s="607"/>
      <c r="K489" s="617"/>
      <c r="L489" s="607"/>
      <c r="M489" s="607"/>
      <c r="N489" s="607"/>
      <c r="P489" s="44"/>
    </row>
    <row r="490">
      <c r="A490" s="607"/>
      <c r="B490" s="607"/>
      <c r="C490" s="607"/>
      <c r="D490" s="607"/>
      <c r="E490" s="607"/>
      <c r="F490" s="607"/>
      <c r="G490" s="607"/>
      <c r="H490" s="607"/>
      <c r="I490" s="607"/>
      <c r="J490" s="607"/>
      <c r="K490" s="617"/>
      <c r="L490" s="607"/>
      <c r="M490" s="607"/>
      <c r="N490" s="607"/>
      <c r="P490" s="44"/>
    </row>
    <row r="491">
      <c r="A491" s="607"/>
      <c r="B491" s="607"/>
      <c r="C491" s="607"/>
      <c r="D491" s="607"/>
      <c r="E491" s="607"/>
      <c r="F491" s="607"/>
      <c r="G491" s="607"/>
      <c r="H491" s="607"/>
      <c r="I491" s="607"/>
      <c r="J491" s="607"/>
      <c r="K491" s="617"/>
      <c r="L491" s="607"/>
      <c r="M491" s="607"/>
      <c r="N491" s="607"/>
      <c r="P491" s="44"/>
    </row>
    <row r="492">
      <c r="A492" s="607"/>
      <c r="B492" s="607"/>
      <c r="C492" s="607"/>
      <c r="D492" s="607"/>
      <c r="E492" s="607"/>
      <c r="F492" s="607"/>
      <c r="G492" s="607"/>
      <c r="H492" s="607"/>
      <c r="I492" s="607"/>
      <c r="J492" s="607"/>
      <c r="K492" s="617"/>
      <c r="L492" s="607"/>
      <c r="M492" s="607"/>
      <c r="N492" s="607"/>
      <c r="P492" s="44"/>
    </row>
    <row r="493">
      <c r="A493" s="607"/>
      <c r="B493" s="607"/>
      <c r="C493" s="607"/>
      <c r="D493" s="607"/>
      <c r="E493" s="607"/>
      <c r="F493" s="607"/>
      <c r="G493" s="607"/>
      <c r="H493" s="607"/>
      <c r="I493" s="607"/>
      <c r="J493" s="607"/>
      <c r="K493" s="617"/>
      <c r="L493" s="607"/>
      <c r="M493" s="607"/>
      <c r="N493" s="607"/>
      <c r="P493" s="44"/>
    </row>
    <row r="494">
      <c r="A494" s="607"/>
      <c r="B494" s="607"/>
      <c r="C494" s="607"/>
      <c r="D494" s="607"/>
      <c r="E494" s="607"/>
      <c r="F494" s="607"/>
      <c r="G494" s="607"/>
      <c r="H494" s="607"/>
      <c r="I494" s="607"/>
      <c r="J494" s="607"/>
      <c r="K494" s="617"/>
      <c r="L494" s="607"/>
      <c r="M494" s="607"/>
      <c r="N494" s="607"/>
      <c r="P494" s="44"/>
    </row>
    <row r="495">
      <c r="A495" s="607"/>
      <c r="B495" s="607"/>
      <c r="C495" s="607"/>
      <c r="D495" s="607"/>
      <c r="E495" s="607"/>
      <c r="F495" s="607"/>
      <c r="G495" s="607"/>
      <c r="H495" s="607"/>
      <c r="I495" s="607"/>
      <c r="J495" s="607"/>
      <c r="K495" s="617"/>
      <c r="L495" s="607"/>
      <c r="M495" s="607"/>
      <c r="N495" s="607"/>
      <c r="P495" s="44"/>
    </row>
    <row r="496">
      <c r="A496" s="607"/>
      <c r="B496" s="607"/>
      <c r="C496" s="607"/>
      <c r="D496" s="607"/>
      <c r="E496" s="607"/>
      <c r="F496" s="607"/>
      <c r="G496" s="607"/>
      <c r="H496" s="607"/>
      <c r="I496" s="607"/>
      <c r="J496" s="607"/>
      <c r="K496" s="617"/>
      <c r="L496" s="607"/>
      <c r="M496" s="607"/>
      <c r="N496" s="607"/>
      <c r="P496" s="44"/>
    </row>
    <row r="497">
      <c r="A497" s="607"/>
      <c r="B497" s="607"/>
      <c r="C497" s="607"/>
      <c r="D497" s="607"/>
      <c r="E497" s="607"/>
      <c r="F497" s="607"/>
      <c r="G497" s="607"/>
      <c r="H497" s="607"/>
      <c r="I497" s="607"/>
      <c r="J497" s="607"/>
      <c r="K497" s="617"/>
      <c r="L497" s="607"/>
      <c r="M497" s="607"/>
      <c r="N497" s="607"/>
      <c r="P497" s="44"/>
    </row>
    <row r="498">
      <c r="A498" s="607"/>
      <c r="B498" s="607"/>
      <c r="C498" s="607"/>
      <c r="D498" s="607"/>
      <c r="E498" s="607"/>
      <c r="F498" s="607"/>
      <c r="G498" s="607"/>
      <c r="H498" s="607"/>
      <c r="I498" s="607"/>
      <c r="J498" s="607"/>
      <c r="K498" s="617"/>
      <c r="L498" s="607"/>
      <c r="M498" s="607"/>
      <c r="N498" s="607"/>
      <c r="P498" s="44"/>
    </row>
    <row r="499">
      <c r="A499" s="607"/>
      <c r="B499" s="607"/>
      <c r="C499" s="607"/>
      <c r="D499" s="607"/>
      <c r="E499" s="607"/>
      <c r="F499" s="607"/>
      <c r="G499" s="607"/>
      <c r="H499" s="607"/>
      <c r="I499" s="607"/>
      <c r="J499" s="607"/>
      <c r="K499" s="617"/>
      <c r="L499" s="607"/>
      <c r="M499" s="607"/>
      <c r="N499" s="607"/>
      <c r="P499" s="44"/>
    </row>
    <row r="500">
      <c r="A500" s="607"/>
      <c r="B500" s="607"/>
      <c r="C500" s="607"/>
      <c r="D500" s="607"/>
      <c r="E500" s="607"/>
      <c r="F500" s="607"/>
      <c r="G500" s="607"/>
      <c r="H500" s="607"/>
      <c r="I500" s="607"/>
      <c r="J500" s="607"/>
      <c r="K500" s="617"/>
      <c r="L500" s="607"/>
      <c r="M500" s="607"/>
      <c r="N500" s="607"/>
      <c r="P500" s="44"/>
    </row>
    <row r="501">
      <c r="A501" s="607"/>
      <c r="B501" s="607"/>
      <c r="C501" s="607"/>
      <c r="D501" s="607"/>
      <c r="E501" s="607"/>
      <c r="F501" s="607"/>
      <c r="G501" s="607"/>
      <c r="H501" s="607"/>
      <c r="I501" s="607"/>
      <c r="J501" s="607"/>
      <c r="K501" s="617"/>
      <c r="L501" s="607"/>
      <c r="M501" s="607"/>
      <c r="N501" s="607"/>
      <c r="P501" s="44"/>
    </row>
    <row r="502">
      <c r="A502" s="607"/>
      <c r="B502" s="607"/>
      <c r="C502" s="607"/>
      <c r="D502" s="607"/>
      <c r="E502" s="607"/>
      <c r="F502" s="607"/>
      <c r="G502" s="607"/>
      <c r="H502" s="607"/>
      <c r="I502" s="607"/>
      <c r="J502" s="607"/>
      <c r="K502" s="617"/>
      <c r="L502" s="607"/>
      <c r="M502" s="607"/>
      <c r="N502" s="607"/>
      <c r="P502" s="44"/>
    </row>
    <row r="503">
      <c r="A503" s="607"/>
      <c r="B503" s="607"/>
      <c r="C503" s="607"/>
      <c r="D503" s="607"/>
      <c r="E503" s="607"/>
      <c r="F503" s="607"/>
      <c r="G503" s="607"/>
      <c r="H503" s="607"/>
      <c r="I503" s="607"/>
      <c r="J503" s="607"/>
      <c r="K503" s="617"/>
      <c r="L503" s="607"/>
      <c r="M503" s="607"/>
      <c r="N503" s="607"/>
      <c r="P503" s="44"/>
    </row>
    <row r="504">
      <c r="A504" s="607"/>
      <c r="B504" s="607"/>
      <c r="C504" s="607"/>
      <c r="D504" s="607"/>
      <c r="E504" s="607"/>
      <c r="F504" s="607"/>
      <c r="G504" s="607"/>
      <c r="H504" s="607"/>
      <c r="I504" s="607"/>
      <c r="J504" s="607"/>
      <c r="K504" s="617"/>
      <c r="L504" s="607"/>
      <c r="M504" s="607"/>
      <c r="N504" s="607"/>
      <c r="P504" s="44"/>
    </row>
    <row r="505">
      <c r="A505" s="607"/>
      <c r="B505" s="607"/>
      <c r="C505" s="607"/>
      <c r="D505" s="607"/>
      <c r="E505" s="607"/>
      <c r="F505" s="607"/>
      <c r="G505" s="607"/>
      <c r="H505" s="607"/>
      <c r="I505" s="607"/>
      <c r="J505" s="607"/>
      <c r="K505" s="617"/>
      <c r="L505" s="607"/>
      <c r="M505" s="607"/>
      <c r="N505" s="607"/>
      <c r="P505" s="44"/>
    </row>
    <row r="506">
      <c r="A506" s="607"/>
      <c r="B506" s="607"/>
      <c r="C506" s="607"/>
      <c r="D506" s="607"/>
      <c r="E506" s="607"/>
      <c r="F506" s="607"/>
      <c r="G506" s="607"/>
      <c r="H506" s="607"/>
      <c r="I506" s="607"/>
      <c r="J506" s="607"/>
      <c r="K506" s="617"/>
      <c r="L506" s="607"/>
      <c r="M506" s="607"/>
      <c r="N506" s="607"/>
      <c r="P506" s="44"/>
    </row>
    <row r="507">
      <c r="A507" s="607"/>
      <c r="B507" s="607"/>
      <c r="C507" s="607"/>
      <c r="D507" s="607"/>
      <c r="E507" s="607"/>
      <c r="F507" s="607"/>
      <c r="G507" s="607"/>
      <c r="H507" s="607"/>
      <c r="I507" s="607"/>
      <c r="J507" s="607"/>
      <c r="K507" s="617"/>
      <c r="L507" s="607"/>
      <c r="M507" s="607"/>
      <c r="N507" s="607"/>
      <c r="P507" s="44"/>
    </row>
    <row r="508">
      <c r="A508" s="607"/>
      <c r="B508" s="607"/>
      <c r="C508" s="607"/>
      <c r="D508" s="607"/>
      <c r="E508" s="607"/>
      <c r="F508" s="607"/>
      <c r="G508" s="607"/>
      <c r="H508" s="607"/>
      <c r="I508" s="607"/>
      <c r="J508" s="607"/>
      <c r="K508" s="617"/>
      <c r="L508" s="607"/>
      <c r="M508" s="607"/>
      <c r="N508" s="607"/>
      <c r="P508" s="44"/>
    </row>
    <row r="509">
      <c r="A509" s="607"/>
      <c r="B509" s="607"/>
      <c r="C509" s="607"/>
      <c r="D509" s="607"/>
      <c r="E509" s="607"/>
      <c r="F509" s="607"/>
      <c r="G509" s="607"/>
      <c r="H509" s="607"/>
      <c r="I509" s="607"/>
      <c r="J509" s="607"/>
      <c r="K509" s="617"/>
      <c r="L509" s="607"/>
      <c r="M509" s="607"/>
      <c r="N509" s="607"/>
      <c r="P509" s="44"/>
    </row>
    <row r="510">
      <c r="A510" s="607"/>
      <c r="B510" s="607"/>
      <c r="C510" s="607"/>
      <c r="D510" s="607"/>
      <c r="E510" s="607"/>
      <c r="F510" s="607"/>
      <c r="G510" s="607"/>
      <c r="H510" s="607"/>
      <c r="I510" s="607"/>
      <c r="J510" s="607"/>
      <c r="K510" s="617"/>
      <c r="L510" s="607"/>
      <c r="M510" s="607"/>
      <c r="N510" s="607"/>
      <c r="P510" s="44"/>
    </row>
    <row r="511">
      <c r="A511" s="607"/>
      <c r="B511" s="607"/>
      <c r="C511" s="607"/>
      <c r="D511" s="607"/>
      <c r="E511" s="607"/>
      <c r="F511" s="607"/>
      <c r="G511" s="607"/>
      <c r="H511" s="607"/>
      <c r="I511" s="607"/>
      <c r="J511" s="607"/>
      <c r="K511" s="617"/>
      <c r="L511" s="607"/>
      <c r="M511" s="607"/>
      <c r="N511" s="607"/>
      <c r="P511" s="44"/>
    </row>
    <row r="512">
      <c r="A512" s="607"/>
      <c r="B512" s="607"/>
      <c r="C512" s="607"/>
      <c r="D512" s="607"/>
      <c r="E512" s="607"/>
      <c r="F512" s="607"/>
      <c r="G512" s="607"/>
      <c r="H512" s="607"/>
      <c r="I512" s="607"/>
      <c r="J512" s="607"/>
      <c r="K512" s="617"/>
      <c r="L512" s="607"/>
      <c r="M512" s="607"/>
      <c r="N512" s="607"/>
      <c r="P512" s="44"/>
    </row>
    <row r="513">
      <c r="A513" s="607"/>
      <c r="B513" s="607"/>
      <c r="C513" s="607"/>
      <c r="D513" s="607"/>
      <c r="E513" s="607"/>
      <c r="F513" s="607"/>
      <c r="G513" s="607"/>
      <c r="H513" s="607"/>
      <c r="I513" s="607"/>
      <c r="J513" s="607"/>
      <c r="K513" s="617"/>
      <c r="L513" s="607"/>
      <c r="M513" s="607"/>
      <c r="N513" s="607"/>
      <c r="P513" s="44"/>
    </row>
    <row r="514">
      <c r="A514" s="607"/>
      <c r="B514" s="607"/>
      <c r="C514" s="607"/>
      <c r="D514" s="607"/>
      <c r="E514" s="607"/>
      <c r="F514" s="607"/>
      <c r="G514" s="607"/>
      <c r="H514" s="607"/>
      <c r="I514" s="607"/>
      <c r="J514" s="607"/>
      <c r="K514" s="617"/>
      <c r="L514" s="607"/>
      <c r="M514" s="607"/>
      <c r="N514" s="607"/>
      <c r="P514" s="44"/>
    </row>
    <row r="515">
      <c r="A515" s="607"/>
      <c r="B515" s="607"/>
      <c r="C515" s="607"/>
      <c r="D515" s="607"/>
      <c r="E515" s="607"/>
      <c r="F515" s="607"/>
      <c r="G515" s="607"/>
      <c r="H515" s="607"/>
      <c r="I515" s="607"/>
      <c r="J515" s="607"/>
      <c r="K515" s="617"/>
      <c r="L515" s="607"/>
      <c r="M515" s="607"/>
      <c r="N515" s="607"/>
      <c r="P515" s="44"/>
    </row>
    <row r="516">
      <c r="A516" s="607"/>
      <c r="B516" s="607"/>
      <c r="C516" s="607"/>
      <c r="D516" s="607"/>
      <c r="E516" s="607"/>
      <c r="F516" s="607"/>
      <c r="G516" s="607"/>
      <c r="H516" s="607"/>
      <c r="I516" s="607"/>
      <c r="J516" s="607"/>
      <c r="K516" s="617"/>
      <c r="L516" s="607"/>
      <c r="M516" s="607"/>
      <c r="N516" s="607"/>
      <c r="P516" s="44"/>
    </row>
    <row r="517">
      <c r="A517" s="607"/>
      <c r="B517" s="607"/>
      <c r="C517" s="607"/>
      <c r="D517" s="607"/>
      <c r="E517" s="607"/>
      <c r="F517" s="607"/>
      <c r="G517" s="607"/>
      <c r="H517" s="607"/>
      <c r="I517" s="607"/>
      <c r="J517" s="607"/>
      <c r="K517" s="617"/>
      <c r="L517" s="607"/>
      <c r="M517" s="607"/>
      <c r="N517" s="607"/>
      <c r="P517" s="44"/>
    </row>
    <row r="518">
      <c r="A518" s="607"/>
      <c r="B518" s="607"/>
      <c r="C518" s="607"/>
      <c r="D518" s="607"/>
      <c r="E518" s="607"/>
      <c r="F518" s="607"/>
      <c r="G518" s="607"/>
      <c r="H518" s="607"/>
      <c r="I518" s="607"/>
      <c r="J518" s="607"/>
      <c r="K518" s="617"/>
      <c r="L518" s="607"/>
      <c r="M518" s="607"/>
      <c r="N518" s="607"/>
      <c r="P518" s="44"/>
    </row>
    <row r="519">
      <c r="A519" s="607"/>
      <c r="B519" s="607"/>
      <c r="C519" s="607"/>
      <c r="D519" s="607"/>
      <c r="E519" s="607"/>
      <c r="F519" s="607"/>
      <c r="G519" s="607"/>
      <c r="H519" s="607"/>
      <c r="I519" s="607"/>
      <c r="J519" s="607"/>
      <c r="K519" s="617"/>
      <c r="L519" s="607"/>
      <c r="M519" s="607"/>
      <c r="N519" s="607"/>
      <c r="P519" s="44"/>
    </row>
    <row r="520">
      <c r="A520" s="607"/>
      <c r="B520" s="607"/>
      <c r="C520" s="607"/>
      <c r="D520" s="607"/>
      <c r="E520" s="607"/>
      <c r="F520" s="607"/>
      <c r="G520" s="607"/>
      <c r="H520" s="607"/>
      <c r="I520" s="607"/>
      <c r="J520" s="607"/>
      <c r="K520" s="617"/>
      <c r="L520" s="607"/>
      <c r="M520" s="607"/>
      <c r="N520" s="607"/>
      <c r="P520" s="44"/>
    </row>
    <row r="521">
      <c r="A521" s="607"/>
      <c r="B521" s="607"/>
      <c r="C521" s="607"/>
      <c r="D521" s="607"/>
      <c r="E521" s="607"/>
      <c r="F521" s="607"/>
      <c r="G521" s="607"/>
      <c r="H521" s="607"/>
      <c r="I521" s="607"/>
      <c r="J521" s="607"/>
      <c r="K521" s="617"/>
      <c r="L521" s="607"/>
      <c r="M521" s="607"/>
      <c r="N521" s="607"/>
      <c r="P521" s="44"/>
    </row>
    <row r="522">
      <c r="A522" s="607"/>
      <c r="B522" s="607"/>
      <c r="C522" s="607"/>
      <c r="D522" s="607"/>
      <c r="E522" s="607"/>
      <c r="F522" s="607"/>
      <c r="G522" s="607"/>
      <c r="H522" s="607"/>
      <c r="I522" s="607"/>
      <c r="J522" s="607"/>
      <c r="K522" s="617"/>
      <c r="L522" s="607"/>
      <c r="M522" s="607"/>
      <c r="N522" s="607"/>
      <c r="P522" s="44"/>
    </row>
    <row r="523">
      <c r="A523" s="607"/>
      <c r="B523" s="607"/>
      <c r="C523" s="607"/>
      <c r="D523" s="607"/>
      <c r="E523" s="607"/>
      <c r="F523" s="607"/>
      <c r="G523" s="607"/>
      <c r="H523" s="607"/>
      <c r="I523" s="607"/>
      <c r="J523" s="607"/>
      <c r="K523" s="617"/>
      <c r="L523" s="607"/>
      <c r="M523" s="607"/>
      <c r="N523" s="607"/>
      <c r="P523" s="44"/>
    </row>
    <row r="524">
      <c r="A524" s="607"/>
      <c r="B524" s="607"/>
      <c r="C524" s="607"/>
      <c r="D524" s="607"/>
      <c r="E524" s="607"/>
      <c r="F524" s="607"/>
      <c r="G524" s="607"/>
      <c r="H524" s="607"/>
      <c r="I524" s="607"/>
      <c r="J524" s="607"/>
      <c r="K524" s="617"/>
      <c r="L524" s="607"/>
      <c r="M524" s="607"/>
      <c r="N524" s="607"/>
      <c r="P524" s="44"/>
    </row>
    <row r="525">
      <c r="A525" s="607"/>
      <c r="B525" s="607"/>
      <c r="C525" s="607"/>
      <c r="D525" s="607"/>
      <c r="E525" s="607"/>
      <c r="F525" s="607"/>
      <c r="G525" s="607"/>
      <c r="H525" s="607"/>
      <c r="I525" s="607"/>
      <c r="J525" s="607"/>
      <c r="K525" s="617"/>
      <c r="L525" s="607"/>
      <c r="M525" s="607"/>
      <c r="N525" s="607"/>
      <c r="P525" s="44"/>
    </row>
    <row r="526">
      <c r="A526" s="607"/>
      <c r="B526" s="607"/>
      <c r="C526" s="607"/>
      <c r="D526" s="607"/>
      <c r="E526" s="607"/>
      <c r="F526" s="607"/>
      <c r="G526" s="607"/>
      <c r="H526" s="607"/>
      <c r="I526" s="607"/>
      <c r="J526" s="607"/>
      <c r="K526" s="617"/>
      <c r="L526" s="607"/>
      <c r="M526" s="607"/>
      <c r="N526" s="607"/>
      <c r="P526" s="44"/>
    </row>
    <row r="527">
      <c r="A527" s="607"/>
      <c r="B527" s="607"/>
      <c r="C527" s="607"/>
      <c r="D527" s="607"/>
      <c r="E527" s="607"/>
      <c r="F527" s="607"/>
      <c r="G527" s="607"/>
      <c r="H527" s="607"/>
      <c r="I527" s="607"/>
      <c r="J527" s="607"/>
      <c r="K527" s="617"/>
      <c r="L527" s="607"/>
      <c r="M527" s="607"/>
      <c r="N527" s="607"/>
      <c r="P527" s="44"/>
    </row>
    <row r="528">
      <c r="A528" s="607"/>
      <c r="B528" s="607"/>
      <c r="C528" s="607"/>
      <c r="D528" s="607"/>
      <c r="E528" s="607"/>
      <c r="F528" s="607"/>
      <c r="G528" s="607"/>
      <c r="H528" s="607"/>
      <c r="I528" s="607"/>
      <c r="J528" s="607"/>
      <c r="K528" s="617"/>
      <c r="L528" s="607"/>
      <c r="M528" s="607"/>
      <c r="N528" s="607"/>
      <c r="P528" s="44"/>
    </row>
    <row r="529">
      <c r="A529" s="607"/>
      <c r="B529" s="607"/>
      <c r="C529" s="607"/>
      <c r="D529" s="607"/>
      <c r="E529" s="607"/>
      <c r="F529" s="607"/>
      <c r="G529" s="607"/>
      <c r="H529" s="607"/>
      <c r="I529" s="607"/>
      <c r="J529" s="607"/>
      <c r="K529" s="617"/>
      <c r="L529" s="607"/>
      <c r="M529" s="607"/>
      <c r="N529" s="607"/>
      <c r="P529" s="44"/>
    </row>
    <row r="530">
      <c r="A530" s="607"/>
      <c r="B530" s="607"/>
      <c r="C530" s="607"/>
      <c r="D530" s="607"/>
      <c r="E530" s="607"/>
      <c r="F530" s="607"/>
      <c r="G530" s="607"/>
      <c r="H530" s="607"/>
      <c r="I530" s="607"/>
      <c r="J530" s="607"/>
      <c r="K530" s="617"/>
      <c r="L530" s="607"/>
      <c r="M530" s="607"/>
      <c r="N530" s="607"/>
      <c r="P530" s="44"/>
    </row>
    <row r="531">
      <c r="A531" s="607"/>
      <c r="B531" s="607"/>
      <c r="C531" s="607"/>
      <c r="D531" s="607"/>
      <c r="E531" s="607"/>
      <c r="F531" s="607"/>
      <c r="G531" s="607"/>
      <c r="H531" s="607"/>
      <c r="I531" s="607"/>
      <c r="J531" s="607"/>
      <c r="K531" s="617"/>
      <c r="L531" s="607"/>
      <c r="M531" s="607"/>
      <c r="N531" s="607"/>
      <c r="P531" s="44"/>
    </row>
    <row r="532">
      <c r="A532" s="607"/>
      <c r="B532" s="607"/>
      <c r="C532" s="607"/>
      <c r="D532" s="607"/>
      <c r="E532" s="607"/>
      <c r="F532" s="607"/>
      <c r="G532" s="607"/>
      <c r="H532" s="607"/>
      <c r="I532" s="607"/>
      <c r="J532" s="607"/>
      <c r="K532" s="617"/>
      <c r="L532" s="607"/>
      <c r="M532" s="607"/>
      <c r="N532" s="607"/>
      <c r="P532" s="44"/>
    </row>
    <row r="533">
      <c r="A533" s="607"/>
      <c r="B533" s="607"/>
      <c r="C533" s="607"/>
      <c r="D533" s="607"/>
      <c r="E533" s="607"/>
      <c r="F533" s="607"/>
      <c r="G533" s="607"/>
      <c r="H533" s="607"/>
      <c r="I533" s="607"/>
      <c r="J533" s="607"/>
      <c r="K533" s="617"/>
      <c r="L533" s="607"/>
      <c r="M533" s="607"/>
      <c r="N533" s="607"/>
      <c r="P533" s="44"/>
    </row>
    <row r="534">
      <c r="A534" s="607"/>
      <c r="B534" s="607"/>
      <c r="C534" s="607"/>
      <c r="D534" s="607"/>
      <c r="E534" s="607"/>
      <c r="F534" s="607"/>
      <c r="G534" s="607"/>
      <c r="H534" s="607"/>
      <c r="I534" s="607"/>
      <c r="J534" s="607"/>
      <c r="K534" s="617"/>
      <c r="L534" s="607"/>
      <c r="M534" s="607"/>
      <c r="N534" s="607"/>
      <c r="P534" s="44"/>
    </row>
    <row r="535">
      <c r="A535" s="607"/>
      <c r="B535" s="607"/>
      <c r="C535" s="607"/>
      <c r="D535" s="607"/>
      <c r="E535" s="607"/>
      <c r="F535" s="607"/>
      <c r="G535" s="607"/>
      <c r="H535" s="607"/>
      <c r="I535" s="607"/>
      <c r="J535" s="607"/>
      <c r="K535" s="617"/>
      <c r="L535" s="607"/>
      <c r="M535" s="607"/>
      <c r="N535" s="607"/>
      <c r="P535" s="44"/>
    </row>
    <row r="536">
      <c r="A536" s="607"/>
      <c r="B536" s="607"/>
      <c r="C536" s="607"/>
      <c r="D536" s="607"/>
      <c r="E536" s="607"/>
      <c r="F536" s="607"/>
      <c r="G536" s="607"/>
      <c r="H536" s="607"/>
      <c r="I536" s="607"/>
      <c r="J536" s="607"/>
      <c r="K536" s="617"/>
      <c r="L536" s="607"/>
      <c r="M536" s="607"/>
      <c r="N536" s="607"/>
      <c r="P536" s="44"/>
    </row>
    <row r="537">
      <c r="A537" s="607"/>
      <c r="B537" s="607"/>
      <c r="C537" s="607"/>
      <c r="D537" s="607"/>
      <c r="E537" s="607"/>
      <c r="F537" s="607"/>
      <c r="G537" s="607"/>
      <c r="H537" s="607"/>
      <c r="I537" s="607"/>
      <c r="J537" s="607"/>
      <c r="K537" s="617"/>
      <c r="L537" s="607"/>
      <c r="M537" s="607"/>
      <c r="N537" s="607"/>
      <c r="P537" s="44"/>
    </row>
    <row r="538">
      <c r="A538" s="607"/>
      <c r="B538" s="607"/>
      <c r="C538" s="607"/>
      <c r="D538" s="607"/>
      <c r="E538" s="607"/>
      <c r="F538" s="607"/>
      <c r="G538" s="607"/>
      <c r="H538" s="607"/>
      <c r="I538" s="607"/>
      <c r="J538" s="607"/>
      <c r="K538" s="617"/>
      <c r="L538" s="607"/>
      <c r="M538" s="607"/>
      <c r="N538" s="607"/>
      <c r="P538" s="44"/>
    </row>
    <row r="539">
      <c r="A539" s="607"/>
      <c r="B539" s="607"/>
      <c r="C539" s="607"/>
      <c r="D539" s="607"/>
      <c r="E539" s="607"/>
      <c r="F539" s="607"/>
      <c r="G539" s="607"/>
      <c r="H539" s="607"/>
      <c r="I539" s="607"/>
      <c r="J539" s="607"/>
      <c r="K539" s="617"/>
      <c r="L539" s="607"/>
      <c r="M539" s="607"/>
      <c r="N539" s="607"/>
      <c r="P539" s="44"/>
    </row>
    <row r="540">
      <c r="A540" s="607"/>
      <c r="B540" s="607"/>
      <c r="C540" s="607"/>
      <c r="D540" s="607"/>
      <c r="E540" s="607"/>
      <c r="F540" s="607"/>
      <c r="G540" s="607"/>
      <c r="H540" s="607"/>
      <c r="I540" s="607"/>
      <c r="J540" s="607"/>
      <c r="K540" s="617"/>
      <c r="L540" s="607"/>
      <c r="M540" s="607"/>
      <c r="N540" s="607"/>
      <c r="P540" s="44"/>
    </row>
    <row r="541">
      <c r="A541" s="607"/>
      <c r="B541" s="607"/>
      <c r="C541" s="607"/>
      <c r="D541" s="607"/>
      <c r="E541" s="607"/>
      <c r="F541" s="607"/>
      <c r="G541" s="607"/>
      <c r="H541" s="607"/>
      <c r="I541" s="607"/>
      <c r="J541" s="607"/>
      <c r="K541" s="617"/>
      <c r="L541" s="607"/>
      <c r="M541" s="607"/>
      <c r="N541" s="607"/>
      <c r="P541" s="44"/>
    </row>
    <row r="542">
      <c r="A542" s="607"/>
      <c r="B542" s="607"/>
      <c r="C542" s="607"/>
      <c r="D542" s="607"/>
      <c r="E542" s="607"/>
      <c r="F542" s="607"/>
      <c r="G542" s="607"/>
      <c r="H542" s="607"/>
      <c r="I542" s="607"/>
      <c r="J542" s="607"/>
      <c r="K542" s="617"/>
      <c r="L542" s="607"/>
      <c r="M542" s="607"/>
      <c r="N542" s="607"/>
      <c r="P542" s="44"/>
    </row>
    <row r="543">
      <c r="A543" s="607"/>
      <c r="B543" s="607"/>
      <c r="C543" s="607"/>
      <c r="D543" s="607"/>
      <c r="E543" s="607"/>
      <c r="F543" s="607"/>
      <c r="G543" s="607"/>
      <c r="H543" s="607"/>
      <c r="I543" s="607"/>
      <c r="J543" s="607"/>
      <c r="K543" s="617"/>
      <c r="L543" s="607"/>
      <c r="M543" s="607"/>
      <c r="N543" s="607"/>
      <c r="P543" s="44"/>
    </row>
    <row r="544">
      <c r="A544" s="607"/>
      <c r="B544" s="607"/>
      <c r="C544" s="607"/>
      <c r="D544" s="607"/>
      <c r="E544" s="607"/>
      <c r="F544" s="607"/>
      <c r="G544" s="607"/>
      <c r="H544" s="607"/>
      <c r="I544" s="607"/>
      <c r="J544" s="607"/>
      <c r="K544" s="617"/>
      <c r="L544" s="607"/>
      <c r="M544" s="607"/>
      <c r="N544" s="607"/>
      <c r="P544" s="44"/>
    </row>
    <row r="545">
      <c r="A545" s="607"/>
      <c r="B545" s="607"/>
      <c r="C545" s="607"/>
      <c r="D545" s="607"/>
      <c r="E545" s="607"/>
      <c r="F545" s="607"/>
      <c r="G545" s="607"/>
      <c r="H545" s="607"/>
      <c r="I545" s="607"/>
      <c r="J545" s="607"/>
      <c r="K545" s="617"/>
      <c r="L545" s="607"/>
      <c r="M545" s="607"/>
      <c r="N545" s="607"/>
      <c r="P545" s="44"/>
    </row>
    <row r="546">
      <c r="A546" s="607"/>
      <c r="B546" s="607"/>
      <c r="C546" s="607"/>
      <c r="D546" s="607"/>
      <c r="E546" s="607"/>
      <c r="F546" s="607"/>
      <c r="G546" s="607"/>
      <c r="H546" s="607"/>
      <c r="I546" s="607"/>
      <c r="J546" s="607"/>
      <c r="K546" s="617"/>
      <c r="L546" s="607"/>
      <c r="M546" s="607"/>
      <c r="N546" s="607"/>
      <c r="P546" s="44"/>
    </row>
    <row r="547">
      <c r="A547" s="607"/>
      <c r="B547" s="607"/>
      <c r="C547" s="607"/>
      <c r="D547" s="607"/>
      <c r="E547" s="607"/>
      <c r="F547" s="607"/>
      <c r="G547" s="607"/>
      <c r="H547" s="607"/>
      <c r="I547" s="607"/>
      <c r="J547" s="607"/>
      <c r="K547" s="617"/>
      <c r="L547" s="607"/>
      <c r="M547" s="607"/>
      <c r="N547" s="607"/>
      <c r="P547" s="44"/>
    </row>
    <row r="548">
      <c r="A548" s="607"/>
      <c r="B548" s="607"/>
      <c r="C548" s="607"/>
      <c r="D548" s="607"/>
      <c r="E548" s="607"/>
      <c r="F548" s="607"/>
      <c r="G548" s="607"/>
      <c r="H548" s="607"/>
      <c r="I548" s="607"/>
      <c r="J548" s="607"/>
      <c r="K548" s="617"/>
      <c r="L548" s="607"/>
      <c r="M548" s="607"/>
      <c r="N548" s="607"/>
      <c r="P548" s="44"/>
    </row>
    <row r="549">
      <c r="A549" s="607"/>
      <c r="B549" s="607"/>
      <c r="C549" s="607"/>
      <c r="D549" s="607"/>
      <c r="E549" s="607"/>
      <c r="F549" s="607"/>
      <c r="G549" s="607"/>
      <c r="H549" s="607"/>
      <c r="I549" s="607"/>
      <c r="J549" s="607"/>
      <c r="K549" s="617"/>
      <c r="L549" s="607"/>
      <c r="M549" s="607"/>
      <c r="N549" s="607"/>
      <c r="P549" s="44"/>
    </row>
    <row r="550">
      <c r="A550" s="607"/>
      <c r="B550" s="607"/>
      <c r="C550" s="607"/>
      <c r="D550" s="607"/>
      <c r="E550" s="607"/>
      <c r="F550" s="607"/>
      <c r="G550" s="607"/>
      <c r="H550" s="607"/>
      <c r="I550" s="607"/>
      <c r="J550" s="607"/>
      <c r="K550" s="617"/>
      <c r="L550" s="607"/>
      <c r="M550" s="607"/>
      <c r="N550" s="607"/>
      <c r="P550" s="44"/>
    </row>
    <row r="551">
      <c r="A551" s="607"/>
      <c r="B551" s="607"/>
      <c r="C551" s="607"/>
      <c r="D551" s="607"/>
      <c r="E551" s="607"/>
      <c r="F551" s="607"/>
      <c r="G551" s="607"/>
      <c r="H551" s="607"/>
      <c r="I551" s="607"/>
      <c r="J551" s="607"/>
      <c r="K551" s="617"/>
      <c r="L551" s="607"/>
      <c r="M551" s="607"/>
      <c r="N551" s="607"/>
      <c r="P551" s="44"/>
    </row>
    <row r="552">
      <c r="A552" s="607"/>
      <c r="B552" s="607"/>
      <c r="C552" s="607"/>
      <c r="D552" s="607"/>
      <c r="E552" s="607"/>
      <c r="F552" s="607"/>
      <c r="G552" s="607"/>
      <c r="H552" s="607"/>
      <c r="I552" s="607"/>
      <c r="J552" s="607"/>
      <c r="K552" s="617"/>
      <c r="L552" s="607"/>
      <c r="M552" s="607"/>
      <c r="N552" s="607"/>
      <c r="P552" s="44"/>
    </row>
    <row r="553">
      <c r="A553" s="607"/>
      <c r="B553" s="607"/>
      <c r="C553" s="607"/>
      <c r="D553" s="607"/>
      <c r="E553" s="607"/>
      <c r="F553" s="607"/>
      <c r="G553" s="607"/>
      <c r="H553" s="607"/>
      <c r="I553" s="607"/>
      <c r="J553" s="607"/>
      <c r="K553" s="617"/>
      <c r="L553" s="607"/>
      <c r="M553" s="607"/>
      <c r="N553" s="607"/>
      <c r="P553" s="44"/>
    </row>
    <row r="554">
      <c r="A554" s="607"/>
      <c r="B554" s="607"/>
      <c r="C554" s="607"/>
      <c r="D554" s="607"/>
      <c r="E554" s="607"/>
      <c r="F554" s="607"/>
      <c r="G554" s="607"/>
      <c r="H554" s="607"/>
      <c r="I554" s="607"/>
      <c r="J554" s="607"/>
      <c r="K554" s="617"/>
      <c r="L554" s="607"/>
      <c r="M554" s="607"/>
      <c r="N554" s="607"/>
      <c r="P554" s="44"/>
    </row>
    <row r="555">
      <c r="A555" s="607"/>
      <c r="B555" s="607"/>
      <c r="C555" s="607"/>
      <c r="D555" s="607"/>
      <c r="E555" s="607"/>
      <c r="F555" s="607"/>
      <c r="G555" s="607"/>
      <c r="H555" s="607"/>
      <c r="I555" s="607"/>
      <c r="J555" s="607"/>
      <c r="K555" s="617"/>
      <c r="L555" s="607"/>
      <c r="M555" s="607"/>
      <c r="N555" s="607"/>
      <c r="P555" s="44"/>
    </row>
    <row r="556">
      <c r="A556" s="607"/>
      <c r="B556" s="607"/>
      <c r="C556" s="607"/>
      <c r="D556" s="607"/>
      <c r="E556" s="607"/>
      <c r="F556" s="607"/>
      <c r="G556" s="607"/>
      <c r="H556" s="607"/>
      <c r="I556" s="607"/>
      <c r="J556" s="607"/>
      <c r="K556" s="617"/>
      <c r="L556" s="607"/>
      <c r="M556" s="607"/>
      <c r="N556" s="607"/>
      <c r="P556" s="44"/>
    </row>
    <row r="557">
      <c r="A557" s="607"/>
      <c r="B557" s="607"/>
      <c r="C557" s="607"/>
      <c r="D557" s="607"/>
      <c r="E557" s="607"/>
      <c r="F557" s="607"/>
      <c r="G557" s="607"/>
      <c r="H557" s="607"/>
      <c r="I557" s="607"/>
      <c r="J557" s="607"/>
      <c r="K557" s="617"/>
      <c r="L557" s="607"/>
      <c r="M557" s="607"/>
      <c r="N557" s="607"/>
      <c r="P557" s="44"/>
    </row>
    <row r="558">
      <c r="A558" s="607"/>
      <c r="B558" s="607"/>
      <c r="C558" s="607"/>
      <c r="D558" s="607"/>
      <c r="E558" s="607"/>
      <c r="F558" s="607"/>
      <c r="G558" s="607"/>
      <c r="H558" s="607"/>
      <c r="I558" s="607"/>
      <c r="J558" s="607"/>
      <c r="K558" s="617"/>
      <c r="L558" s="607"/>
      <c r="M558" s="607"/>
      <c r="N558" s="607"/>
      <c r="P558" s="44"/>
    </row>
    <row r="559">
      <c r="A559" s="607"/>
      <c r="B559" s="607"/>
      <c r="C559" s="607"/>
      <c r="D559" s="607"/>
      <c r="E559" s="607"/>
      <c r="F559" s="607"/>
      <c r="G559" s="607"/>
      <c r="H559" s="607"/>
      <c r="I559" s="607"/>
      <c r="J559" s="607"/>
      <c r="K559" s="617"/>
      <c r="L559" s="607"/>
      <c r="M559" s="607"/>
      <c r="N559" s="607"/>
      <c r="P559" s="44"/>
    </row>
    <row r="560">
      <c r="A560" s="607"/>
      <c r="B560" s="607"/>
      <c r="C560" s="607"/>
      <c r="D560" s="607"/>
      <c r="E560" s="607"/>
      <c r="F560" s="607"/>
      <c r="G560" s="607"/>
      <c r="H560" s="607"/>
      <c r="I560" s="607"/>
      <c r="J560" s="607"/>
      <c r="K560" s="617"/>
      <c r="L560" s="607"/>
      <c r="M560" s="607"/>
      <c r="N560" s="607"/>
      <c r="P560" s="44"/>
    </row>
    <row r="561">
      <c r="A561" s="607"/>
      <c r="B561" s="607"/>
      <c r="C561" s="607"/>
      <c r="D561" s="607"/>
      <c r="E561" s="607"/>
      <c r="F561" s="607"/>
      <c r="G561" s="607"/>
      <c r="H561" s="607"/>
      <c r="I561" s="607"/>
      <c r="J561" s="607"/>
      <c r="K561" s="617"/>
      <c r="L561" s="607"/>
      <c r="M561" s="607"/>
      <c r="N561" s="607"/>
      <c r="P561" s="44"/>
    </row>
    <row r="562">
      <c r="A562" s="607"/>
      <c r="B562" s="607"/>
      <c r="C562" s="607"/>
      <c r="D562" s="607"/>
      <c r="E562" s="607"/>
      <c r="F562" s="607"/>
      <c r="G562" s="607"/>
      <c r="H562" s="607"/>
      <c r="I562" s="607"/>
      <c r="J562" s="607"/>
      <c r="K562" s="617"/>
      <c r="L562" s="607"/>
      <c r="M562" s="607"/>
      <c r="N562" s="607"/>
      <c r="P562" s="44"/>
    </row>
    <row r="563">
      <c r="A563" s="607"/>
      <c r="B563" s="607"/>
      <c r="C563" s="607"/>
      <c r="D563" s="607"/>
      <c r="E563" s="607"/>
      <c r="F563" s="607"/>
      <c r="G563" s="607"/>
      <c r="H563" s="607"/>
      <c r="I563" s="607"/>
      <c r="J563" s="607"/>
      <c r="K563" s="617"/>
      <c r="L563" s="607"/>
      <c r="M563" s="607"/>
      <c r="N563" s="607"/>
      <c r="P563" s="44"/>
    </row>
    <row r="564">
      <c r="A564" s="607"/>
      <c r="B564" s="607"/>
      <c r="C564" s="607"/>
      <c r="D564" s="607"/>
      <c r="E564" s="607"/>
      <c r="F564" s="607"/>
      <c r="G564" s="607"/>
      <c r="H564" s="607"/>
      <c r="I564" s="607"/>
      <c r="J564" s="607"/>
      <c r="K564" s="617"/>
      <c r="L564" s="607"/>
      <c r="M564" s="607"/>
      <c r="N564" s="607"/>
      <c r="P564" s="44"/>
    </row>
    <row r="565">
      <c r="A565" s="607"/>
      <c r="B565" s="607"/>
      <c r="C565" s="607"/>
      <c r="D565" s="607"/>
      <c r="E565" s="607"/>
      <c r="F565" s="607"/>
      <c r="G565" s="607"/>
      <c r="H565" s="607"/>
      <c r="I565" s="607"/>
      <c r="J565" s="607"/>
      <c r="K565" s="617"/>
      <c r="L565" s="607"/>
      <c r="M565" s="607"/>
      <c r="N565" s="607"/>
      <c r="P565" s="44"/>
    </row>
    <row r="566">
      <c r="A566" s="607"/>
      <c r="B566" s="607"/>
      <c r="C566" s="607"/>
      <c r="D566" s="607"/>
      <c r="E566" s="607"/>
      <c r="F566" s="607"/>
      <c r="G566" s="607"/>
      <c r="H566" s="607"/>
      <c r="I566" s="607"/>
      <c r="J566" s="607"/>
      <c r="K566" s="617"/>
      <c r="L566" s="607"/>
      <c r="M566" s="607"/>
      <c r="N566" s="607"/>
      <c r="P566" s="44"/>
    </row>
    <row r="567">
      <c r="A567" s="607"/>
      <c r="B567" s="607"/>
      <c r="C567" s="607"/>
      <c r="D567" s="607"/>
      <c r="E567" s="607"/>
      <c r="F567" s="607"/>
      <c r="G567" s="607"/>
      <c r="H567" s="607"/>
      <c r="I567" s="607"/>
      <c r="J567" s="607"/>
      <c r="K567" s="617"/>
      <c r="L567" s="607"/>
      <c r="M567" s="607"/>
      <c r="N567" s="607"/>
      <c r="P567" s="44"/>
    </row>
    <row r="568">
      <c r="A568" s="607"/>
      <c r="B568" s="607"/>
      <c r="C568" s="607"/>
      <c r="D568" s="607"/>
      <c r="E568" s="607"/>
      <c r="F568" s="607"/>
      <c r="G568" s="607"/>
      <c r="H568" s="607"/>
      <c r="I568" s="607"/>
      <c r="J568" s="607"/>
      <c r="K568" s="617"/>
      <c r="L568" s="607"/>
      <c r="M568" s="607"/>
      <c r="N568" s="607"/>
      <c r="P568" s="44"/>
    </row>
    <row r="569">
      <c r="A569" s="607"/>
      <c r="B569" s="607"/>
      <c r="C569" s="607"/>
      <c r="D569" s="607"/>
      <c r="E569" s="607"/>
      <c r="F569" s="607"/>
      <c r="G569" s="607"/>
      <c r="H569" s="607"/>
      <c r="I569" s="607"/>
      <c r="J569" s="607"/>
      <c r="K569" s="617"/>
      <c r="L569" s="607"/>
      <c r="M569" s="607"/>
      <c r="N569" s="607"/>
      <c r="P569" s="44"/>
    </row>
    <row r="570">
      <c r="A570" s="607"/>
      <c r="B570" s="607"/>
      <c r="C570" s="607"/>
      <c r="D570" s="607"/>
      <c r="E570" s="607"/>
      <c r="F570" s="607"/>
      <c r="G570" s="607"/>
      <c r="H570" s="607"/>
      <c r="I570" s="607"/>
      <c r="J570" s="607"/>
      <c r="K570" s="617"/>
      <c r="L570" s="607"/>
      <c r="M570" s="607"/>
      <c r="N570" s="607"/>
      <c r="P570" s="44"/>
    </row>
    <row r="571">
      <c r="A571" s="607"/>
      <c r="B571" s="607"/>
      <c r="C571" s="607"/>
      <c r="D571" s="607"/>
      <c r="E571" s="607"/>
      <c r="F571" s="607"/>
      <c r="G571" s="607"/>
      <c r="H571" s="607"/>
      <c r="I571" s="607"/>
      <c r="J571" s="607"/>
      <c r="K571" s="617"/>
      <c r="L571" s="607"/>
      <c r="M571" s="607"/>
      <c r="N571" s="607"/>
      <c r="P571" s="44"/>
    </row>
    <row r="572">
      <c r="A572" s="607"/>
      <c r="B572" s="607"/>
      <c r="C572" s="607"/>
      <c r="D572" s="607"/>
      <c r="E572" s="607"/>
      <c r="F572" s="607"/>
      <c r="G572" s="607"/>
      <c r="H572" s="607"/>
      <c r="I572" s="607"/>
      <c r="J572" s="607"/>
      <c r="K572" s="617"/>
      <c r="L572" s="607"/>
      <c r="M572" s="607"/>
      <c r="N572" s="607"/>
      <c r="P572" s="44"/>
    </row>
    <row r="573">
      <c r="A573" s="607"/>
      <c r="B573" s="607"/>
      <c r="C573" s="607"/>
      <c r="D573" s="607"/>
      <c r="E573" s="607"/>
      <c r="F573" s="607"/>
      <c r="G573" s="607"/>
      <c r="H573" s="607"/>
      <c r="I573" s="607"/>
      <c r="J573" s="607"/>
      <c r="K573" s="617"/>
      <c r="L573" s="607"/>
      <c r="M573" s="607"/>
      <c r="N573" s="607"/>
      <c r="P573" s="44"/>
    </row>
    <row r="574">
      <c r="A574" s="607"/>
      <c r="B574" s="607"/>
      <c r="C574" s="607"/>
      <c r="D574" s="607"/>
      <c r="E574" s="607"/>
      <c r="F574" s="607"/>
      <c r="G574" s="607"/>
      <c r="H574" s="607"/>
      <c r="I574" s="607"/>
      <c r="J574" s="607"/>
      <c r="K574" s="617"/>
      <c r="L574" s="607"/>
      <c r="M574" s="607"/>
      <c r="N574" s="607"/>
      <c r="P574" s="44"/>
    </row>
    <row r="575">
      <c r="A575" s="607"/>
      <c r="B575" s="607"/>
      <c r="C575" s="607"/>
      <c r="D575" s="607"/>
      <c r="E575" s="607"/>
      <c r="F575" s="607"/>
      <c r="G575" s="607"/>
      <c r="H575" s="607"/>
      <c r="I575" s="607"/>
      <c r="J575" s="607"/>
      <c r="K575" s="617"/>
      <c r="L575" s="607"/>
      <c r="M575" s="607"/>
      <c r="N575" s="607"/>
      <c r="P575" s="44"/>
    </row>
    <row r="576">
      <c r="A576" s="607"/>
      <c r="B576" s="607"/>
      <c r="C576" s="607"/>
      <c r="D576" s="607"/>
      <c r="E576" s="607"/>
      <c r="F576" s="607"/>
      <c r="G576" s="607"/>
      <c r="H576" s="607"/>
      <c r="I576" s="607"/>
      <c r="J576" s="607"/>
      <c r="K576" s="617"/>
      <c r="L576" s="607"/>
      <c r="M576" s="607"/>
      <c r="N576" s="607"/>
      <c r="P576" s="44"/>
    </row>
    <row r="577">
      <c r="A577" s="607"/>
      <c r="B577" s="607"/>
      <c r="C577" s="607"/>
      <c r="D577" s="607"/>
      <c r="E577" s="607"/>
      <c r="F577" s="607"/>
      <c r="G577" s="607"/>
      <c r="H577" s="607"/>
      <c r="I577" s="607"/>
      <c r="J577" s="607"/>
      <c r="K577" s="617"/>
      <c r="L577" s="607"/>
      <c r="M577" s="607"/>
      <c r="N577" s="607"/>
      <c r="P577" s="44"/>
    </row>
    <row r="578">
      <c r="A578" s="607"/>
      <c r="B578" s="607"/>
      <c r="C578" s="607"/>
      <c r="D578" s="607"/>
      <c r="E578" s="607"/>
      <c r="F578" s="607"/>
      <c r="G578" s="607"/>
      <c r="H578" s="607"/>
      <c r="I578" s="607"/>
      <c r="J578" s="607"/>
      <c r="K578" s="617"/>
      <c r="L578" s="607"/>
      <c r="M578" s="607"/>
      <c r="N578" s="607"/>
      <c r="P578" s="44"/>
    </row>
    <row r="579">
      <c r="A579" s="607"/>
      <c r="B579" s="607"/>
      <c r="C579" s="607"/>
      <c r="D579" s="607"/>
      <c r="E579" s="607"/>
      <c r="F579" s="607"/>
      <c r="G579" s="607"/>
      <c r="H579" s="607"/>
      <c r="I579" s="607"/>
      <c r="J579" s="607"/>
      <c r="K579" s="617"/>
      <c r="L579" s="607"/>
      <c r="M579" s="607"/>
      <c r="N579" s="607"/>
      <c r="P579" s="44"/>
    </row>
    <row r="580">
      <c r="A580" s="607"/>
      <c r="B580" s="607"/>
      <c r="C580" s="607"/>
      <c r="D580" s="607"/>
      <c r="E580" s="607"/>
      <c r="F580" s="607"/>
      <c r="G580" s="607"/>
      <c r="H580" s="607"/>
      <c r="I580" s="607"/>
      <c r="J580" s="607"/>
      <c r="K580" s="617"/>
      <c r="L580" s="607"/>
      <c r="M580" s="607"/>
      <c r="N580" s="607"/>
      <c r="P580" s="44"/>
    </row>
    <row r="581">
      <c r="A581" s="607"/>
      <c r="B581" s="607"/>
      <c r="C581" s="607"/>
      <c r="D581" s="607"/>
      <c r="E581" s="607"/>
      <c r="F581" s="607"/>
      <c r="G581" s="607"/>
      <c r="H581" s="607"/>
      <c r="I581" s="607"/>
      <c r="J581" s="607"/>
      <c r="K581" s="617"/>
      <c r="L581" s="607"/>
      <c r="M581" s="607"/>
      <c r="N581" s="607"/>
      <c r="P581" s="44"/>
    </row>
    <row r="582">
      <c r="A582" s="607"/>
      <c r="B582" s="607"/>
      <c r="C582" s="607"/>
      <c r="D582" s="607"/>
      <c r="E582" s="607"/>
      <c r="F582" s="607"/>
      <c r="G582" s="607"/>
      <c r="H582" s="607"/>
      <c r="I582" s="607"/>
      <c r="J582" s="607"/>
      <c r="K582" s="617"/>
      <c r="L582" s="607"/>
      <c r="M582" s="607"/>
      <c r="N582" s="607"/>
      <c r="P582" s="44"/>
    </row>
    <row r="583">
      <c r="A583" s="607"/>
      <c r="B583" s="607"/>
      <c r="C583" s="607"/>
      <c r="D583" s="607"/>
      <c r="E583" s="607"/>
      <c r="F583" s="607"/>
      <c r="G583" s="607"/>
      <c r="H583" s="607"/>
      <c r="I583" s="607"/>
      <c r="J583" s="607"/>
      <c r="K583" s="617"/>
      <c r="L583" s="607"/>
      <c r="M583" s="607"/>
      <c r="N583" s="607"/>
      <c r="P583" s="44"/>
    </row>
    <row r="584">
      <c r="A584" s="607"/>
      <c r="B584" s="607"/>
      <c r="C584" s="607"/>
      <c r="D584" s="607"/>
      <c r="E584" s="607"/>
      <c r="F584" s="607"/>
      <c r="G584" s="607"/>
      <c r="H584" s="607"/>
      <c r="I584" s="607"/>
      <c r="J584" s="607"/>
      <c r="K584" s="617"/>
      <c r="L584" s="607"/>
      <c r="M584" s="607"/>
      <c r="N584" s="607"/>
      <c r="P584" s="44"/>
    </row>
    <row r="585">
      <c r="A585" s="607"/>
      <c r="B585" s="607"/>
      <c r="C585" s="607"/>
      <c r="D585" s="607"/>
      <c r="E585" s="607"/>
      <c r="F585" s="607"/>
      <c r="G585" s="607"/>
      <c r="H585" s="607"/>
      <c r="I585" s="607"/>
      <c r="J585" s="607"/>
      <c r="K585" s="617"/>
      <c r="L585" s="607"/>
      <c r="M585" s="607"/>
      <c r="N585" s="607"/>
      <c r="P585" s="44"/>
    </row>
    <row r="586">
      <c r="A586" s="607"/>
      <c r="B586" s="607"/>
      <c r="C586" s="607"/>
      <c r="D586" s="607"/>
      <c r="E586" s="607"/>
      <c r="F586" s="607"/>
      <c r="G586" s="607"/>
      <c r="H586" s="607"/>
      <c r="I586" s="607"/>
      <c r="J586" s="607"/>
      <c r="K586" s="617"/>
      <c r="L586" s="607"/>
      <c r="M586" s="607"/>
      <c r="N586" s="607"/>
      <c r="P586" s="44"/>
    </row>
    <row r="587">
      <c r="A587" s="607"/>
      <c r="B587" s="607"/>
      <c r="C587" s="607"/>
      <c r="D587" s="607"/>
      <c r="E587" s="607"/>
      <c r="F587" s="607"/>
      <c r="G587" s="607"/>
      <c r="H587" s="607"/>
      <c r="I587" s="607"/>
      <c r="J587" s="607"/>
      <c r="K587" s="617"/>
      <c r="L587" s="607"/>
      <c r="M587" s="607"/>
      <c r="N587" s="607"/>
      <c r="P587" s="44"/>
    </row>
    <row r="588">
      <c r="A588" s="607"/>
      <c r="B588" s="607"/>
      <c r="C588" s="607"/>
      <c r="D588" s="607"/>
      <c r="E588" s="607"/>
      <c r="F588" s="607"/>
      <c r="G588" s="607"/>
      <c r="H588" s="607"/>
      <c r="I588" s="607"/>
      <c r="J588" s="607"/>
      <c r="K588" s="617"/>
      <c r="L588" s="607"/>
      <c r="M588" s="607"/>
      <c r="N588" s="607"/>
      <c r="P588" s="44"/>
    </row>
    <row r="589">
      <c r="A589" s="607"/>
      <c r="B589" s="607"/>
      <c r="C589" s="607"/>
      <c r="D589" s="607"/>
      <c r="E589" s="607"/>
      <c r="F589" s="607"/>
      <c r="G589" s="607"/>
      <c r="H589" s="607"/>
      <c r="I589" s="607"/>
      <c r="J589" s="607"/>
      <c r="K589" s="617"/>
      <c r="L589" s="607"/>
      <c r="M589" s="607"/>
      <c r="N589" s="607"/>
      <c r="P589" s="44"/>
    </row>
    <row r="590">
      <c r="A590" s="607"/>
      <c r="B590" s="607"/>
      <c r="C590" s="607"/>
      <c r="D590" s="607"/>
      <c r="E590" s="607"/>
      <c r="F590" s="607"/>
      <c r="G590" s="607"/>
      <c r="H590" s="607"/>
      <c r="I590" s="607"/>
      <c r="J590" s="607"/>
      <c r="K590" s="617"/>
      <c r="L590" s="607"/>
      <c r="M590" s="607"/>
      <c r="N590" s="607"/>
      <c r="P590" s="44"/>
    </row>
    <row r="591">
      <c r="A591" s="607"/>
      <c r="B591" s="607"/>
      <c r="C591" s="607"/>
      <c r="D591" s="607"/>
      <c r="E591" s="607"/>
      <c r="F591" s="607"/>
      <c r="G591" s="607"/>
      <c r="H591" s="607"/>
      <c r="I591" s="607"/>
      <c r="J591" s="607"/>
      <c r="K591" s="617"/>
      <c r="L591" s="607"/>
      <c r="M591" s="607"/>
      <c r="N591" s="607"/>
      <c r="P591" s="44"/>
    </row>
    <row r="592">
      <c r="A592" s="607"/>
      <c r="B592" s="607"/>
      <c r="C592" s="607"/>
      <c r="D592" s="607"/>
      <c r="E592" s="607"/>
      <c r="F592" s="607"/>
      <c r="G592" s="607"/>
      <c r="H592" s="607"/>
      <c r="I592" s="607"/>
      <c r="J592" s="607"/>
      <c r="K592" s="617"/>
      <c r="L592" s="607"/>
      <c r="M592" s="607"/>
      <c r="N592" s="607"/>
      <c r="P592" s="44"/>
    </row>
    <row r="593">
      <c r="A593" s="607"/>
      <c r="B593" s="607"/>
      <c r="C593" s="607"/>
      <c r="D593" s="607"/>
      <c r="E593" s="607"/>
      <c r="F593" s="607"/>
      <c r="G593" s="607"/>
      <c r="H593" s="607"/>
      <c r="I593" s="607"/>
      <c r="J593" s="607"/>
      <c r="K593" s="617"/>
      <c r="L593" s="607"/>
      <c r="M593" s="607"/>
      <c r="N593" s="607"/>
      <c r="P593" s="44"/>
    </row>
    <row r="594">
      <c r="A594" s="607"/>
      <c r="B594" s="607"/>
      <c r="C594" s="607"/>
      <c r="D594" s="607"/>
      <c r="E594" s="607"/>
      <c r="F594" s="607"/>
      <c r="G594" s="607"/>
      <c r="H594" s="607"/>
      <c r="I594" s="607"/>
      <c r="J594" s="607"/>
      <c r="K594" s="617"/>
      <c r="L594" s="607"/>
      <c r="M594" s="607"/>
      <c r="N594" s="607"/>
      <c r="P594" s="44"/>
    </row>
    <row r="595">
      <c r="A595" s="607"/>
      <c r="B595" s="607"/>
      <c r="C595" s="607"/>
      <c r="D595" s="607"/>
      <c r="E595" s="607"/>
      <c r="F595" s="607"/>
      <c r="G595" s="607"/>
      <c r="H595" s="607"/>
      <c r="I595" s="607"/>
      <c r="J595" s="607"/>
      <c r="K595" s="617"/>
      <c r="L595" s="607"/>
      <c r="M595" s="607"/>
      <c r="N595" s="607"/>
      <c r="P595" s="44"/>
    </row>
    <row r="596">
      <c r="A596" s="607"/>
      <c r="B596" s="607"/>
      <c r="C596" s="607"/>
      <c r="D596" s="607"/>
      <c r="E596" s="607"/>
      <c r="F596" s="607"/>
      <c r="G596" s="607"/>
      <c r="H596" s="607"/>
      <c r="I596" s="607"/>
      <c r="J596" s="607"/>
      <c r="K596" s="617"/>
      <c r="L596" s="607"/>
      <c r="M596" s="607"/>
      <c r="N596" s="607"/>
      <c r="P596" s="44"/>
    </row>
    <row r="597">
      <c r="A597" s="607"/>
      <c r="B597" s="607"/>
      <c r="C597" s="607"/>
      <c r="D597" s="607"/>
      <c r="E597" s="607"/>
      <c r="F597" s="607"/>
      <c r="G597" s="607"/>
      <c r="H597" s="607"/>
      <c r="I597" s="607"/>
      <c r="J597" s="607"/>
      <c r="K597" s="617"/>
      <c r="L597" s="607"/>
      <c r="M597" s="607"/>
      <c r="N597" s="607"/>
      <c r="P597" s="44"/>
    </row>
    <row r="598">
      <c r="A598" s="607"/>
      <c r="B598" s="607"/>
      <c r="C598" s="607"/>
      <c r="D598" s="607"/>
      <c r="E598" s="607"/>
      <c r="F598" s="607"/>
      <c r="G598" s="607"/>
      <c r="H598" s="607"/>
      <c r="I598" s="607"/>
      <c r="J598" s="607"/>
      <c r="K598" s="617"/>
      <c r="L598" s="607"/>
      <c r="M598" s="607"/>
      <c r="N598" s="607"/>
      <c r="P598" s="44"/>
    </row>
    <row r="599">
      <c r="A599" s="607"/>
      <c r="B599" s="607"/>
      <c r="C599" s="607"/>
      <c r="D599" s="607"/>
      <c r="E599" s="607"/>
      <c r="F599" s="607"/>
      <c r="G599" s="607"/>
      <c r="H599" s="607"/>
      <c r="I599" s="607"/>
      <c r="J599" s="607"/>
      <c r="K599" s="617"/>
      <c r="L599" s="607"/>
      <c r="M599" s="607"/>
      <c r="N599" s="607"/>
      <c r="P599" s="44"/>
    </row>
    <row r="600">
      <c r="A600" s="607"/>
      <c r="B600" s="607"/>
      <c r="C600" s="607"/>
      <c r="D600" s="607"/>
      <c r="E600" s="607"/>
      <c r="F600" s="607"/>
      <c r="G600" s="607"/>
      <c r="H600" s="607"/>
      <c r="I600" s="607"/>
      <c r="J600" s="607"/>
      <c r="K600" s="617"/>
      <c r="L600" s="607"/>
      <c r="M600" s="607"/>
      <c r="N600" s="607"/>
      <c r="P600" s="44"/>
    </row>
    <row r="601">
      <c r="A601" s="607"/>
      <c r="B601" s="607"/>
      <c r="C601" s="607"/>
      <c r="D601" s="607"/>
      <c r="E601" s="607"/>
      <c r="F601" s="607"/>
      <c r="G601" s="607"/>
      <c r="H601" s="607"/>
      <c r="I601" s="607"/>
      <c r="J601" s="607"/>
      <c r="K601" s="617"/>
      <c r="L601" s="607"/>
      <c r="M601" s="607"/>
      <c r="N601" s="607"/>
      <c r="P601" s="44"/>
    </row>
    <row r="602">
      <c r="A602" s="607"/>
      <c r="B602" s="607"/>
      <c r="C602" s="607"/>
      <c r="D602" s="607"/>
      <c r="E602" s="607"/>
      <c r="F602" s="607"/>
      <c r="G602" s="607"/>
      <c r="H602" s="607"/>
      <c r="I602" s="607"/>
      <c r="J602" s="607"/>
      <c r="K602" s="617"/>
      <c r="L602" s="607"/>
      <c r="M602" s="607"/>
      <c r="N602" s="607"/>
      <c r="P602" s="44"/>
    </row>
    <row r="603">
      <c r="A603" s="607"/>
      <c r="B603" s="607"/>
      <c r="C603" s="607"/>
      <c r="D603" s="607"/>
      <c r="E603" s="607"/>
      <c r="F603" s="607"/>
      <c r="G603" s="607"/>
      <c r="H603" s="607"/>
      <c r="I603" s="607"/>
      <c r="J603" s="607"/>
      <c r="K603" s="617"/>
      <c r="L603" s="607"/>
      <c r="M603" s="607"/>
      <c r="N603" s="607"/>
      <c r="P603" s="44"/>
    </row>
    <row r="604">
      <c r="A604" s="607"/>
      <c r="B604" s="607"/>
      <c r="C604" s="607"/>
      <c r="D604" s="607"/>
      <c r="E604" s="607"/>
      <c r="F604" s="607"/>
      <c r="G604" s="607"/>
      <c r="H604" s="607"/>
      <c r="I604" s="607"/>
      <c r="J604" s="607"/>
      <c r="K604" s="617"/>
      <c r="L604" s="607"/>
      <c r="M604" s="607"/>
      <c r="N604" s="607"/>
      <c r="P604" s="44"/>
    </row>
    <row r="605">
      <c r="A605" s="607"/>
      <c r="B605" s="607"/>
      <c r="C605" s="607"/>
      <c r="D605" s="607"/>
      <c r="E605" s="607"/>
      <c r="F605" s="607"/>
      <c r="G605" s="607"/>
      <c r="H605" s="607"/>
      <c r="I605" s="607"/>
      <c r="J605" s="607"/>
      <c r="K605" s="617"/>
      <c r="L605" s="607"/>
      <c r="M605" s="607"/>
      <c r="N605" s="607"/>
      <c r="P605" s="44"/>
    </row>
    <row r="606">
      <c r="A606" s="607"/>
      <c r="B606" s="607"/>
      <c r="C606" s="607"/>
      <c r="D606" s="607"/>
      <c r="E606" s="607"/>
      <c r="F606" s="607"/>
      <c r="G606" s="607"/>
      <c r="H606" s="607"/>
      <c r="I606" s="607"/>
      <c r="J606" s="607"/>
      <c r="K606" s="617"/>
      <c r="L606" s="607"/>
      <c r="M606" s="607"/>
      <c r="N606" s="607"/>
      <c r="P606" s="44"/>
    </row>
    <row r="607">
      <c r="A607" s="607"/>
      <c r="B607" s="607"/>
      <c r="C607" s="607"/>
      <c r="D607" s="607"/>
      <c r="E607" s="607"/>
      <c r="F607" s="607"/>
      <c r="G607" s="607"/>
      <c r="H607" s="607"/>
      <c r="I607" s="607"/>
      <c r="J607" s="607"/>
      <c r="K607" s="617"/>
      <c r="L607" s="607"/>
      <c r="M607" s="607"/>
      <c r="N607" s="607"/>
      <c r="P607" s="44"/>
    </row>
    <row r="608">
      <c r="A608" s="607"/>
      <c r="B608" s="607"/>
      <c r="C608" s="607"/>
      <c r="D608" s="607"/>
      <c r="E608" s="607"/>
      <c r="F608" s="607"/>
      <c r="G608" s="607"/>
      <c r="H608" s="607"/>
      <c r="I608" s="607"/>
      <c r="J608" s="607"/>
      <c r="K608" s="617"/>
      <c r="L608" s="607"/>
      <c r="M608" s="607"/>
      <c r="N608" s="607"/>
      <c r="P608" s="44"/>
    </row>
    <row r="609">
      <c r="A609" s="607"/>
      <c r="B609" s="607"/>
      <c r="C609" s="607"/>
      <c r="D609" s="607"/>
      <c r="E609" s="607"/>
      <c r="F609" s="607"/>
      <c r="G609" s="607"/>
      <c r="H609" s="607"/>
      <c r="I609" s="607"/>
      <c r="J609" s="607"/>
      <c r="K609" s="617"/>
      <c r="L609" s="607"/>
      <c r="M609" s="607"/>
      <c r="N609" s="607"/>
      <c r="P609" s="44"/>
    </row>
    <row r="610">
      <c r="A610" s="607"/>
      <c r="B610" s="607"/>
      <c r="C610" s="607"/>
      <c r="D610" s="607"/>
      <c r="E610" s="607"/>
      <c r="F610" s="607"/>
      <c r="G610" s="607"/>
      <c r="H610" s="607"/>
      <c r="I610" s="607"/>
      <c r="J610" s="607"/>
      <c r="K610" s="617"/>
      <c r="L610" s="607"/>
      <c r="M610" s="607"/>
      <c r="N610" s="607"/>
      <c r="P610" s="44"/>
    </row>
    <row r="611">
      <c r="A611" s="607"/>
      <c r="B611" s="607"/>
      <c r="C611" s="607"/>
      <c r="D611" s="607"/>
      <c r="E611" s="607"/>
      <c r="F611" s="607"/>
      <c r="G611" s="607"/>
      <c r="H611" s="607"/>
      <c r="I611" s="607"/>
      <c r="J611" s="607"/>
      <c r="K611" s="617"/>
      <c r="L611" s="607"/>
      <c r="M611" s="607"/>
      <c r="N611" s="607"/>
      <c r="P611" s="44"/>
    </row>
    <row r="612">
      <c r="A612" s="607"/>
      <c r="B612" s="607"/>
      <c r="C612" s="607"/>
      <c r="D612" s="607"/>
      <c r="E612" s="607"/>
      <c r="F612" s="607"/>
      <c r="G612" s="607"/>
      <c r="H612" s="607"/>
      <c r="I612" s="607"/>
      <c r="J612" s="607"/>
      <c r="K612" s="617"/>
      <c r="L612" s="607"/>
      <c r="M612" s="607"/>
      <c r="N612" s="607"/>
      <c r="P612" s="44"/>
    </row>
    <row r="613">
      <c r="A613" s="607"/>
      <c r="B613" s="607"/>
      <c r="C613" s="607"/>
      <c r="D613" s="607"/>
      <c r="E613" s="607"/>
      <c r="F613" s="607"/>
      <c r="G613" s="607"/>
      <c r="H613" s="607"/>
      <c r="I613" s="607"/>
      <c r="J613" s="607"/>
      <c r="K613" s="617"/>
      <c r="L613" s="607"/>
      <c r="M613" s="607"/>
      <c r="N613" s="607"/>
      <c r="P613" s="44"/>
    </row>
    <row r="614">
      <c r="A614" s="607"/>
      <c r="B614" s="607"/>
      <c r="C614" s="607"/>
      <c r="D614" s="607"/>
      <c r="E614" s="607"/>
      <c r="F614" s="607"/>
      <c r="G614" s="607"/>
      <c r="H614" s="607"/>
      <c r="I614" s="607"/>
      <c r="J614" s="607"/>
      <c r="K614" s="617"/>
      <c r="L614" s="607"/>
      <c r="M614" s="607"/>
      <c r="N614" s="607"/>
      <c r="P614" s="44"/>
    </row>
    <row r="615">
      <c r="A615" s="607"/>
      <c r="B615" s="607"/>
      <c r="C615" s="607"/>
      <c r="D615" s="607"/>
      <c r="E615" s="607"/>
      <c r="F615" s="607"/>
      <c r="G615" s="607"/>
      <c r="H615" s="607"/>
      <c r="I615" s="607"/>
      <c r="J615" s="607"/>
      <c r="K615" s="617"/>
      <c r="L615" s="607"/>
      <c r="M615" s="607"/>
      <c r="N615" s="607"/>
      <c r="P615" s="44"/>
    </row>
    <row r="616">
      <c r="A616" s="607"/>
      <c r="B616" s="607"/>
      <c r="C616" s="607"/>
      <c r="D616" s="607"/>
      <c r="E616" s="607"/>
      <c r="F616" s="607"/>
      <c r="G616" s="607"/>
      <c r="H616" s="607"/>
      <c r="I616" s="607"/>
      <c r="J616" s="607"/>
      <c r="K616" s="617"/>
      <c r="L616" s="607"/>
      <c r="M616" s="607"/>
      <c r="N616" s="607"/>
      <c r="P616" s="44"/>
    </row>
    <row r="617">
      <c r="A617" s="607"/>
      <c r="B617" s="607"/>
      <c r="C617" s="607"/>
      <c r="D617" s="607"/>
      <c r="E617" s="607"/>
      <c r="F617" s="607"/>
      <c r="G617" s="607"/>
      <c r="H617" s="607"/>
      <c r="I617" s="607"/>
      <c r="J617" s="607"/>
      <c r="K617" s="617"/>
      <c r="L617" s="607"/>
      <c r="M617" s="607"/>
      <c r="N617" s="607"/>
      <c r="P617" s="44"/>
    </row>
    <row r="618">
      <c r="A618" s="607"/>
      <c r="B618" s="607"/>
      <c r="C618" s="607"/>
      <c r="D618" s="607"/>
      <c r="E618" s="607"/>
      <c r="F618" s="607"/>
      <c r="G618" s="607"/>
      <c r="H618" s="607"/>
      <c r="I618" s="607"/>
      <c r="J618" s="607"/>
      <c r="K618" s="617"/>
      <c r="L618" s="607"/>
      <c r="M618" s="607"/>
      <c r="N618" s="607"/>
      <c r="P618" s="44"/>
    </row>
    <row r="619">
      <c r="A619" s="607"/>
      <c r="B619" s="607"/>
      <c r="C619" s="607"/>
      <c r="D619" s="607"/>
      <c r="E619" s="607"/>
      <c r="F619" s="607"/>
      <c r="G619" s="607"/>
      <c r="H619" s="607"/>
      <c r="I619" s="607"/>
      <c r="J619" s="607"/>
      <c r="K619" s="617"/>
      <c r="L619" s="607"/>
      <c r="M619" s="607"/>
      <c r="N619" s="607"/>
      <c r="P619" s="44"/>
    </row>
    <row r="620">
      <c r="A620" s="607"/>
      <c r="B620" s="607"/>
      <c r="C620" s="607"/>
      <c r="D620" s="607"/>
      <c r="E620" s="607"/>
      <c r="F620" s="607"/>
      <c r="G620" s="607"/>
      <c r="H620" s="607"/>
      <c r="I620" s="607"/>
      <c r="J620" s="607"/>
      <c r="K620" s="617"/>
      <c r="L620" s="607"/>
      <c r="M620" s="607"/>
      <c r="N620" s="607"/>
      <c r="P620" s="44"/>
    </row>
    <row r="621">
      <c r="A621" s="607"/>
      <c r="B621" s="607"/>
      <c r="C621" s="607"/>
      <c r="D621" s="607"/>
      <c r="E621" s="607"/>
      <c r="F621" s="607"/>
      <c r="G621" s="607"/>
      <c r="H621" s="607"/>
      <c r="I621" s="607"/>
      <c r="J621" s="607"/>
      <c r="K621" s="617"/>
      <c r="L621" s="607"/>
      <c r="M621" s="607"/>
      <c r="N621" s="607"/>
      <c r="P621" s="44"/>
    </row>
    <row r="622">
      <c r="A622" s="607"/>
      <c r="B622" s="607"/>
      <c r="C622" s="607"/>
      <c r="D622" s="607"/>
      <c r="E622" s="607"/>
      <c r="F622" s="607"/>
      <c r="G622" s="607"/>
      <c r="H622" s="607"/>
      <c r="I622" s="607"/>
      <c r="J622" s="607"/>
      <c r="K622" s="617"/>
      <c r="L622" s="607"/>
      <c r="M622" s="607"/>
      <c r="N622" s="607"/>
      <c r="P622" s="44"/>
    </row>
    <row r="623">
      <c r="A623" s="607"/>
      <c r="B623" s="607"/>
      <c r="C623" s="607"/>
      <c r="D623" s="607"/>
      <c r="E623" s="607"/>
      <c r="F623" s="607"/>
      <c r="G623" s="607"/>
      <c r="H623" s="607"/>
      <c r="I623" s="607"/>
      <c r="J623" s="607"/>
      <c r="K623" s="617"/>
      <c r="L623" s="607"/>
      <c r="M623" s="607"/>
      <c r="N623" s="607"/>
      <c r="P623" s="44"/>
    </row>
    <row r="624">
      <c r="A624" s="607"/>
      <c r="B624" s="607"/>
      <c r="C624" s="607"/>
      <c r="D624" s="607"/>
      <c r="E624" s="607"/>
      <c r="F624" s="607"/>
      <c r="G624" s="607"/>
      <c r="H624" s="607"/>
      <c r="I624" s="607"/>
      <c r="J624" s="607"/>
      <c r="K624" s="617"/>
      <c r="L624" s="607"/>
      <c r="M624" s="607"/>
      <c r="N624" s="607"/>
      <c r="P624" s="44"/>
    </row>
    <row r="625">
      <c r="A625" s="607"/>
      <c r="B625" s="607"/>
      <c r="C625" s="607"/>
      <c r="D625" s="607"/>
      <c r="E625" s="607"/>
      <c r="F625" s="607"/>
      <c r="G625" s="607"/>
      <c r="H625" s="607"/>
      <c r="I625" s="607"/>
      <c r="J625" s="607"/>
      <c r="K625" s="617"/>
      <c r="L625" s="607"/>
      <c r="M625" s="607"/>
      <c r="N625" s="607"/>
      <c r="P625" s="44"/>
    </row>
    <row r="626">
      <c r="A626" s="607"/>
      <c r="B626" s="607"/>
      <c r="C626" s="607"/>
      <c r="D626" s="607"/>
      <c r="E626" s="607"/>
      <c r="F626" s="607"/>
      <c r="G626" s="607"/>
      <c r="H626" s="607"/>
      <c r="I626" s="607"/>
      <c r="J626" s="607"/>
      <c r="K626" s="617"/>
      <c r="L626" s="607"/>
      <c r="M626" s="607"/>
      <c r="N626" s="607"/>
      <c r="P626" s="44"/>
    </row>
    <row r="627">
      <c r="A627" s="607"/>
      <c r="B627" s="607"/>
      <c r="C627" s="607"/>
      <c r="D627" s="607"/>
      <c r="E627" s="607"/>
      <c r="F627" s="607"/>
      <c r="G627" s="607"/>
      <c r="H627" s="607"/>
      <c r="I627" s="607"/>
      <c r="J627" s="607"/>
      <c r="K627" s="617"/>
      <c r="L627" s="607"/>
      <c r="M627" s="607"/>
      <c r="N627" s="607"/>
      <c r="P627" s="44"/>
    </row>
    <row r="628">
      <c r="A628" s="607"/>
      <c r="B628" s="607"/>
      <c r="C628" s="607"/>
      <c r="D628" s="607"/>
      <c r="E628" s="607"/>
      <c r="F628" s="607"/>
      <c r="G628" s="607"/>
      <c r="H628" s="607"/>
      <c r="I628" s="607"/>
      <c r="J628" s="607"/>
      <c r="K628" s="617"/>
      <c r="L628" s="607"/>
      <c r="M628" s="607"/>
      <c r="N628" s="607"/>
      <c r="P628" s="44"/>
    </row>
    <row r="629">
      <c r="A629" s="607"/>
      <c r="B629" s="607"/>
      <c r="C629" s="607"/>
      <c r="D629" s="607"/>
      <c r="E629" s="607"/>
      <c r="F629" s="607"/>
      <c r="G629" s="607"/>
      <c r="H629" s="607"/>
      <c r="I629" s="607"/>
      <c r="J629" s="607"/>
      <c r="K629" s="617"/>
      <c r="L629" s="607"/>
      <c r="M629" s="607"/>
      <c r="N629" s="607"/>
      <c r="P629" s="44"/>
    </row>
    <row r="630">
      <c r="A630" s="607"/>
      <c r="B630" s="607"/>
      <c r="C630" s="607"/>
      <c r="D630" s="607"/>
      <c r="E630" s="607"/>
      <c r="F630" s="607"/>
      <c r="G630" s="607"/>
      <c r="H630" s="607"/>
      <c r="I630" s="607"/>
      <c r="J630" s="607"/>
      <c r="K630" s="617"/>
      <c r="L630" s="607"/>
      <c r="M630" s="607"/>
      <c r="N630" s="607"/>
      <c r="P630" s="44"/>
    </row>
    <row r="631">
      <c r="A631" s="607"/>
      <c r="B631" s="607"/>
      <c r="C631" s="607"/>
      <c r="D631" s="607"/>
      <c r="E631" s="607"/>
      <c r="F631" s="607"/>
      <c r="G631" s="607"/>
      <c r="H631" s="607"/>
      <c r="I631" s="607"/>
      <c r="J631" s="607"/>
      <c r="K631" s="617"/>
      <c r="L631" s="607"/>
      <c r="M631" s="607"/>
      <c r="N631" s="607"/>
      <c r="P631" s="44"/>
    </row>
    <row r="632">
      <c r="A632" s="607"/>
      <c r="B632" s="607"/>
      <c r="C632" s="607"/>
      <c r="D632" s="607"/>
      <c r="E632" s="607"/>
      <c r="F632" s="607"/>
      <c r="G632" s="607"/>
      <c r="H632" s="607"/>
      <c r="I632" s="607"/>
      <c r="J632" s="607"/>
      <c r="K632" s="617"/>
      <c r="L632" s="607"/>
      <c r="M632" s="607"/>
      <c r="N632" s="607"/>
      <c r="P632" s="44"/>
    </row>
    <row r="633">
      <c r="A633" s="607"/>
      <c r="B633" s="607"/>
      <c r="C633" s="607"/>
      <c r="D633" s="607"/>
      <c r="E633" s="607"/>
      <c r="F633" s="607"/>
      <c r="G633" s="607"/>
      <c r="H633" s="607"/>
      <c r="I633" s="607"/>
      <c r="J633" s="607"/>
      <c r="K633" s="617"/>
      <c r="L633" s="607"/>
      <c r="M633" s="607"/>
      <c r="N633" s="607"/>
      <c r="P633" s="44"/>
    </row>
    <row r="634">
      <c r="A634" s="607"/>
      <c r="B634" s="607"/>
      <c r="C634" s="607"/>
      <c r="D634" s="607"/>
      <c r="E634" s="607"/>
      <c r="F634" s="607"/>
      <c r="G634" s="607"/>
      <c r="H634" s="607"/>
      <c r="I634" s="607"/>
      <c r="J634" s="607"/>
      <c r="K634" s="617"/>
      <c r="L634" s="607"/>
      <c r="M634" s="607"/>
      <c r="N634" s="607"/>
      <c r="P634" s="44"/>
    </row>
    <row r="635">
      <c r="A635" s="607"/>
      <c r="B635" s="607"/>
      <c r="C635" s="607"/>
      <c r="D635" s="607"/>
      <c r="E635" s="607"/>
      <c r="F635" s="607"/>
      <c r="G635" s="607"/>
      <c r="H635" s="607"/>
      <c r="I635" s="607"/>
      <c r="J635" s="607"/>
      <c r="K635" s="617"/>
      <c r="L635" s="607"/>
      <c r="M635" s="607"/>
      <c r="N635" s="607"/>
      <c r="P635" s="44"/>
    </row>
    <row r="636">
      <c r="A636" s="607"/>
      <c r="B636" s="607"/>
      <c r="C636" s="607"/>
      <c r="D636" s="607"/>
      <c r="E636" s="607"/>
      <c r="F636" s="607"/>
      <c r="G636" s="607"/>
      <c r="H636" s="607"/>
      <c r="I636" s="607"/>
      <c r="J636" s="607"/>
      <c r="K636" s="617"/>
      <c r="L636" s="607"/>
      <c r="M636" s="607"/>
      <c r="N636" s="607"/>
      <c r="P636" s="44"/>
    </row>
    <row r="637">
      <c r="A637" s="607"/>
      <c r="B637" s="607"/>
      <c r="C637" s="607"/>
      <c r="D637" s="607"/>
      <c r="E637" s="607"/>
      <c r="F637" s="607"/>
      <c r="G637" s="607"/>
      <c r="H637" s="607"/>
      <c r="I637" s="607"/>
      <c r="J637" s="607"/>
      <c r="K637" s="617"/>
      <c r="L637" s="607"/>
      <c r="M637" s="607"/>
      <c r="N637" s="607"/>
      <c r="P637" s="44"/>
    </row>
    <row r="638">
      <c r="A638" s="607"/>
      <c r="B638" s="607"/>
      <c r="C638" s="607"/>
      <c r="D638" s="607"/>
      <c r="E638" s="607"/>
      <c r="F638" s="607"/>
      <c r="G638" s="607"/>
      <c r="H638" s="607"/>
      <c r="I638" s="607"/>
      <c r="J638" s="607"/>
      <c r="K638" s="617"/>
      <c r="L638" s="607"/>
      <c r="M638" s="607"/>
      <c r="N638" s="607"/>
      <c r="P638" s="44"/>
    </row>
    <row r="639">
      <c r="A639" s="607"/>
      <c r="B639" s="607"/>
      <c r="C639" s="607"/>
      <c r="D639" s="607"/>
      <c r="E639" s="607"/>
      <c r="F639" s="607"/>
      <c r="G639" s="607"/>
      <c r="H639" s="607"/>
      <c r="I639" s="607"/>
      <c r="J639" s="607"/>
      <c r="K639" s="617"/>
      <c r="L639" s="607"/>
      <c r="M639" s="607"/>
      <c r="N639" s="607"/>
      <c r="P639" s="44"/>
    </row>
    <row r="640">
      <c r="A640" s="607"/>
      <c r="B640" s="607"/>
      <c r="C640" s="607"/>
      <c r="D640" s="607"/>
      <c r="E640" s="607"/>
      <c r="F640" s="607"/>
      <c r="G640" s="607"/>
      <c r="H640" s="607"/>
      <c r="I640" s="607"/>
      <c r="J640" s="607"/>
      <c r="K640" s="617"/>
      <c r="L640" s="607"/>
      <c r="M640" s="607"/>
      <c r="N640" s="607"/>
      <c r="P640" s="44"/>
    </row>
    <row r="641">
      <c r="A641" s="607"/>
      <c r="B641" s="607"/>
      <c r="C641" s="607"/>
      <c r="D641" s="607"/>
      <c r="E641" s="607"/>
      <c r="F641" s="607"/>
      <c r="G641" s="607"/>
      <c r="H641" s="607"/>
      <c r="I641" s="607"/>
      <c r="J641" s="607"/>
      <c r="K641" s="617"/>
      <c r="L641" s="607"/>
      <c r="M641" s="607"/>
      <c r="N641" s="607"/>
      <c r="P641" s="44"/>
    </row>
    <row r="642">
      <c r="A642" s="607"/>
      <c r="B642" s="607"/>
      <c r="C642" s="607"/>
      <c r="D642" s="607"/>
      <c r="E642" s="607"/>
      <c r="F642" s="607"/>
      <c r="G642" s="607"/>
      <c r="H642" s="607"/>
      <c r="I642" s="607"/>
      <c r="J642" s="607"/>
      <c r="K642" s="617"/>
      <c r="L642" s="607"/>
      <c r="M642" s="607"/>
      <c r="N642" s="607"/>
      <c r="P642" s="44"/>
    </row>
    <row r="643">
      <c r="A643" s="607"/>
      <c r="B643" s="607"/>
      <c r="C643" s="607"/>
      <c r="D643" s="607"/>
      <c r="E643" s="607"/>
      <c r="F643" s="607"/>
      <c r="G643" s="607"/>
      <c r="H643" s="607"/>
      <c r="I643" s="607"/>
      <c r="J643" s="607"/>
      <c r="K643" s="617"/>
      <c r="L643" s="607"/>
      <c r="M643" s="607"/>
      <c r="N643" s="607"/>
      <c r="P643" s="44"/>
    </row>
    <row r="644">
      <c r="A644" s="607"/>
      <c r="B644" s="607"/>
      <c r="C644" s="607"/>
      <c r="D644" s="607"/>
      <c r="E644" s="607"/>
      <c r="F644" s="607"/>
      <c r="G644" s="607"/>
      <c r="H644" s="607"/>
      <c r="I644" s="607"/>
      <c r="J644" s="607"/>
      <c r="K644" s="617"/>
      <c r="L644" s="607"/>
      <c r="M644" s="607"/>
      <c r="N644" s="607"/>
      <c r="P644" s="44"/>
    </row>
    <row r="645">
      <c r="A645" s="607"/>
      <c r="B645" s="607"/>
      <c r="C645" s="607"/>
      <c r="D645" s="607"/>
      <c r="E645" s="607"/>
      <c r="F645" s="607"/>
      <c r="G645" s="607"/>
      <c r="H645" s="607"/>
      <c r="I645" s="607"/>
      <c r="J645" s="607"/>
      <c r="K645" s="617"/>
      <c r="L645" s="607"/>
      <c r="M645" s="607"/>
      <c r="N645" s="607"/>
      <c r="P645" s="44"/>
    </row>
    <row r="646">
      <c r="A646" s="607"/>
      <c r="B646" s="607"/>
      <c r="C646" s="607"/>
      <c r="D646" s="607"/>
      <c r="E646" s="607"/>
      <c r="F646" s="607"/>
      <c r="G646" s="607"/>
      <c r="H646" s="607"/>
      <c r="I646" s="607"/>
      <c r="J646" s="607"/>
      <c r="K646" s="617"/>
      <c r="L646" s="607"/>
      <c r="M646" s="607"/>
      <c r="N646" s="607"/>
      <c r="P646" s="44"/>
    </row>
    <row r="647">
      <c r="A647" s="607"/>
      <c r="B647" s="607"/>
      <c r="C647" s="607"/>
      <c r="D647" s="607"/>
      <c r="E647" s="607"/>
      <c r="F647" s="607"/>
      <c r="G647" s="607"/>
      <c r="H647" s="607"/>
      <c r="I647" s="607"/>
      <c r="J647" s="607"/>
      <c r="K647" s="617"/>
      <c r="L647" s="607"/>
      <c r="M647" s="607"/>
      <c r="N647" s="607"/>
      <c r="P647" s="44"/>
    </row>
    <row r="648">
      <c r="A648" s="607"/>
      <c r="B648" s="607"/>
      <c r="C648" s="607"/>
      <c r="D648" s="607"/>
      <c r="E648" s="607"/>
      <c r="F648" s="607"/>
      <c r="G648" s="607"/>
      <c r="H648" s="607"/>
      <c r="I648" s="607"/>
      <c r="J648" s="607"/>
      <c r="K648" s="617"/>
      <c r="L648" s="607"/>
      <c r="M648" s="607"/>
      <c r="N648" s="607"/>
      <c r="P648" s="44"/>
    </row>
    <row r="649">
      <c r="A649" s="607"/>
      <c r="B649" s="607"/>
      <c r="C649" s="607"/>
      <c r="D649" s="607"/>
      <c r="E649" s="607"/>
      <c r="F649" s="607"/>
      <c r="G649" s="607"/>
      <c r="H649" s="607"/>
      <c r="I649" s="607"/>
      <c r="J649" s="607"/>
      <c r="K649" s="617"/>
      <c r="L649" s="607"/>
      <c r="M649" s="607"/>
      <c r="N649" s="607"/>
      <c r="P649" s="44"/>
    </row>
    <row r="650">
      <c r="A650" s="607"/>
      <c r="B650" s="607"/>
      <c r="C650" s="607"/>
      <c r="D650" s="607"/>
      <c r="E650" s="607"/>
      <c r="F650" s="607"/>
      <c r="G650" s="607"/>
      <c r="H650" s="607"/>
      <c r="I650" s="607"/>
      <c r="J650" s="607"/>
      <c r="K650" s="617"/>
      <c r="L650" s="607"/>
      <c r="M650" s="607"/>
      <c r="N650" s="607"/>
      <c r="P650" s="44"/>
    </row>
    <row r="651">
      <c r="A651" s="607"/>
      <c r="B651" s="607"/>
      <c r="C651" s="607"/>
      <c r="D651" s="607"/>
      <c r="E651" s="607"/>
      <c r="F651" s="607"/>
      <c r="G651" s="607"/>
      <c r="H651" s="607"/>
      <c r="I651" s="607"/>
      <c r="J651" s="607"/>
      <c r="K651" s="617"/>
      <c r="L651" s="607"/>
      <c r="M651" s="607"/>
      <c r="N651" s="607"/>
      <c r="P651" s="44"/>
    </row>
    <row r="652">
      <c r="A652" s="607"/>
      <c r="B652" s="607"/>
      <c r="C652" s="607"/>
      <c r="D652" s="607"/>
      <c r="E652" s="607"/>
      <c r="F652" s="607"/>
      <c r="G652" s="607"/>
      <c r="H652" s="607"/>
      <c r="I652" s="607"/>
      <c r="J652" s="607"/>
      <c r="K652" s="617"/>
      <c r="L652" s="607"/>
      <c r="M652" s="607"/>
      <c r="N652" s="607"/>
      <c r="P652" s="44"/>
    </row>
    <row r="653">
      <c r="A653" s="607"/>
      <c r="B653" s="607"/>
      <c r="C653" s="607"/>
      <c r="D653" s="607"/>
      <c r="E653" s="607"/>
      <c r="F653" s="607"/>
      <c r="G653" s="607"/>
      <c r="H653" s="607"/>
      <c r="I653" s="607"/>
      <c r="J653" s="607"/>
      <c r="K653" s="617"/>
      <c r="L653" s="607"/>
      <c r="M653" s="607"/>
      <c r="N653" s="607"/>
      <c r="P653" s="44"/>
    </row>
    <row r="654">
      <c r="A654" s="607"/>
      <c r="B654" s="607"/>
      <c r="C654" s="607"/>
      <c r="D654" s="607"/>
      <c r="E654" s="607"/>
      <c r="F654" s="607"/>
      <c r="G654" s="607"/>
      <c r="H654" s="607"/>
      <c r="I654" s="607"/>
      <c r="J654" s="607"/>
      <c r="K654" s="617"/>
      <c r="L654" s="607"/>
      <c r="M654" s="607"/>
      <c r="N654" s="607"/>
      <c r="P654" s="44"/>
    </row>
    <row r="655">
      <c r="A655" s="607"/>
      <c r="B655" s="607"/>
      <c r="C655" s="607"/>
      <c r="D655" s="607"/>
      <c r="E655" s="607"/>
      <c r="F655" s="607"/>
      <c r="G655" s="607"/>
      <c r="H655" s="607"/>
      <c r="I655" s="607"/>
      <c r="J655" s="607"/>
      <c r="K655" s="617"/>
      <c r="L655" s="607"/>
      <c r="M655" s="607"/>
      <c r="N655" s="607"/>
      <c r="P655" s="44"/>
    </row>
    <row r="656">
      <c r="A656" s="607"/>
      <c r="B656" s="607"/>
      <c r="C656" s="607"/>
      <c r="D656" s="607"/>
      <c r="E656" s="607"/>
      <c r="F656" s="607"/>
      <c r="G656" s="607"/>
      <c r="H656" s="607"/>
      <c r="I656" s="607"/>
      <c r="J656" s="607"/>
      <c r="K656" s="617"/>
      <c r="L656" s="607"/>
      <c r="M656" s="607"/>
      <c r="N656" s="607"/>
      <c r="P656" s="44"/>
    </row>
    <row r="657">
      <c r="A657" s="607"/>
      <c r="B657" s="607"/>
      <c r="C657" s="607"/>
      <c r="D657" s="607"/>
      <c r="E657" s="607"/>
      <c r="F657" s="607"/>
      <c r="G657" s="607"/>
      <c r="H657" s="607"/>
      <c r="I657" s="607"/>
      <c r="J657" s="607"/>
      <c r="K657" s="617"/>
      <c r="L657" s="607"/>
      <c r="M657" s="607"/>
      <c r="N657" s="607"/>
      <c r="P657" s="44"/>
    </row>
    <row r="658">
      <c r="A658" s="607"/>
      <c r="B658" s="607"/>
      <c r="C658" s="607"/>
      <c r="D658" s="607"/>
      <c r="E658" s="607"/>
      <c r="F658" s="607"/>
      <c r="G658" s="607"/>
      <c r="H658" s="607"/>
      <c r="I658" s="607"/>
      <c r="J658" s="607"/>
      <c r="K658" s="617"/>
      <c r="L658" s="607"/>
      <c r="M658" s="607"/>
      <c r="N658" s="607"/>
      <c r="P658" s="44"/>
    </row>
    <row r="659">
      <c r="A659" s="607"/>
      <c r="B659" s="607"/>
      <c r="C659" s="607"/>
      <c r="D659" s="607"/>
      <c r="E659" s="607"/>
      <c r="F659" s="607"/>
      <c r="G659" s="607"/>
      <c r="H659" s="607"/>
      <c r="I659" s="607"/>
      <c r="J659" s="607"/>
      <c r="K659" s="617"/>
      <c r="L659" s="607"/>
      <c r="M659" s="607"/>
      <c r="N659" s="607"/>
      <c r="P659" s="44"/>
    </row>
    <row r="660">
      <c r="A660" s="607"/>
      <c r="B660" s="607"/>
      <c r="C660" s="607"/>
      <c r="D660" s="607"/>
      <c r="E660" s="607"/>
      <c r="F660" s="607"/>
      <c r="G660" s="607"/>
      <c r="H660" s="607"/>
      <c r="I660" s="607"/>
      <c r="J660" s="607"/>
      <c r="K660" s="617"/>
      <c r="L660" s="607"/>
      <c r="M660" s="607"/>
      <c r="N660" s="607"/>
      <c r="P660" s="44"/>
    </row>
    <row r="661">
      <c r="A661" s="607"/>
      <c r="B661" s="607"/>
      <c r="C661" s="607"/>
      <c r="D661" s="607"/>
      <c r="E661" s="607"/>
      <c r="F661" s="607"/>
      <c r="G661" s="607"/>
      <c r="H661" s="607"/>
      <c r="I661" s="607"/>
      <c r="J661" s="607"/>
      <c r="K661" s="617"/>
      <c r="L661" s="607"/>
      <c r="M661" s="607"/>
      <c r="N661" s="607"/>
      <c r="P661" s="44"/>
    </row>
    <row r="662">
      <c r="A662" s="607"/>
      <c r="B662" s="607"/>
      <c r="C662" s="607"/>
      <c r="D662" s="607"/>
      <c r="E662" s="607"/>
      <c r="F662" s="607"/>
      <c r="G662" s="607"/>
      <c r="H662" s="607"/>
      <c r="I662" s="607"/>
      <c r="J662" s="607"/>
      <c r="K662" s="617"/>
      <c r="L662" s="607"/>
      <c r="M662" s="607"/>
      <c r="N662" s="607"/>
      <c r="P662" s="44"/>
    </row>
    <row r="663">
      <c r="A663" s="607"/>
      <c r="B663" s="607"/>
      <c r="C663" s="607"/>
      <c r="D663" s="607"/>
      <c r="E663" s="607"/>
      <c r="F663" s="607"/>
      <c r="G663" s="607"/>
      <c r="H663" s="607"/>
      <c r="I663" s="607"/>
      <c r="J663" s="607"/>
      <c r="K663" s="617"/>
      <c r="L663" s="607"/>
      <c r="M663" s="607"/>
      <c r="N663" s="607"/>
      <c r="P663" s="44"/>
    </row>
    <row r="664">
      <c r="A664" s="607"/>
      <c r="B664" s="607"/>
      <c r="C664" s="607"/>
      <c r="D664" s="607"/>
      <c r="E664" s="607"/>
      <c r="F664" s="607"/>
      <c r="G664" s="607"/>
      <c r="H664" s="607"/>
      <c r="I664" s="607"/>
      <c r="J664" s="607"/>
      <c r="K664" s="617"/>
      <c r="L664" s="607"/>
      <c r="M664" s="607"/>
      <c r="N664" s="607"/>
      <c r="P664" s="44"/>
    </row>
    <row r="665">
      <c r="A665" s="607"/>
      <c r="B665" s="607"/>
      <c r="C665" s="607"/>
      <c r="D665" s="607"/>
      <c r="E665" s="607"/>
      <c r="F665" s="607"/>
      <c r="G665" s="607"/>
      <c r="H665" s="607"/>
      <c r="I665" s="607"/>
      <c r="J665" s="607"/>
      <c r="K665" s="617"/>
      <c r="L665" s="607"/>
      <c r="M665" s="607"/>
      <c r="N665" s="607"/>
      <c r="P665" s="44"/>
    </row>
    <row r="666">
      <c r="A666" s="607"/>
      <c r="B666" s="607"/>
      <c r="C666" s="607"/>
      <c r="D666" s="607"/>
      <c r="E666" s="607"/>
      <c r="F666" s="607"/>
      <c r="G666" s="607"/>
      <c r="H666" s="607"/>
      <c r="I666" s="607"/>
      <c r="J666" s="607"/>
      <c r="K666" s="617"/>
      <c r="L666" s="607"/>
      <c r="M666" s="607"/>
      <c r="N666" s="607"/>
      <c r="P666" s="44"/>
    </row>
    <row r="667">
      <c r="A667" s="607"/>
      <c r="B667" s="607"/>
      <c r="C667" s="607"/>
      <c r="D667" s="607"/>
      <c r="E667" s="607"/>
      <c r="F667" s="607"/>
      <c r="G667" s="607"/>
      <c r="H667" s="607"/>
      <c r="I667" s="607"/>
      <c r="J667" s="607"/>
      <c r="K667" s="617"/>
      <c r="L667" s="607"/>
      <c r="M667" s="607"/>
      <c r="N667" s="607"/>
      <c r="P667" s="44"/>
    </row>
    <row r="668">
      <c r="A668" s="607"/>
      <c r="B668" s="607"/>
      <c r="C668" s="607"/>
      <c r="D668" s="607"/>
      <c r="E668" s="607"/>
      <c r="F668" s="607"/>
      <c r="G668" s="607"/>
      <c r="H668" s="607"/>
      <c r="I668" s="607"/>
      <c r="J668" s="607"/>
      <c r="K668" s="617"/>
      <c r="L668" s="607"/>
      <c r="M668" s="607"/>
      <c r="N668" s="607"/>
      <c r="P668" s="44"/>
    </row>
    <row r="669">
      <c r="A669" s="607"/>
      <c r="B669" s="607"/>
      <c r="C669" s="607"/>
      <c r="D669" s="607"/>
      <c r="E669" s="607"/>
      <c r="F669" s="607"/>
      <c r="G669" s="607"/>
      <c r="H669" s="607"/>
      <c r="I669" s="607"/>
      <c r="J669" s="607"/>
      <c r="K669" s="617"/>
      <c r="L669" s="607"/>
      <c r="M669" s="607"/>
      <c r="N669" s="607"/>
      <c r="P669" s="44"/>
    </row>
    <row r="670">
      <c r="A670" s="607"/>
      <c r="B670" s="607"/>
      <c r="C670" s="607"/>
      <c r="D670" s="607"/>
      <c r="E670" s="607"/>
      <c r="F670" s="607"/>
      <c r="G670" s="607"/>
      <c r="H670" s="607"/>
      <c r="I670" s="607"/>
      <c r="J670" s="607"/>
      <c r="K670" s="617"/>
      <c r="L670" s="607"/>
      <c r="M670" s="607"/>
      <c r="N670" s="607"/>
      <c r="P670" s="44"/>
    </row>
    <row r="671">
      <c r="A671" s="607"/>
      <c r="B671" s="607"/>
      <c r="C671" s="607"/>
      <c r="D671" s="607"/>
      <c r="E671" s="607"/>
      <c r="F671" s="607"/>
      <c r="G671" s="607"/>
      <c r="H671" s="607"/>
      <c r="I671" s="607"/>
      <c r="J671" s="607"/>
      <c r="K671" s="617"/>
      <c r="L671" s="607"/>
      <c r="M671" s="607"/>
      <c r="N671" s="607"/>
      <c r="P671" s="44"/>
    </row>
    <row r="672">
      <c r="A672" s="607"/>
      <c r="B672" s="607"/>
      <c r="C672" s="607"/>
      <c r="D672" s="607"/>
      <c r="E672" s="607"/>
      <c r="F672" s="607"/>
      <c r="G672" s="607"/>
      <c r="H672" s="607"/>
      <c r="I672" s="607"/>
      <c r="J672" s="607"/>
      <c r="K672" s="617"/>
      <c r="L672" s="607"/>
      <c r="M672" s="607"/>
      <c r="N672" s="607"/>
      <c r="P672" s="44"/>
    </row>
    <row r="673">
      <c r="A673" s="607"/>
      <c r="B673" s="607"/>
      <c r="C673" s="607"/>
      <c r="D673" s="607"/>
      <c r="E673" s="607"/>
      <c r="F673" s="607"/>
      <c r="G673" s="607"/>
      <c r="H673" s="607"/>
      <c r="I673" s="607"/>
      <c r="J673" s="607"/>
      <c r="K673" s="617"/>
      <c r="L673" s="607"/>
      <c r="M673" s="607"/>
      <c r="N673" s="607"/>
      <c r="P673" s="44"/>
    </row>
    <row r="674">
      <c r="A674" s="607"/>
      <c r="B674" s="607"/>
      <c r="C674" s="607"/>
      <c r="D674" s="607"/>
      <c r="E674" s="607"/>
      <c r="F674" s="607"/>
      <c r="G674" s="607"/>
      <c r="H674" s="607"/>
      <c r="I674" s="607"/>
      <c r="J674" s="607"/>
      <c r="K674" s="617"/>
      <c r="L674" s="607"/>
      <c r="M674" s="607"/>
      <c r="N674" s="607"/>
      <c r="P674" s="44"/>
    </row>
    <row r="675">
      <c r="A675" s="607"/>
      <c r="B675" s="607"/>
      <c r="C675" s="607"/>
      <c r="D675" s="607"/>
      <c r="E675" s="607"/>
      <c r="F675" s="607"/>
      <c r="G675" s="607"/>
      <c r="H675" s="607"/>
      <c r="I675" s="607"/>
      <c r="J675" s="607"/>
      <c r="K675" s="617"/>
      <c r="L675" s="607"/>
      <c r="M675" s="607"/>
      <c r="N675" s="607"/>
      <c r="P675" s="44"/>
    </row>
    <row r="676">
      <c r="A676" s="607"/>
      <c r="B676" s="607"/>
      <c r="C676" s="607"/>
      <c r="D676" s="607"/>
      <c r="E676" s="607"/>
      <c r="F676" s="607"/>
      <c r="G676" s="607"/>
      <c r="H676" s="607"/>
      <c r="I676" s="607"/>
      <c r="J676" s="607"/>
      <c r="K676" s="617"/>
      <c r="L676" s="607"/>
      <c r="M676" s="607"/>
      <c r="N676" s="607"/>
      <c r="P676" s="44"/>
    </row>
    <row r="677">
      <c r="A677" s="607"/>
      <c r="B677" s="607"/>
      <c r="C677" s="607"/>
      <c r="D677" s="607"/>
      <c r="E677" s="607"/>
      <c r="F677" s="607"/>
      <c r="G677" s="607"/>
      <c r="H677" s="607"/>
      <c r="I677" s="607"/>
      <c r="J677" s="607"/>
      <c r="K677" s="617"/>
      <c r="L677" s="607"/>
      <c r="M677" s="607"/>
      <c r="N677" s="607"/>
      <c r="P677" s="44"/>
    </row>
    <row r="678">
      <c r="A678" s="607"/>
      <c r="B678" s="607"/>
      <c r="C678" s="607"/>
      <c r="D678" s="607"/>
      <c r="E678" s="607"/>
      <c r="F678" s="607"/>
      <c r="G678" s="607"/>
      <c r="H678" s="607"/>
      <c r="I678" s="607"/>
      <c r="J678" s="607"/>
      <c r="K678" s="617"/>
      <c r="L678" s="607"/>
      <c r="M678" s="607"/>
      <c r="N678" s="607"/>
      <c r="P678" s="44"/>
    </row>
    <row r="679">
      <c r="A679" s="607"/>
      <c r="B679" s="607"/>
      <c r="C679" s="607"/>
      <c r="D679" s="607"/>
      <c r="E679" s="607"/>
      <c r="F679" s="607"/>
      <c r="G679" s="607"/>
      <c r="H679" s="607"/>
      <c r="I679" s="607"/>
      <c r="J679" s="607"/>
      <c r="K679" s="617"/>
      <c r="L679" s="607"/>
      <c r="M679" s="607"/>
      <c r="N679" s="607"/>
      <c r="P679" s="44"/>
    </row>
    <row r="680">
      <c r="A680" s="607"/>
      <c r="B680" s="607"/>
      <c r="C680" s="607"/>
      <c r="D680" s="607"/>
      <c r="E680" s="607"/>
      <c r="F680" s="607"/>
      <c r="G680" s="607"/>
      <c r="H680" s="607"/>
      <c r="I680" s="607"/>
      <c r="J680" s="607"/>
      <c r="K680" s="617"/>
      <c r="L680" s="607"/>
      <c r="M680" s="607"/>
      <c r="N680" s="607"/>
      <c r="P680" s="44"/>
    </row>
    <row r="681">
      <c r="A681" s="607"/>
      <c r="B681" s="607"/>
      <c r="C681" s="607"/>
      <c r="D681" s="607"/>
      <c r="E681" s="607"/>
      <c r="F681" s="607"/>
      <c r="G681" s="607"/>
      <c r="H681" s="607"/>
      <c r="I681" s="607"/>
      <c r="J681" s="607"/>
      <c r="K681" s="617"/>
      <c r="L681" s="607"/>
      <c r="M681" s="607"/>
      <c r="N681" s="607"/>
      <c r="P681" s="44"/>
    </row>
    <row r="682">
      <c r="A682" s="607"/>
      <c r="B682" s="607"/>
      <c r="C682" s="607"/>
      <c r="D682" s="607"/>
      <c r="E682" s="607"/>
      <c r="F682" s="607"/>
      <c r="G682" s="607"/>
      <c r="H682" s="607"/>
      <c r="I682" s="607"/>
      <c r="J682" s="607"/>
      <c r="K682" s="617"/>
      <c r="L682" s="607"/>
      <c r="M682" s="607"/>
      <c r="N682" s="607"/>
      <c r="P682" s="44"/>
    </row>
    <row r="683">
      <c r="A683" s="607"/>
      <c r="B683" s="607"/>
      <c r="C683" s="607"/>
      <c r="D683" s="607"/>
      <c r="E683" s="607"/>
      <c r="F683" s="607"/>
      <c r="G683" s="607"/>
      <c r="H683" s="607"/>
      <c r="I683" s="607"/>
      <c r="J683" s="607"/>
      <c r="K683" s="617"/>
      <c r="L683" s="607"/>
      <c r="M683" s="607"/>
      <c r="N683" s="607"/>
      <c r="P683" s="44"/>
    </row>
    <row r="684">
      <c r="A684" s="607"/>
      <c r="B684" s="607"/>
      <c r="C684" s="607"/>
      <c r="D684" s="607"/>
      <c r="E684" s="607"/>
      <c r="F684" s="607"/>
      <c r="G684" s="607"/>
      <c r="H684" s="607"/>
      <c r="I684" s="607"/>
      <c r="J684" s="607"/>
      <c r="K684" s="617"/>
      <c r="L684" s="607"/>
      <c r="M684" s="607"/>
      <c r="N684" s="607"/>
      <c r="P684" s="44"/>
    </row>
    <row r="685">
      <c r="A685" s="607"/>
      <c r="B685" s="607"/>
      <c r="C685" s="607"/>
      <c r="D685" s="607"/>
      <c r="E685" s="607"/>
      <c r="F685" s="607"/>
      <c r="G685" s="607"/>
      <c r="H685" s="607"/>
      <c r="I685" s="607"/>
      <c r="J685" s="607"/>
      <c r="K685" s="617"/>
      <c r="L685" s="607"/>
      <c r="M685" s="607"/>
      <c r="N685" s="607"/>
      <c r="P685" s="44"/>
    </row>
    <row r="686">
      <c r="A686" s="607"/>
      <c r="B686" s="607"/>
      <c r="C686" s="607"/>
      <c r="D686" s="607"/>
      <c r="E686" s="607"/>
      <c r="F686" s="607"/>
      <c r="G686" s="607"/>
      <c r="H686" s="607"/>
      <c r="I686" s="607"/>
      <c r="J686" s="607"/>
      <c r="K686" s="617"/>
      <c r="L686" s="607"/>
      <c r="M686" s="607"/>
      <c r="N686" s="607"/>
      <c r="P686" s="44"/>
    </row>
    <row r="687">
      <c r="A687" s="607"/>
      <c r="B687" s="607"/>
      <c r="C687" s="607"/>
      <c r="D687" s="607"/>
      <c r="E687" s="607"/>
      <c r="F687" s="607"/>
      <c r="G687" s="607"/>
      <c r="H687" s="607"/>
      <c r="I687" s="607"/>
      <c r="J687" s="607"/>
      <c r="K687" s="617"/>
      <c r="L687" s="607"/>
      <c r="M687" s="607"/>
      <c r="N687" s="607"/>
      <c r="P687" s="44"/>
    </row>
    <row r="688">
      <c r="A688" s="607"/>
      <c r="B688" s="607"/>
      <c r="C688" s="607"/>
      <c r="D688" s="607"/>
      <c r="E688" s="607"/>
      <c r="F688" s="607"/>
      <c r="G688" s="607"/>
      <c r="H688" s="607"/>
      <c r="I688" s="607"/>
      <c r="J688" s="607"/>
      <c r="K688" s="617"/>
      <c r="L688" s="607"/>
      <c r="M688" s="607"/>
      <c r="N688" s="607"/>
      <c r="P688" s="44"/>
    </row>
    <row r="689">
      <c r="A689" s="607"/>
      <c r="B689" s="607"/>
      <c r="C689" s="607"/>
      <c r="D689" s="607"/>
      <c r="E689" s="607"/>
      <c r="F689" s="607"/>
      <c r="G689" s="607"/>
      <c r="H689" s="607"/>
      <c r="I689" s="607"/>
      <c r="J689" s="607"/>
      <c r="K689" s="617"/>
      <c r="L689" s="607"/>
      <c r="M689" s="607"/>
      <c r="N689" s="607"/>
      <c r="P689" s="44"/>
    </row>
    <row r="690">
      <c r="A690" s="607"/>
      <c r="B690" s="607"/>
      <c r="C690" s="607"/>
      <c r="D690" s="607"/>
      <c r="E690" s="607"/>
      <c r="F690" s="607"/>
      <c r="G690" s="607"/>
      <c r="H690" s="607"/>
      <c r="I690" s="607"/>
      <c r="J690" s="607"/>
      <c r="K690" s="617"/>
      <c r="L690" s="607"/>
      <c r="M690" s="607"/>
      <c r="N690" s="607"/>
      <c r="P690" s="44"/>
    </row>
    <row r="691">
      <c r="A691" s="607"/>
      <c r="B691" s="607"/>
      <c r="C691" s="607"/>
      <c r="D691" s="607"/>
      <c r="E691" s="607"/>
      <c r="F691" s="607"/>
      <c r="G691" s="607"/>
      <c r="H691" s="607"/>
      <c r="I691" s="607"/>
      <c r="J691" s="607"/>
      <c r="K691" s="617"/>
      <c r="L691" s="607"/>
      <c r="M691" s="607"/>
      <c r="N691" s="607"/>
      <c r="P691" s="44"/>
    </row>
    <row r="692">
      <c r="A692" s="607"/>
      <c r="B692" s="607"/>
      <c r="C692" s="607"/>
      <c r="D692" s="607"/>
      <c r="E692" s="607"/>
      <c r="F692" s="607"/>
      <c r="G692" s="607"/>
      <c r="H692" s="607"/>
      <c r="I692" s="607"/>
      <c r="J692" s="607"/>
      <c r="K692" s="617"/>
      <c r="L692" s="607"/>
      <c r="M692" s="607"/>
      <c r="N692" s="607"/>
      <c r="P692" s="44"/>
    </row>
    <row r="693">
      <c r="A693" s="607"/>
      <c r="B693" s="607"/>
      <c r="C693" s="607"/>
      <c r="D693" s="607"/>
      <c r="E693" s="607"/>
      <c r="F693" s="607"/>
      <c r="G693" s="607"/>
      <c r="H693" s="607"/>
      <c r="I693" s="607"/>
      <c r="J693" s="607"/>
      <c r="K693" s="617"/>
      <c r="L693" s="607"/>
      <c r="M693" s="607"/>
      <c r="N693" s="607"/>
      <c r="P693" s="44"/>
    </row>
    <row r="694">
      <c r="A694" s="607"/>
      <c r="B694" s="607"/>
      <c r="C694" s="607"/>
      <c r="D694" s="607"/>
      <c r="E694" s="607"/>
      <c r="F694" s="607"/>
      <c r="G694" s="607"/>
      <c r="H694" s="607"/>
      <c r="I694" s="607"/>
      <c r="J694" s="607"/>
      <c r="K694" s="617"/>
      <c r="L694" s="607"/>
      <c r="M694" s="607"/>
      <c r="N694" s="607"/>
      <c r="P694" s="44"/>
    </row>
    <row r="695">
      <c r="A695" s="607"/>
      <c r="B695" s="607"/>
      <c r="C695" s="607"/>
      <c r="D695" s="607"/>
      <c r="E695" s="607"/>
      <c r="F695" s="607"/>
      <c r="G695" s="607"/>
      <c r="H695" s="607"/>
      <c r="I695" s="607"/>
      <c r="J695" s="607"/>
      <c r="K695" s="617"/>
      <c r="L695" s="607"/>
      <c r="M695" s="607"/>
      <c r="N695" s="607"/>
      <c r="P695" s="44"/>
    </row>
    <row r="696">
      <c r="A696" s="607"/>
      <c r="B696" s="607"/>
      <c r="C696" s="607"/>
      <c r="D696" s="607"/>
      <c r="E696" s="607"/>
      <c r="F696" s="607"/>
      <c r="G696" s="607"/>
      <c r="H696" s="607"/>
      <c r="I696" s="607"/>
      <c r="J696" s="607"/>
      <c r="K696" s="617"/>
      <c r="L696" s="607"/>
      <c r="M696" s="607"/>
      <c r="N696" s="607"/>
      <c r="P696" s="44"/>
    </row>
    <row r="697">
      <c r="A697" s="607"/>
      <c r="B697" s="607"/>
      <c r="C697" s="607"/>
      <c r="D697" s="607"/>
      <c r="E697" s="607"/>
      <c r="F697" s="607"/>
      <c r="G697" s="607"/>
      <c r="H697" s="607"/>
      <c r="I697" s="607"/>
      <c r="J697" s="607"/>
      <c r="K697" s="617"/>
      <c r="L697" s="607"/>
      <c r="M697" s="607"/>
      <c r="N697" s="607"/>
      <c r="P697" s="44"/>
    </row>
    <row r="698">
      <c r="A698" s="607"/>
      <c r="B698" s="607"/>
      <c r="C698" s="607"/>
      <c r="D698" s="607"/>
      <c r="E698" s="607"/>
      <c r="F698" s="607"/>
      <c r="G698" s="607"/>
      <c r="H698" s="607"/>
      <c r="I698" s="607"/>
      <c r="J698" s="607"/>
      <c r="K698" s="617"/>
      <c r="L698" s="607"/>
      <c r="M698" s="607"/>
      <c r="N698" s="607"/>
      <c r="P698" s="44"/>
    </row>
    <row r="699">
      <c r="A699" s="607"/>
      <c r="B699" s="607"/>
      <c r="C699" s="607"/>
      <c r="D699" s="607"/>
      <c r="E699" s="607"/>
      <c r="F699" s="607"/>
      <c r="G699" s="607"/>
      <c r="H699" s="607"/>
      <c r="I699" s="607"/>
      <c r="J699" s="607"/>
      <c r="K699" s="617"/>
      <c r="L699" s="607"/>
      <c r="M699" s="607"/>
      <c r="N699" s="607"/>
      <c r="P699" s="44"/>
    </row>
    <row r="700">
      <c r="A700" s="607"/>
      <c r="B700" s="607"/>
      <c r="C700" s="607"/>
      <c r="D700" s="607"/>
      <c r="E700" s="607"/>
      <c r="F700" s="607"/>
      <c r="G700" s="607"/>
      <c r="H700" s="607"/>
      <c r="I700" s="607"/>
      <c r="J700" s="607"/>
      <c r="K700" s="617"/>
      <c r="L700" s="607"/>
      <c r="M700" s="607"/>
      <c r="N700" s="607"/>
      <c r="P700" s="44"/>
    </row>
    <row r="701">
      <c r="A701" s="607"/>
      <c r="B701" s="607"/>
      <c r="C701" s="607"/>
      <c r="D701" s="607"/>
      <c r="E701" s="607"/>
      <c r="F701" s="607"/>
      <c r="G701" s="607"/>
      <c r="H701" s="607"/>
      <c r="I701" s="607"/>
      <c r="J701" s="607"/>
      <c r="K701" s="617"/>
      <c r="L701" s="607"/>
      <c r="M701" s="607"/>
      <c r="N701" s="607"/>
      <c r="P701" s="44"/>
    </row>
    <row r="702">
      <c r="A702" s="607"/>
      <c r="B702" s="607"/>
      <c r="C702" s="607"/>
      <c r="D702" s="607"/>
      <c r="E702" s="607"/>
      <c r="F702" s="607"/>
      <c r="G702" s="607"/>
      <c r="H702" s="607"/>
      <c r="I702" s="607"/>
      <c r="J702" s="607"/>
      <c r="K702" s="617"/>
      <c r="L702" s="607"/>
      <c r="M702" s="607"/>
      <c r="N702" s="607"/>
      <c r="P702" s="44"/>
    </row>
    <row r="703">
      <c r="A703" s="607"/>
      <c r="B703" s="607"/>
      <c r="C703" s="607"/>
      <c r="D703" s="607"/>
      <c r="E703" s="607"/>
      <c r="F703" s="607"/>
      <c r="G703" s="607"/>
      <c r="H703" s="607"/>
      <c r="I703" s="607"/>
      <c r="J703" s="607"/>
      <c r="K703" s="617"/>
      <c r="L703" s="607"/>
      <c r="M703" s="607"/>
      <c r="N703" s="607"/>
      <c r="P703" s="44"/>
    </row>
    <row r="704">
      <c r="A704" s="607"/>
      <c r="B704" s="607"/>
      <c r="C704" s="607"/>
      <c r="D704" s="607"/>
      <c r="E704" s="607"/>
      <c r="F704" s="607"/>
      <c r="G704" s="607"/>
      <c r="H704" s="607"/>
      <c r="I704" s="607"/>
      <c r="J704" s="607"/>
      <c r="K704" s="617"/>
      <c r="L704" s="607"/>
      <c r="M704" s="607"/>
      <c r="N704" s="607"/>
      <c r="P704" s="44"/>
    </row>
    <row r="705">
      <c r="A705" s="607"/>
      <c r="B705" s="607"/>
      <c r="C705" s="607"/>
      <c r="D705" s="607"/>
      <c r="E705" s="607"/>
      <c r="F705" s="607"/>
      <c r="G705" s="607"/>
      <c r="H705" s="607"/>
      <c r="I705" s="607"/>
      <c r="J705" s="607"/>
      <c r="K705" s="617"/>
      <c r="L705" s="607"/>
      <c r="M705" s="607"/>
      <c r="N705" s="607"/>
      <c r="P705" s="44"/>
    </row>
    <row r="706">
      <c r="A706" s="607"/>
      <c r="B706" s="607"/>
      <c r="C706" s="607"/>
      <c r="D706" s="607"/>
      <c r="E706" s="607"/>
      <c r="F706" s="607"/>
      <c r="G706" s="607"/>
      <c r="H706" s="607"/>
      <c r="I706" s="607"/>
      <c r="J706" s="607"/>
      <c r="K706" s="617"/>
      <c r="L706" s="607"/>
      <c r="M706" s="607"/>
      <c r="N706" s="607"/>
      <c r="P706" s="44"/>
    </row>
    <row r="707">
      <c r="A707" s="607"/>
      <c r="B707" s="607"/>
      <c r="C707" s="607"/>
      <c r="D707" s="607"/>
      <c r="E707" s="607"/>
      <c r="F707" s="607"/>
      <c r="G707" s="607"/>
      <c r="H707" s="607"/>
      <c r="I707" s="607"/>
      <c r="J707" s="607"/>
      <c r="K707" s="617"/>
      <c r="L707" s="607"/>
      <c r="M707" s="607"/>
      <c r="N707" s="607"/>
      <c r="P707" s="44"/>
    </row>
    <row r="708">
      <c r="A708" s="607"/>
      <c r="B708" s="607"/>
      <c r="C708" s="607"/>
      <c r="D708" s="607"/>
      <c r="E708" s="607"/>
      <c r="F708" s="607"/>
      <c r="G708" s="607"/>
      <c r="H708" s="607"/>
      <c r="I708" s="607"/>
      <c r="J708" s="607"/>
      <c r="K708" s="617"/>
      <c r="L708" s="607"/>
      <c r="M708" s="607"/>
      <c r="N708" s="607"/>
      <c r="P708" s="44"/>
    </row>
    <row r="709">
      <c r="A709" s="607"/>
      <c r="B709" s="607"/>
      <c r="C709" s="607"/>
      <c r="D709" s="607"/>
      <c r="E709" s="607"/>
      <c r="F709" s="607"/>
      <c r="G709" s="607"/>
      <c r="H709" s="607"/>
      <c r="I709" s="607"/>
      <c r="J709" s="607"/>
      <c r="K709" s="617"/>
      <c r="L709" s="607"/>
      <c r="M709" s="607"/>
      <c r="N709" s="607"/>
      <c r="P709" s="44"/>
    </row>
    <row r="710">
      <c r="A710" s="607"/>
      <c r="B710" s="607"/>
      <c r="C710" s="607"/>
      <c r="D710" s="607"/>
      <c r="E710" s="607"/>
      <c r="F710" s="607"/>
      <c r="G710" s="607"/>
      <c r="H710" s="607"/>
      <c r="I710" s="607"/>
      <c r="J710" s="607"/>
      <c r="K710" s="617"/>
      <c r="L710" s="607"/>
      <c r="M710" s="607"/>
      <c r="N710" s="607"/>
      <c r="P710" s="44"/>
    </row>
    <row r="711">
      <c r="A711" s="607"/>
      <c r="B711" s="607"/>
      <c r="C711" s="607"/>
      <c r="D711" s="607"/>
      <c r="E711" s="607"/>
      <c r="F711" s="607"/>
      <c r="G711" s="607"/>
      <c r="H711" s="607"/>
      <c r="I711" s="607"/>
      <c r="J711" s="607"/>
      <c r="K711" s="617"/>
      <c r="L711" s="607"/>
      <c r="M711" s="607"/>
      <c r="N711" s="607"/>
      <c r="P711" s="44"/>
    </row>
    <row r="712">
      <c r="A712" s="607"/>
      <c r="B712" s="607"/>
      <c r="C712" s="607"/>
      <c r="D712" s="607"/>
      <c r="E712" s="607"/>
      <c r="F712" s="607"/>
      <c r="G712" s="607"/>
      <c r="H712" s="607"/>
      <c r="I712" s="607"/>
      <c r="J712" s="607"/>
      <c r="K712" s="617"/>
      <c r="L712" s="607"/>
      <c r="M712" s="607"/>
      <c r="N712" s="607"/>
      <c r="P712" s="44"/>
    </row>
    <row r="713">
      <c r="A713" s="607"/>
      <c r="B713" s="607"/>
      <c r="C713" s="607"/>
      <c r="D713" s="607"/>
      <c r="E713" s="607"/>
      <c r="F713" s="607"/>
      <c r="G713" s="607"/>
      <c r="H713" s="607"/>
      <c r="I713" s="607"/>
      <c r="J713" s="607"/>
      <c r="K713" s="617"/>
      <c r="L713" s="607"/>
      <c r="M713" s="607"/>
      <c r="N713" s="607"/>
      <c r="P713" s="44"/>
    </row>
    <row r="714">
      <c r="A714" s="607"/>
      <c r="B714" s="607"/>
      <c r="C714" s="607"/>
      <c r="D714" s="607"/>
      <c r="E714" s="607"/>
      <c r="F714" s="607"/>
      <c r="G714" s="607"/>
      <c r="H714" s="607"/>
      <c r="I714" s="607"/>
      <c r="J714" s="607"/>
      <c r="K714" s="617"/>
      <c r="L714" s="607"/>
      <c r="M714" s="607"/>
      <c r="N714" s="607"/>
      <c r="P714" s="44"/>
    </row>
    <row r="715">
      <c r="A715" s="607"/>
      <c r="B715" s="607"/>
      <c r="C715" s="607"/>
      <c r="D715" s="607"/>
      <c r="E715" s="607"/>
      <c r="F715" s="607"/>
      <c r="G715" s="607"/>
      <c r="H715" s="607"/>
      <c r="I715" s="607"/>
      <c r="J715" s="607"/>
      <c r="K715" s="617"/>
      <c r="L715" s="607"/>
      <c r="M715" s="607"/>
      <c r="N715" s="607"/>
      <c r="P715" s="44"/>
    </row>
    <row r="716">
      <c r="A716" s="607"/>
      <c r="B716" s="607"/>
      <c r="C716" s="607"/>
      <c r="D716" s="607"/>
      <c r="E716" s="607"/>
      <c r="F716" s="607"/>
      <c r="G716" s="607"/>
      <c r="H716" s="607"/>
      <c r="I716" s="607"/>
      <c r="J716" s="607"/>
      <c r="K716" s="617"/>
      <c r="L716" s="607"/>
      <c r="M716" s="607"/>
      <c r="N716" s="607"/>
      <c r="P716" s="44"/>
    </row>
    <row r="717">
      <c r="A717" s="607"/>
      <c r="B717" s="607"/>
      <c r="C717" s="607"/>
      <c r="D717" s="607"/>
      <c r="E717" s="607"/>
      <c r="F717" s="607"/>
      <c r="G717" s="607"/>
      <c r="H717" s="607"/>
      <c r="I717" s="607"/>
      <c r="J717" s="607"/>
      <c r="K717" s="617"/>
      <c r="L717" s="607"/>
      <c r="M717" s="607"/>
      <c r="N717" s="607"/>
      <c r="P717" s="44"/>
    </row>
    <row r="718">
      <c r="A718" s="607"/>
      <c r="B718" s="607"/>
      <c r="C718" s="607"/>
      <c r="D718" s="607"/>
      <c r="E718" s="607"/>
      <c r="F718" s="607"/>
      <c r="G718" s="607"/>
      <c r="H718" s="607"/>
      <c r="I718" s="607"/>
      <c r="J718" s="607"/>
      <c r="K718" s="617"/>
      <c r="L718" s="607"/>
      <c r="M718" s="607"/>
      <c r="N718" s="607"/>
      <c r="P718" s="44"/>
    </row>
    <row r="719">
      <c r="A719" s="607"/>
      <c r="B719" s="607"/>
      <c r="C719" s="607"/>
      <c r="D719" s="607"/>
      <c r="E719" s="607"/>
      <c r="F719" s="607"/>
      <c r="G719" s="607"/>
      <c r="H719" s="607"/>
      <c r="I719" s="607"/>
      <c r="J719" s="607"/>
      <c r="K719" s="617"/>
      <c r="L719" s="607"/>
      <c r="M719" s="607"/>
      <c r="N719" s="607"/>
      <c r="P719" s="44"/>
    </row>
    <row r="720">
      <c r="A720" s="607"/>
      <c r="B720" s="607"/>
      <c r="C720" s="607"/>
      <c r="D720" s="607"/>
      <c r="E720" s="607"/>
      <c r="F720" s="607"/>
      <c r="G720" s="607"/>
      <c r="H720" s="607"/>
      <c r="I720" s="607"/>
      <c r="J720" s="607"/>
      <c r="K720" s="617"/>
      <c r="L720" s="607"/>
      <c r="M720" s="607"/>
      <c r="N720" s="607"/>
      <c r="P720" s="44"/>
    </row>
    <row r="721">
      <c r="A721" s="607"/>
      <c r="B721" s="607"/>
      <c r="C721" s="607"/>
      <c r="D721" s="607"/>
      <c r="E721" s="607"/>
      <c r="F721" s="607"/>
      <c r="G721" s="607"/>
      <c r="H721" s="607"/>
      <c r="I721" s="607"/>
      <c r="J721" s="607"/>
      <c r="K721" s="617"/>
      <c r="L721" s="607"/>
      <c r="M721" s="607"/>
      <c r="N721" s="607"/>
      <c r="P721" s="44"/>
    </row>
    <row r="722">
      <c r="A722" s="607"/>
      <c r="B722" s="607"/>
      <c r="C722" s="607"/>
      <c r="D722" s="607"/>
      <c r="E722" s="607"/>
      <c r="F722" s="607"/>
      <c r="G722" s="607"/>
      <c r="H722" s="607"/>
      <c r="I722" s="607"/>
      <c r="J722" s="607"/>
      <c r="K722" s="617"/>
      <c r="L722" s="607"/>
      <c r="M722" s="607"/>
      <c r="N722" s="607"/>
      <c r="P722" s="44"/>
    </row>
    <row r="723">
      <c r="A723" s="607"/>
      <c r="B723" s="607"/>
      <c r="C723" s="607"/>
      <c r="D723" s="607"/>
      <c r="E723" s="607"/>
      <c r="F723" s="607"/>
      <c r="G723" s="607"/>
      <c r="H723" s="607"/>
      <c r="I723" s="607"/>
      <c r="J723" s="607"/>
      <c r="K723" s="617"/>
      <c r="L723" s="607"/>
      <c r="M723" s="607"/>
      <c r="N723" s="607"/>
      <c r="P723" s="44"/>
    </row>
    <row r="724">
      <c r="A724" s="607"/>
      <c r="B724" s="607"/>
      <c r="C724" s="607"/>
      <c r="D724" s="607"/>
      <c r="E724" s="607"/>
      <c r="F724" s="607"/>
      <c r="G724" s="607"/>
      <c r="H724" s="607"/>
      <c r="I724" s="607"/>
      <c r="J724" s="607"/>
      <c r="K724" s="617"/>
      <c r="L724" s="607"/>
      <c r="M724" s="607"/>
      <c r="N724" s="607"/>
      <c r="P724" s="44"/>
    </row>
    <row r="725">
      <c r="A725" s="607"/>
      <c r="B725" s="607"/>
      <c r="C725" s="607"/>
      <c r="D725" s="607"/>
      <c r="E725" s="607"/>
      <c r="F725" s="607"/>
      <c r="G725" s="607"/>
      <c r="H725" s="607"/>
      <c r="I725" s="607"/>
      <c r="J725" s="607"/>
      <c r="K725" s="617"/>
      <c r="L725" s="607"/>
      <c r="M725" s="607"/>
      <c r="N725" s="607"/>
      <c r="P725" s="44"/>
    </row>
    <row r="726">
      <c r="A726" s="607"/>
      <c r="B726" s="607"/>
      <c r="C726" s="607"/>
      <c r="D726" s="607"/>
      <c r="E726" s="607"/>
      <c r="F726" s="607"/>
      <c r="G726" s="607"/>
      <c r="H726" s="607"/>
      <c r="I726" s="607"/>
      <c r="J726" s="607"/>
      <c r="K726" s="617"/>
      <c r="L726" s="607"/>
      <c r="M726" s="607"/>
      <c r="N726" s="607"/>
      <c r="P726" s="44"/>
    </row>
    <row r="727">
      <c r="A727" s="607"/>
      <c r="B727" s="607"/>
      <c r="C727" s="607"/>
      <c r="D727" s="607"/>
      <c r="E727" s="607"/>
      <c r="F727" s="607"/>
      <c r="G727" s="607"/>
      <c r="H727" s="607"/>
      <c r="I727" s="607"/>
      <c r="J727" s="607"/>
      <c r="K727" s="617"/>
      <c r="L727" s="607"/>
      <c r="M727" s="607"/>
      <c r="N727" s="607"/>
      <c r="P727" s="44"/>
    </row>
    <row r="728">
      <c r="A728" s="607"/>
      <c r="B728" s="607"/>
      <c r="C728" s="607"/>
      <c r="D728" s="607"/>
      <c r="E728" s="607"/>
      <c r="F728" s="607"/>
      <c r="G728" s="607"/>
      <c r="H728" s="607"/>
      <c r="I728" s="607"/>
      <c r="J728" s="607"/>
      <c r="K728" s="617"/>
      <c r="L728" s="607"/>
      <c r="M728" s="607"/>
      <c r="N728" s="607"/>
      <c r="P728" s="44"/>
    </row>
    <row r="729">
      <c r="A729" s="607"/>
      <c r="B729" s="607"/>
      <c r="C729" s="607"/>
      <c r="D729" s="607"/>
      <c r="E729" s="607"/>
      <c r="F729" s="607"/>
      <c r="G729" s="607"/>
      <c r="H729" s="607"/>
      <c r="I729" s="607"/>
      <c r="J729" s="607"/>
      <c r="K729" s="617"/>
      <c r="L729" s="607"/>
      <c r="M729" s="607"/>
      <c r="N729" s="607"/>
      <c r="P729" s="44"/>
    </row>
    <row r="730">
      <c r="A730" s="607"/>
      <c r="B730" s="607"/>
      <c r="C730" s="607"/>
      <c r="D730" s="607"/>
      <c r="E730" s="607"/>
      <c r="F730" s="607"/>
      <c r="G730" s="607"/>
      <c r="H730" s="607"/>
      <c r="I730" s="607"/>
      <c r="J730" s="607"/>
      <c r="K730" s="617"/>
      <c r="L730" s="607"/>
      <c r="M730" s="607"/>
      <c r="N730" s="607"/>
      <c r="P730" s="44"/>
    </row>
    <row r="731">
      <c r="A731" s="607"/>
      <c r="B731" s="607"/>
      <c r="C731" s="607"/>
      <c r="D731" s="607"/>
      <c r="E731" s="607"/>
      <c r="F731" s="607"/>
      <c r="G731" s="607"/>
      <c r="H731" s="607"/>
      <c r="I731" s="607"/>
      <c r="J731" s="607"/>
      <c r="K731" s="617"/>
      <c r="L731" s="607"/>
      <c r="M731" s="607"/>
      <c r="N731" s="607"/>
      <c r="P731" s="44"/>
    </row>
    <row r="732">
      <c r="A732" s="607"/>
      <c r="B732" s="607"/>
      <c r="C732" s="607"/>
      <c r="D732" s="607"/>
      <c r="E732" s="607"/>
      <c r="F732" s="607"/>
      <c r="G732" s="607"/>
      <c r="H732" s="607"/>
      <c r="I732" s="607"/>
      <c r="J732" s="607"/>
      <c r="K732" s="617"/>
      <c r="L732" s="607"/>
      <c r="M732" s="607"/>
      <c r="N732" s="607"/>
      <c r="P732" s="44"/>
    </row>
    <row r="733">
      <c r="A733" s="607"/>
      <c r="B733" s="607"/>
      <c r="C733" s="607"/>
      <c r="D733" s="607"/>
      <c r="E733" s="607"/>
      <c r="F733" s="607"/>
      <c r="G733" s="607"/>
      <c r="H733" s="607"/>
      <c r="I733" s="607"/>
      <c r="J733" s="607"/>
      <c r="K733" s="617"/>
      <c r="L733" s="607"/>
      <c r="M733" s="607"/>
      <c r="N733" s="607"/>
      <c r="P733" s="44"/>
    </row>
    <row r="734">
      <c r="A734" s="607"/>
      <c r="B734" s="607"/>
      <c r="C734" s="607"/>
      <c r="D734" s="607"/>
      <c r="E734" s="607"/>
      <c r="F734" s="607"/>
      <c r="G734" s="607"/>
      <c r="H734" s="607"/>
      <c r="I734" s="607"/>
      <c r="J734" s="607"/>
      <c r="K734" s="617"/>
      <c r="L734" s="607"/>
      <c r="M734" s="607"/>
      <c r="N734" s="607"/>
      <c r="P734" s="44"/>
    </row>
    <row r="735">
      <c r="A735" s="607"/>
      <c r="B735" s="607"/>
      <c r="C735" s="607"/>
      <c r="D735" s="607"/>
      <c r="E735" s="607"/>
      <c r="F735" s="607"/>
      <c r="G735" s="607"/>
      <c r="H735" s="607"/>
      <c r="I735" s="607"/>
      <c r="J735" s="607"/>
      <c r="K735" s="617"/>
      <c r="L735" s="607"/>
      <c r="M735" s="607"/>
      <c r="N735" s="607"/>
      <c r="P735" s="44"/>
    </row>
    <row r="736">
      <c r="A736" s="607"/>
      <c r="B736" s="607"/>
      <c r="C736" s="607"/>
      <c r="D736" s="607"/>
      <c r="E736" s="607"/>
      <c r="F736" s="607"/>
      <c r="G736" s="607"/>
      <c r="H736" s="607"/>
      <c r="I736" s="607"/>
      <c r="J736" s="607"/>
      <c r="K736" s="617"/>
      <c r="L736" s="607"/>
      <c r="M736" s="607"/>
      <c r="N736" s="607"/>
      <c r="P736" s="44"/>
    </row>
    <row r="737">
      <c r="A737" s="607"/>
      <c r="B737" s="607"/>
      <c r="C737" s="607"/>
      <c r="D737" s="607"/>
      <c r="E737" s="607"/>
      <c r="F737" s="607"/>
      <c r="G737" s="607"/>
      <c r="H737" s="607"/>
      <c r="I737" s="607"/>
      <c r="J737" s="607"/>
      <c r="K737" s="617"/>
      <c r="L737" s="607"/>
      <c r="M737" s="607"/>
      <c r="N737" s="607"/>
      <c r="P737" s="44"/>
    </row>
    <row r="738">
      <c r="A738" s="607"/>
      <c r="B738" s="607"/>
      <c r="C738" s="607"/>
      <c r="D738" s="607"/>
      <c r="E738" s="607"/>
      <c r="F738" s="607"/>
      <c r="G738" s="607"/>
      <c r="H738" s="607"/>
      <c r="I738" s="607"/>
      <c r="J738" s="607"/>
      <c r="K738" s="617"/>
      <c r="L738" s="607"/>
      <c r="M738" s="607"/>
      <c r="N738" s="607"/>
      <c r="P738" s="44"/>
    </row>
    <row r="739">
      <c r="A739" s="607"/>
      <c r="B739" s="607"/>
      <c r="C739" s="607"/>
      <c r="D739" s="607"/>
      <c r="E739" s="607"/>
      <c r="F739" s="607"/>
      <c r="G739" s="607"/>
      <c r="H739" s="607"/>
      <c r="I739" s="607"/>
      <c r="J739" s="607"/>
      <c r="K739" s="617"/>
      <c r="L739" s="607"/>
      <c r="M739" s="607"/>
      <c r="N739" s="607"/>
      <c r="P739" s="44"/>
    </row>
    <row r="740">
      <c r="A740" s="607"/>
      <c r="B740" s="607"/>
      <c r="C740" s="607"/>
      <c r="D740" s="607"/>
      <c r="E740" s="607"/>
      <c r="F740" s="607"/>
      <c r="G740" s="607"/>
      <c r="H740" s="607"/>
      <c r="I740" s="607"/>
      <c r="J740" s="607"/>
      <c r="K740" s="617"/>
      <c r="L740" s="607"/>
      <c r="M740" s="607"/>
      <c r="N740" s="607"/>
      <c r="P740" s="44"/>
    </row>
    <row r="741">
      <c r="A741" s="607"/>
      <c r="B741" s="607"/>
      <c r="C741" s="607"/>
      <c r="D741" s="607"/>
      <c r="E741" s="607"/>
      <c r="F741" s="607"/>
      <c r="G741" s="607"/>
      <c r="H741" s="607"/>
      <c r="I741" s="607"/>
      <c r="J741" s="607"/>
      <c r="K741" s="617"/>
      <c r="L741" s="607"/>
      <c r="M741" s="607"/>
      <c r="N741" s="607"/>
      <c r="P741" s="44"/>
    </row>
    <row r="742">
      <c r="A742" s="607"/>
      <c r="B742" s="607"/>
      <c r="C742" s="607"/>
      <c r="D742" s="607"/>
      <c r="E742" s="607"/>
      <c r="F742" s="607"/>
      <c r="G742" s="607"/>
      <c r="H742" s="607"/>
      <c r="I742" s="607"/>
      <c r="J742" s="607"/>
      <c r="K742" s="617"/>
      <c r="L742" s="607"/>
      <c r="M742" s="607"/>
      <c r="N742" s="607"/>
      <c r="P742" s="44"/>
    </row>
    <row r="743">
      <c r="A743" s="607"/>
      <c r="B743" s="607"/>
      <c r="C743" s="607"/>
      <c r="D743" s="607"/>
      <c r="E743" s="607"/>
      <c r="F743" s="607"/>
      <c r="G743" s="607"/>
      <c r="H743" s="607"/>
      <c r="I743" s="607"/>
      <c r="J743" s="607"/>
      <c r="K743" s="617"/>
      <c r="L743" s="607"/>
      <c r="M743" s="607"/>
      <c r="N743" s="607"/>
      <c r="P743" s="44"/>
    </row>
    <row r="744">
      <c r="A744" s="607"/>
      <c r="B744" s="607"/>
      <c r="C744" s="607"/>
      <c r="D744" s="607"/>
      <c r="E744" s="607"/>
      <c r="F744" s="607"/>
      <c r="G744" s="607"/>
      <c r="H744" s="607"/>
      <c r="I744" s="607"/>
      <c r="J744" s="607"/>
      <c r="K744" s="617"/>
      <c r="L744" s="607"/>
      <c r="M744" s="607"/>
      <c r="N744" s="607"/>
      <c r="P744" s="44"/>
    </row>
    <row r="745">
      <c r="A745" s="607"/>
      <c r="B745" s="607"/>
      <c r="C745" s="607"/>
      <c r="D745" s="607"/>
      <c r="E745" s="607"/>
      <c r="F745" s="607"/>
      <c r="G745" s="607"/>
      <c r="H745" s="607"/>
      <c r="I745" s="607"/>
      <c r="J745" s="607"/>
      <c r="K745" s="617"/>
      <c r="L745" s="607"/>
      <c r="M745" s="607"/>
      <c r="N745" s="607"/>
      <c r="P745" s="44"/>
    </row>
    <row r="746">
      <c r="A746" s="607"/>
      <c r="B746" s="607"/>
      <c r="C746" s="607"/>
      <c r="D746" s="607"/>
      <c r="E746" s="607"/>
      <c r="F746" s="607"/>
      <c r="G746" s="607"/>
      <c r="H746" s="607"/>
      <c r="I746" s="607"/>
      <c r="J746" s="607"/>
      <c r="K746" s="617"/>
      <c r="L746" s="607"/>
      <c r="M746" s="607"/>
      <c r="N746" s="607"/>
      <c r="P746" s="44"/>
    </row>
    <row r="747">
      <c r="A747" s="607"/>
      <c r="B747" s="607"/>
      <c r="C747" s="607"/>
      <c r="D747" s="607"/>
      <c r="E747" s="607"/>
      <c r="F747" s="607"/>
      <c r="G747" s="607"/>
      <c r="H747" s="607"/>
      <c r="I747" s="607"/>
      <c r="J747" s="607"/>
      <c r="K747" s="617"/>
      <c r="L747" s="607"/>
      <c r="M747" s="607"/>
      <c r="N747" s="607"/>
      <c r="P747" s="44"/>
    </row>
    <row r="748">
      <c r="A748" s="607"/>
      <c r="B748" s="607"/>
      <c r="C748" s="607"/>
      <c r="D748" s="607"/>
      <c r="E748" s="607"/>
      <c r="F748" s="607"/>
      <c r="G748" s="607"/>
      <c r="H748" s="607"/>
      <c r="I748" s="607"/>
      <c r="J748" s="607"/>
      <c r="K748" s="617"/>
      <c r="L748" s="607"/>
      <c r="M748" s="607"/>
      <c r="N748" s="607"/>
      <c r="P748" s="44"/>
    </row>
    <row r="749">
      <c r="A749" s="607"/>
      <c r="B749" s="607"/>
      <c r="C749" s="607"/>
      <c r="D749" s="607"/>
      <c r="E749" s="607"/>
      <c r="F749" s="607"/>
      <c r="G749" s="607"/>
      <c r="H749" s="607"/>
      <c r="I749" s="607"/>
      <c r="J749" s="607"/>
      <c r="K749" s="617"/>
      <c r="L749" s="607"/>
      <c r="M749" s="607"/>
      <c r="N749" s="607"/>
      <c r="P749" s="44"/>
    </row>
    <row r="750">
      <c r="A750" s="607"/>
      <c r="B750" s="607"/>
      <c r="C750" s="607"/>
      <c r="D750" s="607"/>
      <c r="E750" s="607"/>
      <c r="F750" s="607"/>
      <c r="G750" s="607"/>
      <c r="H750" s="607"/>
      <c r="I750" s="607"/>
      <c r="J750" s="607"/>
      <c r="K750" s="617"/>
      <c r="L750" s="607"/>
      <c r="M750" s="607"/>
      <c r="N750" s="607"/>
      <c r="P750" s="44"/>
    </row>
    <row r="751">
      <c r="A751" s="607"/>
      <c r="B751" s="607"/>
      <c r="C751" s="607"/>
      <c r="D751" s="607"/>
      <c r="E751" s="607"/>
      <c r="F751" s="607"/>
      <c r="G751" s="607"/>
      <c r="H751" s="607"/>
      <c r="I751" s="607"/>
      <c r="J751" s="607"/>
      <c r="K751" s="617"/>
      <c r="L751" s="607"/>
      <c r="M751" s="607"/>
      <c r="N751" s="607"/>
      <c r="P751" s="44"/>
    </row>
    <row r="752">
      <c r="A752" s="607"/>
      <c r="B752" s="607"/>
      <c r="C752" s="607"/>
      <c r="D752" s="607"/>
      <c r="E752" s="607"/>
      <c r="F752" s="607"/>
      <c r="G752" s="607"/>
      <c r="H752" s="607"/>
      <c r="I752" s="607"/>
      <c r="J752" s="607"/>
      <c r="K752" s="617"/>
      <c r="L752" s="607"/>
      <c r="M752" s="607"/>
      <c r="N752" s="607"/>
      <c r="P752" s="44"/>
    </row>
    <row r="753">
      <c r="A753" s="607"/>
      <c r="B753" s="607"/>
      <c r="C753" s="607"/>
      <c r="D753" s="607"/>
      <c r="E753" s="607"/>
      <c r="F753" s="607"/>
      <c r="G753" s="607"/>
      <c r="H753" s="607"/>
      <c r="I753" s="607"/>
      <c r="J753" s="607"/>
      <c r="K753" s="617"/>
      <c r="L753" s="607"/>
      <c r="M753" s="607"/>
      <c r="N753" s="607"/>
      <c r="P753" s="44"/>
    </row>
    <row r="754">
      <c r="A754" s="607"/>
      <c r="B754" s="607"/>
      <c r="C754" s="607"/>
      <c r="D754" s="607"/>
      <c r="E754" s="607"/>
      <c r="F754" s="607"/>
      <c r="G754" s="607"/>
      <c r="H754" s="607"/>
      <c r="I754" s="607"/>
      <c r="J754" s="607"/>
      <c r="K754" s="617"/>
      <c r="L754" s="607"/>
      <c r="M754" s="607"/>
      <c r="N754" s="607"/>
      <c r="P754" s="44"/>
    </row>
    <row r="755">
      <c r="A755" s="607"/>
      <c r="B755" s="607"/>
      <c r="C755" s="607"/>
      <c r="D755" s="607"/>
      <c r="E755" s="607"/>
      <c r="F755" s="607"/>
      <c r="G755" s="607"/>
      <c r="H755" s="607"/>
      <c r="I755" s="607"/>
      <c r="J755" s="607"/>
      <c r="K755" s="617"/>
      <c r="L755" s="607"/>
      <c r="M755" s="607"/>
      <c r="N755" s="607"/>
      <c r="P755" s="44"/>
    </row>
    <row r="756">
      <c r="A756" s="607"/>
      <c r="B756" s="607"/>
      <c r="C756" s="607"/>
      <c r="D756" s="607"/>
      <c r="E756" s="607"/>
      <c r="F756" s="607"/>
      <c r="G756" s="607"/>
      <c r="H756" s="607"/>
      <c r="I756" s="607"/>
      <c r="J756" s="607"/>
      <c r="K756" s="617"/>
      <c r="L756" s="607"/>
      <c r="M756" s="607"/>
      <c r="N756" s="607"/>
      <c r="P756" s="44"/>
    </row>
    <row r="757">
      <c r="A757" s="607"/>
      <c r="B757" s="607"/>
      <c r="C757" s="607"/>
      <c r="D757" s="607"/>
      <c r="E757" s="607"/>
      <c r="F757" s="607"/>
      <c r="G757" s="607"/>
      <c r="H757" s="607"/>
      <c r="I757" s="607"/>
      <c r="J757" s="607"/>
      <c r="K757" s="617"/>
      <c r="L757" s="607"/>
      <c r="M757" s="607"/>
      <c r="N757" s="607"/>
      <c r="P757" s="44"/>
    </row>
    <row r="758">
      <c r="A758" s="607"/>
      <c r="B758" s="607"/>
      <c r="C758" s="607"/>
      <c r="D758" s="607"/>
      <c r="E758" s="607"/>
      <c r="F758" s="607"/>
      <c r="G758" s="607"/>
      <c r="H758" s="607"/>
      <c r="I758" s="607"/>
      <c r="J758" s="607"/>
      <c r="K758" s="617"/>
      <c r="L758" s="607"/>
      <c r="M758" s="607"/>
      <c r="N758" s="607"/>
      <c r="P758" s="44"/>
    </row>
    <row r="759">
      <c r="A759" s="607"/>
      <c r="B759" s="607"/>
      <c r="C759" s="607"/>
      <c r="D759" s="607"/>
      <c r="E759" s="607"/>
      <c r="F759" s="607"/>
      <c r="G759" s="607"/>
      <c r="H759" s="607"/>
      <c r="I759" s="607"/>
      <c r="J759" s="607"/>
      <c r="K759" s="617"/>
      <c r="L759" s="607"/>
      <c r="M759" s="607"/>
      <c r="N759" s="607"/>
      <c r="P759" s="44"/>
    </row>
    <row r="760">
      <c r="A760" s="607"/>
      <c r="B760" s="607"/>
      <c r="C760" s="607"/>
      <c r="D760" s="607"/>
      <c r="E760" s="607"/>
      <c r="F760" s="607"/>
      <c r="G760" s="607"/>
      <c r="H760" s="607"/>
      <c r="I760" s="607"/>
      <c r="J760" s="607"/>
      <c r="K760" s="617"/>
      <c r="L760" s="607"/>
      <c r="M760" s="607"/>
      <c r="N760" s="607"/>
      <c r="P760" s="44"/>
    </row>
    <row r="761">
      <c r="A761" s="607"/>
      <c r="B761" s="607"/>
      <c r="C761" s="607"/>
      <c r="D761" s="607"/>
      <c r="E761" s="607"/>
      <c r="F761" s="607"/>
      <c r="G761" s="607"/>
      <c r="H761" s="607"/>
      <c r="I761" s="607"/>
      <c r="J761" s="607"/>
      <c r="K761" s="617"/>
      <c r="L761" s="607"/>
      <c r="M761" s="607"/>
      <c r="N761" s="607"/>
      <c r="P761" s="44"/>
    </row>
    <row r="762">
      <c r="A762" s="607"/>
      <c r="B762" s="607"/>
      <c r="C762" s="607"/>
      <c r="D762" s="607"/>
      <c r="E762" s="607"/>
      <c r="F762" s="607"/>
      <c r="G762" s="607"/>
      <c r="H762" s="607"/>
      <c r="I762" s="607"/>
      <c r="J762" s="607"/>
      <c r="K762" s="617"/>
      <c r="L762" s="607"/>
      <c r="M762" s="607"/>
      <c r="N762" s="607"/>
      <c r="P762" s="44"/>
    </row>
    <row r="763">
      <c r="A763" s="607"/>
      <c r="B763" s="607"/>
      <c r="C763" s="607"/>
      <c r="D763" s="607"/>
      <c r="E763" s="607"/>
      <c r="F763" s="607"/>
      <c r="G763" s="607"/>
      <c r="H763" s="607"/>
      <c r="I763" s="607"/>
      <c r="J763" s="607"/>
      <c r="K763" s="617"/>
      <c r="L763" s="607"/>
      <c r="M763" s="607"/>
      <c r="N763" s="607"/>
      <c r="P763" s="44"/>
    </row>
    <row r="764">
      <c r="A764" s="607"/>
      <c r="B764" s="607"/>
      <c r="C764" s="607"/>
      <c r="D764" s="607"/>
      <c r="E764" s="607"/>
      <c r="F764" s="607"/>
      <c r="G764" s="607"/>
      <c r="H764" s="607"/>
      <c r="I764" s="607"/>
      <c r="J764" s="607"/>
      <c r="K764" s="617"/>
      <c r="L764" s="607"/>
      <c r="M764" s="607"/>
      <c r="N764" s="607"/>
      <c r="P764" s="44"/>
    </row>
    <row r="765">
      <c r="A765" s="607"/>
      <c r="B765" s="607"/>
      <c r="C765" s="607"/>
      <c r="D765" s="607"/>
      <c r="E765" s="607"/>
      <c r="F765" s="607"/>
      <c r="G765" s="607"/>
      <c r="H765" s="607"/>
      <c r="I765" s="607"/>
      <c r="J765" s="607"/>
      <c r="K765" s="617"/>
      <c r="L765" s="607"/>
      <c r="M765" s="607"/>
      <c r="N765" s="607"/>
      <c r="P765" s="44"/>
    </row>
    <row r="766">
      <c r="A766" s="607"/>
      <c r="B766" s="607"/>
      <c r="C766" s="607"/>
      <c r="D766" s="607"/>
      <c r="E766" s="607"/>
      <c r="F766" s="607"/>
      <c r="G766" s="607"/>
      <c r="H766" s="607"/>
      <c r="I766" s="607"/>
      <c r="J766" s="607"/>
      <c r="K766" s="617"/>
      <c r="L766" s="607"/>
      <c r="M766" s="607"/>
      <c r="N766" s="607"/>
      <c r="P766" s="44"/>
    </row>
    <row r="767">
      <c r="A767" s="607"/>
      <c r="B767" s="607"/>
      <c r="C767" s="607"/>
      <c r="D767" s="607"/>
      <c r="E767" s="607"/>
      <c r="F767" s="607"/>
      <c r="G767" s="607"/>
      <c r="H767" s="607"/>
      <c r="I767" s="607"/>
      <c r="J767" s="607"/>
      <c r="K767" s="617"/>
      <c r="L767" s="607"/>
      <c r="M767" s="607"/>
      <c r="N767" s="607"/>
      <c r="P767" s="44"/>
    </row>
    <row r="768">
      <c r="A768" s="607"/>
      <c r="B768" s="607"/>
      <c r="C768" s="607"/>
      <c r="D768" s="607"/>
      <c r="E768" s="607"/>
      <c r="F768" s="607"/>
      <c r="G768" s="607"/>
      <c r="H768" s="607"/>
      <c r="I768" s="607"/>
      <c r="J768" s="607"/>
      <c r="K768" s="617"/>
      <c r="L768" s="607"/>
      <c r="M768" s="607"/>
      <c r="N768" s="607"/>
      <c r="P768" s="44"/>
    </row>
    <row r="769">
      <c r="A769" s="607"/>
      <c r="B769" s="607"/>
      <c r="C769" s="607"/>
      <c r="D769" s="607"/>
      <c r="E769" s="607"/>
      <c r="F769" s="607"/>
      <c r="G769" s="607"/>
      <c r="H769" s="607"/>
      <c r="I769" s="607"/>
      <c r="J769" s="607"/>
      <c r="K769" s="617"/>
      <c r="L769" s="607"/>
      <c r="M769" s="607"/>
      <c r="N769" s="607"/>
      <c r="P769" s="44"/>
    </row>
    <row r="770">
      <c r="A770" s="607"/>
      <c r="B770" s="607"/>
      <c r="C770" s="607"/>
      <c r="D770" s="607"/>
      <c r="E770" s="607"/>
      <c r="F770" s="607"/>
      <c r="G770" s="607"/>
      <c r="H770" s="607"/>
      <c r="I770" s="607"/>
      <c r="J770" s="607"/>
      <c r="K770" s="617"/>
      <c r="L770" s="607"/>
      <c r="M770" s="607"/>
      <c r="N770" s="607"/>
      <c r="P770" s="44"/>
    </row>
    <row r="771">
      <c r="A771" s="607"/>
      <c r="B771" s="607"/>
      <c r="C771" s="607"/>
      <c r="D771" s="607"/>
      <c r="E771" s="607"/>
      <c r="F771" s="607"/>
      <c r="G771" s="607"/>
      <c r="H771" s="607"/>
      <c r="I771" s="607"/>
      <c r="J771" s="607"/>
      <c r="K771" s="617"/>
      <c r="L771" s="607"/>
      <c r="M771" s="607"/>
      <c r="N771" s="607"/>
      <c r="P771" s="44"/>
    </row>
    <row r="772">
      <c r="A772" s="607"/>
      <c r="B772" s="607"/>
      <c r="C772" s="607"/>
      <c r="D772" s="607"/>
      <c r="E772" s="607"/>
      <c r="F772" s="607"/>
      <c r="G772" s="607"/>
      <c r="H772" s="607"/>
      <c r="I772" s="607"/>
      <c r="J772" s="607"/>
      <c r="K772" s="617"/>
      <c r="L772" s="607"/>
      <c r="M772" s="607"/>
      <c r="N772" s="607"/>
      <c r="P772" s="44"/>
    </row>
    <row r="773">
      <c r="A773" s="607"/>
      <c r="B773" s="607"/>
      <c r="C773" s="607"/>
      <c r="D773" s="607"/>
      <c r="E773" s="607"/>
      <c r="F773" s="607"/>
      <c r="G773" s="607"/>
      <c r="H773" s="607"/>
      <c r="I773" s="607"/>
      <c r="J773" s="607"/>
      <c r="K773" s="617"/>
      <c r="L773" s="607"/>
      <c r="M773" s="607"/>
      <c r="N773" s="607"/>
      <c r="P773" s="44"/>
    </row>
    <row r="774">
      <c r="A774" s="607"/>
      <c r="B774" s="607"/>
      <c r="C774" s="607"/>
      <c r="D774" s="607"/>
      <c r="E774" s="607"/>
      <c r="F774" s="607"/>
      <c r="G774" s="607"/>
      <c r="H774" s="607"/>
      <c r="I774" s="607"/>
      <c r="J774" s="607"/>
      <c r="K774" s="617"/>
      <c r="L774" s="607"/>
      <c r="M774" s="607"/>
      <c r="N774" s="607"/>
      <c r="P774" s="44"/>
    </row>
    <row r="775">
      <c r="A775" s="607"/>
      <c r="B775" s="607"/>
      <c r="C775" s="607"/>
      <c r="D775" s="607"/>
      <c r="E775" s="607"/>
      <c r="F775" s="607"/>
      <c r="G775" s="607"/>
      <c r="H775" s="607"/>
      <c r="I775" s="607"/>
      <c r="J775" s="607"/>
      <c r="K775" s="617"/>
      <c r="L775" s="607"/>
      <c r="M775" s="607"/>
      <c r="N775" s="607"/>
      <c r="P775" s="44"/>
    </row>
    <row r="776">
      <c r="A776" s="607"/>
      <c r="B776" s="607"/>
      <c r="C776" s="607"/>
      <c r="D776" s="607"/>
      <c r="E776" s="607"/>
      <c r="F776" s="607"/>
      <c r="G776" s="607"/>
      <c r="H776" s="607"/>
      <c r="I776" s="607"/>
      <c r="J776" s="607"/>
      <c r="K776" s="617"/>
      <c r="L776" s="607"/>
      <c r="M776" s="607"/>
      <c r="N776" s="607"/>
      <c r="P776" s="44"/>
    </row>
    <row r="777">
      <c r="A777" s="607"/>
      <c r="B777" s="607"/>
      <c r="C777" s="607"/>
      <c r="D777" s="607"/>
      <c r="E777" s="607"/>
      <c r="F777" s="607"/>
      <c r="G777" s="607"/>
      <c r="H777" s="607"/>
      <c r="I777" s="607"/>
      <c r="J777" s="607"/>
      <c r="K777" s="617"/>
      <c r="L777" s="607"/>
      <c r="M777" s="607"/>
      <c r="N777" s="607"/>
      <c r="P777" s="44"/>
    </row>
    <row r="778">
      <c r="A778" s="607"/>
      <c r="B778" s="607"/>
      <c r="C778" s="607"/>
      <c r="D778" s="607"/>
      <c r="E778" s="607"/>
      <c r="F778" s="607"/>
      <c r="G778" s="607"/>
      <c r="H778" s="607"/>
      <c r="I778" s="607"/>
      <c r="J778" s="607"/>
      <c r="K778" s="617"/>
      <c r="L778" s="607"/>
      <c r="M778" s="607"/>
      <c r="N778" s="607"/>
      <c r="P778" s="44"/>
    </row>
    <row r="779">
      <c r="A779" s="607"/>
      <c r="B779" s="607"/>
      <c r="C779" s="607"/>
      <c r="D779" s="607"/>
      <c r="E779" s="607"/>
      <c r="F779" s="607"/>
      <c r="G779" s="607"/>
      <c r="H779" s="607"/>
      <c r="I779" s="607"/>
      <c r="J779" s="607"/>
      <c r="K779" s="617"/>
      <c r="L779" s="607"/>
      <c r="M779" s="607"/>
      <c r="N779" s="607"/>
      <c r="P779" s="44"/>
    </row>
    <row r="780">
      <c r="A780" s="607"/>
      <c r="B780" s="607"/>
      <c r="C780" s="607"/>
      <c r="D780" s="607"/>
      <c r="E780" s="607"/>
      <c r="F780" s="607"/>
      <c r="G780" s="607"/>
      <c r="H780" s="607"/>
      <c r="I780" s="607"/>
      <c r="J780" s="607"/>
      <c r="K780" s="617"/>
      <c r="L780" s="607"/>
      <c r="M780" s="607"/>
      <c r="N780" s="607"/>
      <c r="P780" s="44"/>
    </row>
    <row r="781">
      <c r="A781" s="607"/>
      <c r="B781" s="607"/>
      <c r="C781" s="607"/>
      <c r="D781" s="607"/>
      <c r="E781" s="607"/>
      <c r="F781" s="607"/>
      <c r="G781" s="607"/>
      <c r="H781" s="607"/>
      <c r="I781" s="607"/>
      <c r="J781" s="607"/>
      <c r="K781" s="617"/>
      <c r="L781" s="607"/>
      <c r="M781" s="607"/>
      <c r="N781" s="607"/>
      <c r="P781" s="44"/>
    </row>
    <row r="782">
      <c r="A782" s="607"/>
      <c r="B782" s="607"/>
      <c r="C782" s="607"/>
      <c r="D782" s="607"/>
      <c r="E782" s="607"/>
      <c r="F782" s="607"/>
      <c r="G782" s="607"/>
      <c r="H782" s="607"/>
      <c r="I782" s="607"/>
      <c r="J782" s="607"/>
      <c r="K782" s="617"/>
      <c r="L782" s="607"/>
      <c r="M782" s="607"/>
      <c r="N782" s="607"/>
      <c r="P782" s="44"/>
    </row>
    <row r="783">
      <c r="A783" s="607"/>
      <c r="B783" s="607"/>
      <c r="C783" s="607"/>
      <c r="D783" s="607"/>
      <c r="E783" s="607"/>
      <c r="F783" s="607"/>
      <c r="G783" s="607"/>
      <c r="H783" s="607"/>
      <c r="I783" s="607"/>
      <c r="J783" s="607"/>
      <c r="K783" s="617"/>
      <c r="L783" s="607"/>
      <c r="M783" s="607"/>
      <c r="N783" s="607"/>
      <c r="P783" s="44"/>
    </row>
    <row r="784">
      <c r="A784" s="607"/>
      <c r="B784" s="607"/>
      <c r="C784" s="607"/>
      <c r="D784" s="607"/>
      <c r="E784" s="607"/>
      <c r="F784" s="607"/>
      <c r="G784" s="607"/>
      <c r="H784" s="607"/>
      <c r="I784" s="607"/>
      <c r="J784" s="607"/>
      <c r="K784" s="617"/>
      <c r="L784" s="607"/>
      <c r="M784" s="607"/>
      <c r="N784" s="607"/>
      <c r="P784" s="44"/>
    </row>
    <row r="785">
      <c r="A785" s="607"/>
      <c r="B785" s="607"/>
      <c r="C785" s="607"/>
      <c r="D785" s="607"/>
      <c r="E785" s="607"/>
      <c r="F785" s="607"/>
      <c r="G785" s="607"/>
      <c r="H785" s="607"/>
      <c r="I785" s="607"/>
      <c r="J785" s="607"/>
      <c r="K785" s="617"/>
      <c r="L785" s="607"/>
      <c r="M785" s="607"/>
      <c r="N785" s="607"/>
      <c r="P785" s="44"/>
    </row>
    <row r="786">
      <c r="A786" s="607"/>
      <c r="B786" s="607"/>
      <c r="C786" s="607"/>
      <c r="D786" s="607"/>
      <c r="E786" s="607"/>
      <c r="F786" s="607"/>
      <c r="G786" s="607"/>
      <c r="H786" s="607"/>
      <c r="I786" s="607"/>
      <c r="J786" s="607"/>
      <c r="K786" s="617"/>
      <c r="L786" s="607"/>
      <c r="M786" s="607"/>
      <c r="N786" s="607"/>
      <c r="P786" s="44"/>
    </row>
    <row r="787">
      <c r="A787" s="607"/>
      <c r="B787" s="607"/>
      <c r="C787" s="607"/>
      <c r="D787" s="607"/>
      <c r="E787" s="607"/>
      <c r="F787" s="607"/>
      <c r="G787" s="607"/>
      <c r="H787" s="607"/>
      <c r="I787" s="607"/>
      <c r="J787" s="607"/>
      <c r="K787" s="617"/>
      <c r="L787" s="607"/>
      <c r="M787" s="607"/>
      <c r="N787" s="607"/>
      <c r="P787" s="44"/>
    </row>
    <row r="788">
      <c r="A788" s="607"/>
      <c r="B788" s="607"/>
      <c r="C788" s="607"/>
      <c r="D788" s="607"/>
      <c r="E788" s="607"/>
      <c r="F788" s="607"/>
      <c r="G788" s="607"/>
      <c r="H788" s="607"/>
      <c r="I788" s="607"/>
      <c r="J788" s="607"/>
      <c r="K788" s="617"/>
      <c r="L788" s="607"/>
      <c r="M788" s="607"/>
      <c r="N788" s="607"/>
      <c r="P788" s="44"/>
    </row>
    <row r="789">
      <c r="A789" s="607"/>
      <c r="B789" s="607"/>
      <c r="C789" s="607"/>
      <c r="D789" s="607"/>
      <c r="E789" s="607"/>
      <c r="F789" s="607"/>
      <c r="G789" s="607"/>
      <c r="H789" s="607"/>
      <c r="I789" s="607"/>
      <c r="J789" s="607"/>
      <c r="K789" s="617"/>
      <c r="L789" s="607"/>
      <c r="M789" s="607"/>
      <c r="N789" s="607"/>
      <c r="P789" s="44"/>
    </row>
    <row r="790">
      <c r="A790" s="607"/>
      <c r="B790" s="607"/>
      <c r="C790" s="607"/>
      <c r="D790" s="607"/>
      <c r="E790" s="607"/>
      <c r="F790" s="607"/>
      <c r="G790" s="607"/>
      <c r="H790" s="607"/>
      <c r="I790" s="607"/>
      <c r="J790" s="607"/>
      <c r="K790" s="617"/>
      <c r="L790" s="607"/>
      <c r="M790" s="607"/>
      <c r="N790" s="607"/>
      <c r="P790" s="44"/>
    </row>
    <row r="791">
      <c r="A791" s="607"/>
      <c r="B791" s="607"/>
      <c r="C791" s="607"/>
      <c r="D791" s="607"/>
      <c r="E791" s="607"/>
      <c r="F791" s="607"/>
      <c r="G791" s="607"/>
      <c r="H791" s="607"/>
      <c r="I791" s="607"/>
      <c r="J791" s="607"/>
      <c r="K791" s="617"/>
      <c r="L791" s="607"/>
      <c r="M791" s="607"/>
      <c r="N791" s="607"/>
      <c r="P791" s="44"/>
    </row>
    <row r="792">
      <c r="A792" s="607"/>
      <c r="B792" s="607"/>
      <c r="C792" s="607"/>
      <c r="D792" s="607"/>
      <c r="E792" s="607"/>
      <c r="F792" s="607"/>
      <c r="G792" s="607"/>
      <c r="H792" s="607"/>
      <c r="I792" s="607"/>
      <c r="J792" s="607"/>
      <c r="K792" s="617"/>
      <c r="L792" s="607"/>
      <c r="M792" s="607"/>
      <c r="N792" s="607"/>
      <c r="P792" s="44"/>
    </row>
    <row r="793">
      <c r="A793" s="607"/>
      <c r="B793" s="607"/>
      <c r="C793" s="607"/>
      <c r="D793" s="607"/>
      <c r="E793" s="607"/>
      <c r="F793" s="607"/>
      <c r="G793" s="607"/>
      <c r="H793" s="607"/>
      <c r="I793" s="607"/>
      <c r="J793" s="607"/>
      <c r="K793" s="617"/>
      <c r="L793" s="607"/>
      <c r="M793" s="607"/>
      <c r="N793" s="607"/>
      <c r="P793" s="44"/>
    </row>
    <row r="794">
      <c r="A794" s="607"/>
      <c r="B794" s="607"/>
      <c r="C794" s="607"/>
      <c r="D794" s="607"/>
      <c r="E794" s="607"/>
      <c r="F794" s="607"/>
      <c r="G794" s="607"/>
      <c r="H794" s="607"/>
      <c r="I794" s="607"/>
      <c r="J794" s="607"/>
      <c r="K794" s="617"/>
      <c r="L794" s="607"/>
      <c r="M794" s="607"/>
      <c r="N794" s="607"/>
      <c r="P794" s="44"/>
    </row>
    <row r="795">
      <c r="A795" s="607"/>
      <c r="B795" s="607"/>
      <c r="C795" s="607"/>
      <c r="D795" s="607"/>
      <c r="E795" s="607"/>
      <c r="F795" s="607"/>
      <c r="G795" s="607"/>
      <c r="H795" s="607"/>
      <c r="I795" s="607"/>
      <c r="J795" s="607"/>
      <c r="K795" s="617"/>
      <c r="L795" s="607"/>
      <c r="M795" s="607"/>
      <c r="N795" s="607"/>
      <c r="P795" s="44"/>
    </row>
    <row r="796">
      <c r="A796" s="607"/>
      <c r="B796" s="607"/>
      <c r="C796" s="607"/>
      <c r="D796" s="607"/>
      <c r="E796" s="607"/>
      <c r="F796" s="607"/>
      <c r="G796" s="607"/>
      <c r="H796" s="607"/>
      <c r="I796" s="607"/>
      <c r="J796" s="607"/>
      <c r="K796" s="617"/>
      <c r="L796" s="607"/>
      <c r="M796" s="607"/>
      <c r="N796" s="607"/>
      <c r="P796" s="44"/>
    </row>
    <row r="797">
      <c r="A797" s="607"/>
      <c r="B797" s="607"/>
      <c r="C797" s="607"/>
      <c r="D797" s="607"/>
      <c r="E797" s="607"/>
      <c r="F797" s="607"/>
      <c r="G797" s="607"/>
      <c r="H797" s="607"/>
      <c r="I797" s="607"/>
      <c r="J797" s="607"/>
      <c r="K797" s="617"/>
      <c r="L797" s="607"/>
      <c r="M797" s="607"/>
      <c r="N797" s="607"/>
      <c r="P797" s="44"/>
    </row>
    <row r="798">
      <c r="A798" s="607"/>
      <c r="B798" s="607"/>
      <c r="C798" s="607"/>
      <c r="D798" s="607"/>
      <c r="E798" s="607"/>
      <c r="F798" s="607"/>
      <c r="G798" s="607"/>
      <c r="H798" s="607"/>
      <c r="I798" s="607"/>
      <c r="J798" s="607"/>
      <c r="K798" s="617"/>
      <c r="L798" s="607"/>
      <c r="M798" s="607"/>
      <c r="N798" s="607"/>
      <c r="P798" s="44"/>
    </row>
    <row r="799">
      <c r="A799" s="607"/>
      <c r="B799" s="607"/>
      <c r="C799" s="607"/>
      <c r="D799" s="607"/>
      <c r="E799" s="607"/>
      <c r="F799" s="607"/>
      <c r="G799" s="607"/>
      <c r="H799" s="607"/>
      <c r="I799" s="607"/>
      <c r="J799" s="607"/>
      <c r="K799" s="617"/>
      <c r="L799" s="607"/>
      <c r="M799" s="607"/>
      <c r="N799" s="607"/>
      <c r="P799" s="44"/>
    </row>
    <row r="800">
      <c r="A800" s="607"/>
      <c r="B800" s="607"/>
      <c r="C800" s="607"/>
      <c r="D800" s="607"/>
      <c r="E800" s="607"/>
      <c r="F800" s="607"/>
      <c r="G800" s="607"/>
      <c r="H800" s="607"/>
      <c r="I800" s="607"/>
      <c r="J800" s="607"/>
      <c r="K800" s="617"/>
      <c r="L800" s="607"/>
      <c r="M800" s="607"/>
      <c r="N800" s="607"/>
      <c r="P800" s="44"/>
    </row>
    <row r="801">
      <c r="A801" s="607"/>
      <c r="B801" s="607"/>
      <c r="C801" s="607"/>
      <c r="D801" s="607"/>
      <c r="E801" s="607"/>
      <c r="F801" s="607"/>
      <c r="G801" s="607"/>
      <c r="H801" s="607"/>
      <c r="I801" s="607"/>
      <c r="J801" s="607"/>
      <c r="K801" s="617"/>
      <c r="L801" s="607"/>
      <c r="M801" s="607"/>
      <c r="N801" s="607"/>
      <c r="P801" s="44"/>
    </row>
    <row r="802">
      <c r="A802" s="607"/>
      <c r="B802" s="607"/>
      <c r="C802" s="607"/>
      <c r="D802" s="607"/>
      <c r="E802" s="607"/>
      <c r="F802" s="607"/>
      <c r="G802" s="607"/>
      <c r="H802" s="607"/>
      <c r="I802" s="607"/>
      <c r="J802" s="607"/>
      <c r="K802" s="617"/>
      <c r="L802" s="607"/>
      <c r="M802" s="607"/>
      <c r="N802" s="607"/>
      <c r="P802" s="44"/>
    </row>
    <row r="803">
      <c r="A803" s="607"/>
      <c r="B803" s="607"/>
      <c r="C803" s="607"/>
      <c r="D803" s="607"/>
      <c r="E803" s="607"/>
      <c r="F803" s="607"/>
      <c r="G803" s="607"/>
      <c r="H803" s="607"/>
      <c r="I803" s="607"/>
      <c r="J803" s="607"/>
      <c r="K803" s="617"/>
      <c r="L803" s="607"/>
      <c r="M803" s="607"/>
      <c r="N803" s="607"/>
      <c r="P803" s="44"/>
    </row>
    <row r="804">
      <c r="A804" s="607"/>
      <c r="B804" s="607"/>
      <c r="C804" s="607"/>
      <c r="D804" s="607"/>
      <c r="E804" s="607"/>
      <c r="F804" s="607"/>
      <c r="G804" s="607"/>
      <c r="H804" s="607"/>
      <c r="I804" s="607"/>
      <c r="J804" s="607"/>
      <c r="K804" s="617"/>
      <c r="L804" s="607"/>
      <c r="M804" s="607"/>
      <c r="N804" s="607"/>
      <c r="P804" s="44"/>
    </row>
    <row r="805">
      <c r="A805" s="607"/>
      <c r="B805" s="607"/>
      <c r="C805" s="607"/>
      <c r="D805" s="607"/>
      <c r="E805" s="607"/>
      <c r="F805" s="607"/>
      <c r="G805" s="607"/>
      <c r="H805" s="607"/>
      <c r="I805" s="607"/>
      <c r="J805" s="607"/>
      <c r="K805" s="617"/>
      <c r="L805" s="607"/>
      <c r="M805" s="607"/>
      <c r="N805" s="607"/>
      <c r="P805" s="44"/>
    </row>
    <row r="806">
      <c r="A806" s="607"/>
      <c r="B806" s="607"/>
      <c r="C806" s="607"/>
      <c r="D806" s="607"/>
      <c r="E806" s="607"/>
      <c r="F806" s="607"/>
      <c r="G806" s="607"/>
      <c r="H806" s="607"/>
      <c r="I806" s="607"/>
      <c r="J806" s="607"/>
      <c r="K806" s="617"/>
      <c r="L806" s="607"/>
      <c r="M806" s="607"/>
      <c r="N806" s="607"/>
      <c r="P806" s="44"/>
    </row>
    <row r="807">
      <c r="A807" s="607"/>
      <c r="B807" s="607"/>
      <c r="C807" s="607"/>
      <c r="D807" s="607"/>
      <c r="E807" s="607"/>
      <c r="F807" s="607"/>
      <c r="G807" s="607"/>
      <c r="H807" s="607"/>
      <c r="I807" s="607"/>
      <c r="J807" s="607"/>
      <c r="K807" s="617"/>
      <c r="L807" s="607"/>
      <c r="M807" s="607"/>
      <c r="N807" s="607"/>
      <c r="P807" s="44"/>
    </row>
    <row r="808">
      <c r="A808" s="607"/>
      <c r="B808" s="607"/>
      <c r="C808" s="607"/>
      <c r="D808" s="607"/>
      <c r="E808" s="607"/>
      <c r="F808" s="607"/>
      <c r="G808" s="607"/>
      <c r="H808" s="607"/>
      <c r="I808" s="607"/>
      <c r="J808" s="607"/>
      <c r="K808" s="617"/>
      <c r="L808" s="607"/>
      <c r="M808" s="607"/>
      <c r="N808" s="607"/>
      <c r="P808" s="44"/>
    </row>
    <row r="809">
      <c r="A809" s="607"/>
      <c r="B809" s="607"/>
      <c r="C809" s="607"/>
      <c r="D809" s="607"/>
      <c r="E809" s="607"/>
      <c r="F809" s="607"/>
      <c r="G809" s="607"/>
      <c r="H809" s="607"/>
      <c r="I809" s="607"/>
      <c r="J809" s="607"/>
      <c r="K809" s="617"/>
      <c r="L809" s="607"/>
      <c r="M809" s="607"/>
      <c r="N809" s="607"/>
      <c r="P809" s="44"/>
    </row>
    <row r="810">
      <c r="A810" s="607"/>
      <c r="B810" s="607"/>
      <c r="C810" s="607"/>
      <c r="D810" s="607"/>
      <c r="E810" s="607"/>
      <c r="F810" s="607"/>
      <c r="G810" s="607"/>
      <c r="H810" s="607"/>
      <c r="I810" s="607"/>
      <c r="J810" s="607"/>
      <c r="K810" s="617"/>
      <c r="L810" s="607"/>
      <c r="M810" s="607"/>
      <c r="N810" s="607"/>
      <c r="P810" s="44"/>
    </row>
    <row r="811">
      <c r="A811" s="607"/>
      <c r="B811" s="607"/>
      <c r="C811" s="607"/>
      <c r="D811" s="607"/>
      <c r="E811" s="607"/>
      <c r="F811" s="607"/>
      <c r="G811" s="607"/>
      <c r="H811" s="607"/>
      <c r="I811" s="607"/>
      <c r="J811" s="607"/>
      <c r="K811" s="617"/>
      <c r="L811" s="607"/>
      <c r="M811" s="607"/>
      <c r="N811" s="607"/>
      <c r="P811" s="44"/>
    </row>
    <row r="812">
      <c r="A812" s="607"/>
      <c r="B812" s="607"/>
      <c r="C812" s="607"/>
      <c r="D812" s="607"/>
      <c r="E812" s="607"/>
      <c r="F812" s="607"/>
      <c r="G812" s="607"/>
      <c r="H812" s="607"/>
      <c r="I812" s="607"/>
      <c r="J812" s="607"/>
      <c r="K812" s="617"/>
      <c r="L812" s="607"/>
      <c r="M812" s="607"/>
      <c r="N812" s="607"/>
      <c r="P812" s="44"/>
    </row>
    <row r="813">
      <c r="A813" s="607"/>
      <c r="B813" s="607"/>
      <c r="C813" s="607"/>
      <c r="D813" s="607"/>
      <c r="E813" s="607"/>
      <c r="F813" s="607"/>
      <c r="G813" s="607"/>
      <c r="H813" s="607"/>
      <c r="I813" s="607"/>
      <c r="J813" s="607"/>
      <c r="K813" s="617"/>
      <c r="L813" s="607"/>
      <c r="M813" s="607"/>
      <c r="N813" s="607"/>
      <c r="P813" s="44"/>
    </row>
    <row r="814">
      <c r="A814" s="607"/>
      <c r="B814" s="607"/>
      <c r="C814" s="607"/>
      <c r="D814" s="607"/>
      <c r="E814" s="607"/>
      <c r="F814" s="607"/>
      <c r="G814" s="607"/>
      <c r="H814" s="607"/>
      <c r="I814" s="607"/>
      <c r="J814" s="607"/>
      <c r="K814" s="617"/>
      <c r="L814" s="607"/>
      <c r="M814" s="607"/>
      <c r="N814" s="607"/>
      <c r="P814" s="44"/>
    </row>
    <row r="815">
      <c r="A815" s="607"/>
      <c r="B815" s="607"/>
      <c r="C815" s="607"/>
      <c r="D815" s="607"/>
      <c r="E815" s="607"/>
      <c r="F815" s="607"/>
      <c r="G815" s="607"/>
      <c r="H815" s="607"/>
      <c r="I815" s="607"/>
      <c r="J815" s="607"/>
      <c r="K815" s="617"/>
      <c r="L815" s="607"/>
      <c r="M815" s="607"/>
      <c r="N815" s="607"/>
      <c r="P815" s="44"/>
    </row>
    <row r="816">
      <c r="A816" s="607"/>
      <c r="B816" s="607"/>
      <c r="C816" s="607"/>
      <c r="D816" s="607"/>
      <c r="E816" s="607"/>
      <c r="F816" s="607"/>
      <c r="G816" s="607"/>
      <c r="H816" s="607"/>
      <c r="I816" s="607"/>
      <c r="J816" s="607"/>
      <c r="K816" s="617"/>
      <c r="L816" s="607"/>
      <c r="M816" s="607"/>
      <c r="N816" s="607"/>
      <c r="P816" s="44"/>
    </row>
    <row r="817">
      <c r="A817" s="607"/>
      <c r="B817" s="607"/>
      <c r="C817" s="607"/>
      <c r="D817" s="607"/>
      <c r="E817" s="607"/>
      <c r="F817" s="607"/>
      <c r="G817" s="607"/>
      <c r="H817" s="607"/>
      <c r="I817" s="607"/>
      <c r="J817" s="607"/>
      <c r="K817" s="617"/>
      <c r="L817" s="607"/>
      <c r="M817" s="607"/>
      <c r="N817" s="607"/>
      <c r="P817" s="44"/>
    </row>
    <row r="818">
      <c r="A818" s="607"/>
      <c r="B818" s="607"/>
      <c r="C818" s="607"/>
      <c r="D818" s="607"/>
      <c r="E818" s="607"/>
      <c r="F818" s="607"/>
      <c r="G818" s="607"/>
      <c r="H818" s="607"/>
      <c r="I818" s="607"/>
      <c r="J818" s="607"/>
      <c r="K818" s="617"/>
      <c r="L818" s="607"/>
      <c r="M818" s="607"/>
      <c r="N818" s="607"/>
      <c r="P818" s="44"/>
    </row>
    <row r="819">
      <c r="A819" s="607"/>
      <c r="B819" s="607"/>
      <c r="C819" s="607"/>
      <c r="D819" s="607"/>
      <c r="E819" s="607"/>
      <c r="F819" s="607"/>
      <c r="G819" s="607"/>
      <c r="H819" s="607"/>
      <c r="I819" s="607"/>
      <c r="J819" s="607"/>
      <c r="K819" s="617"/>
      <c r="L819" s="607"/>
      <c r="M819" s="607"/>
      <c r="N819" s="607"/>
      <c r="P819" s="44"/>
    </row>
    <row r="820">
      <c r="A820" s="607"/>
      <c r="B820" s="607"/>
      <c r="C820" s="607"/>
      <c r="D820" s="607"/>
      <c r="E820" s="607"/>
      <c r="F820" s="607"/>
      <c r="G820" s="607"/>
      <c r="H820" s="607"/>
      <c r="I820" s="607"/>
      <c r="J820" s="607"/>
      <c r="K820" s="617"/>
      <c r="L820" s="607"/>
      <c r="M820" s="607"/>
      <c r="N820" s="607"/>
      <c r="P820" s="44"/>
    </row>
    <row r="821">
      <c r="A821" s="607"/>
      <c r="B821" s="607"/>
      <c r="C821" s="607"/>
      <c r="D821" s="607"/>
      <c r="E821" s="607"/>
      <c r="F821" s="607"/>
      <c r="G821" s="607"/>
      <c r="H821" s="607"/>
      <c r="I821" s="607"/>
      <c r="J821" s="607"/>
      <c r="K821" s="617"/>
      <c r="L821" s="607"/>
      <c r="M821" s="607"/>
      <c r="N821" s="607"/>
      <c r="P821" s="44"/>
    </row>
    <row r="822">
      <c r="A822" s="607"/>
      <c r="B822" s="607"/>
      <c r="C822" s="607"/>
      <c r="D822" s="607"/>
      <c r="E822" s="607"/>
      <c r="F822" s="607"/>
      <c r="G822" s="607"/>
      <c r="H822" s="607"/>
      <c r="I822" s="607"/>
      <c r="J822" s="607"/>
      <c r="K822" s="617"/>
      <c r="L822" s="607"/>
      <c r="M822" s="607"/>
      <c r="N822" s="607"/>
      <c r="P822" s="44"/>
    </row>
    <row r="823">
      <c r="A823" s="607"/>
      <c r="B823" s="607"/>
      <c r="C823" s="607"/>
      <c r="D823" s="607"/>
      <c r="E823" s="607"/>
      <c r="F823" s="607"/>
      <c r="G823" s="607"/>
      <c r="H823" s="607"/>
      <c r="I823" s="607"/>
      <c r="J823" s="607"/>
      <c r="K823" s="617"/>
      <c r="L823" s="607"/>
      <c r="M823" s="607"/>
      <c r="N823" s="607"/>
      <c r="P823" s="44"/>
    </row>
    <row r="824">
      <c r="A824" s="607"/>
      <c r="B824" s="607"/>
      <c r="C824" s="607"/>
      <c r="D824" s="607"/>
      <c r="E824" s="607"/>
      <c r="F824" s="607"/>
      <c r="G824" s="607"/>
      <c r="H824" s="607"/>
      <c r="I824" s="607"/>
      <c r="J824" s="607"/>
      <c r="K824" s="617"/>
      <c r="L824" s="607"/>
      <c r="M824" s="607"/>
      <c r="N824" s="607"/>
      <c r="P824" s="44"/>
    </row>
    <row r="825">
      <c r="A825" s="607"/>
      <c r="B825" s="607"/>
      <c r="C825" s="607"/>
      <c r="D825" s="607"/>
      <c r="E825" s="607"/>
      <c r="F825" s="607"/>
      <c r="G825" s="607"/>
      <c r="H825" s="607"/>
      <c r="I825" s="607"/>
      <c r="J825" s="607"/>
      <c r="K825" s="617"/>
      <c r="L825" s="607"/>
      <c r="M825" s="607"/>
      <c r="N825" s="607"/>
      <c r="P825" s="44"/>
    </row>
    <row r="826">
      <c r="A826" s="607"/>
      <c r="B826" s="607"/>
      <c r="C826" s="607"/>
      <c r="D826" s="607"/>
      <c r="E826" s="607"/>
      <c r="F826" s="607"/>
      <c r="G826" s="607"/>
      <c r="H826" s="607"/>
      <c r="I826" s="607"/>
      <c r="J826" s="607"/>
      <c r="K826" s="617"/>
      <c r="L826" s="607"/>
      <c r="M826" s="607"/>
      <c r="N826" s="607"/>
      <c r="P826" s="44"/>
    </row>
    <row r="827">
      <c r="A827" s="607"/>
      <c r="B827" s="607"/>
      <c r="C827" s="607"/>
      <c r="D827" s="607"/>
      <c r="E827" s="607"/>
      <c r="F827" s="607"/>
      <c r="G827" s="607"/>
      <c r="H827" s="607"/>
      <c r="I827" s="607"/>
      <c r="J827" s="607"/>
      <c r="K827" s="617"/>
      <c r="L827" s="607"/>
      <c r="M827" s="607"/>
      <c r="N827" s="607"/>
      <c r="P827" s="44"/>
    </row>
    <row r="828">
      <c r="A828" s="607"/>
      <c r="B828" s="607"/>
      <c r="C828" s="607"/>
      <c r="D828" s="607"/>
      <c r="E828" s="607"/>
      <c r="F828" s="607"/>
      <c r="G828" s="607"/>
      <c r="H828" s="607"/>
      <c r="I828" s="607"/>
      <c r="J828" s="607"/>
      <c r="K828" s="617"/>
      <c r="L828" s="607"/>
      <c r="M828" s="607"/>
      <c r="N828" s="607"/>
      <c r="P828" s="44"/>
    </row>
    <row r="829">
      <c r="A829" s="607"/>
      <c r="B829" s="607"/>
      <c r="C829" s="607"/>
      <c r="D829" s="607"/>
      <c r="E829" s="607"/>
      <c r="F829" s="607"/>
      <c r="G829" s="607"/>
      <c r="H829" s="607"/>
      <c r="I829" s="607"/>
      <c r="J829" s="607"/>
      <c r="K829" s="617"/>
      <c r="L829" s="607"/>
      <c r="M829" s="607"/>
      <c r="N829" s="607"/>
      <c r="P829" s="44"/>
    </row>
    <row r="830">
      <c r="A830" s="607"/>
      <c r="B830" s="607"/>
      <c r="C830" s="607"/>
      <c r="D830" s="607"/>
      <c r="E830" s="607"/>
      <c r="F830" s="607"/>
      <c r="G830" s="607"/>
      <c r="H830" s="607"/>
      <c r="I830" s="607"/>
      <c r="J830" s="607"/>
      <c r="K830" s="617"/>
      <c r="L830" s="607"/>
      <c r="M830" s="607"/>
      <c r="N830" s="607"/>
      <c r="P830" s="44"/>
    </row>
    <row r="831">
      <c r="A831" s="607"/>
      <c r="B831" s="607"/>
      <c r="C831" s="607"/>
      <c r="D831" s="607"/>
      <c r="E831" s="607"/>
      <c r="F831" s="607"/>
      <c r="G831" s="607"/>
      <c r="H831" s="607"/>
      <c r="I831" s="607"/>
      <c r="J831" s="607"/>
      <c r="K831" s="617"/>
      <c r="L831" s="607"/>
      <c r="M831" s="607"/>
      <c r="N831" s="607"/>
      <c r="P831" s="44"/>
    </row>
    <row r="832">
      <c r="A832" s="607"/>
      <c r="B832" s="607"/>
      <c r="C832" s="607"/>
      <c r="D832" s="607"/>
      <c r="E832" s="607"/>
      <c r="F832" s="607"/>
      <c r="G832" s="607"/>
      <c r="H832" s="607"/>
      <c r="I832" s="607"/>
      <c r="J832" s="607"/>
      <c r="K832" s="617"/>
      <c r="L832" s="607"/>
      <c r="M832" s="607"/>
      <c r="N832" s="607"/>
      <c r="P832" s="44"/>
    </row>
    <row r="833">
      <c r="A833" s="607"/>
      <c r="B833" s="607"/>
      <c r="C833" s="607"/>
      <c r="D833" s="607"/>
      <c r="E833" s="607"/>
      <c r="F833" s="607"/>
      <c r="G833" s="607"/>
      <c r="H833" s="607"/>
      <c r="I833" s="607"/>
      <c r="J833" s="607"/>
      <c r="K833" s="617"/>
      <c r="L833" s="607"/>
      <c r="M833" s="607"/>
      <c r="N833" s="607"/>
      <c r="P833" s="44"/>
    </row>
    <row r="834">
      <c r="A834" s="607"/>
      <c r="B834" s="607"/>
      <c r="C834" s="607"/>
      <c r="D834" s="607"/>
      <c r="E834" s="607"/>
      <c r="F834" s="607"/>
      <c r="G834" s="607"/>
      <c r="H834" s="607"/>
      <c r="I834" s="607"/>
      <c r="J834" s="607"/>
      <c r="K834" s="617"/>
      <c r="L834" s="607"/>
      <c r="M834" s="607"/>
      <c r="N834" s="607"/>
      <c r="P834" s="44"/>
    </row>
    <row r="835">
      <c r="A835" s="607"/>
      <c r="B835" s="607"/>
      <c r="C835" s="607"/>
      <c r="D835" s="607"/>
      <c r="E835" s="607"/>
      <c r="F835" s="607"/>
      <c r="G835" s="607"/>
      <c r="H835" s="607"/>
      <c r="I835" s="607"/>
      <c r="J835" s="607"/>
      <c r="K835" s="617"/>
      <c r="L835" s="607"/>
      <c r="M835" s="607"/>
      <c r="N835" s="607"/>
      <c r="P835" s="44"/>
    </row>
    <row r="836">
      <c r="A836" s="607"/>
      <c r="B836" s="607"/>
      <c r="C836" s="607"/>
      <c r="D836" s="607"/>
      <c r="E836" s="607"/>
      <c r="F836" s="607"/>
      <c r="G836" s="607"/>
      <c r="H836" s="607"/>
      <c r="I836" s="607"/>
      <c r="J836" s="607"/>
      <c r="K836" s="617"/>
      <c r="L836" s="607"/>
      <c r="M836" s="607"/>
      <c r="N836" s="607"/>
      <c r="P836" s="44"/>
    </row>
    <row r="837">
      <c r="A837" s="607"/>
      <c r="B837" s="607"/>
      <c r="C837" s="607"/>
      <c r="D837" s="607"/>
      <c r="E837" s="607"/>
      <c r="F837" s="607"/>
      <c r="G837" s="607"/>
      <c r="H837" s="607"/>
      <c r="I837" s="607"/>
      <c r="J837" s="607"/>
      <c r="K837" s="617"/>
      <c r="L837" s="607"/>
      <c r="M837" s="607"/>
      <c r="N837" s="607"/>
      <c r="P837" s="44"/>
    </row>
    <row r="838">
      <c r="A838" s="607"/>
      <c r="B838" s="607"/>
      <c r="C838" s="607"/>
      <c r="D838" s="607"/>
      <c r="E838" s="607"/>
      <c r="F838" s="607"/>
      <c r="G838" s="607"/>
      <c r="H838" s="607"/>
      <c r="I838" s="607"/>
      <c r="J838" s="607"/>
      <c r="K838" s="617"/>
      <c r="L838" s="607"/>
      <c r="M838" s="607"/>
      <c r="N838" s="607"/>
      <c r="P838" s="44"/>
    </row>
    <row r="839">
      <c r="A839" s="607"/>
      <c r="B839" s="607"/>
      <c r="C839" s="607"/>
      <c r="D839" s="607"/>
      <c r="E839" s="607"/>
      <c r="F839" s="607"/>
      <c r="G839" s="607"/>
      <c r="H839" s="607"/>
      <c r="I839" s="607"/>
      <c r="J839" s="607"/>
      <c r="K839" s="617"/>
      <c r="L839" s="607"/>
      <c r="M839" s="607"/>
      <c r="N839" s="607"/>
      <c r="P839" s="44"/>
    </row>
    <row r="840">
      <c r="A840" s="607"/>
      <c r="B840" s="607"/>
      <c r="C840" s="607"/>
      <c r="D840" s="607"/>
      <c r="E840" s="607"/>
      <c r="F840" s="607"/>
      <c r="G840" s="607"/>
      <c r="H840" s="607"/>
      <c r="I840" s="607"/>
      <c r="J840" s="607"/>
      <c r="K840" s="617"/>
      <c r="L840" s="607"/>
      <c r="M840" s="607"/>
      <c r="N840" s="607"/>
      <c r="P840" s="44"/>
    </row>
    <row r="841">
      <c r="A841" s="607"/>
      <c r="B841" s="607"/>
      <c r="C841" s="607"/>
      <c r="D841" s="607"/>
      <c r="E841" s="607"/>
      <c r="F841" s="607"/>
      <c r="G841" s="607"/>
      <c r="H841" s="607"/>
      <c r="I841" s="607"/>
      <c r="J841" s="607"/>
      <c r="K841" s="617"/>
      <c r="L841" s="607"/>
      <c r="M841" s="607"/>
      <c r="N841" s="607"/>
      <c r="P841" s="44"/>
    </row>
    <row r="842">
      <c r="A842" s="607"/>
      <c r="B842" s="607"/>
      <c r="C842" s="607"/>
      <c r="D842" s="607"/>
      <c r="E842" s="607"/>
      <c r="F842" s="607"/>
      <c r="G842" s="607"/>
      <c r="H842" s="607"/>
      <c r="I842" s="607"/>
      <c r="J842" s="607"/>
      <c r="K842" s="617"/>
      <c r="L842" s="607"/>
      <c r="M842" s="607"/>
      <c r="N842" s="607"/>
      <c r="P842" s="44"/>
    </row>
    <row r="843">
      <c r="A843" s="607"/>
      <c r="B843" s="607"/>
      <c r="C843" s="607"/>
      <c r="D843" s="607"/>
      <c r="E843" s="607"/>
      <c r="F843" s="607"/>
      <c r="G843" s="607"/>
      <c r="H843" s="607"/>
      <c r="I843" s="607"/>
      <c r="J843" s="607"/>
      <c r="K843" s="617"/>
      <c r="L843" s="607"/>
      <c r="M843" s="607"/>
      <c r="N843" s="607"/>
      <c r="P843" s="44"/>
    </row>
    <row r="844">
      <c r="A844" s="607"/>
      <c r="B844" s="607"/>
      <c r="C844" s="607"/>
      <c r="D844" s="607"/>
      <c r="E844" s="607"/>
      <c r="F844" s="607"/>
      <c r="G844" s="607"/>
      <c r="H844" s="607"/>
      <c r="I844" s="607"/>
      <c r="J844" s="607"/>
      <c r="K844" s="617"/>
      <c r="L844" s="607"/>
      <c r="M844" s="607"/>
      <c r="N844" s="607"/>
      <c r="P844" s="44"/>
    </row>
    <row r="845">
      <c r="A845" s="607"/>
      <c r="B845" s="607"/>
      <c r="C845" s="607"/>
      <c r="D845" s="607"/>
      <c r="E845" s="607"/>
      <c r="F845" s="607"/>
      <c r="G845" s="607"/>
      <c r="H845" s="607"/>
      <c r="I845" s="607"/>
      <c r="J845" s="607"/>
      <c r="K845" s="617"/>
      <c r="L845" s="607"/>
      <c r="M845" s="607"/>
      <c r="N845" s="607"/>
      <c r="P845" s="44"/>
    </row>
    <row r="846">
      <c r="A846" s="607"/>
      <c r="B846" s="607"/>
      <c r="C846" s="607"/>
      <c r="D846" s="607"/>
      <c r="E846" s="607"/>
      <c r="F846" s="607"/>
      <c r="G846" s="607"/>
      <c r="H846" s="607"/>
      <c r="I846" s="607"/>
      <c r="J846" s="607"/>
      <c r="K846" s="617"/>
      <c r="L846" s="607"/>
      <c r="M846" s="607"/>
      <c r="N846" s="607"/>
      <c r="P846" s="44"/>
    </row>
    <row r="847">
      <c r="A847" s="607"/>
      <c r="B847" s="607"/>
      <c r="C847" s="607"/>
      <c r="D847" s="607"/>
      <c r="E847" s="607"/>
      <c r="F847" s="607"/>
      <c r="G847" s="607"/>
      <c r="H847" s="607"/>
      <c r="I847" s="607"/>
      <c r="J847" s="607"/>
      <c r="K847" s="617"/>
      <c r="L847" s="607"/>
      <c r="M847" s="607"/>
      <c r="N847" s="607"/>
      <c r="P847" s="44"/>
    </row>
    <row r="848">
      <c r="A848" s="607"/>
      <c r="B848" s="607"/>
      <c r="C848" s="607"/>
      <c r="D848" s="607"/>
      <c r="E848" s="607"/>
      <c r="F848" s="607"/>
      <c r="G848" s="607"/>
      <c r="H848" s="607"/>
      <c r="I848" s="607"/>
      <c r="J848" s="607"/>
      <c r="K848" s="617"/>
      <c r="L848" s="607"/>
      <c r="M848" s="607"/>
      <c r="N848" s="607"/>
      <c r="P848" s="44"/>
    </row>
    <row r="849">
      <c r="A849" s="607"/>
      <c r="B849" s="607"/>
      <c r="C849" s="607"/>
      <c r="D849" s="607"/>
      <c r="E849" s="607"/>
      <c r="F849" s="607"/>
      <c r="G849" s="607"/>
      <c r="H849" s="607"/>
      <c r="I849" s="607"/>
      <c r="J849" s="607"/>
      <c r="K849" s="617"/>
      <c r="L849" s="607"/>
      <c r="M849" s="607"/>
      <c r="N849" s="607"/>
      <c r="P849" s="44"/>
    </row>
    <row r="850">
      <c r="A850" s="607"/>
      <c r="B850" s="607"/>
      <c r="C850" s="607"/>
      <c r="D850" s="607"/>
      <c r="E850" s="607"/>
      <c r="F850" s="607"/>
      <c r="G850" s="607"/>
      <c r="H850" s="607"/>
      <c r="I850" s="607"/>
      <c r="J850" s="607"/>
      <c r="K850" s="617"/>
      <c r="L850" s="607"/>
      <c r="M850" s="607"/>
      <c r="N850" s="607"/>
      <c r="P850" s="44"/>
    </row>
    <row r="851">
      <c r="A851" s="607"/>
      <c r="B851" s="607"/>
      <c r="C851" s="607"/>
      <c r="D851" s="607"/>
      <c r="E851" s="607"/>
      <c r="F851" s="607"/>
      <c r="G851" s="607"/>
      <c r="H851" s="607"/>
      <c r="I851" s="607"/>
      <c r="J851" s="607"/>
      <c r="K851" s="617"/>
      <c r="L851" s="607"/>
      <c r="M851" s="607"/>
      <c r="N851" s="607"/>
      <c r="P851" s="44"/>
    </row>
    <row r="852">
      <c r="A852" s="607"/>
      <c r="B852" s="607"/>
      <c r="C852" s="607"/>
      <c r="D852" s="607"/>
      <c r="E852" s="607"/>
      <c r="F852" s="607"/>
      <c r="G852" s="607"/>
      <c r="H852" s="607"/>
      <c r="I852" s="607"/>
      <c r="J852" s="607"/>
      <c r="K852" s="617"/>
      <c r="L852" s="607"/>
      <c r="M852" s="607"/>
      <c r="N852" s="607"/>
      <c r="P852" s="44"/>
    </row>
    <row r="853">
      <c r="A853" s="607"/>
      <c r="B853" s="607"/>
      <c r="C853" s="607"/>
      <c r="D853" s="607"/>
      <c r="E853" s="607"/>
      <c r="F853" s="607"/>
      <c r="G853" s="607"/>
      <c r="H853" s="607"/>
      <c r="I853" s="607"/>
      <c r="J853" s="607"/>
      <c r="K853" s="617"/>
      <c r="L853" s="607"/>
      <c r="M853" s="607"/>
      <c r="N853" s="607"/>
      <c r="P853" s="44"/>
    </row>
    <row r="854">
      <c r="A854" s="607"/>
      <c r="B854" s="607"/>
      <c r="C854" s="607"/>
      <c r="D854" s="607"/>
      <c r="E854" s="607"/>
      <c r="F854" s="607"/>
      <c r="G854" s="607"/>
      <c r="H854" s="607"/>
      <c r="I854" s="607"/>
      <c r="J854" s="607"/>
      <c r="K854" s="617"/>
      <c r="L854" s="607"/>
      <c r="M854" s="607"/>
      <c r="N854" s="607"/>
      <c r="P854" s="44"/>
    </row>
    <row r="855">
      <c r="A855" s="607"/>
      <c r="B855" s="607"/>
      <c r="C855" s="607"/>
      <c r="D855" s="607"/>
      <c r="E855" s="607"/>
      <c r="F855" s="607"/>
      <c r="G855" s="607"/>
      <c r="H855" s="607"/>
      <c r="I855" s="607"/>
      <c r="J855" s="607"/>
      <c r="K855" s="617"/>
      <c r="L855" s="607"/>
      <c r="M855" s="607"/>
      <c r="N855" s="607"/>
      <c r="P855" s="44"/>
    </row>
    <row r="856">
      <c r="A856" s="607"/>
      <c r="B856" s="607"/>
      <c r="C856" s="607"/>
      <c r="D856" s="607"/>
      <c r="E856" s="607"/>
      <c r="F856" s="607"/>
      <c r="G856" s="607"/>
      <c r="H856" s="607"/>
      <c r="I856" s="607"/>
      <c r="J856" s="607"/>
      <c r="K856" s="617"/>
      <c r="L856" s="607"/>
      <c r="M856" s="607"/>
      <c r="N856" s="607"/>
      <c r="P856" s="44"/>
    </row>
    <row r="857">
      <c r="A857" s="607"/>
      <c r="B857" s="607"/>
      <c r="C857" s="607"/>
      <c r="D857" s="607"/>
      <c r="E857" s="607"/>
      <c r="F857" s="607"/>
      <c r="G857" s="607"/>
      <c r="H857" s="607"/>
      <c r="I857" s="607"/>
      <c r="J857" s="607"/>
      <c r="K857" s="617"/>
      <c r="L857" s="607"/>
      <c r="M857" s="607"/>
      <c r="N857" s="607"/>
      <c r="P857" s="44"/>
    </row>
    <row r="858">
      <c r="A858" s="607"/>
      <c r="B858" s="607"/>
      <c r="C858" s="607"/>
      <c r="D858" s="607"/>
      <c r="E858" s="607"/>
      <c r="F858" s="607"/>
      <c r="G858" s="607"/>
      <c r="H858" s="607"/>
      <c r="I858" s="607"/>
      <c r="J858" s="607"/>
      <c r="K858" s="617"/>
      <c r="L858" s="607"/>
      <c r="M858" s="607"/>
      <c r="N858" s="607"/>
      <c r="P858" s="44"/>
    </row>
    <row r="859">
      <c r="A859" s="607"/>
      <c r="B859" s="607"/>
      <c r="C859" s="607"/>
      <c r="D859" s="607"/>
      <c r="E859" s="607"/>
      <c r="F859" s="607"/>
      <c r="G859" s="607"/>
      <c r="H859" s="607"/>
      <c r="I859" s="607"/>
      <c r="J859" s="607"/>
      <c r="K859" s="617"/>
      <c r="L859" s="607"/>
      <c r="M859" s="607"/>
      <c r="N859" s="607"/>
      <c r="P859" s="44"/>
    </row>
    <row r="860">
      <c r="A860" s="607"/>
      <c r="B860" s="607"/>
      <c r="C860" s="607"/>
      <c r="D860" s="607"/>
      <c r="E860" s="607"/>
      <c r="F860" s="607"/>
      <c r="G860" s="607"/>
      <c r="H860" s="607"/>
      <c r="I860" s="607"/>
      <c r="J860" s="607"/>
      <c r="K860" s="617"/>
      <c r="L860" s="607"/>
      <c r="M860" s="607"/>
      <c r="N860" s="607"/>
      <c r="P860" s="44"/>
    </row>
    <row r="861">
      <c r="A861" s="607"/>
      <c r="B861" s="607"/>
      <c r="C861" s="607"/>
      <c r="D861" s="607"/>
      <c r="E861" s="607"/>
      <c r="F861" s="607"/>
      <c r="G861" s="607"/>
      <c r="H861" s="607"/>
      <c r="I861" s="607"/>
      <c r="J861" s="607"/>
      <c r="K861" s="617"/>
      <c r="L861" s="607"/>
      <c r="M861" s="607"/>
      <c r="N861" s="607"/>
      <c r="P861" s="44"/>
    </row>
    <row r="862">
      <c r="A862" s="607"/>
      <c r="B862" s="607"/>
      <c r="C862" s="607"/>
      <c r="D862" s="607"/>
      <c r="E862" s="607"/>
      <c r="F862" s="607"/>
      <c r="G862" s="607"/>
      <c r="H862" s="607"/>
      <c r="I862" s="607"/>
      <c r="J862" s="607"/>
      <c r="K862" s="617"/>
      <c r="L862" s="607"/>
      <c r="M862" s="607"/>
      <c r="N862" s="607"/>
      <c r="P862" s="44"/>
    </row>
    <row r="863">
      <c r="A863" s="607"/>
      <c r="B863" s="607"/>
      <c r="C863" s="607"/>
      <c r="D863" s="607"/>
      <c r="E863" s="607"/>
      <c r="F863" s="607"/>
      <c r="G863" s="607"/>
      <c r="H863" s="607"/>
      <c r="I863" s="607"/>
      <c r="J863" s="607"/>
      <c r="K863" s="617"/>
      <c r="L863" s="607"/>
      <c r="M863" s="607"/>
      <c r="N863" s="607"/>
      <c r="P863" s="44"/>
    </row>
    <row r="864">
      <c r="A864" s="607"/>
      <c r="B864" s="607"/>
      <c r="C864" s="607"/>
      <c r="D864" s="607"/>
      <c r="E864" s="607"/>
      <c r="F864" s="607"/>
      <c r="G864" s="607"/>
      <c r="H864" s="607"/>
      <c r="I864" s="607"/>
      <c r="J864" s="607"/>
      <c r="K864" s="617"/>
      <c r="L864" s="607"/>
      <c r="M864" s="607"/>
      <c r="N864" s="607"/>
      <c r="P864" s="44"/>
    </row>
    <row r="865">
      <c r="A865" s="607"/>
      <c r="B865" s="607"/>
      <c r="C865" s="607"/>
      <c r="D865" s="607"/>
      <c r="E865" s="607"/>
      <c r="F865" s="607"/>
      <c r="G865" s="607"/>
      <c r="H865" s="607"/>
      <c r="I865" s="607"/>
      <c r="J865" s="607"/>
      <c r="K865" s="617"/>
      <c r="L865" s="607"/>
      <c r="M865" s="607"/>
      <c r="N865" s="607"/>
      <c r="P865" s="44"/>
    </row>
    <row r="866">
      <c r="A866" s="607"/>
      <c r="B866" s="607"/>
      <c r="C866" s="607"/>
      <c r="D866" s="607"/>
      <c r="E866" s="607"/>
      <c r="F866" s="607"/>
      <c r="G866" s="607"/>
      <c r="H866" s="607"/>
      <c r="I866" s="607"/>
      <c r="J866" s="607"/>
      <c r="K866" s="617"/>
      <c r="L866" s="607"/>
      <c r="M866" s="607"/>
      <c r="N866" s="607"/>
      <c r="P866" s="44"/>
    </row>
    <row r="867">
      <c r="A867" s="607"/>
      <c r="B867" s="607"/>
      <c r="C867" s="607"/>
      <c r="D867" s="607"/>
      <c r="E867" s="607"/>
      <c r="F867" s="607"/>
      <c r="G867" s="607"/>
      <c r="H867" s="607"/>
      <c r="I867" s="607"/>
      <c r="J867" s="607"/>
      <c r="K867" s="617"/>
      <c r="L867" s="607"/>
      <c r="M867" s="607"/>
      <c r="N867" s="607"/>
      <c r="P867" s="44"/>
    </row>
    <row r="868">
      <c r="A868" s="607"/>
      <c r="B868" s="607"/>
      <c r="C868" s="607"/>
      <c r="D868" s="607"/>
      <c r="E868" s="607"/>
      <c r="F868" s="607"/>
      <c r="G868" s="607"/>
      <c r="H868" s="607"/>
      <c r="I868" s="607"/>
      <c r="J868" s="607"/>
      <c r="K868" s="617"/>
      <c r="L868" s="607"/>
      <c r="M868" s="607"/>
      <c r="N868" s="607"/>
      <c r="P868" s="44"/>
    </row>
    <row r="869">
      <c r="A869" s="607"/>
      <c r="B869" s="607"/>
      <c r="C869" s="607"/>
      <c r="D869" s="607"/>
      <c r="E869" s="607"/>
      <c r="F869" s="607"/>
      <c r="G869" s="607"/>
      <c r="H869" s="607"/>
      <c r="I869" s="607"/>
      <c r="J869" s="607"/>
      <c r="K869" s="617"/>
      <c r="L869" s="607"/>
      <c r="M869" s="607"/>
      <c r="N869" s="607"/>
      <c r="P869" s="44"/>
    </row>
    <row r="870">
      <c r="A870" s="607"/>
      <c r="B870" s="607"/>
      <c r="C870" s="607"/>
      <c r="D870" s="607"/>
      <c r="E870" s="607"/>
      <c r="F870" s="607"/>
      <c r="G870" s="607"/>
      <c r="H870" s="607"/>
      <c r="I870" s="607"/>
      <c r="J870" s="607"/>
      <c r="K870" s="617"/>
      <c r="L870" s="607"/>
      <c r="M870" s="607"/>
      <c r="N870" s="607"/>
      <c r="P870" s="44"/>
    </row>
    <row r="871">
      <c r="A871" s="607"/>
      <c r="B871" s="607"/>
      <c r="C871" s="607"/>
      <c r="D871" s="607"/>
      <c r="E871" s="607"/>
      <c r="F871" s="607"/>
      <c r="G871" s="607"/>
      <c r="H871" s="607"/>
      <c r="I871" s="607"/>
      <c r="J871" s="607"/>
      <c r="K871" s="617"/>
      <c r="L871" s="607"/>
      <c r="M871" s="607"/>
      <c r="N871" s="607"/>
      <c r="P871" s="44"/>
    </row>
    <row r="872">
      <c r="A872" s="607"/>
      <c r="B872" s="607"/>
      <c r="C872" s="607"/>
      <c r="D872" s="607"/>
      <c r="E872" s="607"/>
      <c r="F872" s="607"/>
      <c r="G872" s="607"/>
      <c r="H872" s="607"/>
      <c r="I872" s="607"/>
      <c r="J872" s="607"/>
      <c r="K872" s="617"/>
      <c r="L872" s="607"/>
      <c r="M872" s="607"/>
      <c r="N872" s="607"/>
      <c r="P872" s="44"/>
    </row>
    <row r="873">
      <c r="A873" s="607"/>
      <c r="B873" s="607"/>
      <c r="C873" s="607"/>
      <c r="D873" s="607"/>
      <c r="E873" s="607"/>
      <c r="F873" s="607"/>
      <c r="G873" s="607"/>
      <c r="H873" s="607"/>
      <c r="I873" s="607"/>
      <c r="J873" s="607"/>
      <c r="K873" s="617"/>
      <c r="L873" s="607"/>
      <c r="M873" s="607"/>
      <c r="N873" s="607"/>
      <c r="P873" s="44"/>
    </row>
    <row r="874">
      <c r="A874" s="607"/>
      <c r="B874" s="607"/>
      <c r="C874" s="607"/>
      <c r="D874" s="607"/>
      <c r="E874" s="607"/>
      <c r="F874" s="607"/>
      <c r="G874" s="607"/>
      <c r="H874" s="607"/>
      <c r="I874" s="607"/>
      <c r="J874" s="607"/>
      <c r="K874" s="617"/>
      <c r="L874" s="607"/>
      <c r="M874" s="607"/>
      <c r="N874" s="607"/>
      <c r="P874" s="44"/>
    </row>
    <row r="875">
      <c r="A875" s="607"/>
      <c r="B875" s="607"/>
      <c r="C875" s="607"/>
      <c r="D875" s="607"/>
      <c r="E875" s="607"/>
      <c r="F875" s="607"/>
      <c r="G875" s="607"/>
      <c r="H875" s="607"/>
      <c r="I875" s="607"/>
      <c r="J875" s="607"/>
      <c r="K875" s="617"/>
      <c r="L875" s="607"/>
      <c r="M875" s="607"/>
      <c r="N875" s="607"/>
      <c r="P875" s="44"/>
    </row>
    <row r="876">
      <c r="A876" s="607"/>
      <c r="B876" s="607"/>
      <c r="C876" s="607"/>
      <c r="D876" s="607"/>
      <c r="E876" s="607"/>
      <c r="F876" s="607"/>
      <c r="G876" s="607"/>
      <c r="H876" s="607"/>
      <c r="I876" s="607"/>
      <c r="J876" s="607"/>
      <c r="K876" s="617"/>
      <c r="L876" s="607"/>
      <c r="M876" s="607"/>
      <c r="N876" s="607"/>
      <c r="P876" s="44"/>
    </row>
    <row r="877">
      <c r="A877" s="607"/>
      <c r="B877" s="607"/>
      <c r="C877" s="607"/>
      <c r="D877" s="607"/>
      <c r="E877" s="607"/>
      <c r="F877" s="607"/>
      <c r="G877" s="607"/>
      <c r="H877" s="607"/>
      <c r="I877" s="607"/>
      <c r="J877" s="607"/>
      <c r="K877" s="617"/>
      <c r="L877" s="607"/>
      <c r="M877" s="607"/>
      <c r="N877" s="607"/>
      <c r="P877" s="44"/>
    </row>
    <row r="878">
      <c r="A878" s="607"/>
      <c r="B878" s="607"/>
      <c r="C878" s="607"/>
      <c r="D878" s="607"/>
      <c r="E878" s="607"/>
      <c r="F878" s="607"/>
      <c r="G878" s="607"/>
      <c r="H878" s="607"/>
      <c r="I878" s="607"/>
      <c r="J878" s="607"/>
      <c r="K878" s="617"/>
      <c r="L878" s="607"/>
      <c r="M878" s="607"/>
      <c r="N878" s="607"/>
      <c r="P878" s="44"/>
    </row>
    <row r="879">
      <c r="A879" s="607"/>
      <c r="B879" s="607"/>
      <c r="C879" s="607"/>
      <c r="D879" s="607"/>
      <c r="E879" s="607"/>
      <c r="F879" s="607"/>
      <c r="G879" s="607"/>
      <c r="H879" s="607"/>
      <c r="I879" s="607"/>
      <c r="J879" s="607"/>
      <c r="K879" s="617"/>
      <c r="L879" s="607"/>
      <c r="M879" s="607"/>
      <c r="N879" s="607"/>
      <c r="P879" s="44"/>
    </row>
    <row r="880">
      <c r="A880" s="607"/>
      <c r="B880" s="607"/>
      <c r="C880" s="607"/>
      <c r="D880" s="607"/>
      <c r="E880" s="607"/>
      <c r="F880" s="607"/>
      <c r="G880" s="607"/>
      <c r="H880" s="607"/>
      <c r="I880" s="607"/>
      <c r="J880" s="607"/>
      <c r="K880" s="617"/>
      <c r="L880" s="607"/>
      <c r="M880" s="607"/>
      <c r="N880" s="607"/>
      <c r="P880" s="44"/>
    </row>
    <row r="881">
      <c r="A881" s="607"/>
      <c r="B881" s="607"/>
      <c r="C881" s="607"/>
      <c r="D881" s="607"/>
      <c r="E881" s="607"/>
      <c r="F881" s="607"/>
      <c r="G881" s="607"/>
      <c r="H881" s="607"/>
      <c r="I881" s="607"/>
      <c r="J881" s="607"/>
      <c r="K881" s="617"/>
      <c r="L881" s="607"/>
      <c r="M881" s="607"/>
      <c r="N881" s="607"/>
      <c r="P881" s="44"/>
    </row>
    <row r="882">
      <c r="A882" s="607"/>
      <c r="B882" s="607"/>
      <c r="C882" s="607"/>
      <c r="D882" s="607"/>
      <c r="E882" s="607"/>
      <c r="F882" s="607"/>
      <c r="G882" s="607"/>
      <c r="H882" s="607"/>
      <c r="I882" s="607"/>
      <c r="J882" s="607"/>
      <c r="K882" s="617"/>
      <c r="L882" s="607"/>
      <c r="M882" s="607"/>
      <c r="N882" s="607"/>
      <c r="P882" s="44"/>
    </row>
    <row r="883">
      <c r="A883" s="607"/>
      <c r="B883" s="607"/>
      <c r="C883" s="607"/>
      <c r="D883" s="607"/>
      <c r="E883" s="607"/>
      <c r="F883" s="607"/>
      <c r="G883" s="607"/>
      <c r="H883" s="607"/>
      <c r="I883" s="607"/>
      <c r="J883" s="607"/>
      <c r="K883" s="617"/>
      <c r="L883" s="607"/>
      <c r="M883" s="607"/>
      <c r="N883" s="607"/>
      <c r="P883" s="44"/>
    </row>
    <row r="884">
      <c r="A884" s="607"/>
      <c r="B884" s="607"/>
      <c r="C884" s="607"/>
      <c r="D884" s="607"/>
      <c r="E884" s="607"/>
      <c r="F884" s="607"/>
      <c r="G884" s="607"/>
      <c r="H884" s="607"/>
      <c r="I884" s="607"/>
      <c r="J884" s="607"/>
      <c r="K884" s="617"/>
      <c r="L884" s="607"/>
      <c r="M884" s="607"/>
      <c r="N884" s="607"/>
      <c r="P884" s="44"/>
    </row>
    <row r="885">
      <c r="A885" s="607"/>
      <c r="B885" s="607"/>
      <c r="C885" s="607"/>
      <c r="D885" s="607"/>
      <c r="E885" s="607"/>
      <c r="F885" s="607"/>
      <c r="G885" s="607"/>
      <c r="H885" s="607"/>
      <c r="I885" s="607"/>
      <c r="J885" s="607"/>
      <c r="K885" s="617"/>
      <c r="L885" s="607"/>
      <c r="M885" s="607"/>
      <c r="N885" s="607"/>
      <c r="P885" s="44"/>
    </row>
    <row r="886">
      <c r="A886" s="607"/>
      <c r="B886" s="607"/>
      <c r="C886" s="607"/>
      <c r="D886" s="607"/>
      <c r="E886" s="607"/>
      <c r="F886" s="607"/>
      <c r="G886" s="607"/>
      <c r="H886" s="607"/>
      <c r="I886" s="607"/>
      <c r="J886" s="607"/>
      <c r="K886" s="617"/>
      <c r="L886" s="607"/>
      <c r="M886" s="607"/>
      <c r="N886" s="607"/>
      <c r="P886" s="44"/>
    </row>
    <row r="887">
      <c r="A887" s="607"/>
      <c r="B887" s="607"/>
      <c r="C887" s="607"/>
      <c r="D887" s="607"/>
      <c r="E887" s="607"/>
      <c r="F887" s="607"/>
      <c r="G887" s="607"/>
      <c r="H887" s="607"/>
      <c r="I887" s="607"/>
      <c r="J887" s="607"/>
      <c r="K887" s="617"/>
      <c r="L887" s="607"/>
      <c r="M887" s="607"/>
      <c r="N887" s="607"/>
      <c r="P887" s="44"/>
    </row>
    <row r="888">
      <c r="A888" s="607"/>
      <c r="B888" s="607"/>
      <c r="C888" s="607"/>
      <c r="D888" s="607"/>
      <c r="E888" s="607"/>
      <c r="F888" s="607"/>
      <c r="G888" s="607"/>
      <c r="H888" s="607"/>
      <c r="I888" s="607"/>
      <c r="J888" s="607"/>
      <c r="K888" s="617"/>
      <c r="L888" s="607"/>
      <c r="M888" s="607"/>
      <c r="N888" s="607"/>
      <c r="P888" s="44"/>
    </row>
    <row r="889">
      <c r="A889" s="607"/>
      <c r="B889" s="607"/>
      <c r="C889" s="607"/>
      <c r="D889" s="607"/>
      <c r="E889" s="607"/>
      <c r="F889" s="607"/>
      <c r="G889" s="607"/>
      <c r="H889" s="607"/>
      <c r="I889" s="607"/>
      <c r="J889" s="607"/>
      <c r="K889" s="617"/>
      <c r="L889" s="607"/>
      <c r="M889" s="607"/>
      <c r="N889" s="607"/>
      <c r="P889" s="44"/>
    </row>
    <row r="890">
      <c r="A890" s="607"/>
      <c r="B890" s="607"/>
      <c r="C890" s="607"/>
      <c r="D890" s="607"/>
      <c r="E890" s="607"/>
      <c r="F890" s="607"/>
      <c r="G890" s="607"/>
      <c r="H890" s="607"/>
      <c r="I890" s="607"/>
      <c r="J890" s="607"/>
      <c r="K890" s="617"/>
      <c r="L890" s="607"/>
      <c r="M890" s="607"/>
      <c r="N890" s="607"/>
      <c r="P890" s="44"/>
    </row>
    <row r="891">
      <c r="A891" s="607"/>
      <c r="B891" s="607"/>
      <c r="C891" s="607"/>
      <c r="D891" s="607"/>
      <c r="E891" s="607"/>
      <c r="F891" s="607"/>
      <c r="G891" s="607"/>
      <c r="H891" s="607"/>
      <c r="I891" s="607"/>
      <c r="J891" s="607"/>
      <c r="K891" s="617"/>
      <c r="L891" s="607"/>
      <c r="M891" s="607"/>
      <c r="N891" s="607"/>
      <c r="P891" s="44"/>
    </row>
    <row r="892">
      <c r="A892" s="607"/>
      <c r="B892" s="607"/>
      <c r="C892" s="607"/>
      <c r="D892" s="607"/>
      <c r="E892" s="607"/>
      <c r="F892" s="607"/>
      <c r="G892" s="607"/>
      <c r="H892" s="607"/>
      <c r="I892" s="607"/>
      <c r="J892" s="607"/>
      <c r="K892" s="617"/>
      <c r="L892" s="607"/>
      <c r="M892" s="607"/>
      <c r="N892" s="607"/>
      <c r="P892" s="44"/>
    </row>
    <row r="893">
      <c r="A893" s="607"/>
      <c r="B893" s="607"/>
      <c r="C893" s="607"/>
      <c r="D893" s="607"/>
      <c r="E893" s="607"/>
      <c r="F893" s="607"/>
      <c r="G893" s="607"/>
      <c r="H893" s="607"/>
      <c r="I893" s="607"/>
      <c r="J893" s="607"/>
      <c r="K893" s="617"/>
      <c r="L893" s="607"/>
      <c r="M893" s="607"/>
      <c r="N893" s="607"/>
      <c r="P893" s="44"/>
    </row>
    <row r="894">
      <c r="A894" s="607"/>
      <c r="B894" s="607"/>
      <c r="C894" s="607"/>
      <c r="D894" s="607"/>
      <c r="E894" s="607"/>
      <c r="F894" s="607"/>
      <c r="G894" s="607"/>
      <c r="H894" s="607"/>
      <c r="I894" s="607"/>
      <c r="J894" s="607"/>
      <c r="K894" s="617"/>
      <c r="L894" s="607"/>
      <c r="M894" s="607"/>
      <c r="N894" s="607"/>
      <c r="P894" s="44"/>
    </row>
    <row r="895">
      <c r="A895" s="607"/>
      <c r="B895" s="607"/>
      <c r="C895" s="607"/>
      <c r="D895" s="607"/>
      <c r="E895" s="607"/>
      <c r="F895" s="607"/>
      <c r="G895" s="607"/>
      <c r="H895" s="607"/>
      <c r="I895" s="607"/>
      <c r="J895" s="607"/>
      <c r="K895" s="617"/>
      <c r="L895" s="607"/>
      <c r="M895" s="607"/>
      <c r="N895" s="607"/>
      <c r="P895" s="44"/>
    </row>
    <row r="896">
      <c r="A896" s="607"/>
      <c r="B896" s="607"/>
      <c r="C896" s="607"/>
      <c r="D896" s="607"/>
      <c r="E896" s="607"/>
      <c r="F896" s="607"/>
      <c r="G896" s="607"/>
      <c r="H896" s="607"/>
      <c r="I896" s="607"/>
      <c r="J896" s="607"/>
      <c r="K896" s="617"/>
      <c r="L896" s="607"/>
      <c r="M896" s="607"/>
      <c r="N896" s="607"/>
      <c r="P896" s="44"/>
    </row>
    <row r="897">
      <c r="A897" s="607"/>
      <c r="B897" s="607"/>
      <c r="C897" s="607"/>
      <c r="D897" s="607"/>
      <c r="E897" s="607"/>
      <c r="F897" s="607"/>
      <c r="G897" s="607"/>
      <c r="H897" s="607"/>
      <c r="I897" s="607"/>
      <c r="J897" s="607"/>
      <c r="K897" s="617"/>
      <c r="L897" s="607"/>
      <c r="M897" s="607"/>
      <c r="N897" s="607"/>
      <c r="P897" s="44"/>
    </row>
    <row r="898">
      <c r="A898" s="607"/>
      <c r="B898" s="607"/>
      <c r="C898" s="607"/>
      <c r="D898" s="607"/>
      <c r="E898" s="607"/>
      <c r="F898" s="607"/>
      <c r="G898" s="607"/>
      <c r="H898" s="607"/>
      <c r="I898" s="607"/>
      <c r="J898" s="607"/>
      <c r="K898" s="617"/>
      <c r="L898" s="607"/>
      <c r="M898" s="607"/>
      <c r="N898" s="607"/>
      <c r="P898" s="44"/>
    </row>
    <row r="899">
      <c r="A899" s="607"/>
      <c r="B899" s="607"/>
      <c r="C899" s="607"/>
      <c r="D899" s="607"/>
      <c r="E899" s="607"/>
      <c r="F899" s="607"/>
      <c r="G899" s="607"/>
      <c r="H899" s="607"/>
      <c r="I899" s="607"/>
      <c r="J899" s="607"/>
      <c r="K899" s="617"/>
      <c r="L899" s="607"/>
      <c r="M899" s="607"/>
      <c r="N899" s="607"/>
      <c r="P899" s="44"/>
    </row>
    <row r="900">
      <c r="A900" s="607"/>
      <c r="B900" s="607"/>
      <c r="C900" s="607"/>
      <c r="D900" s="607"/>
      <c r="E900" s="607"/>
      <c r="F900" s="607"/>
      <c r="G900" s="607"/>
      <c r="H900" s="607"/>
      <c r="I900" s="607"/>
      <c r="J900" s="607"/>
      <c r="K900" s="617"/>
      <c r="L900" s="607"/>
      <c r="M900" s="607"/>
      <c r="N900" s="607"/>
      <c r="P900" s="44"/>
    </row>
    <row r="901">
      <c r="A901" s="607"/>
      <c r="B901" s="607"/>
      <c r="C901" s="607"/>
      <c r="D901" s="607"/>
      <c r="E901" s="607"/>
      <c r="F901" s="607"/>
      <c r="G901" s="607"/>
      <c r="H901" s="607"/>
      <c r="I901" s="607"/>
      <c r="J901" s="607"/>
      <c r="K901" s="617"/>
      <c r="L901" s="607"/>
      <c r="M901" s="607"/>
      <c r="N901" s="607"/>
      <c r="P901" s="44"/>
    </row>
    <row r="902">
      <c r="A902" s="607"/>
      <c r="B902" s="607"/>
      <c r="C902" s="607"/>
      <c r="D902" s="607"/>
      <c r="E902" s="607"/>
      <c r="F902" s="607"/>
      <c r="G902" s="607"/>
      <c r="H902" s="607"/>
      <c r="I902" s="607"/>
      <c r="J902" s="607"/>
      <c r="K902" s="617"/>
      <c r="L902" s="607"/>
      <c r="M902" s="607"/>
      <c r="N902" s="607"/>
      <c r="P902" s="44"/>
    </row>
    <row r="903">
      <c r="A903" s="607"/>
      <c r="B903" s="607"/>
      <c r="C903" s="607"/>
      <c r="D903" s="607"/>
      <c r="E903" s="607"/>
      <c r="F903" s="607"/>
      <c r="G903" s="607"/>
      <c r="H903" s="607"/>
      <c r="I903" s="607"/>
      <c r="J903" s="607"/>
      <c r="K903" s="617"/>
      <c r="L903" s="607"/>
      <c r="M903" s="607"/>
      <c r="N903" s="607"/>
      <c r="P903" s="44"/>
    </row>
    <row r="904">
      <c r="A904" s="607"/>
      <c r="B904" s="607"/>
      <c r="C904" s="607"/>
      <c r="D904" s="607"/>
      <c r="E904" s="607"/>
      <c r="F904" s="607"/>
      <c r="G904" s="607"/>
      <c r="H904" s="607"/>
      <c r="I904" s="607"/>
      <c r="J904" s="607"/>
      <c r="K904" s="617"/>
      <c r="L904" s="607"/>
      <c r="M904" s="607"/>
      <c r="N904" s="607"/>
      <c r="P904" s="44"/>
    </row>
    <row r="905">
      <c r="A905" s="607"/>
      <c r="B905" s="607"/>
      <c r="C905" s="607"/>
      <c r="D905" s="607"/>
      <c r="E905" s="607"/>
      <c r="F905" s="607"/>
      <c r="G905" s="607"/>
      <c r="H905" s="607"/>
      <c r="I905" s="607"/>
      <c r="J905" s="607"/>
      <c r="K905" s="617"/>
      <c r="L905" s="607"/>
      <c r="M905" s="607"/>
      <c r="N905" s="607"/>
      <c r="P905" s="44"/>
    </row>
    <row r="906">
      <c r="A906" s="607"/>
      <c r="B906" s="607"/>
      <c r="C906" s="607"/>
      <c r="D906" s="607"/>
      <c r="E906" s="607"/>
      <c r="F906" s="607"/>
      <c r="G906" s="607"/>
      <c r="H906" s="607"/>
      <c r="I906" s="607"/>
      <c r="J906" s="607"/>
      <c r="K906" s="617"/>
      <c r="L906" s="607"/>
      <c r="M906" s="607"/>
      <c r="N906" s="607"/>
      <c r="P906" s="44"/>
    </row>
    <row r="907">
      <c r="A907" s="607"/>
      <c r="B907" s="607"/>
      <c r="C907" s="607"/>
      <c r="D907" s="607"/>
      <c r="E907" s="607"/>
      <c r="F907" s="607"/>
      <c r="G907" s="607"/>
      <c r="H907" s="607"/>
      <c r="I907" s="607"/>
      <c r="J907" s="607"/>
      <c r="K907" s="617"/>
      <c r="L907" s="607"/>
      <c r="M907" s="607"/>
      <c r="N907" s="607"/>
      <c r="P907" s="44"/>
    </row>
    <row r="908">
      <c r="A908" s="607"/>
      <c r="B908" s="607"/>
      <c r="C908" s="607"/>
      <c r="D908" s="607"/>
      <c r="E908" s="607"/>
      <c r="F908" s="607"/>
      <c r="G908" s="607"/>
      <c r="H908" s="607"/>
      <c r="I908" s="607"/>
      <c r="J908" s="607"/>
      <c r="K908" s="617"/>
      <c r="L908" s="607"/>
      <c r="M908" s="607"/>
      <c r="N908" s="607"/>
      <c r="P908" s="44"/>
    </row>
    <row r="909">
      <c r="A909" s="607"/>
      <c r="B909" s="607"/>
      <c r="C909" s="607"/>
      <c r="D909" s="607"/>
      <c r="E909" s="607"/>
      <c r="F909" s="607"/>
      <c r="G909" s="607"/>
      <c r="H909" s="607"/>
      <c r="I909" s="607"/>
      <c r="J909" s="607"/>
      <c r="K909" s="617"/>
      <c r="L909" s="607"/>
      <c r="M909" s="607"/>
      <c r="N909" s="607"/>
      <c r="P909" s="44"/>
    </row>
    <row r="910">
      <c r="A910" s="607"/>
      <c r="B910" s="607"/>
      <c r="C910" s="607"/>
      <c r="D910" s="607"/>
      <c r="E910" s="607"/>
      <c r="F910" s="607"/>
      <c r="G910" s="607"/>
      <c r="H910" s="607"/>
      <c r="I910" s="607"/>
      <c r="J910" s="607"/>
      <c r="K910" s="617"/>
      <c r="L910" s="607"/>
      <c r="M910" s="607"/>
      <c r="N910" s="607"/>
      <c r="P910" s="44"/>
    </row>
    <row r="911">
      <c r="A911" s="607"/>
      <c r="B911" s="607"/>
      <c r="C911" s="607"/>
      <c r="D911" s="607"/>
      <c r="E911" s="607"/>
      <c r="F911" s="607"/>
      <c r="G911" s="607"/>
      <c r="H911" s="607"/>
      <c r="I911" s="607"/>
      <c r="J911" s="607"/>
      <c r="K911" s="617"/>
      <c r="L911" s="607"/>
      <c r="M911" s="607"/>
      <c r="N911" s="607"/>
      <c r="P911" s="44"/>
    </row>
    <row r="912">
      <c r="A912" s="607"/>
      <c r="B912" s="607"/>
      <c r="C912" s="607"/>
      <c r="D912" s="607"/>
      <c r="E912" s="607"/>
      <c r="F912" s="607"/>
      <c r="G912" s="607"/>
      <c r="H912" s="607"/>
      <c r="I912" s="607"/>
      <c r="J912" s="607"/>
      <c r="K912" s="617"/>
      <c r="L912" s="607"/>
      <c r="M912" s="607"/>
      <c r="N912" s="607"/>
      <c r="P912" s="44"/>
    </row>
    <row r="913">
      <c r="A913" s="607"/>
      <c r="B913" s="607"/>
      <c r="C913" s="607"/>
      <c r="D913" s="607"/>
      <c r="E913" s="607"/>
      <c r="F913" s="607"/>
      <c r="G913" s="607"/>
      <c r="H913" s="607"/>
      <c r="I913" s="607"/>
      <c r="J913" s="607"/>
      <c r="K913" s="617"/>
      <c r="L913" s="607"/>
      <c r="M913" s="607"/>
      <c r="N913" s="607"/>
      <c r="P913" s="44"/>
    </row>
    <row r="914">
      <c r="A914" s="607"/>
      <c r="B914" s="607"/>
      <c r="C914" s="607"/>
      <c r="D914" s="607"/>
      <c r="E914" s="607"/>
      <c r="F914" s="607"/>
      <c r="G914" s="607"/>
      <c r="H914" s="607"/>
      <c r="I914" s="607"/>
      <c r="J914" s="607"/>
      <c r="K914" s="617"/>
      <c r="L914" s="607"/>
      <c r="M914" s="607"/>
      <c r="N914" s="607"/>
      <c r="P914" s="44"/>
    </row>
    <row r="915">
      <c r="A915" s="607"/>
      <c r="B915" s="607"/>
      <c r="C915" s="607"/>
      <c r="D915" s="607"/>
      <c r="E915" s="607"/>
      <c r="F915" s="607"/>
      <c r="G915" s="607"/>
      <c r="H915" s="607"/>
      <c r="I915" s="607"/>
      <c r="J915" s="607"/>
      <c r="K915" s="617"/>
      <c r="L915" s="607"/>
      <c r="M915" s="607"/>
      <c r="N915" s="607"/>
      <c r="P915" s="44"/>
    </row>
    <row r="916">
      <c r="A916" s="607"/>
      <c r="B916" s="607"/>
      <c r="C916" s="607"/>
      <c r="D916" s="607"/>
      <c r="E916" s="607"/>
      <c r="F916" s="607"/>
      <c r="G916" s="607"/>
      <c r="H916" s="607"/>
      <c r="I916" s="607"/>
      <c r="J916" s="607"/>
      <c r="K916" s="617"/>
      <c r="L916" s="607"/>
      <c r="M916" s="607"/>
      <c r="N916" s="607"/>
      <c r="P916" s="44"/>
    </row>
    <row r="917">
      <c r="A917" s="607"/>
      <c r="B917" s="607"/>
      <c r="C917" s="607"/>
      <c r="D917" s="607"/>
      <c r="E917" s="607"/>
      <c r="F917" s="607"/>
      <c r="G917" s="607"/>
      <c r="H917" s="607"/>
      <c r="I917" s="607"/>
      <c r="J917" s="607"/>
      <c r="K917" s="617"/>
      <c r="L917" s="607"/>
      <c r="M917" s="607"/>
      <c r="N917" s="607"/>
      <c r="P917" s="44"/>
    </row>
    <row r="918">
      <c r="A918" s="607"/>
      <c r="B918" s="607"/>
      <c r="C918" s="607"/>
      <c r="D918" s="607"/>
      <c r="E918" s="607"/>
      <c r="F918" s="607"/>
      <c r="G918" s="607"/>
      <c r="H918" s="607"/>
      <c r="I918" s="607"/>
      <c r="J918" s="607"/>
      <c r="K918" s="617"/>
      <c r="L918" s="607"/>
      <c r="M918" s="607"/>
      <c r="N918" s="607"/>
      <c r="P918" s="44"/>
    </row>
    <row r="919">
      <c r="A919" s="607"/>
      <c r="B919" s="607"/>
      <c r="C919" s="607"/>
      <c r="D919" s="607"/>
      <c r="E919" s="607"/>
      <c r="F919" s="607"/>
      <c r="G919" s="607"/>
      <c r="H919" s="607"/>
      <c r="I919" s="607"/>
      <c r="J919" s="607"/>
      <c r="K919" s="617"/>
      <c r="L919" s="607"/>
      <c r="M919" s="607"/>
      <c r="N919" s="607"/>
      <c r="P919" s="44"/>
    </row>
    <row r="920">
      <c r="A920" s="607"/>
      <c r="B920" s="607"/>
      <c r="C920" s="607"/>
      <c r="D920" s="607"/>
      <c r="E920" s="607"/>
      <c r="F920" s="607"/>
      <c r="G920" s="607"/>
      <c r="H920" s="607"/>
      <c r="I920" s="607"/>
      <c r="J920" s="607"/>
      <c r="K920" s="617"/>
      <c r="L920" s="607"/>
      <c r="M920" s="607"/>
      <c r="N920" s="607"/>
      <c r="P920" s="44"/>
    </row>
    <row r="921">
      <c r="A921" s="607"/>
      <c r="B921" s="607"/>
      <c r="C921" s="607"/>
      <c r="D921" s="607"/>
      <c r="E921" s="607"/>
      <c r="F921" s="607"/>
      <c r="G921" s="607"/>
      <c r="H921" s="607"/>
      <c r="I921" s="607"/>
      <c r="J921" s="607"/>
      <c r="K921" s="617"/>
      <c r="L921" s="607"/>
      <c r="M921" s="607"/>
      <c r="N921" s="607"/>
      <c r="P921" s="44"/>
    </row>
    <row r="922">
      <c r="A922" s="607"/>
      <c r="B922" s="607"/>
      <c r="C922" s="607"/>
      <c r="D922" s="607"/>
      <c r="E922" s="607"/>
      <c r="F922" s="607"/>
      <c r="G922" s="607"/>
      <c r="H922" s="607"/>
      <c r="I922" s="607"/>
      <c r="J922" s="607"/>
      <c r="K922" s="617"/>
      <c r="L922" s="607"/>
      <c r="M922" s="607"/>
      <c r="N922" s="607"/>
      <c r="P922" s="44"/>
    </row>
    <row r="923">
      <c r="A923" s="607"/>
      <c r="B923" s="607"/>
      <c r="C923" s="607"/>
      <c r="D923" s="607"/>
      <c r="E923" s="607"/>
      <c r="F923" s="607"/>
      <c r="G923" s="607"/>
      <c r="H923" s="607"/>
      <c r="I923" s="607"/>
      <c r="J923" s="607"/>
      <c r="K923" s="617"/>
      <c r="L923" s="607"/>
      <c r="M923" s="607"/>
      <c r="N923" s="607"/>
      <c r="P923" s="44"/>
    </row>
    <row r="924">
      <c r="A924" s="607"/>
      <c r="B924" s="607"/>
      <c r="C924" s="607"/>
      <c r="D924" s="607"/>
      <c r="E924" s="607"/>
      <c r="F924" s="607"/>
      <c r="G924" s="607"/>
      <c r="H924" s="607"/>
      <c r="I924" s="607"/>
      <c r="J924" s="607"/>
      <c r="K924" s="617"/>
      <c r="L924" s="607"/>
      <c r="M924" s="607"/>
      <c r="N924" s="607"/>
      <c r="P924" s="44"/>
    </row>
    <row r="925">
      <c r="A925" s="607"/>
      <c r="B925" s="607"/>
      <c r="C925" s="607"/>
      <c r="D925" s="607"/>
      <c r="E925" s="607"/>
      <c r="F925" s="607"/>
      <c r="G925" s="607"/>
      <c r="H925" s="607"/>
      <c r="I925" s="607"/>
      <c r="J925" s="607"/>
      <c r="K925" s="617"/>
      <c r="L925" s="607"/>
      <c r="M925" s="607"/>
      <c r="N925" s="607"/>
      <c r="P925" s="44"/>
    </row>
    <row r="926">
      <c r="A926" s="607"/>
      <c r="B926" s="607"/>
      <c r="C926" s="607"/>
      <c r="D926" s="607"/>
      <c r="E926" s="607"/>
      <c r="F926" s="607"/>
      <c r="G926" s="607"/>
      <c r="H926" s="607"/>
      <c r="I926" s="607"/>
      <c r="J926" s="607"/>
      <c r="K926" s="617"/>
      <c r="L926" s="607"/>
      <c r="M926" s="607"/>
      <c r="N926" s="607"/>
      <c r="P926" s="44"/>
    </row>
    <row r="927">
      <c r="A927" s="607"/>
      <c r="B927" s="607"/>
      <c r="C927" s="607"/>
      <c r="D927" s="607"/>
      <c r="E927" s="607"/>
      <c r="F927" s="607"/>
      <c r="G927" s="607"/>
      <c r="H927" s="607"/>
      <c r="I927" s="607"/>
      <c r="J927" s="607"/>
      <c r="K927" s="617"/>
      <c r="L927" s="607"/>
      <c r="M927" s="607"/>
      <c r="N927" s="607"/>
      <c r="P927" s="44"/>
    </row>
    <row r="928">
      <c r="A928" s="607"/>
      <c r="B928" s="607"/>
      <c r="C928" s="607"/>
      <c r="D928" s="607"/>
      <c r="E928" s="607"/>
      <c r="F928" s="607"/>
      <c r="G928" s="607"/>
      <c r="H928" s="607"/>
      <c r="I928" s="607"/>
      <c r="J928" s="607"/>
      <c r="K928" s="617"/>
      <c r="L928" s="607"/>
      <c r="M928" s="607"/>
      <c r="N928" s="607"/>
      <c r="P928" s="44"/>
    </row>
    <row r="929">
      <c r="A929" s="607"/>
      <c r="B929" s="607"/>
      <c r="C929" s="607"/>
      <c r="D929" s="607"/>
      <c r="E929" s="607"/>
      <c r="F929" s="607"/>
      <c r="G929" s="607"/>
      <c r="H929" s="607"/>
      <c r="I929" s="607"/>
      <c r="J929" s="607"/>
      <c r="K929" s="617"/>
      <c r="L929" s="607"/>
      <c r="M929" s="607"/>
      <c r="N929" s="607"/>
      <c r="P929" s="44"/>
    </row>
    <row r="930">
      <c r="A930" s="607"/>
      <c r="B930" s="607"/>
      <c r="C930" s="607"/>
      <c r="D930" s="607"/>
      <c r="E930" s="607"/>
      <c r="F930" s="607"/>
      <c r="G930" s="607"/>
      <c r="H930" s="607"/>
      <c r="I930" s="607"/>
      <c r="J930" s="607"/>
      <c r="K930" s="617"/>
      <c r="L930" s="607"/>
      <c r="M930" s="607"/>
      <c r="N930" s="607"/>
      <c r="P930" s="44"/>
    </row>
    <row r="931">
      <c r="A931" s="607"/>
      <c r="B931" s="607"/>
      <c r="C931" s="607"/>
      <c r="D931" s="607"/>
      <c r="E931" s="607"/>
      <c r="F931" s="607"/>
      <c r="G931" s="607"/>
      <c r="H931" s="607"/>
      <c r="I931" s="607"/>
      <c r="J931" s="607"/>
      <c r="K931" s="617"/>
      <c r="L931" s="607"/>
      <c r="M931" s="607"/>
      <c r="N931" s="607"/>
      <c r="P931" s="44"/>
    </row>
    <row r="932">
      <c r="A932" s="607"/>
      <c r="B932" s="607"/>
      <c r="C932" s="607"/>
      <c r="D932" s="607"/>
      <c r="E932" s="607"/>
      <c r="F932" s="607"/>
      <c r="G932" s="607"/>
      <c r="H932" s="607"/>
      <c r="I932" s="607"/>
      <c r="J932" s="607"/>
      <c r="K932" s="617"/>
      <c r="L932" s="607"/>
      <c r="M932" s="607"/>
      <c r="N932" s="607"/>
      <c r="P932" s="44"/>
    </row>
    <row r="933">
      <c r="A933" s="607"/>
      <c r="B933" s="607"/>
      <c r="C933" s="607"/>
      <c r="D933" s="607"/>
      <c r="E933" s="607"/>
      <c r="F933" s="607"/>
      <c r="G933" s="607"/>
      <c r="H933" s="607"/>
      <c r="I933" s="607"/>
      <c r="J933" s="607"/>
      <c r="K933" s="617"/>
      <c r="L933" s="607"/>
      <c r="M933" s="607"/>
      <c r="N933" s="607"/>
      <c r="P933" s="44"/>
    </row>
    <row r="934">
      <c r="A934" s="607"/>
      <c r="B934" s="607"/>
      <c r="C934" s="607"/>
      <c r="D934" s="607"/>
      <c r="E934" s="607"/>
      <c r="F934" s="607"/>
      <c r="G934" s="607"/>
      <c r="H934" s="607"/>
      <c r="I934" s="607"/>
      <c r="J934" s="607"/>
      <c r="K934" s="617"/>
      <c r="L934" s="607"/>
      <c r="M934" s="607"/>
      <c r="N934" s="607"/>
      <c r="P934" s="44"/>
    </row>
    <row r="935">
      <c r="A935" s="607"/>
      <c r="B935" s="607"/>
      <c r="C935" s="607"/>
      <c r="D935" s="607"/>
      <c r="E935" s="607"/>
      <c r="F935" s="607"/>
      <c r="G935" s="607"/>
      <c r="H935" s="607"/>
      <c r="I935" s="607"/>
      <c r="J935" s="607"/>
      <c r="K935" s="617"/>
      <c r="L935" s="607"/>
      <c r="M935" s="607"/>
      <c r="N935" s="607"/>
      <c r="P935" s="44"/>
    </row>
    <row r="936">
      <c r="A936" s="607"/>
      <c r="B936" s="607"/>
      <c r="C936" s="607"/>
      <c r="D936" s="607"/>
      <c r="E936" s="607"/>
      <c r="F936" s="607"/>
      <c r="G936" s="607"/>
      <c r="H936" s="607"/>
      <c r="I936" s="607"/>
      <c r="J936" s="607"/>
      <c r="K936" s="617"/>
      <c r="L936" s="607"/>
      <c r="M936" s="607"/>
      <c r="N936" s="607"/>
      <c r="P936" s="44"/>
    </row>
    <row r="937">
      <c r="A937" s="607"/>
      <c r="B937" s="607"/>
      <c r="C937" s="607"/>
      <c r="D937" s="607"/>
      <c r="E937" s="607"/>
      <c r="F937" s="607"/>
      <c r="G937" s="607"/>
      <c r="H937" s="607"/>
      <c r="I937" s="607"/>
      <c r="J937" s="607"/>
      <c r="K937" s="617"/>
      <c r="L937" s="607"/>
      <c r="M937" s="607"/>
      <c r="N937" s="607"/>
      <c r="P937" s="44"/>
    </row>
    <row r="938">
      <c r="A938" s="607"/>
      <c r="B938" s="607"/>
      <c r="C938" s="607"/>
      <c r="D938" s="607"/>
      <c r="E938" s="607"/>
      <c r="F938" s="607"/>
      <c r="G938" s="607"/>
      <c r="H938" s="607"/>
      <c r="I938" s="607"/>
      <c r="J938" s="607"/>
      <c r="K938" s="617"/>
      <c r="L938" s="607"/>
      <c r="M938" s="607"/>
      <c r="N938" s="607"/>
      <c r="P938" s="44"/>
    </row>
    <row r="939">
      <c r="A939" s="607"/>
      <c r="B939" s="607"/>
      <c r="C939" s="607"/>
      <c r="D939" s="607"/>
      <c r="E939" s="607"/>
      <c r="F939" s="607"/>
      <c r="G939" s="607"/>
      <c r="H939" s="607"/>
      <c r="I939" s="607"/>
      <c r="J939" s="607"/>
      <c r="K939" s="617"/>
      <c r="L939" s="607"/>
      <c r="M939" s="607"/>
      <c r="N939" s="607"/>
      <c r="P939" s="44"/>
    </row>
    <row r="940">
      <c r="A940" s="607"/>
      <c r="B940" s="607"/>
      <c r="C940" s="607"/>
      <c r="D940" s="607"/>
      <c r="E940" s="607"/>
      <c r="F940" s="607"/>
      <c r="G940" s="607"/>
      <c r="H940" s="607"/>
      <c r="I940" s="607"/>
      <c r="J940" s="607"/>
      <c r="K940" s="617"/>
      <c r="L940" s="607"/>
      <c r="M940" s="607"/>
      <c r="N940" s="607"/>
      <c r="P940" s="44"/>
    </row>
    <row r="941">
      <c r="A941" s="607"/>
      <c r="B941" s="607"/>
      <c r="C941" s="607"/>
      <c r="D941" s="607"/>
      <c r="E941" s="607"/>
      <c r="F941" s="607"/>
      <c r="G941" s="607"/>
      <c r="H941" s="607"/>
      <c r="I941" s="607"/>
      <c r="J941" s="607"/>
      <c r="K941" s="617"/>
      <c r="L941" s="607"/>
      <c r="M941" s="607"/>
      <c r="N941" s="607"/>
      <c r="P941" s="44"/>
    </row>
    <row r="942">
      <c r="A942" s="607"/>
      <c r="B942" s="607"/>
      <c r="C942" s="607"/>
      <c r="D942" s="607"/>
      <c r="E942" s="607"/>
      <c r="F942" s="607"/>
      <c r="G942" s="607"/>
      <c r="H942" s="607"/>
      <c r="I942" s="607"/>
      <c r="J942" s="607"/>
      <c r="K942" s="617"/>
      <c r="L942" s="607"/>
      <c r="M942" s="607"/>
      <c r="N942" s="607"/>
      <c r="P942" s="44"/>
    </row>
    <row r="943">
      <c r="A943" s="607"/>
      <c r="B943" s="607"/>
      <c r="C943" s="607"/>
      <c r="D943" s="607"/>
      <c r="E943" s="607"/>
      <c r="F943" s="607"/>
      <c r="G943" s="607"/>
      <c r="H943" s="607"/>
      <c r="I943" s="607"/>
      <c r="J943" s="607"/>
      <c r="K943" s="617"/>
      <c r="L943" s="607"/>
      <c r="M943" s="607"/>
      <c r="N943" s="607"/>
      <c r="P943" s="44"/>
    </row>
    <row r="944">
      <c r="A944" s="607"/>
      <c r="B944" s="607"/>
      <c r="C944" s="607"/>
      <c r="D944" s="607"/>
      <c r="E944" s="607"/>
      <c r="F944" s="607"/>
      <c r="G944" s="607"/>
      <c r="H944" s="607"/>
      <c r="I944" s="607"/>
      <c r="J944" s="607"/>
      <c r="K944" s="617"/>
      <c r="L944" s="607"/>
      <c r="M944" s="607"/>
      <c r="N944" s="607"/>
      <c r="P944" s="44"/>
    </row>
    <row r="945">
      <c r="A945" s="607"/>
      <c r="B945" s="607"/>
      <c r="C945" s="607"/>
      <c r="D945" s="607"/>
      <c r="E945" s="607"/>
      <c r="F945" s="607"/>
      <c r="G945" s="607"/>
      <c r="H945" s="607"/>
      <c r="I945" s="607"/>
      <c r="J945" s="607"/>
      <c r="K945" s="617"/>
      <c r="L945" s="607"/>
      <c r="M945" s="607"/>
      <c r="N945" s="607"/>
      <c r="P945" s="44"/>
    </row>
    <row r="946">
      <c r="A946" s="607"/>
      <c r="B946" s="607"/>
      <c r="C946" s="607"/>
      <c r="D946" s="607"/>
      <c r="E946" s="607"/>
      <c r="F946" s="607"/>
      <c r="G946" s="607"/>
      <c r="H946" s="607"/>
      <c r="I946" s="607"/>
      <c r="J946" s="607"/>
      <c r="K946" s="617"/>
      <c r="L946" s="607"/>
      <c r="M946" s="607"/>
      <c r="N946" s="607"/>
      <c r="P946" s="44"/>
    </row>
    <row r="947">
      <c r="A947" s="607"/>
      <c r="B947" s="607"/>
      <c r="C947" s="607"/>
      <c r="D947" s="607"/>
      <c r="E947" s="607"/>
      <c r="F947" s="607"/>
      <c r="G947" s="607"/>
      <c r="H947" s="607"/>
      <c r="I947" s="607"/>
      <c r="J947" s="607"/>
      <c r="K947" s="617"/>
      <c r="L947" s="607"/>
      <c r="M947" s="607"/>
      <c r="N947" s="607"/>
      <c r="P947" s="44"/>
    </row>
    <row r="948">
      <c r="A948" s="607"/>
      <c r="B948" s="607"/>
      <c r="C948" s="607"/>
      <c r="D948" s="607"/>
      <c r="E948" s="607"/>
      <c r="F948" s="607"/>
      <c r="G948" s="607"/>
      <c r="H948" s="607"/>
      <c r="I948" s="607"/>
      <c r="J948" s="607"/>
      <c r="K948" s="617"/>
      <c r="L948" s="607"/>
      <c r="M948" s="607"/>
      <c r="N948" s="607"/>
      <c r="P948" s="44"/>
    </row>
    <row r="949">
      <c r="A949" s="607"/>
      <c r="B949" s="607"/>
      <c r="C949" s="607"/>
      <c r="D949" s="607"/>
      <c r="E949" s="607"/>
      <c r="F949" s="607"/>
      <c r="G949" s="607"/>
      <c r="H949" s="607"/>
      <c r="I949" s="607"/>
      <c r="J949" s="607"/>
      <c r="K949" s="617"/>
      <c r="L949" s="607"/>
      <c r="M949" s="607"/>
      <c r="N949" s="607"/>
      <c r="P949" s="44"/>
    </row>
    <row r="950">
      <c r="A950" s="607"/>
      <c r="B950" s="607"/>
      <c r="C950" s="607"/>
      <c r="D950" s="607"/>
      <c r="E950" s="607"/>
      <c r="F950" s="607"/>
      <c r="G950" s="607"/>
      <c r="H950" s="607"/>
      <c r="I950" s="607"/>
      <c r="J950" s="607"/>
      <c r="K950" s="617"/>
      <c r="L950" s="607"/>
      <c r="M950" s="607"/>
      <c r="N950" s="607"/>
      <c r="P950" s="44"/>
    </row>
    <row r="951">
      <c r="A951" s="607"/>
      <c r="B951" s="607"/>
      <c r="C951" s="607"/>
      <c r="D951" s="607"/>
      <c r="E951" s="607"/>
      <c r="F951" s="607"/>
      <c r="G951" s="607"/>
      <c r="H951" s="607"/>
      <c r="I951" s="607"/>
      <c r="J951" s="607"/>
      <c r="K951" s="617"/>
      <c r="L951" s="607"/>
      <c r="M951" s="607"/>
      <c r="N951" s="607"/>
      <c r="P951" s="44"/>
    </row>
    <row r="952">
      <c r="A952" s="607"/>
      <c r="B952" s="607"/>
      <c r="C952" s="607"/>
      <c r="D952" s="607"/>
      <c r="E952" s="607"/>
      <c r="F952" s="607"/>
      <c r="G952" s="607"/>
      <c r="H952" s="607"/>
      <c r="I952" s="607"/>
      <c r="J952" s="607"/>
      <c r="K952" s="617"/>
      <c r="L952" s="607"/>
      <c r="M952" s="607"/>
      <c r="N952" s="607"/>
      <c r="P952" s="44"/>
    </row>
    <row r="953">
      <c r="A953" s="607"/>
      <c r="B953" s="607"/>
      <c r="C953" s="607"/>
      <c r="D953" s="607"/>
      <c r="E953" s="607"/>
      <c r="F953" s="607"/>
      <c r="G953" s="607"/>
      <c r="H953" s="607"/>
      <c r="I953" s="607"/>
      <c r="J953" s="607"/>
      <c r="K953" s="617"/>
      <c r="L953" s="607"/>
      <c r="M953" s="607"/>
      <c r="N953" s="607"/>
      <c r="P953" s="44"/>
    </row>
    <row r="954">
      <c r="A954" s="607"/>
      <c r="B954" s="607"/>
      <c r="C954" s="607"/>
      <c r="D954" s="607"/>
      <c r="E954" s="607"/>
      <c r="F954" s="607"/>
      <c r="G954" s="607"/>
      <c r="H954" s="607"/>
      <c r="I954" s="607"/>
      <c r="J954" s="607"/>
      <c r="K954" s="617"/>
      <c r="L954" s="607"/>
      <c r="M954" s="607"/>
      <c r="N954" s="607"/>
      <c r="P954" s="44"/>
    </row>
    <row r="955">
      <c r="A955" s="607"/>
      <c r="B955" s="607"/>
      <c r="C955" s="607"/>
      <c r="D955" s="607"/>
      <c r="E955" s="607"/>
      <c r="F955" s="607"/>
      <c r="G955" s="607"/>
      <c r="H955" s="607"/>
      <c r="I955" s="607"/>
      <c r="J955" s="607"/>
      <c r="K955" s="617"/>
      <c r="L955" s="607"/>
      <c r="M955" s="607"/>
      <c r="N955" s="607"/>
      <c r="P955" s="44"/>
    </row>
    <row r="956">
      <c r="A956" s="607"/>
      <c r="B956" s="607"/>
      <c r="C956" s="607"/>
      <c r="D956" s="607"/>
      <c r="E956" s="607"/>
      <c r="F956" s="607"/>
      <c r="G956" s="607"/>
      <c r="H956" s="607"/>
      <c r="I956" s="607"/>
      <c r="J956" s="607"/>
      <c r="K956" s="617"/>
      <c r="L956" s="607"/>
      <c r="M956" s="607"/>
      <c r="N956" s="607"/>
      <c r="P956" s="44"/>
    </row>
    <row r="957">
      <c r="A957" s="607"/>
      <c r="B957" s="607"/>
      <c r="C957" s="607"/>
      <c r="D957" s="607"/>
      <c r="E957" s="607"/>
      <c r="F957" s="607"/>
      <c r="G957" s="607"/>
      <c r="H957" s="607"/>
      <c r="I957" s="607"/>
      <c r="J957" s="607"/>
      <c r="K957" s="617"/>
      <c r="L957" s="607"/>
      <c r="M957" s="607"/>
      <c r="N957" s="607"/>
      <c r="P957" s="44"/>
    </row>
    <row r="958">
      <c r="A958" s="607"/>
      <c r="B958" s="607"/>
      <c r="C958" s="607"/>
      <c r="D958" s="607"/>
      <c r="E958" s="607"/>
      <c r="F958" s="607"/>
      <c r="G958" s="607"/>
      <c r="H958" s="607"/>
      <c r="I958" s="607"/>
      <c r="J958" s="607"/>
      <c r="K958" s="617"/>
      <c r="L958" s="607"/>
      <c r="M958" s="607"/>
      <c r="N958" s="607"/>
      <c r="P958" s="44"/>
    </row>
    <row r="959">
      <c r="A959" s="607"/>
      <c r="B959" s="607"/>
      <c r="C959" s="607"/>
      <c r="D959" s="607"/>
      <c r="E959" s="607"/>
      <c r="F959" s="607"/>
      <c r="G959" s="607"/>
      <c r="H959" s="607"/>
      <c r="I959" s="607"/>
      <c r="J959" s="607"/>
      <c r="K959" s="617"/>
      <c r="L959" s="607"/>
      <c r="M959" s="607"/>
      <c r="N959" s="607"/>
      <c r="P959" s="44"/>
    </row>
    <row r="960">
      <c r="A960" s="607"/>
      <c r="B960" s="607"/>
      <c r="C960" s="607"/>
      <c r="D960" s="607"/>
      <c r="E960" s="607"/>
      <c r="F960" s="607"/>
      <c r="G960" s="607"/>
      <c r="H960" s="607"/>
      <c r="I960" s="607"/>
      <c r="J960" s="607"/>
      <c r="K960" s="617"/>
      <c r="L960" s="607"/>
      <c r="M960" s="607"/>
      <c r="N960" s="607"/>
      <c r="P960" s="44"/>
    </row>
    <row r="961">
      <c r="A961" s="607"/>
      <c r="B961" s="607"/>
      <c r="C961" s="607"/>
      <c r="D961" s="607"/>
      <c r="E961" s="607"/>
      <c r="F961" s="607"/>
      <c r="G961" s="607"/>
      <c r="H961" s="607"/>
      <c r="I961" s="607"/>
      <c r="J961" s="607"/>
      <c r="K961" s="617"/>
      <c r="L961" s="607"/>
      <c r="M961" s="607"/>
      <c r="N961" s="607"/>
      <c r="P961" s="44"/>
    </row>
    <row r="962">
      <c r="A962" s="607"/>
      <c r="B962" s="607"/>
      <c r="C962" s="607"/>
      <c r="D962" s="607"/>
      <c r="E962" s="607"/>
      <c r="F962" s="607"/>
      <c r="G962" s="607"/>
      <c r="H962" s="607"/>
      <c r="I962" s="607"/>
      <c r="J962" s="607"/>
      <c r="K962" s="617"/>
      <c r="L962" s="607"/>
      <c r="M962" s="607"/>
      <c r="N962" s="607"/>
      <c r="P962" s="44"/>
    </row>
    <row r="963">
      <c r="A963" s="607"/>
      <c r="B963" s="607"/>
      <c r="C963" s="607"/>
      <c r="D963" s="607"/>
      <c r="E963" s="607"/>
      <c r="F963" s="607"/>
      <c r="G963" s="607"/>
      <c r="H963" s="607"/>
      <c r="I963" s="607"/>
      <c r="J963" s="607"/>
      <c r="K963" s="617"/>
      <c r="L963" s="607"/>
      <c r="M963" s="607"/>
      <c r="N963" s="607"/>
      <c r="P963" s="44"/>
    </row>
    <row r="964">
      <c r="A964" s="607"/>
      <c r="B964" s="607"/>
      <c r="C964" s="607"/>
      <c r="D964" s="607"/>
      <c r="E964" s="607"/>
      <c r="F964" s="607"/>
      <c r="G964" s="607"/>
      <c r="H964" s="607"/>
      <c r="I964" s="607"/>
      <c r="J964" s="607"/>
      <c r="K964" s="617"/>
      <c r="L964" s="607"/>
      <c r="M964" s="607"/>
      <c r="N964" s="607"/>
      <c r="P964" s="44"/>
    </row>
    <row r="965">
      <c r="A965" s="607"/>
      <c r="B965" s="607"/>
      <c r="C965" s="607"/>
      <c r="D965" s="607"/>
      <c r="E965" s="607"/>
      <c r="F965" s="607"/>
      <c r="G965" s="607"/>
      <c r="H965" s="607"/>
      <c r="I965" s="607"/>
      <c r="J965" s="607"/>
      <c r="K965" s="617"/>
      <c r="L965" s="607"/>
      <c r="M965" s="607"/>
      <c r="N965" s="607"/>
      <c r="P965" s="44"/>
    </row>
    <row r="966">
      <c r="A966" s="607"/>
      <c r="B966" s="607"/>
      <c r="C966" s="607"/>
      <c r="D966" s="607"/>
      <c r="E966" s="607"/>
      <c r="F966" s="607"/>
      <c r="G966" s="607"/>
      <c r="H966" s="607"/>
      <c r="I966" s="607"/>
      <c r="J966" s="607"/>
      <c r="K966" s="617"/>
      <c r="L966" s="607"/>
      <c r="M966" s="607"/>
      <c r="N966" s="607"/>
      <c r="P966" s="44"/>
    </row>
    <row r="967">
      <c r="A967" s="607"/>
      <c r="B967" s="607"/>
      <c r="C967" s="607"/>
      <c r="D967" s="607"/>
      <c r="E967" s="607"/>
      <c r="F967" s="607"/>
      <c r="G967" s="607"/>
      <c r="H967" s="607"/>
      <c r="I967" s="607"/>
      <c r="J967" s="607"/>
      <c r="K967" s="617"/>
      <c r="L967" s="607"/>
      <c r="M967" s="607"/>
      <c r="N967" s="607"/>
      <c r="P967" s="44"/>
    </row>
    <row r="968">
      <c r="A968" s="607"/>
      <c r="B968" s="607"/>
      <c r="C968" s="607"/>
      <c r="D968" s="607"/>
      <c r="E968" s="607"/>
      <c r="F968" s="607"/>
      <c r="G968" s="607"/>
      <c r="H968" s="607"/>
      <c r="I968" s="607"/>
      <c r="J968" s="607"/>
      <c r="K968" s="617"/>
      <c r="L968" s="607"/>
      <c r="M968" s="607"/>
      <c r="N968" s="607"/>
      <c r="P968" s="44"/>
    </row>
    <row r="969">
      <c r="A969" s="607"/>
      <c r="B969" s="607"/>
      <c r="C969" s="607"/>
      <c r="D969" s="607"/>
      <c r="E969" s="607"/>
      <c r="F969" s="607"/>
      <c r="G969" s="607"/>
      <c r="H969" s="607"/>
      <c r="I969" s="607"/>
      <c r="J969" s="607"/>
      <c r="K969" s="617"/>
      <c r="L969" s="607"/>
      <c r="M969" s="607"/>
      <c r="N969" s="607"/>
      <c r="P969" s="44"/>
    </row>
    <row r="970">
      <c r="A970" s="607"/>
      <c r="B970" s="607"/>
      <c r="C970" s="607"/>
      <c r="D970" s="607"/>
      <c r="E970" s="607"/>
      <c r="F970" s="607"/>
      <c r="G970" s="607"/>
      <c r="H970" s="607"/>
      <c r="I970" s="607"/>
      <c r="J970" s="607"/>
      <c r="K970" s="617"/>
      <c r="L970" s="607"/>
      <c r="M970" s="607"/>
      <c r="N970" s="607"/>
      <c r="P970" s="44"/>
    </row>
    <row r="971">
      <c r="A971" s="607"/>
      <c r="B971" s="607"/>
      <c r="C971" s="607"/>
      <c r="D971" s="607"/>
      <c r="E971" s="607"/>
      <c r="F971" s="607"/>
      <c r="G971" s="607"/>
      <c r="H971" s="607"/>
      <c r="I971" s="607"/>
      <c r="J971" s="607"/>
      <c r="K971" s="617"/>
      <c r="L971" s="607"/>
      <c r="M971" s="607"/>
      <c r="N971" s="607"/>
      <c r="P971" s="44"/>
    </row>
    <row r="972">
      <c r="A972" s="607"/>
      <c r="B972" s="607"/>
      <c r="C972" s="607"/>
      <c r="D972" s="607"/>
      <c r="E972" s="607"/>
      <c r="F972" s="607"/>
      <c r="G972" s="607"/>
      <c r="H972" s="607"/>
      <c r="I972" s="607"/>
      <c r="J972" s="607"/>
      <c r="K972" s="617"/>
      <c r="L972" s="607"/>
      <c r="M972" s="607"/>
      <c r="N972" s="607"/>
      <c r="P972" s="44"/>
    </row>
    <row r="973">
      <c r="A973" s="607"/>
      <c r="B973" s="607"/>
      <c r="C973" s="607"/>
      <c r="D973" s="607"/>
      <c r="E973" s="607"/>
      <c r="F973" s="607"/>
      <c r="G973" s="607"/>
      <c r="H973" s="607"/>
      <c r="I973" s="607"/>
      <c r="J973" s="607"/>
      <c r="K973" s="617"/>
      <c r="L973" s="607"/>
      <c r="M973" s="607"/>
      <c r="N973" s="607"/>
      <c r="P973" s="44"/>
    </row>
    <row r="974">
      <c r="A974" s="607"/>
      <c r="B974" s="607"/>
      <c r="C974" s="607"/>
      <c r="D974" s="607"/>
      <c r="E974" s="607"/>
      <c r="F974" s="607"/>
      <c r="G974" s="607"/>
      <c r="H974" s="607"/>
      <c r="I974" s="607"/>
      <c r="J974" s="607"/>
      <c r="K974" s="617"/>
      <c r="L974" s="607"/>
      <c r="M974" s="607"/>
      <c r="N974" s="607"/>
      <c r="P974" s="44"/>
    </row>
    <row r="975">
      <c r="A975" s="607"/>
      <c r="B975" s="607"/>
      <c r="C975" s="607"/>
      <c r="D975" s="607"/>
      <c r="E975" s="607"/>
      <c r="F975" s="607"/>
      <c r="G975" s="607"/>
      <c r="H975" s="607"/>
      <c r="I975" s="607"/>
      <c r="J975" s="607"/>
      <c r="K975" s="617"/>
      <c r="L975" s="607"/>
      <c r="M975" s="607"/>
      <c r="N975" s="607"/>
      <c r="P975" s="44"/>
    </row>
    <row r="976">
      <c r="A976" s="607"/>
      <c r="B976" s="607"/>
      <c r="C976" s="607"/>
      <c r="D976" s="607"/>
      <c r="E976" s="607"/>
      <c r="F976" s="607"/>
      <c r="G976" s="607"/>
      <c r="H976" s="607"/>
      <c r="I976" s="607"/>
      <c r="J976" s="607"/>
      <c r="K976" s="617"/>
      <c r="L976" s="607"/>
      <c r="M976" s="607"/>
      <c r="N976" s="607"/>
      <c r="P976" s="44"/>
    </row>
    <row r="977">
      <c r="A977" s="607"/>
      <c r="B977" s="607"/>
      <c r="C977" s="607"/>
      <c r="D977" s="607"/>
      <c r="E977" s="607"/>
      <c r="F977" s="607"/>
      <c r="G977" s="607"/>
      <c r="H977" s="607"/>
      <c r="I977" s="607"/>
      <c r="J977" s="607"/>
      <c r="K977" s="617"/>
      <c r="L977" s="607"/>
      <c r="M977" s="607"/>
      <c r="N977" s="607"/>
      <c r="P977" s="44"/>
    </row>
    <row r="978">
      <c r="A978" s="607"/>
      <c r="B978" s="607"/>
      <c r="C978" s="607"/>
      <c r="D978" s="607"/>
      <c r="E978" s="607"/>
      <c r="F978" s="607"/>
      <c r="G978" s="607"/>
      <c r="H978" s="607"/>
      <c r="I978" s="607"/>
      <c r="J978" s="607"/>
      <c r="K978" s="617"/>
      <c r="L978" s="607"/>
      <c r="M978" s="607"/>
      <c r="N978" s="607"/>
      <c r="P978" s="44"/>
    </row>
    <row r="979">
      <c r="A979" s="607"/>
      <c r="B979" s="607"/>
      <c r="C979" s="607"/>
      <c r="D979" s="607"/>
      <c r="E979" s="607"/>
      <c r="F979" s="607"/>
      <c r="G979" s="607"/>
      <c r="H979" s="607"/>
      <c r="I979" s="607"/>
      <c r="J979" s="607"/>
      <c r="K979" s="617"/>
      <c r="L979" s="607"/>
      <c r="M979" s="607"/>
      <c r="N979" s="607"/>
      <c r="P979" s="44"/>
    </row>
    <row r="980">
      <c r="A980" s="607"/>
      <c r="B980" s="607"/>
      <c r="C980" s="607"/>
      <c r="D980" s="607"/>
      <c r="E980" s="607"/>
      <c r="F980" s="607"/>
      <c r="G980" s="607"/>
      <c r="H980" s="607"/>
      <c r="I980" s="607"/>
      <c r="J980" s="607"/>
      <c r="K980" s="617"/>
      <c r="L980" s="607"/>
      <c r="M980" s="607"/>
      <c r="N980" s="607"/>
      <c r="P980" s="44"/>
    </row>
    <row r="981">
      <c r="A981" s="607"/>
      <c r="B981" s="607"/>
      <c r="C981" s="607"/>
      <c r="D981" s="607"/>
      <c r="E981" s="607"/>
      <c r="F981" s="607"/>
      <c r="G981" s="607"/>
      <c r="H981" s="607"/>
      <c r="I981" s="607"/>
      <c r="J981" s="607"/>
      <c r="K981" s="617"/>
      <c r="L981" s="607"/>
      <c r="M981" s="607"/>
      <c r="N981" s="607"/>
      <c r="P981" s="44"/>
    </row>
    <row r="982">
      <c r="A982" s="607"/>
      <c r="B982" s="607"/>
      <c r="C982" s="607"/>
      <c r="D982" s="607"/>
      <c r="E982" s="607"/>
      <c r="F982" s="607"/>
      <c r="G982" s="607"/>
      <c r="H982" s="607"/>
      <c r="I982" s="607"/>
      <c r="J982" s="607"/>
      <c r="K982" s="617"/>
      <c r="L982" s="607"/>
      <c r="M982" s="607"/>
      <c r="N982" s="607"/>
      <c r="P982" s="44"/>
    </row>
    <row r="983">
      <c r="A983" s="607"/>
      <c r="B983" s="607"/>
      <c r="C983" s="607"/>
      <c r="D983" s="607"/>
      <c r="E983" s="607"/>
      <c r="F983" s="607"/>
      <c r="G983" s="607"/>
      <c r="H983" s="607"/>
      <c r="I983" s="607"/>
      <c r="J983" s="607"/>
      <c r="K983" s="617"/>
      <c r="L983" s="607"/>
      <c r="M983" s="607"/>
      <c r="N983" s="607"/>
      <c r="P983" s="44"/>
    </row>
    <row r="984">
      <c r="A984" s="607"/>
      <c r="B984" s="607"/>
      <c r="C984" s="607"/>
      <c r="D984" s="607"/>
      <c r="E984" s="607"/>
      <c r="F984" s="607"/>
      <c r="G984" s="607"/>
      <c r="H984" s="607"/>
      <c r="I984" s="607"/>
      <c r="J984" s="607"/>
      <c r="K984" s="617"/>
      <c r="L984" s="607"/>
      <c r="M984" s="607"/>
      <c r="N984" s="607"/>
      <c r="P984" s="44"/>
    </row>
    <row r="985">
      <c r="A985" s="607"/>
      <c r="B985" s="607"/>
      <c r="C985" s="607"/>
      <c r="D985" s="607"/>
      <c r="E985" s="607"/>
      <c r="F985" s="607"/>
      <c r="G985" s="607"/>
      <c r="H985" s="607"/>
      <c r="I985" s="607"/>
      <c r="J985" s="607"/>
      <c r="K985" s="617"/>
      <c r="L985" s="607"/>
      <c r="M985" s="607"/>
      <c r="N985" s="607"/>
      <c r="P985" s="44"/>
    </row>
    <row r="986">
      <c r="A986" s="607"/>
      <c r="B986" s="607"/>
      <c r="C986" s="607"/>
      <c r="D986" s="607"/>
      <c r="E986" s="607"/>
      <c r="F986" s="607"/>
      <c r="G986" s="607"/>
      <c r="H986" s="607"/>
      <c r="I986" s="607"/>
      <c r="J986" s="607"/>
      <c r="K986" s="617"/>
      <c r="L986" s="607"/>
      <c r="M986" s="607"/>
      <c r="N986" s="607"/>
      <c r="P986" s="44"/>
    </row>
    <row r="987">
      <c r="A987" s="607"/>
      <c r="B987" s="607"/>
      <c r="C987" s="607"/>
      <c r="D987" s="607"/>
      <c r="E987" s="607"/>
      <c r="F987" s="607"/>
      <c r="G987" s="607"/>
      <c r="H987" s="607"/>
      <c r="I987" s="607"/>
      <c r="J987" s="607"/>
      <c r="K987" s="617"/>
      <c r="L987" s="607"/>
      <c r="M987" s="607"/>
      <c r="N987" s="607"/>
      <c r="P987" s="44"/>
    </row>
    <row r="988">
      <c r="A988" s="607"/>
      <c r="B988" s="607"/>
      <c r="C988" s="607"/>
      <c r="D988" s="607"/>
      <c r="E988" s="607"/>
      <c r="F988" s="607"/>
      <c r="G988" s="607"/>
      <c r="H988" s="607"/>
      <c r="I988" s="607"/>
      <c r="J988" s="607"/>
      <c r="K988" s="617"/>
      <c r="L988" s="607"/>
      <c r="M988" s="607"/>
      <c r="N988" s="607"/>
      <c r="P988" s="44"/>
    </row>
    <row r="989">
      <c r="A989" s="607"/>
      <c r="B989" s="607"/>
      <c r="C989" s="607"/>
      <c r="D989" s="607"/>
      <c r="E989" s="607"/>
      <c r="F989" s="607"/>
      <c r="G989" s="607"/>
      <c r="H989" s="607"/>
      <c r="I989" s="607"/>
      <c r="J989" s="607"/>
      <c r="K989" s="617"/>
      <c r="L989" s="607"/>
      <c r="M989" s="607"/>
      <c r="N989" s="607"/>
      <c r="P989" s="44"/>
    </row>
    <row r="990">
      <c r="A990" s="607"/>
      <c r="B990" s="607"/>
      <c r="C990" s="607"/>
      <c r="D990" s="607"/>
      <c r="E990" s="607"/>
      <c r="F990" s="607"/>
      <c r="G990" s="607"/>
      <c r="H990" s="607"/>
      <c r="I990" s="607"/>
      <c r="J990" s="607"/>
      <c r="K990" s="617"/>
      <c r="L990" s="607"/>
      <c r="M990" s="607"/>
      <c r="N990" s="607"/>
      <c r="P990" s="44"/>
    </row>
    <row r="991">
      <c r="A991" s="607"/>
      <c r="B991" s="607"/>
      <c r="C991" s="607"/>
      <c r="D991" s="607"/>
      <c r="E991" s="607"/>
      <c r="F991" s="607"/>
      <c r="G991" s="607"/>
      <c r="H991" s="607"/>
      <c r="I991" s="607"/>
      <c r="J991" s="607"/>
      <c r="K991" s="617"/>
      <c r="L991" s="607"/>
      <c r="M991" s="607"/>
      <c r="N991" s="607"/>
      <c r="P991" s="44"/>
    </row>
    <row r="992">
      <c r="A992" s="607"/>
      <c r="B992" s="607"/>
      <c r="C992" s="607"/>
      <c r="D992" s="607"/>
      <c r="E992" s="607"/>
      <c r="F992" s="607"/>
      <c r="G992" s="607"/>
      <c r="H992" s="607"/>
      <c r="I992" s="607"/>
      <c r="J992" s="607"/>
      <c r="K992" s="617"/>
      <c r="L992" s="607"/>
      <c r="M992" s="607"/>
      <c r="N992" s="607"/>
      <c r="P992" s="44"/>
    </row>
    <row r="993">
      <c r="A993" s="607"/>
      <c r="B993" s="607"/>
      <c r="C993" s="607"/>
      <c r="D993" s="607"/>
      <c r="E993" s="607"/>
      <c r="F993" s="607"/>
      <c r="G993" s="607"/>
      <c r="H993" s="607"/>
      <c r="I993" s="607"/>
      <c r="J993" s="607"/>
      <c r="K993" s="617"/>
      <c r="L993" s="607"/>
      <c r="M993" s="607"/>
      <c r="N993" s="607"/>
      <c r="P993" s="44"/>
    </row>
    <row r="994">
      <c r="A994" s="607"/>
      <c r="B994" s="607"/>
      <c r="C994" s="607"/>
      <c r="D994" s="607"/>
      <c r="E994" s="607"/>
      <c r="F994" s="607"/>
      <c r="G994" s="607"/>
      <c r="H994" s="607"/>
      <c r="I994" s="607"/>
      <c r="J994" s="607"/>
      <c r="K994" s="617"/>
      <c r="L994" s="607"/>
      <c r="M994" s="607"/>
      <c r="N994" s="607"/>
      <c r="P994" s="44"/>
    </row>
    <row r="995">
      <c r="A995" s="607"/>
      <c r="B995" s="607"/>
      <c r="C995" s="607"/>
      <c r="D995" s="607"/>
      <c r="E995" s="607"/>
      <c r="F995" s="607"/>
      <c r="G995" s="607"/>
      <c r="H995" s="607"/>
      <c r="I995" s="607"/>
      <c r="J995" s="607"/>
      <c r="K995" s="617"/>
      <c r="L995" s="607"/>
      <c r="M995" s="607"/>
      <c r="N995" s="607"/>
      <c r="P995" s="44"/>
    </row>
    <row r="996">
      <c r="A996" s="607"/>
      <c r="B996" s="607"/>
      <c r="C996" s="607"/>
      <c r="D996" s="607"/>
      <c r="E996" s="607"/>
      <c r="F996" s="607"/>
      <c r="G996" s="607"/>
      <c r="H996" s="607"/>
      <c r="I996" s="607"/>
      <c r="J996" s="607"/>
      <c r="K996" s="617"/>
      <c r="L996" s="607"/>
      <c r="M996" s="607"/>
      <c r="N996" s="607"/>
      <c r="P996" s="44"/>
    </row>
    <row r="997">
      <c r="A997" s="607"/>
      <c r="B997" s="607"/>
      <c r="C997" s="607"/>
      <c r="D997" s="607"/>
      <c r="E997" s="607"/>
      <c r="F997" s="607"/>
      <c r="G997" s="607"/>
      <c r="H997" s="607"/>
      <c r="I997" s="607"/>
      <c r="J997" s="607"/>
      <c r="K997" s="617"/>
      <c r="L997" s="607"/>
      <c r="M997" s="607"/>
      <c r="N997" s="607"/>
      <c r="P997" s="44"/>
    </row>
    <row r="998">
      <c r="A998" s="607"/>
      <c r="B998" s="607"/>
      <c r="C998" s="607"/>
      <c r="D998" s="607"/>
      <c r="E998" s="607"/>
      <c r="F998" s="607"/>
      <c r="G998" s="607"/>
      <c r="H998" s="607"/>
      <c r="I998" s="607"/>
      <c r="J998" s="607"/>
      <c r="K998" s="617"/>
      <c r="L998" s="607"/>
      <c r="M998" s="607"/>
      <c r="N998" s="607"/>
      <c r="P998" s="44"/>
    </row>
    <row r="999">
      <c r="A999" s="607"/>
      <c r="B999" s="607"/>
      <c r="C999" s="607"/>
      <c r="D999" s="607"/>
      <c r="E999" s="607"/>
      <c r="F999" s="607"/>
      <c r="G999" s="607"/>
      <c r="H999" s="607"/>
      <c r="I999" s="607"/>
      <c r="J999" s="607"/>
      <c r="K999" s="617"/>
      <c r="L999" s="607"/>
      <c r="M999" s="607"/>
      <c r="N999" s="607"/>
      <c r="P999" s="44"/>
    </row>
    <row r="1000">
      <c r="A1000" s="607"/>
      <c r="B1000" s="607"/>
      <c r="C1000" s="607"/>
      <c r="D1000" s="607"/>
      <c r="E1000" s="607"/>
      <c r="F1000" s="607"/>
      <c r="G1000" s="607"/>
      <c r="H1000" s="607"/>
      <c r="I1000" s="607"/>
      <c r="J1000" s="607"/>
      <c r="K1000" s="617"/>
      <c r="L1000" s="607"/>
      <c r="M1000" s="607"/>
      <c r="N1000" s="607"/>
      <c r="P1000" s="44"/>
    </row>
    <row r="1001">
      <c r="A1001" s="607"/>
      <c r="B1001" s="607"/>
      <c r="C1001" s="607"/>
      <c r="D1001" s="607"/>
      <c r="E1001" s="607"/>
      <c r="F1001" s="607"/>
      <c r="G1001" s="607"/>
      <c r="H1001" s="607"/>
      <c r="I1001" s="607"/>
      <c r="J1001" s="607"/>
      <c r="K1001" s="617"/>
      <c r="L1001" s="607"/>
      <c r="M1001" s="607"/>
      <c r="N1001" s="607"/>
      <c r="P1001" s="44"/>
    </row>
    <row r="1002">
      <c r="A1002" s="607"/>
      <c r="B1002" s="607"/>
      <c r="C1002" s="607"/>
      <c r="D1002" s="607"/>
      <c r="E1002" s="607"/>
      <c r="F1002" s="607"/>
      <c r="G1002" s="607"/>
      <c r="H1002" s="607"/>
      <c r="I1002" s="607"/>
      <c r="J1002" s="607"/>
      <c r="K1002" s="617"/>
      <c r="L1002" s="607"/>
      <c r="M1002" s="607"/>
      <c r="N1002" s="607"/>
      <c r="P1002" s="44"/>
    </row>
    <row r="1003">
      <c r="A1003" s="607"/>
      <c r="B1003" s="607"/>
      <c r="C1003" s="607"/>
      <c r="D1003" s="607"/>
      <c r="E1003" s="607"/>
      <c r="F1003" s="607"/>
      <c r="G1003" s="607"/>
      <c r="H1003" s="607"/>
      <c r="I1003" s="607"/>
      <c r="J1003" s="607"/>
      <c r="K1003" s="617"/>
      <c r="L1003" s="607"/>
      <c r="M1003" s="607"/>
      <c r="N1003" s="607"/>
      <c r="P1003" s="44"/>
    </row>
    <row r="1004">
      <c r="A1004" s="607"/>
      <c r="B1004" s="607"/>
      <c r="C1004" s="607"/>
      <c r="D1004" s="607"/>
      <c r="E1004" s="607"/>
      <c r="F1004" s="607"/>
      <c r="G1004" s="607"/>
      <c r="H1004" s="607"/>
      <c r="I1004" s="607"/>
      <c r="J1004" s="607"/>
      <c r="K1004" s="617"/>
      <c r="L1004" s="607"/>
      <c r="M1004" s="607"/>
      <c r="N1004" s="607"/>
      <c r="P1004" s="44"/>
    </row>
    <row r="1005">
      <c r="A1005" s="607"/>
      <c r="B1005" s="607"/>
      <c r="C1005" s="607"/>
      <c r="D1005" s="607"/>
      <c r="E1005" s="607"/>
      <c r="F1005" s="607"/>
      <c r="G1005" s="607"/>
      <c r="H1005" s="607"/>
      <c r="I1005" s="607"/>
      <c r="J1005" s="607"/>
      <c r="K1005" s="617"/>
      <c r="L1005" s="607"/>
      <c r="M1005" s="607"/>
      <c r="N1005" s="607"/>
      <c r="P1005" s="44"/>
    </row>
    <row r="1006">
      <c r="A1006" s="607"/>
      <c r="B1006" s="607"/>
      <c r="C1006" s="607"/>
      <c r="D1006" s="607"/>
      <c r="E1006" s="607"/>
      <c r="F1006" s="607"/>
      <c r="G1006" s="607"/>
      <c r="H1006" s="607"/>
      <c r="I1006" s="607"/>
      <c r="J1006" s="607"/>
      <c r="K1006" s="617"/>
      <c r="L1006" s="607"/>
      <c r="M1006" s="607"/>
      <c r="N1006" s="607"/>
      <c r="P1006" s="44"/>
    </row>
  </sheetData>
  <mergeCells count="53">
    <mergeCell ref="B110:I110"/>
    <mergeCell ref="B116:I116"/>
    <mergeCell ref="M117:Q117"/>
    <mergeCell ref="B124:I124"/>
    <mergeCell ref="M125:Q125"/>
    <mergeCell ref="B93:I93"/>
    <mergeCell ref="M94:Q94"/>
    <mergeCell ref="B99:I99"/>
    <mergeCell ref="M100:Q100"/>
    <mergeCell ref="B104:I104"/>
    <mergeCell ref="M105:Q105"/>
    <mergeCell ref="M111:Q111"/>
    <mergeCell ref="B3:I3"/>
    <mergeCell ref="B4:I4"/>
    <mergeCell ref="B9:I9"/>
    <mergeCell ref="B12:I12"/>
    <mergeCell ref="B15:I15"/>
    <mergeCell ref="B17:I17"/>
    <mergeCell ref="B19:I19"/>
    <mergeCell ref="B40:I40"/>
    <mergeCell ref="B41:I41"/>
    <mergeCell ref="M42:O42"/>
    <mergeCell ref="M48:O48"/>
    <mergeCell ref="B21:I21"/>
    <mergeCell ref="B24:I24"/>
    <mergeCell ref="B26:I26"/>
    <mergeCell ref="B30:I30"/>
    <mergeCell ref="B35:I35"/>
    <mergeCell ref="B36:I36"/>
    <mergeCell ref="B39:I39"/>
    <mergeCell ref="B47:I47"/>
    <mergeCell ref="B54:I54"/>
    <mergeCell ref="M55:O55"/>
    <mergeCell ref="B58:I58"/>
    <mergeCell ref="M58:O58"/>
    <mergeCell ref="B61:I61"/>
    <mergeCell ref="M61:O61"/>
    <mergeCell ref="B64:I64"/>
    <mergeCell ref="B65:I65"/>
    <mergeCell ref="B66:I66"/>
    <mergeCell ref="M66:O66"/>
    <mergeCell ref="B69:I69"/>
    <mergeCell ref="B71:I71"/>
    <mergeCell ref="M72:Q72"/>
    <mergeCell ref="M84:Q84"/>
    <mergeCell ref="M88:Q88"/>
    <mergeCell ref="B75:I75"/>
    <mergeCell ref="M75:Q75"/>
    <mergeCell ref="B78:I78"/>
    <mergeCell ref="B79:I79"/>
    <mergeCell ref="M80:Q80"/>
    <mergeCell ref="B83:I83"/>
    <mergeCell ref="B87:I87"/>
  </mergeCells>
  <conditionalFormatting sqref="J83 J87 J93 J99 J104 J110 J116 J124">
    <cfRule type="expression" dxfId="0" priority="1">
      <formula>ABS(J:J)&gt;7</formula>
    </cfRule>
  </conditionalFormatting>
  <conditionalFormatting sqref="K83 K87 K93 K99 K104 K110 K116 K124">
    <cfRule type="cellIs" dxfId="3" priority="2" operator="greaterThanOrEqual">
      <formula>34</formula>
    </cfRule>
  </conditionalFormatting>
  <conditionalFormatting sqref="K65">
    <cfRule type="cellIs" dxfId="1" priority="3" operator="greaterThanOrEqual">
      <formula>34</formula>
    </cfRule>
  </conditionalFormatting>
  <conditionalFormatting sqref="K65">
    <cfRule type="cellIs" dxfId="2" priority="4" operator="greaterThanOrEqual">
      <formula>31</formula>
    </cfRule>
  </conditionalFormatting>
  <conditionalFormatting sqref="K2">
    <cfRule type="cellIs" dxfId="1" priority="5" operator="greaterThanOrEqual">
      <formula>35</formula>
    </cfRule>
  </conditionalFormatting>
  <conditionalFormatting sqref="K2">
    <cfRule type="cellIs" dxfId="2" priority="6" operator="greaterThanOrEqual">
      <formula>33</formula>
    </cfRule>
  </conditionalFormatting>
  <conditionalFormatting sqref="K2">
    <cfRule type="cellIs" dxfId="3" priority="7" operator="greaterThanOrEqual">
      <formula>33</formula>
    </cfRule>
  </conditionalFormatting>
  <conditionalFormatting sqref="K2">
    <cfRule type="cellIs" dxfId="4" priority="8" operator="greaterThanOrEqual">
      <formula>29</formula>
    </cfRule>
  </conditionalFormatting>
  <conditionalFormatting sqref="J1:J1006">
    <cfRule type="expression" dxfId="0" priority="9">
      <formula>ABS(J:J)&gt;5</formula>
    </cfRule>
  </conditionalFormatting>
  <conditionalFormatting sqref="K1:K1006">
    <cfRule type="cellIs" dxfId="5" priority="10" operator="greaterThanOrEqual">
      <formula>34</formula>
    </cfRule>
  </conditionalFormatting>
  <conditionalFormatting sqref="K1:K1006">
    <cfRule type="cellIs" dxfId="4" priority="11" operator="greaterThanOrEqual">
      <formula>31</formula>
    </cfRule>
  </conditionalFormatting>
  <conditionalFormatting sqref="Q1:Q68 Q71:Q116 Q118:Q124 Q126:Q1006">
    <cfRule type="expression" dxfId="0" priority="12">
      <formula>IF(M74)&gt;0</formula>
    </cfRule>
  </conditionalFormatting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3" max="3" width="15.63"/>
  </cols>
  <sheetData>
    <row r="1">
      <c r="A1" s="58" t="s">
        <v>54</v>
      </c>
      <c r="B1" s="527" t="s">
        <v>55</v>
      </c>
      <c r="C1" s="120" t="s">
        <v>57</v>
      </c>
      <c r="D1" s="137" t="s">
        <v>58</v>
      </c>
      <c r="E1" s="137" t="s">
        <v>59</v>
      </c>
      <c r="F1" s="137" t="s">
        <v>60</v>
      </c>
      <c r="G1" s="137" t="s">
        <v>61</v>
      </c>
      <c r="H1" s="120" t="s">
        <v>62</v>
      </c>
      <c r="I1" s="137" t="s">
        <v>63</v>
      </c>
      <c r="J1" s="138" t="s">
        <v>64</v>
      </c>
      <c r="K1" s="195" t="s">
        <v>42</v>
      </c>
      <c r="L1" s="54"/>
      <c r="M1" s="117"/>
    </row>
    <row r="2" ht="19.5" customHeight="1">
      <c r="A2" s="529" t="s">
        <v>480</v>
      </c>
      <c r="B2" s="140"/>
      <c r="C2" s="54"/>
      <c r="D2" s="141"/>
      <c r="E2" s="141">
        <f>SUM(E8:E255,E267:E995)</f>
        <v>97584</v>
      </c>
      <c r="F2" s="141"/>
      <c r="G2" s="141">
        <f t="shared" ref="G2:H2" si="1">SUM(G8:G255,G267:G995)</f>
        <v>9853.48</v>
      </c>
      <c r="H2" s="141">
        <f t="shared" si="1"/>
        <v>12423.56</v>
      </c>
      <c r="I2" s="141">
        <f>G2-H2</f>
        <v>-2570.08</v>
      </c>
      <c r="J2" s="63">
        <f>H2/E2*100</f>
        <v>12.73114445</v>
      </c>
      <c r="K2" s="64" t="s">
        <v>65</v>
      </c>
      <c r="L2" s="65"/>
      <c r="M2" s="54"/>
    </row>
    <row r="3">
      <c r="A3" s="551"/>
      <c r="B3" s="134">
        <v>2022.0</v>
      </c>
      <c r="I3" s="551"/>
      <c r="J3" s="618"/>
      <c r="K3" s="551"/>
      <c r="L3" s="551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>
      <c r="A4" s="551"/>
      <c r="B4" s="619" t="s">
        <v>66</v>
      </c>
      <c r="I4" s="551"/>
      <c r="J4" s="618"/>
      <c r="K4" s="551"/>
      <c r="L4" s="551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>
      <c r="B5" s="620">
        <v>44585.0</v>
      </c>
      <c r="C5" s="621"/>
      <c r="D5" s="622"/>
      <c r="E5" s="622"/>
      <c r="F5" s="623"/>
      <c r="G5" s="623"/>
      <c r="H5" s="624">
        <v>25.0</v>
      </c>
      <c r="I5" s="13">
        <f t="shared" ref="I5:I12" si="2">G5-H5</f>
        <v>-25</v>
      </c>
      <c r="J5" s="625"/>
    </row>
    <row r="6">
      <c r="B6" s="620">
        <v>44586.0</v>
      </c>
      <c r="C6" s="621"/>
      <c r="D6" s="622"/>
      <c r="E6" s="622"/>
      <c r="F6" s="623"/>
      <c r="G6" s="623"/>
      <c r="H6" s="624">
        <v>25.76</v>
      </c>
      <c r="I6" s="13">
        <f t="shared" si="2"/>
        <v>-25.76</v>
      </c>
      <c r="J6" s="622"/>
    </row>
    <row r="7">
      <c r="B7" s="620">
        <v>44587.0</v>
      </c>
      <c r="C7" s="621"/>
      <c r="D7" s="622"/>
      <c r="E7" s="622"/>
      <c r="F7" s="623"/>
      <c r="G7" s="623"/>
      <c r="H7" s="624">
        <v>18.16</v>
      </c>
      <c r="I7" s="13">
        <f t="shared" si="2"/>
        <v>-18.16</v>
      </c>
      <c r="J7" s="622"/>
    </row>
    <row r="8">
      <c r="B8" s="620">
        <v>44588.0</v>
      </c>
      <c r="C8" s="621"/>
      <c r="D8" s="622"/>
      <c r="E8" s="622"/>
      <c r="F8" s="623"/>
      <c r="G8" s="623"/>
      <c r="H8" s="624">
        <v>19.23</v>
      </c>
      <c r="I8" s="13">
        <f t="shared" si="2"/>
        <v>-19.23</v>
      </c>
      <c r="J8" s="622"/>
    </row>
    <row r="9">
      <c r="B9" s="620">
        <v>44588.0</v>
      </c>
      <c r="C9" s="621"/>
      <c r="D9" s="622"/>
      <c r="E9" s="622"/>
      <c r="F9" s="623"/>
      <c r="G9" s="623"/>
      <c r="H9" s="624">
        <v>8.78</v>
      </c>
      <c r="I9" s="13">
        <f t="shared" si="2"/>
        <v>-8.78</v>
      </c>
      <c r="J9" s="622"/>
    </row>
    <row r="10">
      <c r="B10" s="620">
        <v>44589.0</v>
      </c>
      <c r="C10" s="621"/>
      <c r="D10" s="622"/>
      <c r="E10" s="622"/>
      <c r="F10" s="623"/>
      <c r="G10" s="623"/>
      <c r="H10" s="624">
        <v>19.52</v>
      </c>
      <c r="I10" s="13">
        <f t="shared" si="2"/>
        <v>-19.52</v>
      </c>
      <c r="J10" s="622"/>
    </row>
    <row r="11">
      <c r="B11" s="620">
        <v>44589.0</v>
      </c>
      <c r="C11" s="621"/>
      <c r="D11" s="622"/>
      <c r="E11" s="622"/>
      <c r="F11" s="623"/>
      <c r="G11" s="623"/>
      <c r="H11" s="624">
        <v>13.87</v>
      </c>
      <c r="I11" s="13">
        <f t="shared" si="2"/>
        <v>-13.87</v>
      </c>
      <c r="J11" s="622"/>
    </row>
    <row r="12">
      <c r="B12" s="620">
        <v>44592.0</v>
      </c>
      <c r="C12" s="621"/>
      <c r="D12" s="622"/>
      <c r="E12" s="622"/>
      <c r="F12" s="623"/>
      <c r="G12" s="623"/>
      <c r="H12" s="624">
        <v>37.41</v>
      </c>
      <c r="I12" s="13">
        <f t="shared" si="2"/>
        <v>-37.41</v>
      </c>
      <c r="J12" s="622"/>
    </row>
    <row r="13">
      <c r="A13" s="551"/>
      <c r="B13" s="619" t="s">
        <v>68</v>
      </c>
      <c r="I13" s="551"/>
      <c r="J13" s="618"/>
      <c r="K13" s="551"/>
      <c r="L13" s="551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</row>
    <row r="14">
      <c r="B14" s="620">
        <v>44593.0</v>
      </c>
      <c r="C14" s="621"/>
      <c r="D14" s="626">
        <v>93.0</v>
      </c>
      <c r="E14" s="622"/>
      <c r="F14" s="624">
        <v>70.0</v>
      </c>
      <c r="G14" s="624">
        <v>18.0</v>
      </c>
      <c r="H14" s="624">
        <v>18.94</v>
      </c>
      <c r="I14" s="13">
        <f t="shared" ref="I14:I33" si="3">G14-H14</f>
        <v>-0.94</v>
      </c>
      <c r="J14" s="622"/>
    </row>
    <row r="15">
      <c r="B15" s="620">
        <v>44593.0</v>
      </c>
      <c r="C15" s="621"/>
      <c r="D15" s="622"/>
      <c r="E15" s="622"/>
      <c r="F15" s="623"/>
      <c r="G15" s="623"/>
      <c r="H15" s="624">
        <v>10.58</v>
      </c>
      <c r="I15" s="13">
        <f t="shared" si="3"/>
        <v>-10.58</v>
      </c>
      <c r="J15" s="622"/>
    </row>
    <row r="16">
      <c r="B16" s="620">
        <v>44595.0</v>
      </c>
      <c r="C16" s="621"/>
      <c r="D16" s="622"/>
      <c r="E16" s="622"/>
      <c r="F16" s="623"/>
      <c r="G16" s="623"/>
      <c r="H16" s="624">
        <v>20.0</v>
      </c>
      <c r="I16" s="13">
        <f t="shared" si="3"/>
        <v>-20</v>
      </c>
      <c r="J16" s="622"/>
    </row>
    <row r="17">
      <c r="B17" s="620">
        <v>44595.0</v>
      </c>
      <c r="C17" s="621"/>
      <c r="D17" s="626">
        <v>287.0</v>
      </c>
      <c r="E17" s="626">
        <v>194.0</v>
      </c>
      <c r="F17" s="624">
        <v>71.0</v>
      </c>
      <c r="G17" s="624">
        <v>17.0</v>
      </c>
      <c r="H17" s="624">
        <v>18.77</v>
      </c>
      <c r="I17" s="13">
        <f t="shared" si="3"/>
        <v>-1.77</v>
      </c>
      <c r="J17" s="622"/>
    </row>
    <row r="18">
      <c r="B18" s="620">
        <v>44598.0</v>
      </c>
      <c r="C18" s="621"/>
      <c r="D18" s="626">
        <v>375.0</v>
      </c>
      <c r="E18" s="626">
        <v>88.0</v>
      </c>
      <c r="F18" s="624">
        <v>73.0</v>
      </c>
      <c r="G18" s="624">
        <v>22.0</v>
      </c>
      <c r="H18" s="624">
        <v>25.0</v>
      </c>
      <c r="I18" s="13">
        <f t="shared" si="3"/>
        <v>-3</v>
      </c>
      <c r="J18" s="622"/>
    </row>
    <row r="19">
      <c r="B19" s="620">
        <v>44599.0</v>
      </c>
      <c r="C19" s="621"/>
      <c r="D19" s="622"/>
      <c r="E19" s="622"/>
      <c r="F19" s="623"/>
      <c r="G19" s="623"/>
      <c r="H19" s="624">
        <v>20.0</v>
      </c>
      <c r="I19" s="13">
        <f t="shared" si="3"/>
        <v>-20</v>
      </c>
      <c r="J19" s="622"/>
    </row>
    <row r="20">
      <c r="B20" s="620">
        <v>44600.0</v>
      </c>
      <c r="C20" s="621"/>
      <c r="D20" s="626">
        <v>68.0</v>
      </c>
      <c r="E20" s="622"/>
      <c r="F20" s="624">
        <v>70.0</v>
      </c>
      <c r="G20" s="624">
        <v>22.0</v>
      </c>
      <c r="H20" s="624">
        <v>20.0</v>
      </c>
      <c r="I20" s="13">
        <f t="shared" si="3"/>
        <v>2</v>
      </c>
      <c r="J20" s="622"/>
    </row>
    <row r="21">
      <c r="B21" s="620">
        <v>44601.0</v>
      </c>
      <c r="C21" s="621"/>
      <c r="D21" s="622"/>
      <c r="E21" s="622"/>
      <c r="F21" s="623"/>
      <c r="G21" s="623"/>
      <c r="H21" s="624">
        <v>7.44</v>
      </c>
      <c r="I21" s="13">
        <f t="shared" si="3"/>
        <v>-7.44</v>
      </c>
      <c r="J21" s="622"/>
    </row>
    <row r="22">
      <c r="B22" s="620">
        <v>44603.0</v>
      </c>
      <c r="C22" s="621"/>
      <c r="D22" s="626">
        <v>312.0</v>
      </c>
      <c r="E22" s="626">
        <v>244.0</v>
      </c>
      <c r="F22" s="624">
        <v>69.0</v>
      </c>
      <c r="G22" s="624">
        <v>23.0</v>
      </c>
      <c r="H22" s="624">
        <v>30.0</v>
      </c>
      <c r="I22" s="13">
        <f t="shared" si="3"/>
        <v>-7</v>
      </c>
      <c r="J22" s="622"/>
    </row>
    <row r="23">
      <c r="B23" s="620">
        <v>44604.0</v>
      </c>
      <c r="C23" s="621"/>
      <c r="D23" s="626">
        <v>527.0</v>
      </c>
      <c r="E23" s="626">
        <v>527.0</v>
      </c>
      <c r="F23" s="624">
        <v>70.0</v>
      </c>
      <c r="G23" s="624">
        <v>18.0</v>
      </c>
      <c r="H23" s="624">
        <v>30.0</v>
      </c>
      <c r="I23" s="13">
        <f t="shared" si="3"/>
        <v>-12</v>
      </c>
      <c r="J23" s="622"/>
    </row>
    <row r="24">
      <c r="B24" s="620">
        <v>44606.0</v>
      </c>
      <c r="C24" s="621"/>
      <c r="D24" s="626">
        <v>626.0</v>
      </c>
      <c r="E24" s="626">
        <v>626.0</v>
      </c>
      <c r="F24" s="624">
        <v>67.0</v>
      </c>
      <c r="G24" s="624">
        <v>18.0</v>
      </c>
      <c r="H24" s="624">
        <v>20.0</v>
      </c>
      <c r="I24" s="13">
        <f t="shared" si="3"/>
        <v>-2</v>
      </c>
      <c r="J24" s="622"/>
    </row>
    <row r="25">
      <c r="B25" s="620">
        <v>44607.0</v>
      </c>
      <c r="C25" s="621"/>
      <c r="D25" s="626">
        <v>710.0</v>
      </c>
      <c r="E25" s="626">
        <v>710.0</v>
      </c>
      <c r="F25" s="624">
        <v>68.0</v>
      </c>
      <c r="G25" s="624">
        <v>19.0</v>
      </c>
      <c r="H25" s="624">
        <v>20.0</v>
      </c>
      <c r="I25" s="13">
        <f t="shared" si="3"/>
        <v>-1</v>
      </c>
      <c r="J25" s="622"/>
    </row>
    <row r="26">
      <c r="B26" s="627">
        <v>44607.85144675926</v>
      </c>
      <c r="C26" s="621"/>
      <c r="D26" s="626">
        <v>825.0</v>
      </c>
      <c r="E26" s="626">
        <v>825.0</v>
      </c>
      <c r="F26" s="624">
        <v>72.0</v>
      </c>
      <c r="G26" s="624">
        <v>17.0</v>
      </c>
      <c r="H26" s="624">
        <v>15.3</v>
      </c>
      <c r="I26" s="13">
        <f t="shared" si="3"/>
        <v>1.7</v>
      </c>
      <c r="J26" s="622"/>
    </row>
    <row r="27">
      <c r="B27" s="620">
        <v>44610.0</v>
      </c>
      <c r="C27" s="621"/>
      <c r="D27" s="626">
        <v>446.0</v>
      </c>
      <c r="E27" s="626">
        <v>-379.0</v>
      </c>
      <c r="F27" s="624">
        <v>69.0</v>
      </c>
      <c r="G27" s="624">
        <v>34.0</v>
      </c>
      <c r="H27" s="624">
        <v>36.04</v>
      </c>
      <c r="I27" s="13">
        <f t="shared" si="3"/>
        <v>-2.04</v>
      </c>
      <c r="J27" s="622"/>
    </row>
    <row r="28">
      <c r="B28" s="620">
        <v>44611.0</v>
      </c>
      <c r="C28" s="621"/>
      <c r="D28" s="622"/>
      <c r="E28" s="622"/>
      <c r="F28" s="623"/>
      <c r="G28" s="623"/>
      <c r="H28" s="624">
        <v>20.0</v>
      </c>
      <c r="I28" s="13">
        <f t="shared" si="3"/>
        <v>-20</v>
      </c>
      <c r="J28" s="622"/>
    </row>
    <row r="29">
      <c r="B29" s="620">
        <v>44613.0</v>
      </c>
      <c r="C29" s="621"/>
      <c r="D29" s="622"/>
      <c r="E29" s="622"/>
      <c r="F29" s="623"/>
      <c r="G29" s="623"/>
      <c r="H29" s="624">
        <v>20.0</v>
      </c>
      <c r="I29" s="13">
        <f t="shared" si="3"/>
        <v>-20</v>
      </c>
      <c r="J29" s="622"/>
    </row>
    <row r="30">
      <c r="B30" s="620">
        <v>44613.0</v>
      </c>
      <c r="C30" s="621"/>
      <c r="D30" s="622"/>
      <c r="E30" s="622"/>
      <c r="F30" s="623"/>
      <c r="G30" s="623"/>
      <c r="H30" s="624">
        <v>15.0</v>
      </c>
      <c r="I30" s="13">
        <f t="shared" si="3"/>
        <v>-15</v>
      </c>
      <c r="J30" s="622"/>
    </row>
    <row r="31">
      <c r="B31" s="620">
        <v>44616.0</v>
      </c>
      <c r="C31" s="621"/>
      <c r="D31" s="628">
        <v>333.0</v>
      </c>
      <c r="E31" s="622"/>
      <c r="F31" s="628">
        <v>72.0</v>
      </c>
      <c r="G31" s="624">
        <v>32.0</v>
      </c>
      <c r="H31" s="624">
        <v>31.51</v>
      </c>
      <c r="I31" s="13">
        <f t="shared" si="3"/>
        <v>0.49</v>
      </c>
      <c r="J31" s="622"/>
    </row>
    <row r="32">
      <c r="B32" s="620">
        <v>44618.0</v>
      </c>
      <c r="C32" s="621"/>
      <c r="D32" s="629"/>
      <c r="E32" s="622"/>
      <c r="F32" s="629"/>
      <c r="G32" s="623"/>
      <c r="H32" s="624">
        <v>20.0</v>
      </c>
      <c r="I32" s="13">
        <f t="shared" si="3"/>
        <v>-20</v>
      </c>
      <c r="J32" s="622"/>
    </row>
    <row r="33">
      <c r="B33" s="620">
        <v>44619.0</v>
      </c>
      <c r="C33" s="621"/>
      <c r="D33" s="628">
        <v>483.0</v>
      </c>
      <c r="E33" s="626">
        <v>150.0</v>
      </c>
      <c r="F33" s="628">
        <v>70.0</v>
      </c>
      <c r="G33" s="624">
        <v>17.0</v>
      </c>
      <c r="H33" s="624">
        <v>19.78</v>
      </c>
      <c r="I33" s="13">
        <f t="shared" si="3"/>
        <v>-2.78</v>
      </c>
      <c r="J33" s="622"/>
    </row>
    <row r="34">
      <c r="A34" s="551"/>
      <c r="B34" s="619" t="s">
        <v>72</v>
      </c>
      <c r="I34" s="551"/>
      <c r="J34" s="618"/>
      <c r="K34" s="551"/>
      <c r="L34" s="551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</row>
    <row r="35">
      <c r="B35" s="620">
        <v>44622.0</v>
      </c>
      <c r="C35" s="621"/>
      <c r="D35" s="628">
        <v>108.0</v>
      </c>
      <c r="E35" s="622"/>
      <c r="F35" s="628">
        <v>71.0</v>
      </c>
      <c r="G35" s="624">
        <v>28.0</v>
      </c>
      <c r="H35" s="624">
        <v>30.0</v>
      </c>
      <c r="I35" s="13">
        <f t="shared" ref="I35:I53" si="4">G35-H35</f>
        <v>-2</v>
      </c>
      <c r="J35" s="622"/>
    </row>
    <row r="36">
      <c r="B36" s="620">
        <v>44623.0</v>
      </c>
      <c r="C36" s="621"/>
      <c r="D36" s="629"/>
      <c r="E36" s="622"/>
      <c r="F36" s="629"/>
      <c r="G36" s="623"/>
      <c r="H36" s="624">
        <v>15.0</v>
      </c>
      <c r="I36" s="13">
        <f t="shared" si="4"/>
        <v>-15</v>
      </c>
      <c r="J36" s="622"/>
    </row>
    <row r="37">
      <c r="B37" s="620">
        <v>44624.0</v>
      </c>
      <c r="C37" s="621"/>
      <c r="D37" s="628">
        <v>267.0</v>
      </c>
      <c r="E37" s="622"/>
      <c r="F37" s="628">
        <v>70.0</v>
      </c>
      <c r="G37" s="628">
        <v>23.12</v>
      </c>
      <c r="H37" s="624">
        <v>20.0</v>
      </c>
      <c r="I37" s="13">
        <f t="shared" si="4"/>
        <v>3.12</v>
      </c>
      <c r="J37" s="622"/>
    </row>
    <row r="38">
      <c r="B38" s="620">
        <v>44625.0</v>
      </c>
      <c r="C38" s="621"/>
      <c r="D38" s="628">
        <v>337.0</v>
      </c>
      <c r="E38" s="622"/>
      <c r="F38" s="628">
        <v>65.0</v>
      </c>
      <c r="G38" s="628">
        <v>18.78</v>
      </c>
      <c r="H38" s="624">
        <v>20.0</v>
      </c>
      <c r="I38" s="13">
        <f t="shared" si="4"/>
        <v>-1.22</v>
      </c>
      <c r="J38" s="622"/>
    </row>
    <row r="39">
      <c r="B39" s="620">
        <v>44628.0</v>
      </c>
      <c r="C39" s="621"/>
      <c r="D39" s="629"/>
      <c r="E39" s="622"/>
      <c r="F39" s="628">
        <v>71.0</v>
      </c>
      <c r="G39" s="628">
        <v>22.33</v>
      </c>
      <c r="H39" s="624">
        <v>30.0</v>
      </c>
      <c r="I39" s="13">
        <f t="shared" si="4"/>
        <v>-7.67</v>
      </c>
      <c r="J39" s="622"/>
    </row>
    <row r="40">
      <c r="B40" s="620">
        <v>44629.0</v>
      </c>
      <c r="C40" s="621"/>
      <c r="D40" s="629"/>
      <c r="E40" s="622"/>
      <c r="F40" s="629"/>
      <c r="G40" s="629"/>
      <c r="H40" s="624">
        <v>17.22</v>
      </c>
      <c r="I40" s="13">
        <f t="shared" si="4"/>
        <v>-17.22</v>
      </c>
      <c r="J40" s="622"/>
    </row>
    <row r="41">
      <c r="B41" s="620">
        <v>44630.0</v>
      </c>
      <c r="C41" s="621"/>
      <c r="D41" s="629"/>
      <c r="E41" s="622"/>
      <c r="F41" s="629"/>
      <c r="G41" s="629"/>
      <c r="H41" s="623"/>
      <c r="I41" s="13">
        <f t="shared" si="4"/>
        <v>0</v>
      </c>
      <c r="J41" s="622"/>
    </row>
    <row r="42">
      <c r="B42" s="620">
        <v>44630.0</v>
      </c>
      <c r="C42" s="621"/>
      <c r="D42" s="629"/>
      <c r="E42" s="622"/>
      <c r="F42" s="628">
        <v>66.0</v>
      </c>
      <c r="G42" s="628">
        <v>15.41</v>
      </c>
      <c r="H42" s="624">
        <v>20.0</v>
      </c>
      <c r="I42" s="13">
        <f t="shared" si="4"/>
        <v>-4.59</v>
      </c>
      <c r="J42" s="622"/>
    </row>
    <row r="43">
      <c r="B43" s="620">
        <v>44631.0</v>
      </c>
      <c r="C43" s="621"/>
      <c r="D43" s="628">
        <v>24017.0</v>
      </c>
      <c r="E43" s="622"/>
      <c r="F43" s="629"/>
      <c r="G43" s="629"/>
      <c r="H43" s="624">
        <v>20.0</v>
      </c>
      <c r="I43" s="13">
        <f t="shared" si="4"/>
        <v>-20</v>
      </c>
      <c r="J43" s="622"/>
    </row>
    <row r="44">
      <c r="B44" s="620">
        <v>44631.0</v>
      </c>
      <c r="C44" s="621"/>
      <c r="D44" s="628">
        <v>24169.0</v>
      </c>
      <c r="E44" s="622"/>
      <c r="F44" s="629"/>
      <c r="G44" s="629"/>
      <c r="H44" s="624">
        <v>15.0</v>
      </c>
      <c r="I44" s="13">
        <f t="shared" si="4"/>
        <v>-15</v>
      </c>
      <c r="J44" s="622"/>
    </row>
    <row r="45">
      <c r="B45" s="620">
        <v>44634.0</v>
      </c>
      <c r="C45" s="621"/>
      <c r="D45" s="629"/>
      <c r="E45" s="622"/>
      <c r="F45" s="628">
        <v>68.0</v>
      </c>
      <c r="G45" s="628">
        <v>17.67</v>
      </c>
      <c r="H45" s="624">
        <v>23.64</v>
      </c>
      <c r="I45" s="13">
        <f t="shared" si="4"/>
        <v>-5.97</v>
      </c>
      <c r="J45" s="622"/>
    </row>
    <row r="46">
      <c r="B46" s="620">
        <v>44635.0</v>
      </c>
      <c r="C46" s="621"/>
      <c r="D46" s="629"/>
      <c r="E46" s="622"/>
      <c r="F46" s="629"/>
      <c r="G46" s="629"/>
      <c r="H46" s="624">
        <v>15.0</v>
      </c>
      <c r="I46" s="13">
        <f t="shared" si="4"/>
        <v>-15</v>
      </c>
      <c r="J46" s="622"/>
    </row>
    <row r="47">
      <c r="B47" s="620">
        <v>44636.0</v>
      </c>
      <c r="C47" s="621"/>
      <c r="D47" s="629"/>
      <c r="E47" s="622"/>
      <c r="F47" s="628">
        <v>70.0</v>
      </c>
      <c r="G47" s="628">
        <v>16.38</v>
      </c>
      <c r="H47" s="624">
        <v>20.0</v>
      </c>
      <c r="I47" s="13">
        <f t="shared" si="4"/>
        <v>-3.62</v>
      </c>
      <c r="J47" s="622"/>
    </row>
    <row r="48">
      <c r="B48" s="620">
        <v>44639.0</v>
      </c>
      <c r="C48" s="621"/>
      <c r="D48" s="629"/>
      <c r="E48" s="622"/>
      <c r="F48" s="628">
        <v>70.0</v>
      </c>
      <c r="G48" s="628">
        <v>36.39</v>
      </c>
      <c r="H48" s="624">
        <v>39.66</v>
      </c>
      <c r="I48" s="13">
        <f t="shared" si="4"/>
        <v>-3.27</v>
      </c>
      <c r="J48" s="622"/>
    </row>
    <row r="49">
      <c r="B49" s="620">
        <v>44643.0</v>
      </c>
      <c r="C49" s="621"/>
      <c r="D49" s="628">
        <v>26196.0</v>
      </c>
      <c r="E49" s="622"/>
      <c r="F49" s="630">
        <v>70.0</v>
      </c>
      <c r="G49" s="628">
        <v>31.23</v>
      </c>
      <c r="H49" s="624">
        <v>30.0</v>
      </c>
      <c r="I49" s="13">
        <f t="shared" si="4"/>
        <v>1.23</v>
      </c>
      <c r="J49" s="622"/>
    </row>
    <row r="50">
      <c r="B50" s="620">
        <v>44644.0</v>
      </c>
      <c r="C50" s="621"/>
      <c r="D50" s="629"/>
      <c r="E50" s="622"/>
      <c r="F50" s="628">
        <v>71.0</v>
      </c>
      <c r="G50" s="628">
        <v>40.44</v>
      </c>
      <c r="H50" s="624">
        <v>45.0</v>
      </c>
      <c r="I50" s="13">
        <f t="shared" si="4"/>
        <v>-4.56</v>
      </c>
      <c r="J50" s="622"/>
    </row>
    <row r="51">
      <c r="B51" s="620">
        <v>44646.0</v>
      </c>
      <c r="C51" s="621"/>
      <c r="D51" s="629"/>
      <c r="E51" s="622"/>
      <c r="F51" s="628">
        <v>71.0</v>
      </c>
      <c r="G51" s="628">
        <v>42.0</v>
      </c>
      <c r="H51" s="624">
        <v>41.82</v>
      </c>
      <c r="I51" s="13">
        <f t="shared" si="4"/>
        <v>0.18</v>
      </c>
      <c r="J51" s="622"/>
    </row>
    <row r="52">
      <c r="B52" s="620">
        <v>44649.0</v>
      </c>
      <c r="C52" s="621"/>
      <c r="D52" s="629"/>
      <c r="E52" s="622"/>
      <c r="F52" s="628">
        <v>69.0</v>
      </c>
      <c r="G52" s="628">
        <v>24.39</v>
      </c>
      <c r="H52" s="624">
        <v>25.0</v>
      </c>
      <c r="I52" s="13">
        <f t="shared" si="4"/>
        <v>-0.61</v>
      </c>
      <c r="J52" s="622"/>
    </row>
    <row r="53">
      <c r="B53" s="620">
        <v>44650.0</v>
      </c>
      <c r="C53" s="621"/>
      <c r="D53" s="629"/>
      <c r="E53" s="622"/>
      <c r="F53" s="628">
        <v>71.0</v>
      </c>
      <c r="G53" s="628">
        <v>35.5</v>
      </c>
      <c r="H53" s="624">
        <v>30.0</v>
      </c>
      <c r="I53" s="13">
        <f t="shared" si="4"/>
        <v>5.5</v>
      </c>
      <c r="J53" s="622"/>
    </row>
    <row r="54">
      <c r="A54" s="551"/>
      <c r="B54" s="619" t="s">
        <v>74</v>
      </c>
      <c r="I54" s="551"/>
      <c r="J54" s="618"/>
      <c r="K54" s="551"/>
      <c r="L54" s="551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</row>
    <row r="55">
      <c r="B55" s="620">
        <v>44652.0</v>
      </c>
      <c r="C55" s="621"/>
      <c r="D55" s="628">
        <v>26337.0</v>
      </c>
      <c r="E55" s="622"/>
      <c r="F55" s="630">
        <v>72.0</v>
      </c>
      <c r="G55" s="628">
        <v>29.94</v>
      </c>
      <c r="H55" s="624">
        <v>28.09</v>
      </c>
      <c r="I55" s="13">
        <f t="shared" ref="I55:I68" si="5">G55-H55</f>
        <v>1.85</v>
      </c>
      <c r="J55" s="622"/>
    </row>
    <row r="56">
      <c r="B56" s="620">
        <v>44655.0</v>
      </c>
      <c r="C56" s="621"/>
      <c r="D56" s="629"/>
      <c r="E56" s="622"/>
      <c r="F56" s="628">
        <v>68.0</v>
      </c>
      <c r="G56" s="628">
        <v>19.47</v>
      </c>
      <c r="H56" s="624">
        <v>25.0</v>
      </c>
      <c r="I56" s="13">
        <f t="shared" si="5"/>
        <v>-5.53</v>
      </c>
      <c r="J56" s="622"/>
    </row>
    <row r="57">
      <c r="B57" s="620">
        <v>44657.0</v>
      </c>
      <c r="C57" s="631"/>
      <c r="D57" s="629"/>
      <c r="E57" s="629"/>
      <c r="F57" s="629"/>
      <c r="G57" s="629"/>
      <c r="H57" s="629"/>
      <c r="I57" s="13">
        <f t="shared" si="5"/>
        <v>0</v>
      </c>
      <c r="J57" s="629"/>
    </row>
    <row r="58">
      <c r="B58" s="620">
        <v>44658.0</v>
      </c>
      <c r="C58" s="621"/>
      <c r="D58" s="628">
        <v>26794.0</v>
      </c>
      <c r="E58" s="622"/>
      <c r="F58" s="628">
        <v>73.0</v>
      </c>
      <c r="G58" s="628">
        <v>47.36</v>
      </c>
      <c r="H58" s="624">
        <v>43.23</v>
      </c>
      <c r="I58" s="13">
        <f t="shared" si="5"/>
        <v>4.13</v>
      </c>
      <c r="J58" s="622"/>
    </row>
    <row r="59">
      <c r="B59" s="620">
        <v>44660.0</v>
      </c>
      <c r="C59" s="621"/>
      <c r="D59" s="628">
        <v>0.0</v>
      </c>
      <c r="E59" s="622"/>
      <c r="F59" s="628">
        <v>72.0</v>
      </c>
      <c r="G59" s="628">
        <v>31.24</v>
      </c>
      <c r="H59" s="624">
        <v>30.0</v>
      </c>
      <c r="I59" s="13">
        <f t="shared" si="5"/>
        <v>1.24</v>
      </c>
      <c r="J59" s="622"/>
    </row>
    <row r="60">
      <c r="B60" s="620">
        <v>44664.0</v>
      </c>
      <c r="C60" s="621"/>
      <c r="D60" s="628">
        <v>27278.0</v>
      </c>
      <c r="E60" s="626">
        <v>484.0</v>
      </c>
      <c r="F60" s="628">
        <v>73.0</v>
      </c>
      <c r="G60" s="628">
        <v>31.1</v>
      </c>
      <c r="H60" s="624">
        <v>35.0</v>
      </c>
      <c r="I60" s="13">
        <f t="shared" si="5"/>
        <v>-3.9</v>
      </c>
      <c r="J60" s="626">
        <v>13.43</v>
      </c>
    </row>
    <row r="61">
      <c r="B61" s="620">
        <v>44665.0</v>
      </c>
      <c r="C61" s="621"/>
      <c r="D61" s="628">
        <v>27436.0</v>
      </c>
      <c r="E61" s="626">
        <v>158.0</v>
      </c>
      <c r="F61" s="628">
        <v>71.0</v>
      </c>
      <c r="G61" s="628">
        <v>19.4</v>
      </c>
      <c r="H61" s="624">
        <v>23.91</v>
      </c>
      <c r="I61" s="13">
        <f t="shared" si="5"/>
        <v>-4.51</v>
      </c>
      <c r="J61" s="626">
        <v>15.13</v>
      </c>
    </row>
    <row r="62">
      <c r="B62" s="620">
        <v>44667.0</v>
      </c>
      <c r="C62" s="621"/>
      <c r="D62" s="628">
        <v>27635.0</v>
      </c>
      <c r="E62" s="626">
        <v>199.0</v>
      </c>
      <c r="F62" s="628">
        <v>71.0</v>
      </c>
      <c r="G62" s="628">
        <v>17.39</v>
      </c>
      <c r="H62" s="624">
        <v>22.07</v>
      </c>
      <c r="I62" s="13">
        <f t="shared" si="5"/>
        <v>-4.68</v>
      </c>
      <c r="J62" s="626">
        <v>11.09</v>
      </c>
    </row>
    <row r="63">
      <c r="B63" s="620">
        <v>44670.0</v>
      </c>
      <c r="C63" s="621"/>
      <c r="D63" s="628">
        <v>27989.0</v>
      </c>
      <c r="E63" s="626">
        <v>354.0</v>
      </c>
      <c r="F63" s="628">
        <v>72.0</v>
      </c>
      <c r="G63" s="628">
        <v>33.36</v>
      </c>
      <c r="H63" s="624">
        <v>36.8</v>
      </c>
      <c r="I63" s="13">
        <f t="shared" si="5"/>
        <v>-3.44</v>
      </c>
      <c r="J63" s="626">
        <v>10.4</v>
      </c>
    </row>
    <row r="64">
      <c r="B64" s="620">
        <v>44672.0</v>
      </c>
      <c r="C64" s="621"/>
      <c r="D64" s="628">
        <v>28170.0</v>
      </c>
      <c r="E64" s="626">
        <v>181.0</v>
      </c>
      <c r="F64" s="628">
        <v>71.0</v>
      </c>
      <c r="G64" s="628">
        <v>20.75</v>
      </c>
      <c r="H64" s="624">
        <v>30.38</v>
      </c>
      <c r="I64" s="13">
        <f t="shared" si="5"/>
        <v>-9.63</v>
      </c>
      <c r="J64" s="626">
        <v>16.78</v>
      </c>
    </row>
    <row r="65">
      <c r="B65" s="620">
        <v>44673.0</v>
      </c>
      <c r="C65" s="621"/>
      <c r="D65" s="628">
        <v>28314.0</v>
      </c>
      <c r="E65" s="626">
        <v>144.0</v>
      </c>
      <c r="F65" s="628">
        <v>71.0</v>
      </c>
      <c r="G65" s="628">
        <v>12.51</v>
      </c>
      <c r="H65" s="624">
        <v>19.73</v>
      </c>
      <c r="I65" s="13">
        <f t="shared" si="5"/>
        <v>-7.22</v>
      </c>
      <c r="J65" s="626">
        <v>13.7</v>
      </c>
    </row>
    <row r="66">
      <c r="B66" s="620">
        <v>44675.0</v>
      </c>
      <c r="C66" s="621"/>
      <c r="D66" s="628">
        <v>28624.0</v>
      </c>
      <c r="E66" s="626">
        <v>310.0</v>
      </c>
      <c r="F66" s="628">
        <v>72.0</v>
      </c>
      <c r="G66" s="628">
        <v>38.12</v>
      </c>
      <c r="H66" s="624">
        <v>42.0</v>
      </c>
      <c r="I66" s="13">
        <f t="shared" si="5"/>
        <v>-3.88</v>
      </c>
      <c r="J66" s="626">
        <v>13.55</v>
      </c>
    </row>
    <row r="67">
      <c r="B67" s="620">
        <v>44677.0</v>
      </c>
      <c r="C67" s="621"/>
      <c r="D67" s="628">
        <v>28833.0</v>
      </c>
      <c r="E67" s="626">
        <v>209.0</v>
      </c>
      <c r="F67" s="628">
        <v>73.0</v>
      </c>
      <c r="G67" s="628">
        <v>39.49</v>
      </c>
      <c r="H67" s="624">
        <v>28.49</v>
      </c>
      <c r="I67" s="13">
        <f t="shared" si="5"/>
        <v>11</v>
      </c>
      <c r="J67" s="626">
        <v>13.63</v>
      </c>
    </row>
    <row r="68">
      <c r="B68" s="620">
        <v>44679.0</v>
      </c>
      <c r="C68" s="621"/>
      <c r="D68" s="628">
        <v>29043.0</v>
      </c>
      <c r="E68" s="626">
        <v>210.0</v>
      </c>
      <c r="F68" s="628">
        <v>70.0</v>
      </c>
      <c r="G68" s="628">
        <v>20.08</v>
      </c>
      <c r="H68" s="624">
        <v>24.07</v>
      </c>
      <c r="I68" s="13">
        <f t="shared" si="5"/>
        <v>-3.99</v>
      </c>
      <c r="J68" s="626">
        <v>11.46</v>
      </c>
    </row>
    <row r="69">
      <c r="A69" s="551"/>
      <c r="B69" s="619" t="s">
        <v>75</v>
      </c>
      <c r="I69" s="551"/>
      <c r="J69" s="618"/>
      <c r="K69" s="551"/>
      <c r="L69" s="551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</row>
    <row r="70">
      <c r="B70" s="620">
        <v>44682.0</v>
      </c>
      <c r="C70" s="621"/>
      <c r="D70" s="628">
        <v>29153.0</v>
      </c>
      <c r="E70" s="626">
        <v>110.0</v>
      </c>
      <c r="F70" s="628">
        <v>73.0</v>
      </c>
      <c r="G70" s="628">
        <v>18.14</v>
      </c>
      <c r="H70" s="624">
        <v>18.11</v>
      </c>
      <c r="I70" s="13">
        <f t="shared" ref="I70:I82" si="6">G70-H70</f>
        <v>0.03</v>
      </c>
      <c r="J70" s="626">
        <v>16.46</v>
      </c>
    </row>
    <row r="71">
      <c r="B71" s="620">
        <v>44684.0</v>
      </c>
      <c r="C71" s="621"/>
      <c r="D71" s="628">
        <v>29398.0</v>
      </c>
      <c r="E71" s="626">
        <v>245.0</v>
      </c>
      <c r="F71" s="628">
        <v>72.0</v>
      </c>
      <c r="G71" s="628">
        <v>34.88</v>
      </c>
      <c r="H71" s="624">
        <v>28.62</v>
      </c>
      <c r="I71" s="13">
        <f t="shared" si="6"/>
        <v>6.26</v>
      </c>
      <c r="J71" s="626">
        <v>11.68</v>
      </c>
    </row>
    <row r="72">
      <c r="B72" s="620">
        <v>44685.0</v>
      </c>
      <c r="C72" s="621"/>
      <c r="D72" s="628">
        <v>29672.0</v>
      </c>
      <c r="E72" s="626">
        <v>274.0</v>
      </c>
      <c r="F72" s="628">
        <v>71.0</v>
      </c>
      <c r="G72" s="628">
        <v>15.19</v>
      </c>
      <c r="H72" s="624">
        <v>19.06</v>
      </c>
      <c r="I72" s="13">
        <f t="shared" si="6"/>
        <v>-3.87</v>
      </c>
      <c r="J72" s="626">
        <v>6.96</v>
      </c>
    </row>
    <row r="73">
      <c r="B73" s="620">
        <v>44687.0</v>
      </c>
      <c r="C73" s="621"/>
      <c r="D73" s="628">
        <v>29998.0</v>
      </c>
      <c r="E73" s="626">
        <v>326.0</v>
      </c>
      <c r="F73" s="628">
        <v>66.0</v>
      </c>
      <c r="G73" s="628">
        <v>26.73</v>
      </c>
      <c r="H73" s="624">
        <v>30.0</v>
      </c>
      <c r="I73" s="13">
        <f t="shared" si="6"/>
        <v>-3.27</v>
      </c>
      <c r="J73" s="626">
        <v>9.2</v>
      </c>
    </row>
    <row r="74">
      <c r="B74" s="620">
        <v>44688.0</v>
      </c>
      <c r="C74" s="621"/>
      <c r="D74" s="628">
        <v>30183.0</v>
      </c>
      <c r="E74" s="626">
        <v>185.0</v>
      </c>
      <c r="F74" s="628">
        <v>67.0</v>
      </c>
      <c r="G74" s="628">
        <v>18.08</v>
      </c>
      <c r="H74" s="624">
        <v>20.0</v>
      </c>
      <c r="I74" s="13">
        <f t="shared" si="6"/>
        <v>-1.92</v>
      </c>
      <c r="J74" s="626">
        <v>10.81</v>
      </c>
    </row>
    <row r="75">
      <c r="B75" s="620">
        <v>44691.0</v>
      </c>
      <c r="C75" s="632" t="s">
        <v>424</v>
      </c>
      <c r="D75" s="628">
        <v>30257.0</v>
      </c>
      <c r="E75" s="626">
        <v>74.0</v>
      </c>
      <c r="F75" s="628">
        <v>73.0</v>
      </c>
      <c r="G75" s="628">
        <v>8.59</v>
      </c>
      <c r="H75" s="624">
        <v>19.31</v>
      </c>
      <c r="I75" s="13">
        <f t="shared" si="6"/>
        <v>-10.72</v>
      </c>
      <c r="J75" s="626">
        <v>26.09</v>
      </c>
    </row>
    <row r="76">
      <c r="B76" s="620">
        <v>44693.0</v>
      </c>
      <c r="C76" s="621"/>
      <c r="D76" s="628">
        <v>30556.0</v>
      </c>
      <c r="E76" s="626">
        <v>299.0</v>
      </c>
      <c r="F76" s="628">
        <v>69.0</v>
      </c>
      <c r="G76" s="628">
        <v>26.35</v>
      </c>
      <c r="H76" s="624">
        <v>30.0</v>
      </c>
      <c r="I76" s="13">
        <f t="shared" si="6"/>
        <v>-3.65</v>
      </c>
      <c r="J76" s="626">
        <v>10.03</v>
      </c>
    </row>
    <row r="77">
      <c r="B77" s="620">
        <v>44695.0</v>
      </c>
      <c r="C77" s="621"/>
      <c r="D77" s="628">
        <v>30789.0</v>
      </c>
      <c r="E77" s="626">
        <v>233.0</v>
      </c>
      <c r="F77" s="628">
        <v>72.0</v>
      </c>
      <c r="G77" s="628">
        <v>28.73</v>
      </c>
      <c r="H77" s="624">
        <v>31.64</v>
      </c>
      <c r="I77" s="13">
        <f t="shared" si="6"/>
        <v>-2.91</v>
      </c>
      <c r="J77" s="626">
        <v>13.58</v>
      </c>
    </row>
    <row r="78">
      <c r="B78" s="620">
        <v>44697.0</v>
      </c>
      <c r="C78" s="621"/>
      <c r="D78" s="628">
        <v>31041.0</v>
      </c>
      <c r="E78" s="626">
        <v>252.0</v>
      </c>
      <c r="F78" s="628">
        <v>72.0</v>
      </c>
      <c r="G78" s="628">
        <v>24.91</v>
      </c>
      <c r="H78" s="624">
        <v>23.37</v>
      </c>
      <c r="I78" s="13">
        <f t="shared" si="6"/>
        <v>1.54</v>
      </c>
      <c r="J78" s="626">
        <v>9.27</v>
      </c>
    </row>
    <row r="79">
      <c r="B79" s="620">
        <v>44700.0</v>
      </c>
      <c r="C79" s="621"/>
      <c r="D79" s="628">
        <v>31223.0</v>
      </c>
      <c r="E79" s="626">
        <v>182.0</v>
      </c>
      <c r="F79" s="628">
        <v>74.0</v>
      </c>
      <c r="G79" s="628">
        <v>18.72</v>
      </c>
      <c r="H79" s="624">
        <v>22.01</v>
      </c>
      <c r="I79" s="13">
        <f t="shared" si="6"/>
        <v>-3.29</v>
      </c>
      <c r="J79" s="626">
        <v>12.09</v>
      </c>
    </row>
    <row r="80">
      <c r="B80" s="620">
        <v>44703.0</v>
      </c>
      <c r="C80" s="621"/>
      <c r="D80" s="628">
        <v>31420.0</v>
      </c>
      <c r="E80" s="626">
        <v>197.0</v>
      </c>
      <c r="F80" s="628">
        <v>71.0</v>
      </c>
      <c r="G80" s="628">
        <v>23.43</v>
      </c>
      <c r="H80" s="624">
        <v>24.46</v>
      </c>
      <c r="I80" s="13">
        <f t="shared" si="6"/>
        <v>-1.03</v>
      </c>
      <c r="J80" s="626">
        <v>12.42</v>
      </c>
    </row>
    <row r="81">
      <c r="B81" s="620">
        <v>44707.0</v>
      </c>
      <c r="C81" s="621"/>
      <c r="D81" s="628">
        <v>31788.0</v>
      </c>
      <c r="E81" s="626">
        <v>368.0</v>
      </c>
      <c r="F81" s="628">
        <v>72.0</v>
      </c>
      <c r="G81" s="628">
        <v>41.89</v>
      </c>
      <c r="H81" s="624">
        <v>39.64</v>
      </c>
      <c r="I81" s="13">
        <f t="shared" si="6"/>
        <v>2.25</v>
      </c>
      <c r="J81" s="626">
        <v>10.77</v>
      </c>
    </row>
    <row r="82">
      <c r="B82" s="620">
        <v>44712.0</v>
      </c>
      <c r="C82" s="621"/>
      <c r="D82" s="628">
        <v>32184.0</v>
      </c>
      <c r="E82" s="626">
        <v>396.0</v>
      </c>
      <c r="F82" s="628">
        <v>74.0</v>
      </c>
      <c r="G82" s="628">
        <v>35.4</v>
      </c>
      <c r="H82" s="624">
        <v>35.0</v>
      </c>
      <c r="I82" s="13">
        <f t="shared" si="6"/>
        <v>0.4</v>
      </c>
      <c r="J82" s="626">
        <v>8.84</v>
      </c>
    </row>
    <row r="83">
      <c r="A83" s="551"/>
      <c r="B83" s="619" t="s">
        <v>90</v>
      </c>
      <c r="I83" s="551"/>
      <c r="J83" s="618"/>
      <c r="K83" s="551"/>
      <c r="L83" s="551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</row>
    <row r="84">
      <c r="B84" s="620">
        <v>44714.0</v>
      </c>
      <c r="C84" s="621"/>
      <c r="D84" s="628">
        <v>32571.0</v>
      </c>
      <c r="E84" s="626">
        <v>387.0</v>
      </c>
      <c r="F84" s="628">
        <v>75.0</v>
      </c>
      <c r="G84" s="628">
        <v>27.56</v>
      </c>
      <c r="H84" s="624">
        <v>25.03</v>
      </c>
      <c r="I84" s="13">
        <f t="shared" ref="I84:I94" si="7">G84-H84</f>
        <v>2.53</v>
      </c>
      <c r="J84" s="626">
        <v>6.47</v>
      </c>
    </row>
    <row r="85">
      <c r="B85" s="620">
        <v>44715.0</v>
      </c>
      <c r="C85" s="621"/>
      <c r="D85" s="628">
        <v>32816.0</v>
      </c>
      <c r="E85" s="626">
        <v>245.0</v>
      </c>
      <c r="F85" s="628">
        <v>73.0</v>
      </c>
      <c r="G85" s="628">
        <v>16.46</v>
      </c>
      <c r="H85" s="624">
        <v>15.56</v>
      </c>
      <c r="I85" s="13">
        <f t="shared" si="7"/>
        <v>0.9</v>
      </c>
      <c r="J85" s="626">
        <v>6.35</v>
      </c>
    </row>
    <row r="86">
      <c r="B86" s="620">
        <v>44718.0</v>
      </c>
      <c r="C86" s="621"/>
      <c r="D86" s="628">
        <v>33174.0</v>
      </c>
      <c r="E86" s="626">
        <v>358.0</v>
      </c>
      <c r="F86" s="628">
        <v>73.0</v>
      </c>
      <c r="G86" s="628">
        <v>35.71</v>
      </c>
      <c r="H86" s="624">
        <v>33.44</v>
      </c>
      <c r="I86" s="13">
        <f t="shared" si="7"/>
        <v>2.27</v>
      </c>
      <c r="J86" s="626">
        <v>9.34</v>
      </c>
    </row>
    <row r="87">
      <c r="B87" s="620">
        <v>44722.0</v>
      </c>
      <c r="C87" s="621"/>
      <c r="D87" s="628">
        <v>33624.0</v>
      </c>
      <c r="E87" s="626">
        <v>450.0</v>
      </c>
      <c r="F87" s="628">
        <v>71.0</v>
      </c>
      <c r="G87" s="628">
        <v>43.9</v>
      </c>
      <c r="H87" s="624">
        <v>43.5</v>
      </c>
      <c r="I87" s="13">
        <f t="shared" si="7"/>
        <v>0.4</v>
      </c>
      <c r="J87" s="626">
        <v>9.67</v>
      </c>
    </row>
    <row r="88">
      <c r="B88" s="620">
        <v>44724.0</v>
      </c>
      <c r="C88" s="621"/>
      <c r="D88" s="629"/>
      <c r="E88" s="622"/>
      <c r="F88" s="628">
        <v>74.0</v>
      </c>
      <c r="G88" s="628">
        <v>27.6</v>
      </c>
      <c r="H88" s="633">
        <v>30.0</v>
      </c>
      <c r="I88" s="13">
        <f t="shared" si="7"/>
        <v>-2.4</v>
      </c>
      <c r="J88" s="622"/>
    </row>
    <row r="89">
      <c r="B89" s="620">
        <v>44727.0</v>
      </c>
      <c r="C89" s="621"/>
      <c r="D89" s="628">
        <v>34126.0</v>
      </c>
      <c r="E89" s="626">
        <v>450.0</v>
      </c>
      <c r="F89" s="628">
        <v>72.0</v>
      </c>
      <c r="G89" s="628">
        <v>22.37</v>
      </c>
      <c r="H89" s="633">
        <v>20.0</v>
      </c>
      <c r="I89" s="13">
        <f t="shared" si="7"/>
        <v>2.37</v>
      </c>
      <c r="J89" s="626">
        <v>11.11</v>
      </c>
    </row>
    <row r="90">
      <c r="B90" s="620">
        <v>44730.0</v>
      </c>
      <c r="C90" s="621"/>
      <c r="D90" s="628">
        <v>34231.0</v>
      </c>
      <c r="E90" s="626">
        <v>105.0</v>
      </c>
      <c r="F90" s="628">
        <v>71.0</v>
      </c>
      <c r="G90" s="629"/>
      <c r="H90" s="633">
        <v>14.68</v>
      </c>
      <c r="I90" s="13">
        <f t="shared" si="7"/>
        <v>-14.68</v>
      </c>
      <c r="J90" s="626">
        <v>13.98</v>
      </c>
    </row>
    <row r="91">
      <c r="B91" s="620">
        <v>44734.0</v>
      </c>
      <c r="C91" s="621"/>
      <c r="D91" s="628">
        <v>34508.0</v>
      </c>
      <c r="E91" s="626">
        <v>277.0</v>
      </c>
      <c r="F91" s="628">
        <v>71.0</v>
      </c>
      <c r="G91" s="628">
        <v>22.45</v>
      </c>
      <c r="H91" s="633">
        <v>25.33</v>
      </c>
      <c r="I91" s="13">
        <f t="shared" si="7"/>
        <v>-2.88</v>
      </c>
      <c r="J91" s="626">
        <v>9.14</v>
      </c>
    </row>
    <row r="92">
      <c r="B92" s="620">
        <v>44736.0</v>
      </c>
      <c r="C92" s="621"/>
      <c r="D92" s="628">
        <v>34816.0</v>
      </c>
      <c r="E92" s="626">
        <v>308.0</v>
      </c>
      <c r="F92" s="628">
        <v>73.0</v>
      </c>
      <c r="G92" s="628">
        <v>34.81</v>
      </c>
      <c r="H92" s="626">
        <v>32.11</v>
      </c>
      <c r="I92" s="13">
        <f t="shared" si="7"/>
        <v>2.7</v>
      </c>
      <c r="J92" s="626">
        <v>10.43</v>
      </c>
    </row>
    <row r="93">
      <c r="B93" s="620">
        <v>44741.0</v>
      </c>
      <c r="C93" s="621"/>
      <c r="D93" s="628">
        <v>35174.0</v>
      </c>
      <c r="E93" s="626">
        <v>358.0</v>
      </c>
      <c r="F93" s="628">
        <v>74.0</v>
      </c>
      <c r="G93" s="628">
        <v>38.08</v>
      </c>
      <c r="H93" s="633">
        <v>36.62</v>
      </c>
      <c r="I93" s="13">
        <f t="shared" si="7"/>
        <v>1.46</v>
      </c>
      <c r="J93" s="626">
        <v>10.23</v>
      </c>
    </row>
    <row r="94">
      <c r="B94" s="620">
        <v>44742.0</v>
      </c>
      <c r="C94" s="621"/>
      <c r="D94" s="628">
        <v>35502.0</v>
      </c>
      <c r="E94" s="626">
        <v>328.0</v>
      </c>
      <c r="F94" s="628">
        <v>72.0</v>
      </c>
      <c r="G94" s="628">
        <v>28.65</v>
      </c>
      <c r="H94" s="633">
        <v>30.0</v>
      </c>
      <c r="I94" s="13">
        <f t="shared" si="7"/>
        <v>-1.35</v>
      </c>
      <c r="J94" s="626">
        <v>9.15</v>
      </c>
    </row>
    <row r="95">
      <c r="A95" s="551"/>
      <c r="B95" s="619" t="s">
        <v>92</v>
      </c>
      <c r="I95" s="551"/>
      <c r="J95" s="618"/>
      <c r="K95" s="551"/>
      <c r="L95" s="551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</row>
    <row r="96">
      <c r="B96" s="620">
        <v>44744.0</v>
      </c>
      <c r="C96" s="632" t="s">
        <v>424</v>
      </c>
      <c r="D96" s="628">
        <v>35713.0</v>
      </c>
      <c r="E96" s="626">
        <v>211.0</v>
      </c>
      <c r="F96" s="628">
        <v>73.0</v>
      </c>
      <c r="G96" s="628">
        <v>21.46</v>
      </c>
      <c r="H96" s="626">
        <v>20.0</v>
      </c>
      <c r="I96" s="13">
        <f t="shared" ref="I96:I105" si="8">G96-H96</f>
        <v>1.46</v>
      </c>
      <c r="J96" s="622"/>
    </row>
    <row r="97">
      <c r="B97" s="620">
        <v>44745.0</v>
      </c>
      <c r="C97" s="632" t="s">
        <v>424</v>
      </c>
      <c r="D97" s="628">
        <v>35930.0</v>
      </c>
      <c r="E97" s="626">
        <v>217.0</v>
      </c>
      <c r="F97" s="628">
        <v>73.0</v>
      </c>
      <c r="G97" s="628">
        <v>18.42</v>
      </c>
      <c r="H97" s="633">
        <v>20.0</v>
      </c>
      <c r="I97" s="13">
        <f t="shared" si="8"/>
        <v>-1.58</v>
      </c>
      <c r="J97" s="622"/>
    </row>
    <row r="98">
      <c r="B98" s="620">
        <v>44748.0</v>
      </c>
      <c r="C98" s="632" t="s">
        <v>481</v>
      </c>
      <c r="D98" s="628">
        <v>36142.0</v>
      </c>
      <c r="E98" s="626">
        <v>212.0</v>
      </c>
      <c r="F98" s="629"/>
      <c r="G98" s="629"/>
      <c r="H98" s="633">
        <v>19.86</v>
      </c>
      <c r="I98" s="13">
        <f t="shared" si="8"/>
        <v>-19.86</v>
      </c>
      <c r="J98" s="622"/>
    </row>
    <row r="99">
      <c r="B99" s="620">
        <v>44750.0</v>
      </c>
      <c r="C99" s="632" t="s">
        <v>424</v>
      </c>
      <c r="D99" s="628">
        <v>36516.0</v>
      </c>
      <c r="E99" s="626">
        <v>374.0</v>
      </c>
      <c r="F99" s="628">
        <v>76.0</v>
      </c>
      <c r="G99" s="628">
        <v>36.02</v>
      </c>
      <c r="H99" s="633">
        <v>36.98</v>
      </c>
      <c r="I99" s="13">
        <f t="shared" si="8"/>
        <v>-0.96</v>
      </c>
      <c r="J99" s="622"/>
    </row>
    <row r="100">
      <c r="B100" s="620">
        <v>44753.0</v>
      </c>
      <c r="C100" s="632" t="s">
        <v>481</v>
      </c>
      <c r="D100" s="628">
        <v>36997.0</v>
      </c>
      <c r="E100" s="626">
        <v>481.0</v>
      </c>
      <c r="F100" s="628">
        <v>76.0</v>
      </c>
      <c r="G100" s="628">
        <v>40.03</v>
      </c>
      <c r="H100" s="633">
        <v>40.0</v>
      </c>
      <c r="I100" s="13">
        <f t="shared" si="8"/>
        <v>0.03</v>
      </c>
      <c r="J100" s="622"/>
    </row>
    <row r="101">
      <c r="B101" s="620">
        <v>44754.0</v>
      </c>
      <c r="C101" s="632" t="s">
        <v>481</v>
      </c>
      <c r="D101" s="628">
        <v>37236.0</v>
      </c>
      <c r="E101" s="626">
        <v>239.0</v>
      </c>
      <c r="F101" s="629"/>
      <c r="G101" s="629"/>
      <c r="H101" s="633">
        <v>20.49</v>
      </c>
      <c r="I101" s="13">
        <f t="shared" si="8"/>
        <v>-20.49</v>
      </c>
      <c r="J101" s="622"/>
    </row>
    <row r="102">
      <c r="B102" s="620">
        <v>44756.0</v>
      </c>
      <c r="C102" s="632" t="s">
        <v>424</v>
      </c>
      <c r="D102" s="628">
        <v>37533.0</v>
      </c>
      <c r="E102" s="626">
        <v>297.0</v>
      </c>
      <c r="F102" s="628">
        <v>72.0</v>
      </c>
      <c r="G102" s="628">
        <v>26.05</v>
      </c>
      <c r="H102" s="633">
        <v>30.03</v>
      </c>
      <c r="I102" s="13">
        <f t="shared" si="8"/>
        <v>-3.98</v>
      </c>
      <c r="J102" s="622"/>
    </row>
    <row r="103">
      <c r="B103" s="620">
        <v>44759.0</v>
      </c>
      <c r="C103" s="632" t="s">
        <v>481</v>
      </c>
      <c r="D103" s="628">
        <v>37980.0</v>
      </c>
      <c r="E103" s="626">
        <v>447.0</v>
      </c>
      <c r="F103" s="628">
        <v>76.0</v>
      </c>
      <c r="G103" s="628">
        <v>45.69</v>
      </c>
      <c r="H103" s="633">
        <v>40.0</v>
      </c>
      <c r="I103" s="13">
        <f t="shared" si="8"/>
        <v>5.69</v>
      </c>
      <c r="J103" s="622"/>
    </row>
    <row r="104">
      <c r="B104" s="620">
        <v>44762.0</v>
      </c>
      <c r="C104" s="632" t="s">
        <v>424</v>
      </c>
      <c r="D104" s="628">
        <v>38185.0</v>
      </c>
      <c r="E104" s="626">
        <v>205.0</v>
      </c>
      <c r="F104" s="628">
        <v>75.0</v>
      </c>
      <c r="G104" s="628">
        <v>26.45</v>
      </c>
      <c r="H104" s="626">
        <v>24.1</v>
      </c>
      <c r="I104" s="13">
        <f t="shared" si="8"/>
        <v>2.35</v>
      </c>
      <c r="J104" s="622"/>
    </row>
    <row r="105">
      <c r="B105" s="620">
        <v>44769.0</v>
      </c>
      <c r="C105" s="632" t="s">
        <v>424</v>
      </c>
      <c r="D105" s="628">
        <v>38640.0</v>
      </c>
      <c r="E105" s="626">
        <v>455.0</v>
      </c>
      <c r="F105" s="628">
        <v>72.0</v>
      </c>
      <c r="G105" s="628">
        <v>29.87</v>
      </c>
      <c r="H105" s="633">
        <v>31.04</v>
      </c>
      <c r="I105" s="13">
        <f t="shared" si="8"/>
        <v>-1.17</v>
      </c>
      <c r="J105" s="622"/>
    </row>
    <row r="106">
      <c r="A106" s="551"/>
      <c r="B106" s="619" t="s">
        <v>95</v>
      </c>
      <c r="I106" s="551"/>
      <c r="J106" s="618"/>
      <c r="K106" s="551"/>
      <c r="L106" s="551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</row>
    <row r="107">
      <c r="B107" s="620">
        <v>44775.0</v>
      </c>
      <c r="C107" s="632" t="s">
        <v>424</v>
      </c>
      <c r="D107" s="628">
        <v>38968.0</v>
      </c>
      <c r="E107" s="626">
        <v>328.0</v>
      </c>
      <c r="F107" s="628">
        <v>72.0</v>
      </c>
      <c r="G107" s="628">
        <v>29.34</v>
      </c>
      <c r="H107" s="633">
        <v>30.01</v>
      </c>
      <c r="I107" s="13">
        <f t="shared" ref="I107:I118" si="9">G107-H107</f>
        <v>-0.67</v>
      </c>
      <c r="J107" s="622"/>
    </row>
    <row r="108">
      <c r="B108" s="634">
        <v>44778.0</v>
      </c>
      <c r="C108" s="632" t="s">
        <v>481</v>
      </c>
      <c r="D108" s="628">
        <v>39295.0</v>
      </c>
      <c r="E108" s="626">
        <v>327.0</v>
      </c>
      <c r="F108" s="628">
        <v>71.0</v>
      </c>
      <c r="G108" s="628">
        <v>32.46</v>
      </c>
      <c r="H108" s="633">
        <v>40.0</v>
      </c>
      <c r="I108" s="13">
        <f t="shared" si="9"/>
        <v>-7.54</v>
      </c>
      <c r="J108" s="626">
        <v>12.23</v>
      </c>
    </row>
    <row r="109">
      <c r="B109" s="634">
        <v>44781.0</v>
      </c>
      <c r="C109" s="632" t="s">
        <v>424</v>
      </c>
      <c r="D109" s="628">
        <v>39502.0</v>
      </c>
      <c r="E109" s="626">
        <v>207.0</v>
      </c>
      <c r="F109" s="628">
        <v>74.0</v>
      </c>
      <c r="G109" s="628">
        <v>21.27</v>
      </c>
      <c r="H109" s="633">
        <v>20.64</v>
      </c>
      <c r="I109" s="13">
        <f t="shared" si="9"/>
        <v>0.63</v>
      </c>
      <c r="J109" s="626">
        <v>9.97</v>
      </c>
    </row>
    <row r="110">
      <c r="B110" s="634">
        <v>44784.0</v>
      </c>
      <c r="C110" s="632" t="s">
        <v>481</v>
      </c>
      <c r="D110" s="628">
        <v>39877.0</v>
      </c>
      <c r="E110" s="626">
        <v>375.0</v>
      </c>
      <c r="F110" s="628">
        <v>71.0</v>
      </c>
      <c r="G110" s="628">
        <v>32.52</v>
      </c>
      <c r="H110" s="626">
        <v>35.41</v>
      </c>
      <c r="I110" s="13">
        <f t="shared" si="9"/>
        <v>-2.89</v>
      </c>
      <c r="J110" s="626">
        <v>9.44</v>
      </c>
    </row>
    <row r="111">
      <c r="B111" s="634">
        <v>44785.0</v>
      </c>
      <c r="C111" s="632" t="s">
        <v>424</v>
      </c>
      <c r="D111" s="628">
        <v>40103.0</v>
      </c>
      <c r="E111" s="626">
        <v>226.0</v>
      </c>
      <c r="F111" s="628">
        <v>75.0</v>
      </c>
      <c r="G111" s="628">
        <v>26.45</v>
      </c>
      <c r="H111" s="633">
        <v>26.23</v>
      </c>
      <c r="I111" s="13">
        <f t="shared" si="9"/>
        <v>0.22</v>
      </c>
      <c r="J111" s="626">
        <v>11.61</v>
      </c>
    </row>
    <row r="112">
      <c r="B112" s="634">
        <v>44787.0</v>
      </c>
      <c r="C112" s="632" t="s">
        <v>424</v>
      </c>
      <c r="D112" s="628">
        <v>40415.0</v>
      </c>
      <c r="E112" s="626">
        <v>312.0</v>
      </c>
      <c r="F112" s="628">
        <v>73.0</v>
      </c>
      <c r="G112" s="628">
        <v>23.68</v>
      </c>
      <c r="H112" s="633">
        <v>24.0</v>
      </c>
      <c r="I112" s="13">
        <f t="shared" si="9"/>
        <v>-0.32</v>
      </c>
      <c r="J112" s="626">
        <v>7.69</v>
      </c>
    </row>
    <row r="113">
      <c r="B113" s="634">
        <v>44790.0</v>
      </c>
      <c r="C113" s="632" t="s">
        <v>481</v>
      </c>
      <c r="D113" s="628">
        <v>40806.0</v>
      </c>
      <c r="E113" s="626">
        <v>391.0</v>
      </c>
      <c r="F113" s="628">
        <v>70.0</v>
      </c>
      <c r="G113" s="628">
        <v>30.88</v>
      </c>
      <c r="H113" s="626">
        <v>35.04</v>
      </c>
      <c r="I113" s="13">
        <f t="shared" si="9"/>
        <v>-4.16</v>
      </c>
      <c r="J113" s="626">
        <v>8.96</v>
      </c>
    </row>
    <row r="114">
      <c r="B114" s="634">
        <v>44792.0</v>
      </c>
      <c r="C114" s="632" t="s">
        <v>424</v>
      </c>
      <c r="D114" s="628">
        <v>41046.0</v>
      </c>
      <c r="E114" s="626">
        <v>240.0</v>
      </c>
      <c r="F114" s="628">
        <v>75.0</v>
      </c>
      <c r="G114" s="628">
        <v>28.26</v>
      </c>
      <c r="H114" s="633">
        <v>50.0</v>
      </c>
      <c r="I114" s="13">
        <f t="shared" si="9"/>
        <v>-21.74</v>
      </c>
      <c r="J114" s="626">
        <v>20.83</v>
      </c>
    </row>
    <row r="115">
      <c r="B115" s="634">
        <v>44796.0</v>
      </c>
      <c r="C115" s="632" t="s">
        <v>481</v>
      </c>
      <c r="D115" s="628">
        <v>41358.0</v>
      </c>
      <c r="E115" s="626">
        <v>312.0</v>
      </c>
      <c r="F115" s="628">
        <v>71.0</v>
      </c>
      <c r="G115" s="628">
        <v>28.04</v>
      </c>
      <c r="H115" s="633">
        <v>40.0</v>
      </c>
      <c r="I115" s="13">
        <f t="shared" si="9"/>
        <v>-11.96</v>
      </c>
      <c r="J115" s="626">
        <v>12.82</v>
      </c>
    </row>
    <row r="116">
      <c r="B116" s="634">
        <v>44799.0</v>
      </c>
      <c r="C116" s="632" t="s">
        <v>424</v>
      </c>
      <c r="D116" s="628">
        <v>41608.0</v>
      </c>
      <c r="E116" s="626">
        <v>250.0</v>
      </c>
      <c r="F116" s="628">
        <v>73.0</v>
      </c>
      <c r="G116" s="628">
        <v>25.94</v>
      </c>
      <c r="H116" s="626">
        <v>28.06</v>
      </c>
      <c r="I116" s="13">
        <f t="shared" si="9"/>
        <v>-2.12</v>
      </c>
      <c r="J116" s="626">
        <v>11.22</v>
      </c>
    </row>
    <row r="117">
      <c r="B117" s="634">
        <v>44802.0</v>
      </c>
      <c r="C117" s="632" t="s">
        <v>481</v>
      </c>
      <c r="D117" s="628">
        <v>42063.0</v>
      </c>
      <c r="E117" s="626">
        <v>455.0</v>
      </c>
      <c r="F117" s="628">
        <v>71.0</v>
      </c>
      <c r="G117" s="628">
        <v>36.33</v>
      </c>
      <c r="H117" s="633">
        <v>38.01</v>
      </c>
      <c r="I117" s="13">
        <f t="shared" si="9"/>
        <v>-1.68</v>
      </c>
      <c r="J117" s="626">
        <v>8.35</v>
      </c>
    </row>
    <row r="118">
      <c r="B118" s="634">
        <v>44804.0</v>
      </c>
      <c r="C118" s="632" t="s">
        <v>424</v>
      </c>
      <c r="D118" s="628">
        <v>42381.0</v>
      </c>
      <c r="E118" s="626">
        <v>318.0</v>
      </c>
      <c r="F118" s="628">
        <v>73.0</v>
      </c>
      <c r="G118" s="628">
        <v>26.1</v>
      </c>
      <c r="H118" s="633">
        <v>29.01</v>
      </c>
      <c r="I118" s="13">
        <f t="shared" si="9"/>
        <v>-2.91</v>
      </c>
      <c r="J118" s="626">
        <v>9.12</v>
      </c>
    </row>
    <row r="119">
      <c r="A119" s="551"/>
      <c r="B119" s="619" t="s">
        <v>104</v>
      </c>
      <c r="I119" s="551"/>
      <c r="J119" s="618"/>
      <c r="K119" s="551"/>
      <c r="L119" s="551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</row>
    <row r="120">
      <c r="B120" s="634">
        <v>44808.0</v>
      </c>
      <c r="C120" s="632" t="s">
        <v>481</v>
      </c>
      <c r="D120" s="628">
        <v>42730.0</v>
      </c>
      <c r="E120" s="626">
        <v>349.0</v>
      </c>
      <c r="F120" s="628">
        <v>72.0</v>
      </c>
      <c r="G120" s="628">
        <v>37.4</v>
      </c>
      <c r="H120" s="633">
        <v>40.0</v>
      </c>
      <c r="I120" s="13">
        <f t="shared" ref="I120:I129" si="10">G120-H120</f>
        <v>-2.6</v>
      </c>
      <c r="J120" s="626">
        <v>11.46</v>
      </c>
    </row>
    <row r="121">
      <c r="B121" s="634">
        <v>44810.0</v>
      </c>
      <c r="C121" s="632" t="s">
        <v>424</v>
      </c>
      <c r="D121" s="628">
        <v>43016.0</v>
      </c>
      <c r="E121" s="626">
        <v>286.0</v>
      </c>
      <c r="F121" s="628">
        <v>75.0</v>
      </c>
      <c r="G121" s="628">
        <v>28.53</v>
      </c>
      <c r="H121" s="633">
        <v>30.03</v>
      </c>
      <c r="I121" s="13">
        <f t="shared" si="10"/>
        <v>-1.5</v>
      </c>
      <c r="J121" s="626">
        <v>10.5</v>
      </c>
    </row>
    <row r="122">
      <c r="B122" s="634">
        <v>44811.0</v>
      </c>
      <c r="C122" s="632" t="s">
        <v>424</v>
      </c>
      <c r="D122" s="628">
        <v>43240.0</v>
      </c>
      <c r="E122" s="626">
        <v>224.0</v>
      </c>
      <c r="F122" s="628">
        <v>70.0</v>
      </c>
      <c r="G122" s="628">
        <v>19.84</v>
      </c>
      <c r="H122" s="626">
        <v>21.06</v>
      </c>
      <c r="I122" s="13">
        <f t="shared" si="10"/>
        <v>-1.22</v>
      </c>
      <c r="J122" s="626">
        <v>9.4</v>
      </c>
    </row>
    <row r="123">
      <c r="B123" s="634">
        <v>44814.0</v>
      </c>
      <c r="C123" s="632" t="s">
        <v>481</v>
      </c>
      <c r="D123" s="628">
        <v>43547.0</v>
      </c>
      <c r="E123" s="626">
        <v>307.0</v>
      </c>
      <c r="F123" s="628">
        <v>74.0</v>
      </c>
      <c r="G123" s="628">
        <v>40.58</v>
      </c>
      <c r="H123" s="633">
        <v>40.0</v>
      </c>
      <c r="I123" s="13">
        <f t="shared" si="10"/>
        <v>0.58</v>
      </c>
      <c r="J123" s="626">
        <v>13.03</v>
      </c>
    </row>
    <row r="124">
      <c r="B124" s="634">
        <v>44816.0</v>
      </c>
      <c r="C124" s="632" t="s">
        <v>424</v>
      </c>
      <c r="D124" s="628">
        <v>43881.0</v>
      </c>
      <c r="E124" s="626">
        <v>334.0</v>
      </c>
      <c r="F124" s="628">
        <v>75.0</v>
      </c>
      <c r="G124" s="628">
        <v>39.18</v>
      </c>
      <c r="H124" s="633">
        <v>36.0</v>
      </c>
      <c r="I124" s="13">
        <f t="shared" si="10"/>
        <v>3.18</v>
      </c>
      <c r="J124" s="626">
        <v>10.78</v>
      </c>
    </row>
    <row r="125">
      <c r="B125" s="634">
        <v>44820.0</v>
      </c>
      <c r="C125" s="632" t="s">
        <v>481</v>
      </c>
      <c r="D125" s="628">
        <v>44337.0</v>
      </c>
      <c r="E125" s="626">
        <v>456.0</v>
      </c>
      <c r="F125" s="628">
        <v>74.0</v>
      </c>
      <c r="G125" s="628">
        <v>52.71</v>
      </c>
      <c r="H125" s="633">
        <v>50.0</v>
      </c>
      <c r="I125" s="13">
        <f t="shared" si="10"/>
        <v>2.71</v>
      </c>
      <c r="J125" s="626">
        <v>10.96</v>
      </c>
    </row>
    <row r="126">
      <c r="B126" s="634">
        <v>44823.0</v>
      </c>
      <c r="C126" s="632" t="s">
        <v>424</v>
      </c>
      <c r="D126" s="628">
        <v>44583.0</v>
      </c>
      <c r="E126" s="626">
        <v>246.0</v>
      </c>
      <c r="F126" s="628">
        <v>76.0</v>
      </c>
      <c r="G126" s="628">
        <v>30.11</v>
      </c>
      <c r="H126" s="633">
        <v>29.93</v>
      </c>
      <c r="I126" s="13">
        <f t="shared" si="10"/>
        <v>0.18</v>
      </c>
      <c r="J126" s="626">
        <v>12.17</v>
      </c>
    </row>
    <row r="127">
      <c r="B127" s="634">
        <v>44826.0</v>
      </c>
      <c r="C127" s="632" t="s">
        <v>481</v>
      </c>
      <c r="D127" s="628">
        <v>44845.0</v>
      </c>
      <c r="E127" s="626">
        <v>262.0</v>
      </c>
      <c r="F127" s="628">
        <v>72.0</v>
      </c>
      <c r="G127" s="628">
        <v>23.22</v>
      </c>
      <c r="H127" s="633">
        <v>25.0</v>
      </c>
      <c r="I127" s="13">
        <f t="shared" si="10"/>
        <v>-1.78</v>
      </c>
      <c r="J127" s="626">
        <v>9.54</v>
      </c>
    </row>
    <row r="128">
      <c r="B128" s="634">
        <v>44829.0</v>
      </c>
      <c r="C128" s="632" t="s">
        <v>424</v>
      </c>
      <c r="D128" s="628">
        <v>45021.0</v>
      </c>
      <c r="E128" s="626">
        <v>176.0</v>
      </c>
      <c r="F128" s="628">
        <v>76.0</v>
      </c>
      <c r="G128" s="628">
        <v>31.02</v>
      </c>
      <c r="H128" s="633">
        <v>30.0</v>
      </c>
      <c r="I128" s="13">
        <f t="shared" si="10"/>
        <v>1.02</v>
      </c>
      <c r="J128" s="626">
        <v>17.05</v>
      </c>
    </row>
    <row r="129">
      <c r="B129" s="634">
        <v>44833.0</v>
      </c>
      <c r="C129" s="632" t="s">
        <v>424</v>
      </c>
      <c r="D129" s="628">
        <v>45289.0</v>
      </c>
      <c r="E129" s="626">
        <v>268.0</v>
      </c>
      <c r="F129" s="628">
        <v>74.0</v>
      </c>
      <c r="G129" s="628">
        <v>35.59</v>
      </c>
      <c r="H129" s="633">
        <v>33.1</v>
      </c>
      <c r="I129" s="13">
        <f t="shared" si="10"/>
        <v>2.49</v>
      </c>
      <c r="J129" s="626">
        <v>12.35</v>
      </c>
    </row>
    <row r="130">
      <c r="A130" s="551"/>
      <c r="B130" s="619" t="s">
        <v>96</v>
      </c>
      <c r="I130" s="551"/>
      <c r="J130" s="618"/>
      <c r="K130" s="551"/>
      <c r="L130" s="551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</row>
    <row r="131">
      <c r="B131" s="634">
        <v>44836.0</v>
      </c>
      <c r="C131" s="632" t="s">
        <v>481</v>
      </c>
      <c r="D131" s="628">
        <v>45723.0</v>
      </c>
      <c r="E131" s="626">
        <v>434.0</v>
      </c>
      <c r="F131" s="628">
        <v>72.0</v>
      </c>
      <c r="G131" s="628">
        <v>39.6</v>
      </c>
      <c r="H131" s="633">
        <v>40.0</v>
      </c>
      <c r="I131" s="13">
        <f t="shared" ref="I131:I141" si="11">G131-H131</f>
        <v>-0.4</v>
      </c>
      <c r="J131" s="622"/>
    </row>
    <row r="132">
      <c r="B132" s="634">
        <v>44838.0</v>
      </c>
      <c r="C132" s="632" t="s">
        <v>481</v>
      </c>
      <c r="D132" s="628">
        <v>45974.0</v>
      </c>
      <c r="E132" s="626">
        <v>251.0</v>
      </c>
      <c r="F132" s="628">
        <v>72.0</v>
      </c>
      <c r="G132" s="628">
        <v>28.71</v>
      </c>
      <c r="H132" s="633">
        <v>29.51</v>
      </c>
      <c r="I132" s="13">
        <f t="shared" si="11"/>
        <v>-0.8</v>
      </c>
      <c r="J132" s="622"/>
    </row>
    <row r="133">
      <c r="B133" s="634">
        <v>44840.0</v>
      </c>
      <c r="C133" s="632" t="s">
        <v>424</v>
      </c>
      <c r="D133" s="628">
        <v>46210.0</v>
      </c>
      <c r="E133" s="626">
        <v>236.0</v>
      </c>
      <c r="F133" s="628">
        <v>75.0</v>
      </c>
      <c r="G133" s="628">
        <v>28.78</v>
      </c>
      <c r="H133" s="633">
        <v>30.09</v>
      </c>
      <c r="I133" s="13">
        <f t="shared" si="11"/>
        <v>-1.31</v>
      </c>
      <c r="J133" s="622"/>
    </row>
    <row r="134">
      <c r="B134" s="634">
        <v>44843.0</v>
      </c>
      <c r="C134" s="632" t="s">
        <v>481</v>
      </c>
      <c r="D134" s="628">
        <v>46726.0</v>
      </c>
      <c r="E134" s="626">
        <v>516.0</v>
      </c>
      <c r="F134" s="628">
        <v>74.0</v>
      </c>
      <c r="G134" s="628">
        <v>51.71</v>
      </c>
      <c r="H134" s="633">
        <v>48.9</v>
      </c>
      <c r="I134" s="13">
        <f t="shared" si="11"/>
        <v>2.81</v>
      </c>
      <c r="J134" s="622"/>
    </row>
    <row r="135">
      <c r="B135" s="635">
        <v>44845.0</v>
      </c>
      <c r="C135" s="632" t="s">
        <v>424</v>
      </c>
      <c r="D135" s="628">
        <v>47055.0</v>
      </c>
      <c r="E135" s="626">
        <v>329.0</v>
      </c>
      <c r="F135" s="628">
        <v>75.0</v>
      </c>
      <c r="G135" s="628">
        <v>38.31</v>
      </c>
      <c r="H135" s="633">
        <v>38.0</v>
      </c>
      <c r="I135" s="13">
        <f t="shared" si="11"/>
        <v>0.31</v>
      </c>
      <c r="J135" s="622"/>
    </row>
    <row r="136">
      <c r="B136" s="635">
        <v>44849.0</v>
      </c>
      <c r="C136" s="632" t="s">
        <v>481</v>
      </c>
      <c r="D136" s="628">
        <v>47497.0</v>
      </c>
      <c r="E136" s="626">
        <v>442.0</v>
      </c>
      <c r="F136" s="628">
        <v>72.0</v>
      </c>
      <c r="G136" s="628">
        <v>51.48</v>
      </c>
      <c r="H136" s="633">
        <v>47.05</v>
      </c>
      <c r="I136" s="13">
        <f t="shared" si="11"/>
        <v>4.43</v>
      </c>
      <c r="J136" s="622"/>
    </row>
    <row r="137">
      <c r="B137" s="635">
        <v>44851.0</v>
      </c>
      <c r="C137" s="632" t="s">
        <v>424</v>
      </c>
      <c r="D137" s="628">
        <v>47873.0</v>
      </c>
      <c r="E137" s="626">
        <v>376.0</v>
      </c>
      <c r="F137" s="628">
        <v>75.0</v>
      </c>
      <c r="G137" s="628">
        <v>39.33</v>
      </c>
      <c r="H137" s="633">
        <v>40.15</v>
      </c>
      <c r="I137" s="13">
        <f t="shared" si="11"/>
        <v>-0.82</v>
      </c>
      <c r="J137" s="622"/>
    </row>
    <row r="138">
      <c r="B138" s="635">
        <v>44856.0</v>
      </c>
      <c r="C138" s="632" t="s">
        <v>424</v>
      </c>
      <c r="D138" s="628">
        <v>48135.0</v>
      </c>
      <c r="E138" s="626">
        <v>262.0</v>
      </c>
      <c r="F138" s="628">
        <v>73.0</v>
      </c>
      <c r="G138" s="628">
        <v>32.38</v>
      </c>
      <c r="H138" s="626">
        <v>33.0</v>
      </c>
      <c r="I138" s="13">
        <f t="shared" si="11"/>
        <v>-0.62</v>
      </c>
      <c r="J138" s="622"/>
    </row>
    <row r="139">
      <c r="B139" s="635">
        <v>44859.0</v>
      </c>
      <c r="C139" s="632" t="s">
        <v>424</v>
      </c>
      <c r="D139" s="628">
        <v>48330.0</v>
      </c>
      <c r="E139" s="626">
        <v>195.0</v>
      </c>
      <c r="F139" s="628">
        <v>74.0</v>
      </c>
      <c r="G139" s="628">
        <v>26.26</v>
      </c>
      <c r="H139" s="626">
        <v>50.0</v>
      </c>
      <c r="I139" s="13">
        <f t="shared" si="11"/>
        <v>-23.74</v>
      </c>
      <c r="J139" s="622"/>
    </row>
    <row r="140">
      <c r="B140" s="635">
        <v>44862.0</v>
      </c>
      <c r="C140" s="632" t="s">
        <v>424</v>
      </c>
      <c r="D140" s="628">
        <v>48566.0</v>
      </c>
      <c r="E140" s="626">
        <v>236.0</v>
      </c>
      <c r="F140" s="628">
        <v>72.0</v>
      </c>
      <c r="G140" s="628">
        <v>29.27</v>
      </c>
      <c r="H140" s="626">
        <v>40.0</v>
      </c>
      <c r="I140" s="13">
        <f t="shared" si="11"/>
        <v>-10.73</v>
      </c>
      <c r="J140" s="622"/>
    </row>
    <row r="141">
      <c r="B141" s="635">
        <v>44865.0</v>
      </c>
      <c r="C141" s="632" t="s">
        <v>424</v>
      </c>
      <c r="D141" s="628">
        <v>48756.0</v>
      </c>
      <c r="E141" s="626">
        <v>190.0</v>
      </c>
      <c r="F141" s="628">
        <v>73.0</v>
      </c>
      <c r="G141" s="628">
        <v>31.55</v>
      </c>
      <c r="H141" s="633">
        <v>50.0</v>
      </c>
      <c r="I141" s="13">
        <f t="shared" si="11"/>
        <v>-18.45</v>
      </c>
      <c r="J141" s="622"/>
    </row>
    <row r="142">
      <c r="A142" s="551"/>
      <c r="B142" s="619" t="s">
        <v>97</v>
      </c>
      <c r="I142" s="551"/>
      <c r="J142" s="618"/>
      <c r="K142" s="551"/>
      <c r="L142" s="551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</row>
    <row r="143">
      <c r="B143" s="634">
        <v>44868.0</v>
      </c>
      <c r="C143" s="621"/>
      <c r="D143" s="628">
        <v>48928.0</v>
      </c>
      <c r="E143" s="626">
        <v>172.0</v>
      </c>
      <c r="F143" s="628">
        <v>74.0</v>
      </c>
      <c r="G143" s="628">
        <v>28.05</v>
      </c>
      <c r="H143" s="633">
        <v>29.57</v>
      </c>
      <c r="I143" s="13">
        <f t="shared" ref="I143:I154" si="12">G143-H143</f>
        <v>-1.52</v>
      </c>
      <c r="J143" s="622"/>
    </row>
    <row r="144">
      <c r="B144" s="634">
        <v>44871.0</v>
      </c>
      <c r="C144" s="621"/>
      <c r="D144" s="628">
        <v>49083.0</v>
      </c>
      <c r="E144" s="626">
        <v>155.0</v>
      </c>
      <c r="F144" s="628">
        <v>75.0</v>
      </c>
      <c r="G144" s="628">
        <v>24.51</v>
      </c>
      <c r="H144" s="633">
        <v>24.71</v>
      </c>
      <c r="I144" s="13">
        <f t="shared" si="12"/>
        <v>-0.2</v>
      </c>
      <c r="J144" s="622"/>
    </row>
    <row r="145">
      <c r="B145" s="634">
        <v>44874.0</v>
      </c>
      <c r="C145" s="621"/>
      <c r="D145" s="628">
        <v>49302.0</v>
      </c>
      <c r="E145" s="626">
        <v>219.0</v>
      </c>
      <c r="F145" s="628">
        <v>75.0</v>
      </c>
      <c r="G145" s="628">
        <v>32.27</v>
      </c>
      <c r="H145" s="633">
        <v>31.94</v>
      </c>
      <c r="I145" s="13">
        <f t="shared" si="12"/>
        <v>0.33</v>
      </c>
      <c r="J145" s="622"/>
    </row>
    <row r="146">
      <c r="B146" s="635">
        <v>44876.0</v>
      </c>
      <c r="C146" s="621"/>
      <c r="D146" s="628">
        <v>49478.0</v>
      </c>
      <c r="E146" s="626">
        <v>176.0</v>
      </c>
      <c r="F146" s="628">
        <v>72.0</v>
      </c>
      <c r="G146" s="628">
        <v>24.28</v>
      </c>
      <c r="H146" s="633">
        <v>24.41</v>
      </c>
      <c r="I146" s="13">
        <f t="shared" si="12"/>
        <v>-0.13</v>
      </c>
      <c r="J146" s="622"/>
    </row>
    <row r="147">
      <c r="B147" s="635">
        <v>44879.0</v>
      </c>
      <c r="C147" s="621"/>
      <c r="D147" s="629"/>
      <c r="E147" s="622"/>
      <c r="F147" s="628">
        <v>74.0</v>
      </c>
      <c r="G147" s="628">
        <v>34.82</v>
      </c>
      <c r="H147" s="633">
        <v>34.76</v>
      </c>
      <c r="I147" s="13">
        <f t="shared" si="12"/>
        <v>0.06</v>
      </c>
      <c r="J147" s="622"/>
    </row>
    <row r="148">
      <c r="B148" s="635">
        <v>44881.0</v>
      </c>
      <c r="C148" s="621"/>
      <c r="D148" s="628">
        <v>49860.0</v>
      </c>
      <c r="E148" s="626">
        <v>382.0</v>
      </c>
      <c r="F148" s="628">
        <v>74.0</v>
      </c>
      <c r="G148" s="628">
        <v>22.68</v>
      </c>
      <c r="H148" s="633">
        <v>20.16</v>
      </c>
      <c r="I148" s="13">
        <f t="shared" si="12"/>
        <v>2.52</v>
      </c>
      <c r="J148" s="622"/>
    </row>
    <row r="149">
      <c r="B149" s="635">
        <v>44883.0</v>
      </c>
      <c r="C149" s="621"/>
      <c r="D149" s="628">
        <v>50185.0</v>
      </c>
      <c r="E149" s="626">
        <v>325.0</v>
      </c>
      <c r="F149" s="628">
        <v>73.0</v>
      </c>
      <c r="G149" s="628">
        <v>21.07</v>
      </c>
      <c r="H149" s="633">
        <v>24.55</v>
      </c>
      <c r="I149" s="13">
        <f t="shared" si="12"/>
        <v>-3.48</v>
      </c>
      <c r="J149" s="622"/>
    </row>
    <row r="150">
      <c r="B150" s="635">
        <v>44886.0</v>
      </c>
      <c r="C150" s="621"/>
      <c r="D150" s="628">
        <v>50347.0</v>
      </c>
      <c r="E150" s="626">
        <v>162.0</v>
      </c>
      <c r="F150" s="628">
        <v>71.0</v>
      </c>
      <c r="G150" s="628">
        <v>30.73</v>
      </c>
      <c r="H150" s="633">
        <v>32.5</v>
      </c>
      <c r="I150" s="13">
        <f t="shared" si="12"/>
        <v>-1.77</v>
      </c>
      <c r="J150" s="622"/>
    </row>
    <row r="151">
      <c r="B151" s="635">
        <v>44887.0</v>
      </c>
      <c r="C151" s="621"/>
      <c r="D151" s="628">
        <v>50529.0</v>
      </c>
      <c r="E151" s="626">
        <v>182.0</v>
      </c>
      <c r="F151" s="628">
        <v>73.0</v>
      </c>
      <c r="G151" s="628">
        <v>26.4</v>
      </c>
      <c r="H151" s="626">
        <v>23.86</v>
      </c>
      <c r="I151" s="13">
        <f t="shared" si="12"/>
        <v>2.54</v>
      </c>
      <c r="J151" s="622"/>
    </row>
    <row r="152">
      <c r="B152" s="635">
        <v>44889.0</v>
      </c>
      <c r="C152" s="621"/>
      <c r="D152" s="628">
        <v>50615.0</v>
      </c>
      <c r="E152" s="626">
        <v>86.0</v>
      </c>
      <c r="F152" s="628">
        <v>71.0</v>
      </c>
      <c r="G152" s="628">
        <v>16.52</v>
      </c>
      <c r="H152" s="633">
        <v>15.01</v>
      </c>
      <c r="I152" s="13">
        <f t="shared" si="12"/>
        <v>1.51</v>
      </c>
      <c r="J152" s="622"/>
    </row>
    <row r="153">
      <c r="B153" s="635">
        <v>44892.0</v>
      </c>
      <c r="C153" s="621"/>
      <c r="D153" s="628">
        <v>50893.0</v>
      </c>
      <c r="E153" s="626">
        <v>278.0</v>
      </c>
      <c r="F153" s="628">
        <v>71.0</v>
      </c>
      <c r="G153" s="628">
        <v>36.63</v>
      </c>
      <c r="H153" s="633">
        <v>40.0</v>
      </c>
      <c r="I153" s="13">
        <f t="shared" si="12"/>
        <v>-3.37</v>
      </c>
      <c r="J153" s="622"/>
    </row>
    <row r="154">
      <c r="B154" s="635">
        <v>44894.0</v>
      </c>
      <c r="C154" s="621"/>
      <c r="D154" s="628">
        <v>51085.0</v>
      </c>
      <c r="E154" s="626">
        <v>192.0</v>
      </c>
      <c r="F154" s="628">
        <v>71.0</v>
      </c>
      <c r="G154" s="628">
        <v>25.39</v>
      </c>
      <c r="H154" s="633">
        <v>28.33</v>
      </c>
      <c r="I154" s="13">
        <f t="shared" si="12"/>
        <v>-2.94</v>
      </c>
      <c r="J154" s="622"/>
    </row>
    <row r="155">
      <c r="A155" s="551"/>
      <c r="B155" s="619" t="s">
        <v>98</v>
      </c>
      <c r="I155" s="551"/>
      <c r="J155" s="618"/>
      <c r="K155" s="551"/>
      <c r="L155" s="551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</row>
    <row r="156">
      <c r="B156" s="634">
        <v>44898.0</v>
      </c>
      <c r="C156" s="632" t="s">
        <v>424</v>
      </c>
      <c r="D156" s="628">
        <v>51252.0</v>
      </c>
      <c r="E156" s="626">
        <v>167.0</v>
      </c>
      <c r="F156" s="628">
        <v>73.0</v>
      </c>
      <c r="G156" s="628">
        <v>41.04</v>
      </c>
      <c r="H156" s="633">
        <v>39.01</v>
      </c>
      <c r="I156" s="13">
        <f t="shared" ref="I156:I167" si="13">G156-H156</f>
        <v>2.03</v>
      </c>
      <c r="J156" s="622"/>
    </row>
    <row r="157">
      <c r="B157" s="634">
        <v>44900.0</v>
      </c>
      <c r="C157" s="632" t="s">
        <v>481</v>
      </c>
      <c r="D157" s="629"/>
      <c r="E157" s="622"/>
      <c r="F157" s="628">
        <v>71.0</v>
      </c>
      <c r="G157" s="628">
        <v>26.17</v>
      </c>
      <c r="H157" s="633">
        <v>26.22</v>
      </c>
      <c r="I157" s="13">
        <f t="shared" si="13"/>
        <v>-0.05</v>
      </c>
      <c r="J157" s="622"/>
    </row>
    <row r="158">
      <c r="B158" s="634">
        <v>44903.0</v>
      </c>
      <c r="C158" s="632" t="s">
        <v>424</v>
      </c>
      <c r="D158" s="628">
        <v>51626.0</v>
      </c>
      <c r="E158" s="626">
        <v>374.0</v>
      </c>
      <c r="F158" s="628">
        <v>70.0</v>
      </c>
      <c r="G158" s="628">
        <v>28.45</v>
      </c>
      <c r="H158" s="633">
        <v>36.11</v>
      </c>
      <c r="I158" s="13">
        <f t="shared" si="13"/>
        <v>-7.66</v>
      </c>
      <c r="J158" s="626">
        <v>16.67</v>
      </c>
    </row>
    <row r="159">
      <c r="B159" s="635">
        <v>44905.0</v>
      </c>
      <c r="C159" s="632" t="s">
        <v>481</v>
      </c>
      <c r="D159" s="629"/>
      <c r="E159" s="622"/>
      <c r="F159" s="628">
        <v>68.0</v>
      </c>
      <c r="G159" s="628">
        <v>27.19</v>
      </c>
      <c r="H159" s="626">
        <v>27.7</v>
      </c>
      <c r="I159" s="13">
        <f t="shared" si="13"/>
        <v>-0.51</v>
      </c>
      <c r="J159" s="622"/>
    </row>
    <row r="160">
      <c r="B160" s="635">
        <v>44907.0</v>
      </c>
      <c r="C160" s="632" t="s">
        <v>424</v>
      </c>
      <c r="D160" s="628">
        <v>52131.0</v>
      </c>
      <c r="E160" s="626">
        <v>505.0</v>
      </c>
      <c r="F160" s="628">
        <v>69.0</v>
      </c>
      <c r="G160" s="628">
        <v>28.84</v>
      </c>
      <c r="H160" s="633">
        <v>30.27</v>
      </c>
      <c r="I160" s="13">
        <f t="shared" si="13"/>
        <v>-1.43</v>
      </c>
      <c r="J160" s="626">
        <v>11.48</v>
      </c>
    </row>
    <row r="161">
      <c r="B161" s="635">
        <v>44910.0</v>
      </c>
      <c r="C161" s="632" t="s">
        <v>481</v>
      </c>
      <c r="D161" s="628">
        <v>52325.0</v>
      </c>
      <c r="E161" s="626">
        <v>194.0</v>
      </c>
      <c r="F161" s="628">
        <v>73.0</v>
      </c>
      <c r="G161" s="628">
        <v>28.41</v>
      </c>
      <c r="H161" s="633">
        <v>34.54</v>
      </c>
      <c r="I161" s="13">
        <f t="shared" si="13"/>
        <v>-6.13</v>
      </c>
      <c r="J161" s="626">
        <v>17.8</v>
      </c>
    </row>
    <row r="162">
      <c r="B162" s="635">
        <v>44912.0</v>
      </c>
      <c r="C162" s="632" t="s">
        <v>424</v>
      </c>
      <c r="D162" s="628">
        <v>52529.0</v>
      </c>
      <c r="E162" s="626">
        <v>204.0</v>
      </c>
      <c r="F162" s="628">
        <v>69.0</v>
      </c>
      <c r="G162" s="628">
        <v>32.13</v>
      </c>
      <c r="H162" s="633">
        <v>31.42</v>
      </c>
      <c r="I162" s="13">
        <f t="shared" si="13"/>
        <v>0.71</v>
      </c>
      <c r="J162" s="626">
        <v>15.4</v>
      </c>
    </row>
    <row r="163">
      <c r="B163" s="635">
        <v>44915.0</v>
      </c>
      <c r="C163" s="632" t="s">
        <v>481</v>
      </c>
      <c r="D163" s="628">
        <v>52775.0</v>
      </c>
      <c r="E163" s="626">
        <v>246.0</v>
      </c>
      <c r="F163" s="628">
        <v>64.0</v>
      </c>
      <c r="G163" s="628">
        <v>35.87</v>
      </c>
      <c r="H163" s="633">
        <v>40.0</v>
      </c>
      <c r="I163" s="13">
        <f t="shared" si="13"/>
        <v>-4.13</v>
      </c>
      <c r="J163" s="626">
        <v>16.26</v>
      </c>
    </row>
    <row r="164">
      <c r="B164" s="635">
        <v>44917.0</v>
      </c>
      <c r="C164" s="632" t="s">
        <v>424</v>
      </c>
      <c r="D164" s="628">
        <v>52996.0</v>
      </c>
      <c r="E164" s="626">
        <v>173.0</v>
      </c>
      <c r="F164" s="628">
        <v>68.0</v>
      </c>
      <c r="G164" s="628">
        <v>25.94</v>
      </c>
      <c r="H164" s="626">
        <v>33.47</v>
      </c>
      <c r="I164" s="13">
        <f t="shared" si="13"/>
        <v>-7.53</v>
      </c>
      <c r="J164" s="626">
        <v>19.35</v>
      </c>
    </row>
    <row r="165">
      <c r="B165" s="635">
        <v>44919.0</v>
      </c>
      <c r="C165" s="632" t="s">
        <v>424</v>
      </c>
      <c r="D165" s="628">
        <v>53197.0</v>
      </c>
      <c r="E165" s="626">
        <v>201.0</v>
      </c>
      <c r="F165" s="628">
        <v>73.0</v>
      </c>
      <c r="G165" s="628">
        <v>32.2</v>
      </c>
      <c r="H165" s="626">
        <v>31.76</v>
      </c>
      <c r="I165" s="13">
        <f t="shared" si="13"/>
        <v>0.44</v>
      </c>
      <c r="J165" s="626">
        <v>15.8</v>
      </c>
    </row>
    <row r="166">
      <c r="B166" s="635">
        <v>44922.0</v>
      </c>
      <c r="C166" s="632" t="s">
        <v>481</v>
      </c>
      <c r="D166" s="628">
        <v>53439.0</v>
      </c>
      <c r="E166" s="626">
        <v>242.0</v>
      </c>
      <c r="F166" s="628">
        <v>69.0</v>
      </c>
      <c r="G166" s="628">
        <v>38.87</v>
      </c>
      <c r="H166" s="633">
        <v>39.0</v>
      </c>
      <c r="I166" s="13">
        <f t="shared" si="13"/>
        <v>-0.13</v>
      </c>
      <c r="J166" s="626">
        <v>16.12</v>
      </c>
    </row>
    <row r="167">
      <c r="B167" s="635">
        <v>44925.0</v>
      </c>
      <c r="C167" s="632" t="s">
        <v>424</v>
      </c>
      <c r="D167" s="628">
        <v>53589.0</v>
      </c>
      <c r="E167" s="626">
        <v>150.0</v>
      </c>
      <c r="F167" s="628">
        <v>69.0</v>
      </c>
      <c r="G167" s="628">
        <v>38.87</v>
      </c>
      <c r="H167" s="633">
        <v>27.32</v>
      </c>
      <c r="I167" s="13">
        <f t="shared" si="13"/>
        <v>11.55</v>
      </c>
      <c r="J167" s="626">
        <v>18.21</v>
      </c>
    </row>
    <row r="168">
      <c r="A168" s="551"/>
      <c r="B168" s="134">
        <v>2023.0</v>
      </c>
      <c r="I168" s="551"/>
      <c r="J168" s="618"/>
      <c r="K168" s="551"/>
      <c r="L168" s="551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</row>
    <row r="169">
      <c r="A169" s="551"/>
      <c r="B169" s="619"/>
      <c r="C169" s="619"/>
      <c r="D169" s="619"/>
      <c r="E169" s="619" t="s">
        <v>66</v>
      </c>
      <c r="F169" s="619"/>
      <c r="G169" s="619"/>
      <c r="H169" s="619"/>
      <c r="I169" s="551"/>
      <c r="J169" s="618"/>
      <c r="K169" s="551"/>
      <c r="L169" s="551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</row>
    <row r="170">
      <c r="B170" s="634">
        <v>44931.0</v>
      </c>
      <c r="C170" s="632" t="s">
        <v>481</v>
      </c>
      <c r="D170" s="628">
        <v>53754.0</v>
      </c>
      <c r="E170" s="626">
        <v>165.0</v>
      </c>
      <c r="F170" s="628">
        <v>71.0</v>
      </c>
      <c r="G170" s="628">
        <v>24.13</v>
      </c>
      <c r="H170" s="633">
        <v>26.32</v>
      </c>
      <c r="I170" s="13">
        <f t="shared" ref="I170:I180" si="14">G170-H170</f>
        <v>-2.19</v>
      </c>
      <c r="J170" s="626">
        <v>15.95</v>
      </c>
    </row>
    <row r="171">
      <c r="B171" s="634">
        <v>44934.0</v>
      </c>
      <c r="C171" s="632" t="s">
        <v>481</v>
      </c>
      <c r="D171" s="628">
        <v>53923.0</v>
      </c>
      <c r="E171" s="626">
        <v>169.0</v>
      </c>
      <c r="F171" s="628">
        <v>62.0</v>
      </c>
      <c r="G171" s="628">
        <v>33.97</v>
      </c>
      <c r="H171" s="633">
        <v>40.0</v>
      </c>
      <c r="I171" s="13">
        <f t="shared" si="14"/>
        <v>-6.03</v>
      </c>
      <c r="J171" s="626">
        <v>23.67</v>
      </c>
    </row>
    <row r="172">
      <c r="B172" s="634">
        <v>44936.0</v>
      </c>
      <c r="C172" s="621"/>
      <c r="D172" s="628">
        <v>54029.0</v>
      </c>
      <c r="E172" s="626">
        <v>106.0</v>
      </c>
      <c r="F172" s="628">
        <v>70.0</v>
      </c>
      <c r="G172" s="628">
        <v>35.79</v>
      </c>
      <c r="H172" s="633">
        <v>32.14</v>
      </c>
      <c r="I172" s="13">
        <f t="shared" si="14"/>
        <v>3.65</v>
      </c>
      <c r="J172" s="626">
        <v>30.32</v>
      </c>
    </row>
    <row r="173">
      <c r="B173" s="634">
        <v>44938.0</v>
      </c>
      <c r="C173" s="621"/>
      <c r="D173" s="628">
        <v>54203.0</v>
      </c>
      <c r="E173" s="626">
        <v>174.0</v>
      </c>
      <c r="F173" s="628">
        <v>70.0</v>
      </c>
      <c r="G173" s="628">
        <v>40.76</v>
      </c>
      <c r="H173" s="633">
        <v>34.2</v>
      </c>
      <c r="I173" s="13">
        <f t="shared" si="14"/>
        <v>6.56</v>
      </c>
      <c r="J173" s="626">
        <v>19.66</v>
      </c>
    </row>
    <row r="174">
      <c r="B174" s="634">
        <v>44941.0</v>
      </c>
      <c r="C174" s="621"/>
      <c r="D174" s="628">
        <v>54408.0</v>
      </c>
      <c r="E174" s="626">
        <v>205.0</v>
      </c>
      <c r="F174" s="628">
        <v>74.0</v>
      </c>
      <c r="G174" s="628">
        <v>36.85</v>
      </c>
      <c r="H174" s="633">
        <v>38.39</v>
      </c>
      <c r="I174" s="13">
        <f t="shared" si="14"/>
        <v>-1.54</v>
      </c>
      <c r="J174" s="626">
        <v>18.73</v>
      </c>
    </row>
    <row r="175">
      <c r="B175" s="634">
        <v>44945.0</v>
      </c>
      <c r="C175" s="621"/>
      <c r="D175" s="628">
        <v>54657.0</v>
      </c>
      <c r="E175" s="626">
        <v>249.0</v>
      </c>
      <c r="F175" s="628">
        <v>73.0</v>
      </c>
      <c r="G175" s="628">
        <v>38.95</v>
      </c>
      <c r="H175" s="633">
        <v>40.0</v>
      </c>
      <c r="I175" s="13">
        <f t="shared" si="14"/>
        <v>-1.05</v>
      </c>
      <c r="J175" s="626">
        <v>16.06</v>
      </c>
    </row>
    <row r="176">
      <c r="B176" s="634">
        <v>44947.0</v>
      </c>
      <c r="C176" s="621"/>
      <c r="D176" s="628">
        <v>54830.0</v>
      </c>
      <c r="E176" s="626">
        <v>173.0</v>
      </c>
      <c r="F176" s="628">
        <v>73.0</v>
      </c>
      <c r="G176" s="628">
        <v>34.89</v>
      </c>
      <c r="H176" s="633">
        <v>30.05</v>
      </c>
      <c r="I176" s="13">
        <f t="shared" si="14"/>
        <v>4.84</v>
      </c>
      <c r="J176" s="626">
        <v>17.37</v>
      </c>
    </row>
    <row r="177">
      <c r="B177" s="634">
        <v>44951.0</v>
      </c>
      <c r="C177" s="621"/>
      <c r="D177" s="628">
        <v>55109.0</v>
      </c>
      <c r="E177" s="626">
        <v>279.0</v>
      </c>
      <c r="F177" s="628">
        <v>70.0</v>
      </c>
      <c r="G177" s="628">
        <v>36.27</v>
      </c>
      <c r="H177" s="633">
        <v>38.02</v>
      </c>
      <c r="I177" s="13">
        <f t="shared" si="14"/>
        <v>-1.75</v>
      </c>
      <c r="J177" s="626">
        <v>13.63</v>
      </c>
    </row>
    <row r="178">
      <c r="B178" s="634">
        <v>44953.0</v>
      </c>
      <c r="C178" s="621"/>
      <c r="D178" s="628">
        <v>55237.0</v>
      </c>
      <c r="E178" s="626">
        <v>128.0</v>
      </c>
      <c r="F178" s="628">
        <v>70.0</v>
      </c>
      <c r="G178" s="628">
        <v>25.53</v>
      </c>
      <c r="H178" s="633">
        <v>27.05</v>
      </c>
      <c r="I178" s="13">
        <f t="shared" si="14"/>
        <v>-1.52</v>
      </c>
      <c r="J178" s="626">
        <v>21.13</v>
      </c>
    </row>
    <row r="179">
      <c r="B179" s="634">
        <v>44955.0</v>
      </c>
      <c r="C179" s="621"/>
      <c r="D179" s="628">
        <v>55489.0</v>
      </c>
      <c r="E179" s="626">
        <v>252.0</v>
      </c>
      <c r="F179" s="628">
        <v>73.0</v>
      </c>
      <c r="G179" s="628">
        <v>34.77</v>
      </c>
      <c r="H179" s="633">
        <v>33.8</v>
      </c>
      <c r="I179" s="13">
        <f t="shared" si="14"/>
        <v>0.97</v>
      </c>
      <c r="J179" s="626">
        <v>13.41</v>
      </c>
    </row>
    <row r="180">
      <c r="B180" s="634">
        <v>44957.0</v>
      </c>
      <c r="C180" s="621"/>
      <c r="D180" s="628">
        <v>55646.0</v>
      </c>
      <c r="E180" s="626">
        <v>157.0</v>
      </c>
      <c r="F180" s="628">
        <v>69.0</v>
      </c>
      <c r="G180" s="628">
        <v>22.43</v>
      </c>
      <c r="H180" s="633">
        <v>25.0</v>
      </c>
      <c r="I180" s="13">
        <f t="shared" si="14"/>
        <v>-2.57</v>
      </c>
      <c r="J180" s="626">
        <v>15.92</v>
      </c>
    </row>
    <row r="181">
      <c r="A181" s="551"/>
      <c r="B181" s="619" t="s">
        <v>68</v>
      </c>
      <c r="I181" s="551"/>
      <c r="J181" s="618"/>
      <c r="K181" s="551"/>
      <c r="L181" s="551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</row>
    <row r="182">
      <c r="B182" s="634">
        <v>44959.0</v>
      </c>
      <c r="C182" s="621"/>
      <c r="D182" s="628">
        <v>55824.0</v>
      </c>
      <c r="E182" s="626">
        <v>178.0</v>
      </c>
      <c r="F182" s="628">
        <v>75.0</v>
      </c>
      <c r="G182" s="628">
        <v>32.96</v>
      </c>
      <c r="H182" s="633">
        <v>30.02</v>
      </c>
      <c r="I182" s="13">
        <f t="shared" ref="I182:I191" si="15">G182-H182</f>
        <v>2.94</v>
      </c>
      <c r="J182" s="626">
        <v>16.87</v>
      </c>
    </row>
    <row r="183">
      <c r="B183" s="634">
        <v>44961.0</v>
      </c>
      <c r="C183" s="621"/>
      <c r="D183" s="628">
        <v>56149.0</v>
      </c>
      <c r="E183" s="626">
        <v>325.0</v>
      </c>
      <c r="F183" s="628">
        <v>72.0</v>
      </c>
      <c r="G183" s="628">
        <v>34.81</v>
      </c>
      <c r="H183" s="633">
        <v>35.02</v>
      </c>
      <c r="I183" s="13">
        <f t="shared" si="15"/>
        <v>-0.21</v>
      </c>
      <c r="J183" s="626">
        <v>10.78</v>
      </c>
    </row>
    <row r="184">
      <c r="B184" s="634">
        <v>44964.0</v>
      </c>
      <c r="C184" s="621"/>
      <c r="D184" s="628">
        <v>56420.0</v>
      </c>
      <c r="E184" s="626">
        <v>271.0</v>
      </c>
      <c r="F184" s="628">
        <v>66.0</v>
      </c>
      <c r="G184" s="628">
        <v>35.15</v>
      </c>
      <c r="H184" s="633">
        <v>40.0</v>
      </c>
      <c r="I184" s="13">
        <f t="shared" si="15"/>
        <v>-4.85</v>
      </c>
      <c r="J184" s="626">
        <v>14.76</v>
      </c>
    </row>
    <row r="185">
      <c r="B185" s="634">
        <v>44967.0</v>
      </c>
      <c r="C185" s="621"/>
      <c r="D185" s="628">
        <v>56595.0</v>
      </c>
      <c r="E185" s="626">
        <v>175.0</v>
      </c>
      <c r="F185" s="628">
        <v>71.0</v>
      </c>
      <c r="G185" s="628">
        <v>29.75</v>
      </c>
      <c r="H185" s="633">
        <v>31.76</v>
      </c>
      <c r="I185" s="13">
        <f t="shared" si="15"/>
        <v>-2.01</v>
      </c>
      <c r="J185" s="626">
        <v>18.15</v>
      </c>
    </row>
    <row r="186">
      <c r="B186" s="634">
        <v>44970.0</v>
      </c>
      <c r="C186" s="621"/>
      <c r="D186" s="628">
        <v>56899.0</v>
      </c>
      <c r="E186" s="626">
        <v>304.0</v>
      </c>
      <c r="F186" s="628">
        <v>74.0</v>
      </c>
      <c r="G186" s="628">
        <v>44.85</v>
      </c>
      <c r="H186" s="633">
        <v>43.7</v>
      </c>
      <c r="I186" s="13">
        <f t="shared" si="15"/>
        <v>1.15</v>
      </c>
      <c r="J186" s="626">
        <v>14.38</v>
      </c>
    </row>
    <row r="187">
      <c r="B187" s="634">
        <v>44973.0</v>
      </c>
      <c r="C187" s="621"/>
      <c r="D187" s="628">
        <v>57133.0</v>
      </c>
      <c r="E187" s="626">
        <v>234.0</v>
      </c>
      <c r="F187" s="628">
        <v>71.0</v>
      </c>
      <c r="G187" s="628">
        <v>25.27</v>
      </c>
      <c r="H187" s="633">
        <v>30.06</v>
      </c>
      <c r="I187" s="13">
        <f t="shared" si="15"/>
        <v>-4.79</v>
      </c>
      <c r="J187" s="626">
        <v>12.85</v>
      </c>
    </row>
    <row r="188">
      <c r="B188" s="634">
        <v>44976.0</v>
      </c>
      <c r="C188" s="621"/>
      <c r="D188" s="628">
        <v>57365.0</v>
      </c>
      <c r="E188" s="626">
        <v>232.0</v>
      </c>
      <c r="F188" s="628">
        <v>71.0</v>
      </c>
      <c r="G188" s="628">
        <v>41.65</v>
      </c>
      <c r="H188" s="633">
        <v>38.24</v>
      </c>
      <c r="I188" s="13">
        <f t="shared" si="15"/>
        <v>3.41</v>
      </c>
      <c r="J188" s="626">
        <v>16.48</v>
      </c>
    </row>
    <row r="189">
      <c r="B189" s="634">
        <v>44978.0</v>
      </c>
      <c r="C189" s="621"/>
      <c r="D189" s="628">
        <v>57600.0</v>
      </c>
      <c r="E189" s="626">
        <v>235.0</v>
      </c>
      <c r="F189" s="628">
        <v>75.0</v>
      </c>
      <c r="G189" s="628">
        <v>34.77</v>
      </c>
      <c r="H189" s="633">
        <v>32.52</v>
      </c>
      <c r="I189" s="13">
        <f t="shared" si="15"/>
        <v>2.25</v>
      </c>
      <c r="J189" s="626">
        <v>13.84</v>
      </c>
    </row>
    <row r="190">
      <c r="B190" s="634">
        <v>44981.0</v>
      </c>
      <c r="C190" s="621"/>
      <c r="D190" s="628">
        <v>57940.0</v>
      </c>
      <c r="E190" s="626">
        <v>340.0</v>
      </c>
      <c r="F190" s="628">
        <v>71.0</v>
      </c>
      <c r="G190" s="628">
        <v>48.59</v>
      </c>
      <c r="H190" s="633">
        <v>49.02</v>
      </c>
      <c r="I190" s="13">
        <f t="shared" si="15"/>
        <v>-0.43</v>
      </c>
      <c r="J190" s="626">
        <v>14.42</v>
      </c>
    </row>
    <row r="191">
      <c r="B191" s="634">
        <v>44984.0</v>
      </c>
      <c r="C191" s="621"/>
      <c r="D191" s="628">
        <v>58244.0</v>
      </c>
      <c r="E191" s="626">
        <v>304.0</v>
      </c>
      <c r="F191" s="628">
        <v>72.0</v>
      </c>
      <c r="G191" s="628">
        <v>36.82</v>
      </c>
      <c r="H191" s="633">
        <v>37.85</v>
      </c>
      <c r="I191" s="13">
        <f t="shared" si="15"/>
        <v>-1.03</v>
      </c>
      <c r="J191" s="626">
        <v>12.45</v>
      </c>
    </row>
    <row r="192">
      <c r="A192" s="551"/>
      <c r="B192" s="619" t="s">
        <v>72</v>
      </c>
      <c r="I192" s="551"/>
      <c r="J192" s="618"/>
      <c r="K192" s="551"/>
      <c r="L192" s="551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</row>
    <row r="193">
      <c r="B193" s="634">
        <v>44988.0</v>
      </c>
      <c r="C193" s="632" t="s">
        <v>481</v>
      </c>
      <c r="D193" s="628">
        <v>58569.0</v>
      </c>
      <c r="E193" s="626">
        <v>325.0</v>
      </c>
      <c r="F193" s="628">
        <v>72.0</v>
      </c>
      <c r="G193" s="628">
        <v>52.44</v>
      </c>
      <c r="H193" s="633">
        <v>49.66</v>
      </c>
      <c r="I193" s="13">
        <f t="shared" ref="I193:I202" si="16">G193-H193</f>
        <v>2.78</v>
      </c>
      <c r="J193" s="626">
        <v>15.28</v>
      </c>
    </row>
    <row r="194">
      <c r="B194" s="634">
        <v>44990.0</v>
      </c>
      <c r="C194" s="632" t="s">
        <v>424</v>
      </c>
      <c r="D194" s="628">
        <v>58820.0</v>
      </c>
      <c r="E194" s="626">
        <v>251.0</v>
      </c>
      <c r="F194" s="628">
        <v>71.0</v>
      </c>
      <c r="G194" s="628">
        <v>32.45</v>
      </c>
      <c r="H194" s="633">
        <v>35.39</v>
      </c>
      <c r="I194" s="13">
        <f t="shared" si="16"/>
        <v>-2.94</v>
      </c>
      <c r="J194" s="626">
        <v>14.1</v>
      </c>
    </row>
    <row r="195">
      <c r="B195" s="634">
        <v>44994.0</v>
      </c>
      <c r="C195" s="632" t="s">
        <v>481</v>
      </c>
      <c r="D195" s="628">
        <v>59077.0</v>
      </c>
      <c r="E195" s="626">
        <v>257.0</v>
      </c>
      <c r="F195" s="628">
        <v>69.0</v>
      </c>
      <c r="G195" s="628">
        <v>39.84</v>
      </c>
      <c r="H195" s="633">
        <v>43.0</v>
      </c>
      <c r="I195" s="13">
        <f t="shared" si="16"/>
        <v>-3.16</v>
      </c>
      <c r="J195" s="626">
        <v>16.73</v>
      </c>
    </row>
    <row r="196">
      <c r="B196" s="634">
        <v>44997.0</v>
      </c>
      <c r="C196" s="632" t="s">
        <v>424</v>
      </c>
      <c r="D196" s="628">
        <v>59213.0</v>
      </c>
      <c r="E196" s="626">
        <v>136.0</v>
      </c>
      <c r="F196" s="628">
        <v>70.0</v>
      </c>
      <c r="G196" s="628">
        <v>28.13</v>
      </c>
      <c r="H196" s="633">
        <v>30.0</v>
      </c>
      <c r="I196" s="13">
        <f t="shared" si="16"/>
        <v>-1.87</v>
      </c>
      <c r="J196" s="626">
        <v>22.06</v>
      </c>
    </row>
    <row r="197">
      <c r="B197" s="634">
        <v>45000.0</v>
      </c>
      <c r="C197" s="632" t="s">
        <v>481</v>
      </c>
      <c r="D197" s="628">
        <v>59487.0</v>
      </c>
      <c r="E197" s="626">
        <v>274.0</v>
      </c>
      <c r="F197" s="628">
        <v>70.0</v>
      </c>
      <c r="G197" s="628">
        <v>36.96</v>
      </c>
      <c r="H197" s="633">
        <v>38.41</v>
      </c>
      <c r="I197" s="13">
        <f t="shared" si="16"/>
        <v>-1.45</v>
      </c>
      <c r="J197" s="626">
        <v>14.02</v>
      </c>
    </row>
    <row r="198">
      <c r="B198" s="634">
        <v>45003.0</v>
      </c>
      <c r="C198" s="632" t="s">
        <v>424</v>
      </c>
      <c r="D198" s="628">
        <v>59856.0</v>
      </c>
      <c r="E198" s="626">
        <v>369.0</v>
      </c>
      <c r="F198" s="628">
        <v>68.0</v>
      </c>
      <c r="G198" s="628">
        <v>26.96</v>
      </c>
      <c r="H198" s="633">
        <v>32.47</v>
      </c>
      <c r="I198" s="13">
        <f t="shared" si="16"/>
        <v>-5.51</v>
      </c>
      <c r="J198" s="626">
        <v>8.8</v>
      </c>
    </row>
    <row r="199">
      <c r="B199" s="634">
        <v>45007.0</v>
      </c>
      <c r="C199" s="632" t="s">
        <v>424</v>
      </c>
      <c r="D199" s="629"/>
      <c r="E199" s="622"/>
      <c r="F199" s="628">
        <v>72.0</v>
      </c>
      <c r="G199" s="628">
        <v>34.33</v>
      </c>
      <c r="H199" s="633">
        <v>36.92</v>
      </c>
      <c r="I199" s="13">
        <f t="shared" si="16"/>
        <v>-2.59</v>
      </c>
      <c r="J199" s="622"/>
    </row>
    <row r="200">
      <c r="B200" s="634">
        <v>45009.0</v>
      </c>
      <c r="C200" s="632" t="s">
        <v>424</v>
      </c>
      <c r="D200" s="629"/>
      <c r="E200" s="626">
        <v>0.0</v>
      </c>
      <c r="F200" s="628">
        <v>72.0</v>
      </c>
      <c r="G200" s="628">
        <v>34.33</v>
      </c>
      <c r="H200" s="633">
        <v>25.0</v>
      </c>
      <c r="I200" s="13">
        <f t="shared" si="16"/>
        <v>9.33</v>
      </c>
      <c r="J200" s="622"/>
    </row>
    <row r="201">
      <c r="B201" s="634">
        <v>45012.0</v>
      </c>
      <c r="C201" s="632" t="s">
        <v>481</v>
      </c>
      <c r="D201" s="628">
        <v>60515.0</v>
      </c>
      <c r="E201" s="626">
        <v>659.0</v>
      </c>
      <c r="F201" s="628">
        <v>72.0</v>
      </c>
      <c r="G201" s="628">
        <v>34.33</v>
      </c>
      <c r="H201" s="633">
        <v>30.48</v>
      </c>
      <c r="I201" s="13">
        <f t="shared" si="16"/>
        <v>3.85</v>
      </c>
      <c r="J201" s="622"/>
    </row>
    <row r="202">
      <c r="B202" s="634">
        <v>45014.0</v>
      </c>
      <c r="C202" s="632" t="s">
        <v>424</v>
      </c>
      <c r="D202" s="628">
        <v>60787.0</v>
      </c>
      <c r="E202" s="626">
        <v>272.0</v>
      </c>
      <c r="F202" s="628">
        <v>72.0</v>
      </c>
      <c r="G202" s="628">
        <v>34.33</v>
      </c>
      <c r="H202" s="633">
        <v>33.03</v>
      </c>
      <c r="I202" s="13">
        <f t="shared" si="16"/>
        <v>1.3</v>
      </c>
      <c r="J202" s="622"/>
    </row>
    <row r="203">
      <c r="A203" s="551"/>
      <c r="B203" s="619" t="s">
        <v>74</v>
      </c>
      <c r="I203" s="551"/>
      <c r="J203" s="618"/>
      <c r="K203" s="551"/>
      <c r="L203" s="551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</row>
    <row r="204">
      <c r="B204" s="634">
        <v>45018.0</v>
      </c>
      <c r="C204" s="632" t="s">
        <v>481</v>
      </c>
      <c r="D204" s="628">
        <v>61046.0</v>
      </c>
      <c r="E204" s="626">
        <v>259.0</v>
      </c>
      <c r="F204" s="628">
        <v>72.0</v>
      </c>
      <c r="G204" s="628">
        <v>38.06</v>
      </c>
      <c r="H204" s="633">
        <v>40.0</v>
      </c>
      <c r="I204" s="13">
        <f t="shared" ref="I204:I213" si="17">G204-H204</f>
        <v>-1.94</v>
      </c>
      <c r="J204" s="626">
        <v>15.44</v>
      </c>
    </row>
    <row r="205">
      <c r="B205" s="634">
        <v>45021.0</v>
      </c>
      <c r="C205" s="632" t="s">
        <v>424</v>
      </c>
      <c r="D205" s="628">
        <v>61242.0</v>
      </c>
      <c r="E205" s="626">
        <v>196.0</v>
      </c>
      <c r="F205" s="628">
        <v>73.0</v>
      </c>
      <c r="G205" s="628">
        <v>22.34</v>
      </c>
      <c r="H205" s="633">
        <v>28.04</v>
      </c>
      <c r="I205" s="13">
        <f t="shared" si="17"/>
        <v>-5.7</v>
      </c>
      <c r="J205" s="626">
        <v>14.31</v>
      </c>
    </row>
    <row r="206">
      <c r="B206" s="634">
        <v>45024.0</v>
      </c>
      <c r="C206" s="632" t="s">
        <v>481</v>
      </c>
      <c r="D206" s="628">
        <v>61488.0</v>
      </c>
      <c r="E206" s="626">
        <v>246.0</v>
      </c>
      <c r="F206" s="628">
        <v>73.0</v>
      </c>
      <c r="G206" s="628">
        <v>33.52</v>
      </c>
      <c r="H206" s="633">
        <v>33.0</v>
      </c>
      <c r="I206" s="13">
        <f t="shared" si="17"/>
        <v>0.52</v>
      </c>
      <c r="J206" s="626">
        <v>13.41</v>
      </c>
    </row>
    <row r="207">
      <c r="B207" s="634">
        <v>45027.0</v>
      </c>
      <c r="C207" s="632" t="s">
        <v>424</v>
      </c>
      <c r="D207" s="628">
        <v>61766.0</v>
      </c>
      <c r="E207" s="626">
        <v>278.0</v>
      </c>
      <c r="F207" s="629"/>
      <c r="G207" s="629"/>
      <c r="H207" s="633">
        <v>31.08</v>
      </c>
      <c r="I207" s="13">
        <f t="shared" si="17"/>
        <v>-31.08</v>
      </c>
      <c r="J207" s="626">
        <v>11.18</v>
      </c>
    </row>
    <row r="208">
      <c r="B208" s="634">
        <v>45030.0</v>
      </c>
      <c r="C208" s="632" t="s">
        <v>481</v>
      </c>
      <c r="D208" s="628">
        <v>62004.0</v>
      </c>
      <c r="E208" s="626">
        <v>238.0</v>
      </c>
      <c r="F208" s="628">
        <v>70.0</v>
      </c>
      <c r="G208" s="628">
        <v>36.96</v>
      </c>
      <c r="H208" s="633">
        <v>38.0</v>
      </c>
      <c r="I208" s="13">
        <f t="shared" si="17"/>
        <v>-1.04</v>
      </c>
      <c r="J208" s="626">
        <v>15.97</v>
      </c>
    </row>
    <row r="209">
      <c r="B209" s="634">
        <v>45033.0</v>
      </c>
      <c r="C209" s="632" t="s">
        <v>424</v>
      </c>
      <c r="D209" s="628">
        <v>62196.0</v>
      </c>
      <c r="E209" s="626">
        <v>192.0</v>
      </c>
      <c r="F209" s="628">
        <v>68.0</v>
      </c>
      <c r="G209" s="628">
        <v>26.96</v>
      </c>
      <c r="H209" s="633">
        <v>25.08</v>
      </c>
      <c r="I209" s="13">
        <f t="shared" si="17"/>
        <v>1.88</v>
      </c>
      <c r="J209" s="626">
        <v>13.06</v>
      </c>
    </row>
    <row r="210">
      <c r="B210" s="634">
        <v>45036.0</v>
      </c>
      <c r="C210" s="632" t="s">
        <v>481</v>
      </c>
      <c r="D210" s="628">
        <v>62375.0</v>
      </c>
      <c r="E210" s="626">
        <v>179.0</v>
      </c>
      <c r="F210" s="628">
        <v>66.0</v>
      </c>
      <c r="G210" s="628">
        <v>16.96</v>
      </c>
      <c r="H210" s="633">
        <v>27.58</v>
      </c>
      <c r="I210" s="13">
        <f t="shared" si="17"/>
        <v>-10.62</v>
      </c>
      <c r="J210" s="626">
        <v>15.41</v>
      </c>
    </row>
    <row r="211">
      <c r="B211" s="634">
        <v>45039.0</v>
      </c>
      <c r="C211" s="632" t="s">
        <v>424</v>
      </c>
      <c r="D211" s="628">
        <v>62631.0</v>
      </c>
      <c r="E211" s="626">
        <v>256.0</v>
      </c>
      <c r="F211" s="628">
        <v>73.0</v>
      </c>
      <c r="G211" s="628">
        <v>30.97</v>
      </c>
      <c r="H211" s="633">
        <v>32.01</v>
      </c>
      <c r="I211" s="13">
        <f t="shared" si="17"/>
        <v>-1.04</v>
      </c>
      <c r="J211" s="626">
        <v>12.5</v>
      </c>
    </row>
    <row r="212">
      <c r="B212" s="634">
        <v>45042.0</v>
      </c>
      <c r="C212" s="632" t="s">
        <v>481</v>
      </c>
      <c r="D212" s="628">
        <v>62822.0</v>
      </c>
      <c r="E212" s="626">
        <v>191.0</v>
      </c>
      <c r="F212" s="628">
        <v>71.0</v>
      </c>
      <c r="G212" s="628">
        <v>26.04</v>
      </c>
      <c r="H212" s="633">
        <v>30.01</v>
      </c>
      <c r="I212" s="13">
        <f t="shared" si="17"/>
        <v>-3.97</v>
      </c>
      <c r="J212" s="626">
        <v>15.71</v>
      </c>
    </row>
    <row r="213">
      <c r="B213" s="634">
        <v>45045.0</v>
      </c>
      <c r="C213" s="632" t="s">
        <v>481</v>
      </c>
      <c r="D213" s="628">
        <v>63012.0</v>
      </c>
      <c r="E213" s="626">
        <v>190.0</v>
      </c>
      <c r="F213" s="628">
        <v>71.0</v>
      </c>
      <c r="G213" s="628">
        <v>22.07</v>
      </c>
      <c r="H213" s="633">
        <v>26.09</v>
      </c>
      <c r="I213" s="13">
        <f t="shared" si="17"/>
        <v>-4.02</v>
      </c>
      <c r="J213" s="626">
        <v>13.73</v>
      </c>
    </row>
    <row r="214">
      <c r="A214" s="551"/>
      <c r="B214" s="619" t="s">
        <v>75</v>
      </c>
      <c r="I214" s="551"/>
      <c r="J214" s="618"/>
      <c r="K214" s="551"/>
      <c r="L214" s="551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</row>
    <row r="215">
      <c r="B215" s="634">
        <v>45051.0</v>
      </c>
      <c r="C215" s="632" t="s">
        <v>481</v>
      </c>
      <c r="D215" s="629"/>
      <c r="E215" s="622"/>
      <c r="F215" s="628">
        <v>73.0</v>
      </c>
      <c r="G215" s="628">
        <v>33.48</v>
      </c>
      <c r="H215" s="633">
        <v>44.54</v>
      </c>
      <c r="I215" s="13">
        <f t="shared" ref="I215:I224" si="18">G215-H215</f>
        <v>-11.06</v>
      </c>
      <c r="J215" s="622"/>
    </row>
    <row r="216">
      <c r="B216" s="634">
        <v>45053.0</v>
      </c>
      <c r="C216" s="632" t="s">
        <v>424</v>
      </c>
      <c r="D216" s="628">
        <v>63610.0</v>
      </c>
      <c r="E216" s="626">
        <v>598.0</v>
      </c>
      <c r="F216" s="628">
        <v>75.0</v>
      </c>
      <c r="G216" s="628">
        <v>36.15</v>
      </c>
      <c r="H216" s="633">
        <v>32.07</v>
      </c>
      <c r="I216" s="13">
        <f t="shared" si="18"/>
        <v>4.08</v>
      </c>
      <c r="J216" s="626">
        <v>12.81</v>
      </c>
    </row>
    <row r="217">
      <c r="B217" s="634">
        <v>45055.0</v>
      </c>
      <c r="C217" s="632" t="s">
        <v>424</v>
      </c>
      <c r="D217" s="628">
        <v>63976.0</v>
      </c>
      <c r="E217" s="626">
        <v>366.0</v>
      </c>
      <c r="F217" s="628">
        <v>75.0</v>
      </c>
      <c r="G217" s="628">
        <v>30.88</v>
      </c>
      <c r="H217" s="633">
        <v>34.08</v>
      </c>
      <c r="I217" s="13">
        <f t="shared" si="18"/>
        <v>-3.2</v>
      </c>
      <c r="J217" s="626">
        <v>9.31</v>
      </c>
    </row>
    <row r="218">
      <c r="B218" s="634">
        <v>45058.0</v>
      </c>
      <c r="C218" s="632" t="s">
        <v>481</v>
      </c>
      <c r="D218" s="628">
        <v>64206.0</v>
      </c>
      <c r="E218" s="626">
        <v>230.0</v>
      </c>
      <c r="F218" s="628">
        <v>72.0</v>
      </c>
      <c r="G218" s="628">
        <v>28.62</v>
      </c>
      <c r="H218" s="633">
        <v>32.0</v>
      </c>
      <c r="I218" s="13">
        <f t="shared" si="18"/>
        <v>-3.38</v>
      </c>
      <c r="J218" s="626">
        <v>13.91</v>
      </c>
    </row>
    <row r="219">
      <c r="B219" s="634">
        <v>45061.0</v>
      </c>
      <c r="C219" s="632" t="s">
        <v>424</v>
      </c>
      <c r="D219" s="628">
        <v>64396.0</v>
      </c>
      <c r="E219" s="626">
        <v>190.0</v>
      </c>
      <c r="F219" s="628">
        <v>73.0</v>
      </c>
      <c r="G219" s="628">
        <v>20.56</v>
      </c>
      <c r="H219" s="633">
        <v>22.01</v>
      </c>
      <c r="I219" s="13">
        <f t="shared" si="18"/>
        <v>-1.45</v>
      </c>
      <c r="J219" s="626">
        <v>11.58</v>
      </c>
    </row>
    <row r="220">
      <c r="B220" s="634">
        <v>45064.0</v>
      </c>
      <c r="C220" s="632" t="s">
        <v>481</v>
      </c>
      <c r="D220" s="628">
        <v>64576.0</v>
      </c>
      <c r="E220" s="626">
        <v>180.0</v>
      </c>
      <c r="F220" s="628">
        <v>72.0</v>
      </c>
      <c r="G220" s="628">
        <v>17.09</v>
      </c>
      <c r="H220" s="633">
        <v>24.0</v>
      </c>
      <c r="I220" s="13">
        <f t="shared" si="18"/>
        <v>-6.91</v>
      </c>
      <c r="J220" s="626">
        <v>13.33</v>
      </c>
    </row>
    <row r="221">
      <c r="B221" s="634">
        <v>45067.0</v>
      </c>
      <c r="C221" s="632" t="s">
        <v>424</v>
      </c>
      <c r="D221" s="628">
        <v>64817.0</v>
      </c>
      <c r="E221" s="626">
        <v>241.0</v>
      </c>
      <c r="F221" s="628">
        <v>75.0</v>
      </c>
      <c r="G221" s="628">
        <v>32.84</v>
      </c>
      <c r="H221" s="633">
        <v>33.04</v>
      </c>
      <c r="I221" s="13">
        <f t="shared" si="18"/>
        <v>-0.2</v>
      </c>
      <c r="J221" s="626">
        <v>13.71</v>
      </c>
    </row>
    <row r="222">
      <c r="B222" s="634">
        <v>45070.0</v>
      </c>
      <c r="C222" s="632" t="s">
        <v>481</v>
      </c>
      <c r="D222" s="628">
        <v>65017.0</v>
      </c>
      <c r="E222" s="626">
        <v>200.0</v>
      </c>
      <c r="F222" s="628">
        <v>71.0</v>
      </c>
      <c r="G222" s="628">
        <v>21.89</v>
      </c>
      <c r="H222" s="633">
        <v>28.5</v>
      </c>
      <c r="I222" s="13">
        <f t="shared" si="18"/>
        <v>-6.61</v>
      </c>
      <c r="J222" s="626">
        <v>14.25</v>
      </c>
    </row>
    <row r="223">
      <c r="B223" s="634">
        <v>45073.0</v>
      </c>
      <c r="C223" s="632" t="s">
        <v>424</v>
      </c>
      <c r="D223" s="628">
        <v>65369.0</v>
      </c>
      <c r="E223" s="626">
        <v>352.0</v>
      </c>
      <c r="F223" s="628">
        <v>75.0</v>
      </c>
      <c r="G223" s="628">
        <v>34.75</v>
      </c>
      <c r="H223" s="633">
        <v>40.04</v>
      </c>
      <c r="I223" s="13">
        <f t="shared" si="18"/>
        <v>-5.29</v>
      </c>
      <c r="J223" s="626">
        <v>11.38</v>
      </c>
    </row>
    <row r="224">
      <c r="B224" s="634">
        <v>45076.0</v>
      </c>
      <c r="C224" s="632" t="s">
        <v>481</v>
      </c>
      <c r="D224" s="628">
        <v>65501.0</v>
      </c>
      <c r="E224" s="626">
        <v>132.0</v>
      </c>
      <c r="F224" s="628">
        <v>72.0</v>
      </c>
      <c r="G224" s="628">
        <v>26.68</v>
      </c>
      <c r="H224" s="633">
        <v>32.0</v>
      </c>
      <c r="I224" s="13">
        <f t="shared" si="18"/>
        <v>-5.32</v>
      </c>
      <c r="J224" s="626">
        <v>24.24</v>
      </c>
    </row>
    <row r="225">
      <c r="A225" s="551"/>
      <c r="B225" s="619" t="s">
        <v>90</v>
      </c>
      <c r="I225" s="551"/>
      <c r="J225" s="618"/>
      <c r="K225" s="551"/>
      <c r="L225" s="551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</row>
    <row r="226">
      <c r="B226" s="634">
        <v>45079.0</v>
      </c>
      <c r="C226" s="632" t="s">
        <v>424</v>
      </c>
      <c r="D226" s="628">
        <v>65799.0</v>
      </c>
      <c r="E226" s="626">
        <v>298.0</v>
      </c>
      <c r="F226" s="628">
        <v>72.0</v>
      </c>
      <c r="G226" s="628">
        <v>23.11</v>
      </c>
      <c r="H226" s="633">
        <v>24.78</v>
      </c>
      <c r="I226" s="13">
        <f t="shared" ref="I226:I235" si="19">G226-H226</f>
        <v>-1.67</v>
      </c>
      <c r="J226" s="626">
        <v>8.32</v>
      </c>
    </row>
    <row r="227">
      <c r="B227" s="634">
        <v>45082.0</v>
      </c>
      <c r="C227" s="632" t="s">
        <v>481</v>
      </c>
      <c r="D227" s="628">
        <v>66136.0</v>
      </c>
      <c r="E227" s="626">
        <v>337.0</v>
      </c>
      <c r="F227" s="628">
        <v>68.0</v>
      </c>
      <c r="G227" s="628">
        <v>37.51</v>
      </c>
      <c r="H227" s="633">
        <v>40.0</v>
      </c>
      <c r="I227" s="13">
        <f t="shared" si="19"/>
        <v>-2.49</v>
      </c>
      <c r="J227" s="626">
        <v>11.87</v>
      </c>
    </row>
    <row r="228">
      <c r="B228" s="634">
        <v>45085.0</v>
      </c>
      <c r="C228" s="632" t="s">
        <v>424</v>
      </c>
      <c r="D228" s="628">
        <v>66349.0</v>
      </c>
      <c r="E228" s="626">
        <v>213.0</v>
      </c>
      <c r="F228" s="628">
        <v>73.0</v>
      </c>
      <c r="G228" s="628">
        <v>28.44</v>
      </c>
      <c r="H228" s="633">
        <v>28.0</v>
      </c>
      <c r="I228" s="13">
        <f t="shared" si="19"/>
        <v>0.44</v>
      </c>
      <c r="J228" s="626">
        <v>13.15</v>
      </c>
    </row>
    <row r="229">
      <c r="B229" s="634">
        <v>45088.0</v>
      </c>
      <c r="C229" s="632" t="s">
        <v>481</v>
      </c>
      <c r="D229" s="628">
        <v>66752.0</v>
      </c>
      <c r="E229" s="626">
        <v>403.0</v>
      </c>
      <c r="F229" s="628">
        <v>70.0</v>
      </c>
      <c r="G229" s="628">
        <v>42.01</v>
      </c>
      <c r="H229" s="633">
        <v>46.5</v>
      </c>
      <c r="I229" s="13">
        <f t="shared" si="19"/>
        <v>-4.49</v>
      </c>
      <c r="J229" s="626">
        <v>11.54</v>
      </c>
    </row>
    <row r="230">
      <c r="B230" s="634">
        <v>45091.0</v>
      </c>
      <c r="C230" s="632" t="s">
        <v>424</v>
      </c>
      <c r="D230" s="628">
        <v>66933.0</v>
      </c>
      <c r="E230" s="626">
        <v>181.0</v>
      </c>
      <c r="F230" s="628">
        <v>69.0</v>
      </c>
      <c r="G230" s="628">
        <v>19.76</v>
      </c>
      <c r="H230" s="633">
        <v>20.68</v>
      </c>
      <c r="I230" s="13">
        <f t="shared" si="19"/>
        <v>-0.92</v>
      </c>
      <c r="J230" s="626">
        <v>11.43</v>
      </c>
    </row>
    <row r="231">
      <c r="B231" s="634">
        <v>45094.0</v>
      </c>
      <c r="C231" s="632" t="s">
        <v>481</v>
      </c>
      <c r="D231" s="628">
        <v>67255.0</v>
      </c>
      <c r="E231" s="626">
        <v>322.0</v>
      </c>
      <c r="F231" s="628">
        <v>68.0</v>
      </c>
      <c r="G231" s="628">
        <v>35.46</v>
      </c>
      <c r="H231" s="633">
        <v>39.08</v>
      </c>
      <c r="I231" s="13">
        <f t="shared" si="19"/>
        <v>-3.62</v>
      </c>
      <c r="J231" s="626">
        <v>12.14</v>
      </c>
    </row>
    <row r="232">
      <c r="B232" s="634">
        <v>45097.0</v>
      </c>
      <c r="C232" s="632" t="s">
        <v>424</v>
      </c>
      <c r="D232" s="628">
        <v>67537.0</v>
      </c>
      <c r="E232" s="626">
        <v>282.0</v>
      </c>
      <c r="F232" s="628">
        <v>73.0</v>
      </c>
      <c r="G232" s="628">
        <v>30.5</v>
      </c>
      <c r="H232" s="633">
        <v>27.09</v>
      </c>
      <c r="I232" s="13">
        <f t="shared" si="19"/>
        <v>3.41</v>
      </c>
      <c r="J232" s="626">
        <v>9.61</v>
      </c>
    </row>
    <row r="233">
      <c r="B233" s="634">
        <v>45100.0</v>
      </c>
      <c r="C233" s="632" t="s">
        <v>481</v>
      </c>
      <c r="D233" s="628">
        <v>67835.0</v>
      </c>
      <c r="E233" s="626">
        <v>298.0</v>
      </c>
      <c r="F233" s="628">
        <v>72.0</v>
      </c>
      <c r="G233" s="628">
        <v>35.21</v>
      </c>
      <c r="H233" s="633">
        <v>39.0</v>
      </c>
      <c r="I233" s="13">
        <f t="shared" si="19"/>
        <v>-3.79</v>
      </c>
      <c r="J233" s="626">
        <v>13.09</v>
      </c>
    </row>
    <row r="234">
      <c r="B234" s="634">
        <v>45103.0</v>
      </c>
      <c r="C234" s="632" t="s">
        <v>424</v>
      </c>
      <c r="D234" s="629"/>
      <c r="E234" s="622"/>
      <c r="F234" s="628">
        <v>72.0</v>
      </c>
      <c r="G234" s="628">
        <v>21.78</v>
      </c>
      <c r="H234" s="633">
        <v>26.42</v>
      </c>
      <c r="I234" s="13">
        <f t="shared" si="19"/>
        <v>-4.64</v>
      </c>
      <c r="J234" s="622"/>
    </row>
    <row r="235">
      <c r="B235" s="634">
        <v>45106.0</v>
      </c>
      <c r="C235" s="632" t="s">
        <v>481</v>
      </c>
      <c r="D235" s="628">
        <v>68388.0</v>
      </c>
      <c r="E235" s="626">
        <v>553.0</v>
      </c>
      <c r="F235" s="628">
        <v>72.0</v>
      </c>
      <c r="G235" s="628">
        <v>26.73</v>
      </c>
      <c r="H235" s="633">
        <v>32.01</v>
      </c>
      <c r="I235" s="13">
        <f t="shared" si="19"/>
        <v>-5.28</v>
      </c>
      <c r="J235" s="626">
        <v>10.57</v>
      </c>
    </row>
    <row r="236">
      <c r="A236" s="551"/>
      <c r="B236" s="619" t="s">
        <v>92</v>
      </c>
      <c r="I236" s="551"/>
      <c r="J236" s="618"/>
      <c r="K236" s="551"/>
      <c r="L236" s="551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</row>
    <row r="237">
      <c r="B237" s="634">
        <v>45109.0</v>
      </c>
      <c r="C237" s="632" t="s">
        <v>424</v>
      </c>
      <c r="D237" s="628">
        <v>68523.0</v>
      </c>
      <c r="E237" s="626">
        <v>135.0</v>
      </c>
      <c r="F237" s="628">
        <v>75.0</v>
      </c>
      <c r="G237" s="628">
        <v>23.18</v>
      </c>
      <c r="H237" s="633">
        <v>23.64</v>
      </c>
      <c r="I237" s="13">
        <f t="shared" ref="I237:I246" si="20">G237-H237</f>
        <v>-0.46</v>
      </c>
      <c r="J237" s="626">
        <v>17.51</v>
      </c>
    </row>
    <row r="238">
      <c r="B238" s="634">
        <v>45112.0</v>
      </c>
      <c r="C238" s="632" t="s">
        <v>481</v>
      </c>
      <c r="D238" s="628">
        <v>68749.0</v>
      </c>
      <c r="E238" s="626">
        <v>226.0</v>
      </c>
      <c r="F238" s="628">
        <v>67.0</v>
      </c>
      <c r="G238" s="628">
        <v>19.06</v>
      </c>
      <c r="H238" s="633">
        <v>24.5</v>
      </c>
      <c r="I238" s="13">
        <f t="shared" si="20"/>
        <v>-5.44</v>
      </c>
      <c r="J238" s="626">
        <v>10.84</v>
      </c>
    </row>
    <row r="239">
      <c r="B239" s="634">
        <v>45115.0</v>
      </c>
      <c r="C239" s="632" t="s">
        <v>424</v>
      </c>
      <c r="D239" s="628">
        <v>68923.0</v>
      </c>
      <c r="E239" s="626">
        <v>174.0</v>
      </c>
      <c r="F239" s="628">
        <v>72.0</v>
      </c>
      <c r="G239" s="628">
        <v>23.99</v>
      </c>
      <c r="H239" s="633">
        <v>22.09</v>
      </c>
      <c r="I239" s="13">
        <f t="shared" si="20"/>
        <v>1.9</v>
      </c>
      <c r="J239" s="626">
        <v>12.7</v>
      </c>
    </row>
    <row r="240">
      <c r="B240" s="634">
        <v>45118.0</v>
      </c>
      <c r="C240" s="632" t="s">
        <v>481</v>
      </c>
      <c r="D240" s="628">
        <v>69098.0</v>
      </c>
      <c r="E240" s="626">
        <v>175.0</v>
      </c>
      <c r="F240" s="628">
        <v>66.0</v>
      </c>
      <c r="G240" s="628">
        <v>16.36</v>
      </c>
      <c r="H240" s="633">
        <v>24.01</v>
      </c>
      <c r="I240" s="13">
        <f t="shared" si="20"/>
        <v>-7.65</v>
      </c>
      <c r="J240" s="626">
        <v>13.72</v>
      </c>
    </row>
    <row r="241">
      <c r="B241" s="634">
        <v>45121.0</v>
      </c>
      <c r="C241" s="632" t="s">
        <v>424</v>
      </c>
      <c r="D241" s="628">
        <v>69273.0</v>
      </c>
      <c r="E241" s="626">
        <v>175.0</v>
      </c>
      <c r="F241" s="628">
        <v>67.0</v>
      </c>
      <c r="G241" s="628">
        <v>15.88</v>
      </c>
      <c r="H241" s="633">
        <v>19.98</v>
      </c>
      <c r="I241" s="13">
        <f t="shared" si="20"/>
        <v>-4.1</v>
      </c>
      <c r="J241" s="626">
        <v>11.42</v>
      </c>
    </row>
    <row r="242">
      <c r="B242" s="634">
        <v>45124.0</v>
      </c>
      <c r="C242" s="632" t="s">
        <v>481</v>
      </c>
      <c r="D242" s="628">
        <v>69432.0</v>
      </c>
      <c r="E242" s="626">
        <v>159.0</v>
      </c>
      <c r="F242" s="628">
        <v>68.0</v>
      </c>
      <c r="G242" s="628">
        <v>23.05</v>
      </c>
      <c r="H242" s="633">
        <v>26.0</v>
      </c>
      <c r="I242" s="13">
        <f t="shared" si="20"/>
        <v>-2.95</v>
      </c>
      <c r="J242" s="626">
        <v>16.35</v>
      </c>
    </row>
    <row r="243">
      <c r="B243" s="634">
        <v>45127.0</v>
      </c>
      <c r="C243" s="632" t="s">
        <v>424</v>
      </c>
      <c r="D243" s="628">
        <v>69633.0</v>
      </c>
      <c r="E243" s="626">
        <v>201.0</v>
      </c>
      <c r="F243" s="628">
        <v>74.0</v>
      </c>
      <c r="G243" s="628">
        <v>28.82</v>
      </c>
      <c r="H243" s="633">
        <v>27.37</v>
      </c>
      <c r="I243" s="13">
        <f t="shared" si="20"/>
        <v>1.45</v>
      </c>
      <c r="J243" s="626">
        <v>13.62</v>
      </c>
    </row>
    <row r="244">
      <c r="B244" s="634">
        <v>45130.0</v>
      </c>
      <c r="C244" s="632" t="s">
        <v>424</v>
      </c>
      <c r="D244" s="628">
        <v>70176.0</v>
      </c>
      <c r="E244" s="626">
        <v>543.0</v>
      </c>
      <c r="F244" s="628">
        <v>74.0</v>
      </c>
      <c r="G244" s="628">
        <v>40.54</v>
      </c>
      <c r="H244" s="633">
        <v>42.77</v>
      </c>
      <c r="I244" s="13">
        <f t="shared" si="20"/>
        <v>-2.23</v>
      </c>
      <c r="J244" s="626">
        <v>7.88</v>
      </c>
    </row>
    <row r="245">
      <c r="B245" s="634">
        <v>45133.0</v>
      </c>
      <c r="C245" s="632" t="s">
        <v>424</v>
      </c>
      <c r="D245" s="628">
        <v>70377.0</v>
      </c>
      <c r="E245" s="626">
        <v>201.0</v>
      </c>
      <c r="F245" s="628">
        <v>76.0</v>
      </c>
      <c r="G245" s="628">
        <v>21.45</v>
      </c>
      <c r="H245" s="633">
        <v>24.02</v>
      </c>
      <c r="I245" s="13">
        <f t="shared" si="20"/>
        <v>-2.57</v>
      </c>
      <c r="J245" s="626">
        <v>11.95</v>
      </c>
    </row>
    <row r="246">
      <c r="B246" s="634">
        <v>45136.0</v>
      </c>
      <c r="C246" s="632" t="s">
        <v>481</v>
      </c>
      <c r="D246" s="628">
        <v>70668.0</v>
      </c>
      <c r="E246" s="626">
        <v>291.0</v>
      </c>
      <c r="F246" s="628">
        <v>71.0</v>
      </c>
      <c r="G246" s="628">
        <v>32.87</v>
      </c>
      <c r="H246" s="633">
        <v>32.0</v>
      </c>
      <c r="I246" s="13">
        <f t="shared" si="20"/>
        <v>0.87</v>
      </c>
      <c r="J246" s="626">
        <v>11.0</v>
      </c>
    </row>
    <row r="247">
      <c r="A247" s="551"/>
      <c r="B247" s="619" t="s">
        <v>95</v>
      </c>
      <c r="I247" s="551"/>
      <c r="J247" s="618"/>
      <c r="K247" s="551"/>
      <c r="L247" s="551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</row>
    <row r="248">
      <c r="B248" s="634">
        <v>45139.0</v>
      </c>
      <c r="C248" s="632" t="s">
        <v>424</v>
      </c>
      <c r="D248" s="629"/>
      <c r="E248" s="622"/>
      <c r="F248" s="628">
        <v>73.0</v>
      </c>
      <c r="G248" s="628">
        <v>30.5</v>
      </c>
      <c r="H248" s="633">
        <v>33.02</v>
      </c>
      <c r="I248" s="13">
        <f t="shared" ref="I248:I258" si="21">G248-H248</f>
        <v>-2.52</v>
      </c>
      <c r="J248" s="622"/>
    </row>
    <row r="249">
      <c r="B249" s="634">
        <v>45142.0</v>
      </c>
      <c r="C249" s="632" t="s">
        <v>481</v>
      </c>
      <c r="D249" s="626">
        <v>71178.0</v>
      </c>
      <c r="E249" s="626">
        <v>510.0</v>
      </c>
      <c r="F249" s="628">
        <v>71.0</v>
      </c>
      <c r="G249" s="628">
        <v>25.68</v>
      </c>
      <c r="H249" s="633">
        <v>28.5</v>
      </c>
      <c r="I249" s="13">
        <f t="shared" si="21"/>
        <v>-2.82</v>
      </c>
      <c r="J249" s="626">
        <v>12.06</v>
      </c>
    </row>
    <row r="250">
      <c r="B250" s="634">
        <v>45145.0</v>
      </c>
      <c r="C250" s="632" t="s">
        <v>424</v>
      </c>
      <c r="D250" s="626">
        <v>71470.0</v>
      </c>
      <c r="E250" s="626">
        <v>292.0</v>
      </c>
      <c r="F250" s="628">
        <v>73.0</v>
      </c>
      <c r="G250" s="628">
        <v>29.01</v>
      </c>
      <c r="H250" s="633">
        <v>30.03</v>
      </c>
      <c r="I250" s="13">
        <f t="shared" si="21"/>
        <v>-1.02</v>
      </c>
      <c r="J250" s="626">
        <v>10.28</v>
      </c>
    </row>
    <row r="251">
      <c r="B251" s="634">
        <v>45148.0</v>
      </c>
      <c r="C251" s="632" t="s">
        <v>481</v>
      </c>
      <c r="D251" s="626">
        <v>71749.0</v>
      </c>
      <c r="E251" s="626">
        <v>279.0</v>
      </c>
      <c r="F251" s="628">
        <v>71.0</v>
      </c>
      <c r="G251" s="628">
        <v>37.32</v>
      </c>
      <c r="H251" s="633">
        <v>36.0</v>
      </c>
      <c r="I251" s="13">
        <f t="shared" si="21"/>
        <v>1.32</v>
      </c>
      <c r="J251" s="626">
        <v>12.9</v>
      </c>
    </row>
    <row r="252">
      <c r="B252" s="634">
        <v>45151.0</v>
      </c>
      <c r="C252" s="632" t="s">
        <v>424</v>
      </c>
      <c r="D252" s="626">
        <v>72006.0</v>
      </c>
      <c r="E252" s="626">
        <v>257.0</v>
      </c>
      <c r="F252" s="628">
        <v>74.0</v>
      </c>
      <c r="G252" s="628">
        <v>29.63</v>
      </c>
      <c r="H252" s="633">
        <v>30.74</v>
      </c>
      <c r="I252" s="13">
        <f t="shared" si="21"/>
        <v>-1.11</v>
      </c>
      <c r="J252" s="626">
        <v>11.96</v>
      </c>
    </row>
    <row r="253">
      <c r="B253" s="634">
        <v>45154.0</v>
      </c>
      <c r="C253" s="632" t="s">
        <v>481</v>
      </c>
      <c r="D253" s="626">
        <v>72178.0</v>
      </c>
      <c r="E253" s="626">
        <v>172.0</v>
      </c>
      <c r="F253" s="628">
        <v>73.0</v>
      </c>
      <c r="G253" s="628">
        <v>19.88</v>
      </c>
      <c r="H253" s="633">
        <v>23.5</v>
      </c>
      <c r="I253" s="13">
        <f t="shared" si="21"/>
        <v>-3.62</v>
      </c>
      <c r="J253" s="626">
        <v>13.66</v>
      </c>
    </row>
    <row r="254">
      <c r="B254" s="634">
        <v>45157.0</v>
      </c>
      <c r="C254" s="632" t="s">
        <v>424</v>
      </c>
      <c r="D254" s="626">
        <v>72426.0</v>
      </c>
      <c r="E254" s="626">
        <v>248.0</v>
      </c>
      <c r="F254" s="628">
        <v>72.0</v>
      </c>
      <c r="G254" s="628">
        <v>24.53</v>
      </c>
      <c r="H254" s="633">
        <v>27.25</v>
      </c>
      <c r="I254" s="13">
        <f t="shared" si="21"/>
        <v>-2.72</v>
      </c>
      <c r="J254" s="626">
        <v>10.99</v>
      </c>
    </row>
    <row r="255">
      <c r="B255" s="634">
        <v>45160.0</v>
      </c>
      <c r="C255" s="632" t="s">
        <v>481</v>
      </c>
      <c r="D255" s="626">
        <v>72645.0</v>
      </c>
      <c r="E255" s="626">
        <v>219.0</v>
      </c>
      <c r="F255" s="628">
        <v>71.0</v>
      </c>
      <c r="G255" s="628">
        <v>27.91</v>
      </c>
      <c r="H255" s="633">
        <v>28.0</v>
      </c>
      <c r="I255" s="13">
        <f t="shared" si="21"/>
        <v>-0.09</v>
      </c>
      <c r="J255" s="626">
        <v>12.79</v>
      </c>
    </row>
    <row r="256">
      <c r="B256" s="634">
        <v>45163.0</v>
      </c>
      <c r="C256" s="632" t="s">
        <v>424</v>
      </c>
      <c r="D256" s="626">
        <v>72927.0</v>
      </c>
      <c r="E256" s="626">
        <v>282.0</v>
      </c>
      <c r="F256" s="628">
        <v>72.0</v>
      </c>
      <c r="G256" s="628">
        <v>29.25</v>
      </c>
      <c r="H256" s="633">
        <v>35.46</v>
      </c>
      <c r="I256" s="13">
        <f t="shared" si="21"/>
        <v>-6.21</v>
      </c>
      <c r="J256" s="626">
        <v>12.57</v>
      </c>
    </row>
    <row r="257">
      <c r="B257" s="634">
        <v>45166.0</v>
      </c>
      <c r="C257" s="632" t="s">
        <v>481</v>
      </c>
      <c r="D257" s="626">
        <v>73285.0</v>
      </c>
      <c r="E257" s="626">
        <v>358.0</v>
      </c>
      <c r="F257" s="628">
        <v>71.0</v>
      </c>
      <c r="G257" s="628">
        <v>37.25</v>
      </c>
      <c r="H257" s="633">
        <v>40.0</v>
      </c>
      <c r="I257" s="13">
        <f t="shared" si="21"/>
        <v>-2.75</v>
      </c>
      <c r="J257" s="626">
        <v>11.17</v>
      </c>
    </row>
    <row r="258">
      <c r="B258" s="634">
        <v>45169.0</v>
      </c>
      <c r="C258" s="632" t="s">
        <v>424</v>
      </c>
      <c r="D258" s="626">
        <v>73603.0</v>
      </c>
      <c r="E258" s="626">
        <v>318.0</v>
      </c>
      <c r="F258" s="629"/>
      <c r="G258" s="629"/>
      <c r="H258" s="633">
        <v>42.09</v>
      </c>
      <c r="I258" s="13">
        <f t="shared" si="21"/>
        <v>-42.09</v>
      </c>
      <c r="J258" s="626">
        <v>13.24</v>
      </c>
    </row>
    <row r="259">
      <c r="A259" s="551"/>
      <c r="B259" s="619" t="s">
        <v>104</v>
      </c>
      <c r="I259" s="551"/>
      <c r="J259" s="618"/>
      <c r="K259" s="551"/>
      <c r="L259" s="551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</row>
    <row r="260">
      <c r="B260" s="634">
        <v>45172.0</v>
      </c>
      <c r="C260" s="632" t="s">
        <v>481</v>
      </c>
      <c r="D260" s="628">
        <v>73908.0</v>
      </c>
      <c r="E260" s="626">
        <v>305.0</v>
      </c>
      <c r="F260" s="628">
        <v>0.0</v>
      </c>
      <c r="G260" s="628">
        <v>0.0</v>
      </c>
      <c r="H260" s="633">
        <v>39.0</v>
      </c>
      <c r="I260" s="13">
        <f t="shared" ref="I260:I270" si="22">G260-H260</f>
        <v>-39</v>
      </c>
      <c r="J260" s="626">
        <v>12.79</v>
      </c>
    </row>
    <row r="261">
      <c r="B261" s="634">
        <v>45175.0</v>
      </c>
      <c r="C261" s="632" t="s">
        <v>424</v>
      </c>
      <c r="D261" s="626">
        <v>74245.0</v>
      </c>
      <c r="E261" s="626">
        <v>337.0</v>
      </c>
      <c r="F261" s="628">
        <v>0.0</v>
      </c>
      <c r="G261" s="628">
        <v>0.0</v>
      </c>
      <c r="H261" s="633">
        <v>37.02</v>
      </c>
      <c r="I261" s="13">
        <f t="shared" si="22"/>
        <v>-37.02</v>
      </c>
      <c r="J261" s="626">
        <v>10.99</v>
      </c>
    </row>
    <row r="262">
      <c r="B262" s="634">
        <v>45178.0</v>
      </c>
      <c r="C262" s="632" t="s">
        <v>481</v>
      </c>
      <c r="D262" s="626">
        <v>74524.0</v>
      </c>
      <c r="E262" s="626">
        <v>279.0</v>
      </c>
      <c r="F262" s="628">
        <v>69.0</v>
      </c>
      <c r="G262" s="628">
        <v>32.0</v>
      </c>
      <c r="H262" s="633">
        <v>35.0</v>
      </c>
      <c r="I262" s="13">
        <f t="shared" si="22"/>
        <v>-3</v>
      </c>
      <c r="J262" s="626">
        <v>12.54</v>
      </c>
    </row>
    <row r="263">
      <c r="B263" s="634">
        <v>45181.0</v>
      </c>
      <c r="C263" s="632" t="s">
        <v>424</v>
      </c>
      <c r="D263" s="626">
        <v>74907.0</v>
      </c>
      <c r="E263" s="626">
        <v>383.0</v>
      </c>
      <c r="F263" s="628">
        <v>0.0</v>
      </c>
      <c r="G263" s="628">
        <v>0.0</v>
      </c>
      <c r="H263" s="633">
        <v>34.7</v>
      </c>
      <c r="I263" s="13">
        <f t="shared" si="22"/>
        <v>-34.7</v>
      </c>
      <c r="J263" s="626">
        <v>9.06</v>
      </c>
    </row>
    <row r="264">
      <c r="B264" s="634">
        <v>45184.0</v>
      </c>
      <c r="C264" s="632" t="s">
        <v>481</v>
      </c>
      <c r="D264" s="626">
        <v>75233.0</v>
      </c>
      <c r="E264" s="626">
        <v>326.0</v>
      </c>
      <c r="F264" s="628">
        <v>0.0</v>
      </c>
      <c r="G264" s="628">
        <v>0.0</v>
      </c>
      <c r="H264" s="633">
        <v>42.0</v>
      </c>
      <c r="I264" s="13">
        <f t="shared" si="22"/>
        <v>-42</v>
      </c>
      <c r="J264" s="626">
        <v>12.88</v>
      </c>
    </row>
    <row r="265">
      <c r="B265" s="634">
        <v>45187.0</v>
      </c>
      <c r="C265" s="632" t="s">
        <v>424</v>
      </c>
      <c r="D265" s="626">
        <v>75767.0</v>
      </c>
      <c r="E265" s="626">
        <v>534.0</v>
      </c>
      <c r="F265" s="628">
        <v>76.0</v>
      </c>
      <c r="G265" s="628">
        <v>32.0</v>
      </c>
      <c r="H265" s="633">
        <v>35.06</v>
      </c>
      <c r="I265" s="13">
        <f t="shared" si="22"/>
        <v>-3.06</v>
      </c>
      <c r="J265" s="626">
        <v>6.57</v>
      </c>
    </row>
    <row r="266">
      <c r="B266" s="634">
        <v>45190.0</v>
      </c>
      <c r="C266" s="632" t="s">
        <v>481</v>
      </c>
      <c r="D266" s="626">
        <v>76175.0</v>
      </c>
      <c r="E266" s="626">
        <v>408.0</v>
      </c>
      <c r="F266" s="628">
        <v>73.0</v>
      </c>
      <c r="G266" s="628">
        <v>51.0</v>
      </c>
      <c r="H266" s="633">
        <v>48.0</v>
      </c>
      <c r="I266" s="13">
        <f t="shared" si="22"/>
        <v>3</v>
      </c>
      <c r="J266" s="626">
        <v>11.76</v>
      </c>
    </row>
    <row r="267">
      <c r="B267" s="634">
        <v>45193.0</v>
      </c>
      <c r="C267" s="632" t="s">
        <v>424</v>
      </c>
      <c r="D267" s="626">
        <v>76720.0</v>
      </c>
      <c r="E267" s="626">
        <v>545.0</v>
      </c>
      <c r="F267" s="628">
        <v>72.0</v>
      </c>
      <c r="G267" s="628">
        <v>33.0</v>
      </c>
      <c r="H267" s="633">
        <v>38.8</v>
      </c>
      <c r="I267" s="13">
        <f t="shared" si="22"/>
        <v>-5.8</v>
      </c>
      <c r="J267" s="626">
        <v>7.12</v>
      </c>
    </row>
    <row r="268">
      <c r="B268" s="634">
        <v>45195.0</v>
      </c>
      <c r="C268" s="632" t="s">
        <v>481</v>
      </c>
      <c r="D268" s="626">
        <v>77152.0</v>
      </c>
      <c r="E268" s="626">
        <v>432.0</v>
      </c>
      <c r="F268" s="628">
        <v>71.0</v>
      </c>
      <c r="G268" s="628">
        <v>40.0</v>
      </c>
      <c r="H268" s="633">
        <v>48.52</v>
      </c>
      <c r="I268" s="13">
        <f t="shared" si="22"/>
        <v>-8.52</v>
      </c>
      <c r="J268" s="626">
        <v>11.23</v>
      </c>
    </row>
    <row r="269">
      <c r="B269" s="634">
        <v>45197.0</v>
      </c>
      <c r="C269" s="632" t="s">
        <v>424</v>
      </c>
      <c r="D269" s="626">
        <v>77459.0</v>
      </c>
      <c r="E269" s="626">
        <v>307.0</v>
      </c>
      <c r="F269" s="628">
        <v>76.0</v>
      </c>
      <c r="G269" s="628">
        <v>34.0</v>
      </c>
      <c r="H269" s="633">
        <v>36.01</v>
      </c>
      <c r="I269" s="13">
        <f t="shared" si="22"/>
        <v>-2.01</v>
      </c>
      <c r="J269" s="626">
        <v>11.73</v>
      </c>
    </row>
    <row r="270">
      <c r="B270" s="634">
        <v>45199.0</v>
      </c>
      <c r="C270" s="632" t="s">
        <v>424</v>
      </c>
      <c r="D270" s="626">
        <v>77824.0</v>
      </c>
      <c r="E270" s="626">
        <v>365.0</v>
      </c>
      <c r="F270" s="628">
        <v>76.0</v>
      </c>
      <c r="G270" s="628">
        <v>26.0</v>
      </c>
      <c r="H270" s="633">
        <v>38.03</v>
      </c>
      <c r="I270" s="13">
        <f t="shared" si="22"/>
        <v>-12.03</v>
      </c>
      <c r="J270" s="626">
        <v>10.42</v>
      </c>
    </row>
    <row r="271">
      <c r="A271" s="551"/>
      <c r="B271" s="619" t="s">
        <v>96</v>
      </c>
      <c r="I271" s="551"/>
      <c r="J271" s="618"/>
      <c r="K271" s="551"/>
      <c r="L271" s="551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</row>
    <row r="272">
      <c r="B272" s="634">
        <v>45202.0</v>
      </c>
      <c r="C272" s="632" t="s">
        <v>481</v>
      </c>
      <c r="D272" s="628">
        <v>78194.0</v>
      </c>
      <c r="E272" s="626">
        <v>370.0</v>
      </c>
      <c r="F272" s="628">
        <v>76.0</v>
      </c>
      <c r="G272" s="628">
        <v>46.0</v>
      </c>
      <c r="H272" s="633">
        <v>39.94</v>
      </c>
      <c r="I272" s="13">
        <f t="shared" ref="I272:I285" si="23">G272-H272</f>
        <v>6.06</v>
      </c>
      <c r="J272" s="626">
        <v>10.79</v>
      </c>
    </row>
    <row r="273">
      <c r="B273" s="634">
        <v>45205.0</v>
      </c>
      <c r="C273" s="632" t="s">
        <v>424</v>
      </c>
      <c r="D273" s="626">
        <v>78498.0</v>
      </c>
      <c r="E273" s="626">
        <v>304.0</v>
      </c>
      <c r="F273" s="628">
        <v>72.0</v>
      </c>
      <c r="G273" s="628">
        <v>32.0</v>
      </c>
      <c r="H273" s="633">
        <v>30.18</v>
      </c>
      <c r="I273" s="13">
        <f t="shared" si="23"/>
        <v>1.82</v>
      </c>
      <c r="J273" s="626">
        <v>9.93</v>
      </c>
    </row>
    <row r="274">
      <c r="B274" s="634">
        <v>45208.0</v>
      </c>
      <c r="C274" s="632" t="s">
        <v>481</v>
      </c>
      <c r="D274" s="626">
        <v>78864.0</v>
      </c>
      <c r="E274" s="626">
        <v>366.0</v>
      </c>
      <c r="F274" s="628">
        <v>69.0</v>
      </c>
      <c r="G274" s="628">
        <v>40.0</v>
      </c>
      <c r="H274" s="633">
        <v>48.01</v>
      </c>
      <c r="I274" s="13">
        <f t="shared" si="23"/>
        <v>-8.01</v>
      </c>
      <c r="J274" s="626">
        <v>13.12</v>
      </c>
    </row>
    <row r="275">
      <c r="B275" s="635">
        <v>45211.0</v>
      </c>
      <c r="C275" s="632" t="s">
        <v>424</v>
      </c>
      <c r="D275" s="626">
        <v>79201.0</v>
      </c>
      <c r="E275" s="626">
        <v>337.0</v>
      </c>
      <c r="F275" s="628">
        <v>74.0</v>
      </c>
      <c r="G275" s="628">
        <v>43.0</v>
      </c>
      <c r="H275" s="633">
        <v>44.0</v>
      </c>
      <c r="I275" s="13">
        <f t="shared" si="23"/>
        <v>-1</v>
      </c>
      <c r="J275" s="626">
        <v>13.06</v>
      </c>
    </row>
    <row r="276">
      <c r="B276" s="635">
        <v>45213.0</v>
      </c>
      <c r="C276" s="632" t="s">
        <v>481</v>
      </c>
      <c r="D276" s="626">
        <v>79629.0</v>
      </c>
      <c r="E276" s="626">
        <v>428.0</v>
      </c>
      <c r="F276" s="628">
        <v>73.0</v>
      </c>
      <c r="G276" s="628">
        <v>50.0</v>
      </c>
      <c r="H276" s="633">
        <v>48.39</v>
      </c>
      <c r="I276" s="13">
        <f t="shared" si="23"/>
        <v>1.61</v>
      </c>
      <c r="J276" s="626">
        <v>11.31</v>
      </c>
    </row>
    <row r="277">
      <c r="B277" s="635">
        <v>45215.0</v>
      </c>
      <c r="C277" s="632" t="s">
        <v>424</v>
      </c>
      <c r="D277" s="626">
        <v>79889.0</v>
      </c>
      <c r="E277" s="626">
        <v>260.0</v>
      </c>
      <c r="F277" s="628">
        <v>0.0</v>
      </c>
      <c r="G277" s="628">
        <v>0.0</v>
      </c>
      <c r="H277" s="633">
        <v>23.06</v>
      </c>
      <c r="I277" s="13">
        <f t="shared" si="23"/>
        <v>-23.06</v>
      </c>
      <c r="J277" s="626">
        <v>8.87</v>
      </c>
    </row>
    <row r="278">
      <c r="B278" s="635">
        <v>45217.0</v>
      </c>
      <c r="C278" s="632" t="s">
        <v>424</v>
      </c>
      <c r="D278" s="626">
        <v>80060.0</v>
      </c>
      <c r="E278" s="626">
        <v>171.0</v>
      </c>
      <c r="F278" s="628">
        <v>73.0</v>
      </c>
      <c r="G278" s="628">
        <v>22.0</v>
      </c>
      <c r="H278" s="633">
        <v>25.04</v>
      </c>
      <c r="I278" s="13">
        <f t="shared" si="23"/>
        <v>-3.04</v>
      </c>
      <c r="J278" s="626">
        <v>14.64</v>
      </c>
    </row>
    <row r="279">
      <c r="B279" s="635">
        <v>45219.0</v>
      </c>
      <c r="C279" s="632" t="s">
        <v>481</v>
      </c>
      <c r="D279" s="626">
        <v>80436.0</v>
      </c>
      <c r="E279" s="626">
        <v>376.0</v>
      </c>
      <c r="F279" s="628">
        <v>0.0</v>
      </c>
      <c r="G279" s="628">
        <v>0.0</v>
      </c>
      <c r="H279" s="633">
        <v>16.48</v>
      </c>
      <c r="I279" s="13">
        <f t="shared" si="23"/>
        <v>-16.48</v>
      </c>
      <c r="J279" s="626">
        <v>4.38</v>
      </c>
    </row>
    <row r="280">
      <c r="B280" s="635">
        <v>45220.0</v>
      </c>
      <c r="C280" s="632" t="s">
        <v>481</v>
      </c>
      <c r="D280" s="626">
        <v>80533.0</v>
      </c>
      <c r="E280" s="626">
        <v>97.0</v>
      </c>
      <c r="F280" s="628">
        <v>61.0</v>
      </c>
      <c r="G280" s="628">
        <v>30.0</v>
      </c>
      <c r="H280" s="633">
        <v>34.0</v>
      </c>
      <c r="I280" s="13">
        <f t="shared" si="23"/>
        <v>-4</v>
      </c>
      <c r="J280" s="626">
        <v>35.05</v>
      </c>
    </row>
    <row r="281">
      <c r="B281" s="635">
        <v>45221.0</v>
      </c>
      <c r="C281" s="632" t="s">
        <v>424</v>
      </c>
      <c r="D281" s="626">
        <v>80742.0</v>
      </c>
      <c r="E281" s="626">
        <v>209.0</v>
      </c>
      <c r="F281" s="628">
        <v>74.0</v>
      </c>
      <c r="G281" s="628">
        <v>24.0</v>
      </c>
      <c r="H281" s="633">
        <v>33.05</v>
      </c>
      <c r="I281" s="13">
        <f t="shared" si="23"/>
        <v>-9.05</v>
      </c>
      <c r="J281" s="626">
        <v>15.81</v>
      </c>
    </row>
    <row r="282">
      <c r="B282" s="635">
        <v>45223.0</v>
      </c>
      <c r="C282" s="632" t="s">
        <v>424</v>
      </c>
      <c r="D282" s="626">
        <v>81036.0</v>
      </c>
      <c r="E282" s="626">
        <v>294.0</v>
      </c>
      <c r="F282" s="628">
        <v>0.0</v>
      </c>
      <c r="G282" s="628">
        <v>0.0</v>
      </c>
      <c r="H282" s="633">
        <v>30.05</v>
      </c>
      <c r="I282" s="13">
        <f t="shared" si="23"/>
        <v>-30.05</v>
      </c>
      <c r="J282" s="626">
        <v>10.22</v>
      </c>
    </row>
    <row r="283">
      <c r="B283" s="635">
        <v>45225.0</v>
      </c>
      <c r="C283" s="632" t="s">
        <v>481</v>
      </c>
      <c r="D283" s="626">
        <v>81448.0</v>
      </c>
      <c r="E283" s="626">
        <v>412.0</v>
      </c>
      <c r="F283" s="628">
        <v>74.0</v>
      </c>
      <c r="G283" s="628">
        <v>49.0</v>
      </c>
      <c r="H283" s="633">
        <v>47.51</v>
      </c>
      <c r="I283" s="13">
        <f t="shared" si="23"/>
        <v>1.49</v>
      </c>
      <c r="J283" s="626">
        <v>11.53</v>
      </c>
    </row>
    <row r="284">
      <c r="B284" s="635">
        <v>45227.0</v>
      </c>
      <c r="C284" s="632" t="s">
        <v>481</v>
      </c>
      <c r="D284" s="626">
        <v>81862.0</v>
      </c>
      <c r="E284" s="626">
        <v>414.0</v>
      </c>
      <c r="F284" s="628">
        <v>76.0</v>
      </c>
      <c r="G284" s="628">
        <v>28.0</v>
      </c>
      <c r="H284" s="633">
        <v>36.05</v>
      </c>
      <c r="I284" s="13">
        <f t="shared" si="23"/>
        <v>-8.05</v>
      </c>
      <c r="J284" s="626">
        <v>8.71</v>
      </c>
    </row>
    <row r="285">
      <c r="B285" s="635">
        <v>45229.0</v>
      </c>
      <c r="C285" s="632" t="s">
        <v>424</v>
      </c>
      <c r="D285" s="626">
        <v>82066.0</v>
      </c>
      <c r="E285" s="626">
        <v>204.0</v>
      </c>
      <c r="F285" s="628">
        <v>76.0</v>
      </c>
      <c r="G285" s="628">
        <v>46.0</v>
      </c>
      <c r="H285" s="633">
        <v>41.05</v>
      </c>
      <c r="I285" s="13">
        <f t="shared" si="23"/>
        <v>4.95</v>
      </c>
      <c r="J285" s="626">
        <v>20.12</v>
      </c>
    </row>
    <row r="286">
      <c r="A286" s="551"/>
      <c r="B286" s="619" t="s">
        <v>97</v>
      </c>
      <c r="I286" s="551"/>
      <c r="J286" s="618"/>
      <c r="K286" s="551"/>
      <c r="L286" s="551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</row>
    <row r="287">
      <c r="B287" s="634">
        <v>45232.0</v>
      </c>
      <c r="C287" s="632" t="s">
        <v>481</v>
      </c>
      <c r="D287" s="628">
        <v>82460.0</v>
      </c>
      <c r="E287" s="626">
        <v>394.0</v>
      </c>
      <c r="F287" s="628">
        <v>75.0</v>
      </c>
      <c r="G287" s="628">
        <v>50.0</v>
      </c>
      <c r="H287" s="633">
        <v>49.0</v>
      </c>
      <c r="I287" s="13">
        <f t="shared" ref="I287:I301" si="24">G287-H287</f>
        <v>1</v>
      </c>
      <c r="J287" s="626">
        <v>12.44</v>
      </c>
    </row>
    <row r="288">
      <c r="B288" s="634">
        <v>45234.0</v>
      </c>
      <c r="C288" s="632" t="s">
        <v>424</v>
      </c>
      <c r="D288" s="626">
        <v>82725.0</v>
      </c>
      <c r="E288" s="626">
        <v>265.0</v>
      </c>
      <c r="F288" s="628">
        <v>76.0</v>
      </c>
      <c r="G288" s="628">
        <v>37.0</v>
      </c>
      <c r="H288" s="633">
        <v>36.02</v>
      </c>
      <c r="I288" s="13">
        <f t="shared" si="24"/>
        <v>0.98</v>
      </c>
      <c r="J288" s="626">
        <v>13.59</v>
      </c>
    </row>
    <row r="289">
      <c r="B289" s="634">
        <v>45237.0</v>
      </c>
      <c r="C289" s="632" t="s">
        <v>481</v>
      </c>
      <c r="D289" s="626">
        <v>83122.0</v>
      </c>
      <c r="E289" s="626">
        <v>397.0</v>
      </c>
      <c r="F289" s="628">
        <v>73.0</v>
      </c>
      <c r="G289" s="628">
        <v>52.0</v>
      </c>
      <c r="H289" s="633">
        <v>46.47</v>
      </c>
      <c r="I289" s="13">
        <f t="shared" si="24"/>
        <v>5.53</v>
      </c>
      <c r="J289" s="626">
        <v>11.71</v>
      </c>
    </row>
    <row r="290">
      <c r="B290" s="634">
        <v>45238.0</v>
      </c>
      <c r="C290" s="632" t="s">
        <v>481</v>
      </c>
      <c r="D290" s="626">
        <v>83398.0</v>
      </c>
      <c r="E290" s="626">
        <v>276.0</v>
      </c>
      <c r="F290" s="628">
        <v>76.0</v>
      </c>
      <c r="G290" s="628">
        <v>39.0</v>
      </c>
      <c r="H290" s="633">
        <v>33.0</v>
      </c>
      <c r="I290" s="13">
        <f t="shared" si="24"/>
        <v>6</v>
      </c>
      <c r="J290" s="626">
        <v>11.96</v>
      </c>
    </row>
    <row r="291">
      <c r="B291" s="635">
        <v>45241.0</v>
      </c>
      <c r="C291" s="632" t="s">
        <v>424</v>
      </c>
      <c r="D291" s="626">
        <v>83704.0</v>
      </c>
      <c r="E291" s="626">
        <v>306.0</v>
      </c>
      <c r="F291" s="628">
        <v>74.0</v>
      </c>
      <c r="G291" s="628">
        <v>30.0</v>
      </c>
      <c r="H291" s="633">
        <v>33.07</v>
      </c>
      <c r="I291" s="13">
        <f t="shared" si="24"/>
        <v>-3.07</v>
      </c>
      <c r="J291" s="626">
        <v>10.81</v>
      </c>
    </row>
    <row r="292">
      <c r="B292" s="635">
        <v>45244.0</v>
      </c>
      <c r="C292" s="632" t="s">
        <v>481</v>
      </c>
      <c r="D292" s="626">
        <v>84087.0</v>
      </c>
      <c r="E292" s="626">
        <v>383.0</v>
      </c>
      <c r="F292" s="628">
        <v>71.0</v>
      </c>
      <c r="G292" s="628">
        <v>48.0</v>
      </c>
      <c r="H292" s="633">
        <v>47.1</v>
      </c>
      <c r="I292" s="13">
        <f t="shared" si="24"/>
        <v>0.9</v>
      </c>
      <c r="J292" s="626">
        <v>12.3</v>
      </c>
    </row>
    <row r="293">
      <c r="B293" s="635">
        <v>45246.0</v>
      </c>
      <c r="C293" s="632" t="s">
        <v>424</v>
      </c>
      <c r="D293" s="626">
        <v>84389.0</v>
      </c>
      <c r="E293" s="626">
        <v>302.0</v>
      </c>
      <c r="F293" s="628">
        <v>0.0</v>
      </c>
      <c r="G293" s="628">
        <v>0.0</v>
      </c>
      <c r="H293" s="633">
        <v>27.02</v>
      </c>
      <c r="I293" s="13">
        <f t="shared" si="24"/>
        <v>-27.02</v>
      </c>
      <c r="J293" s="626">
        <v>8.95</v>
      </c>
    </row>
    <row r="294">
      <c r="B294" s="635">
        <v>45247.0</v>
      </c>
      <c r="C294" s="632" t="s">
        <v>424</v>
      </c>
      <c r="D294" s="626">
        <v>84668.0</v>
      </c>
      <c r="E294" s="626">
        <v>279.0</v>
      </c>
      <c r="F294" s="628">
        <v>74.0</v>
      </c>
      <c r="G294" s="628">
        <v>29.0</v>
      </c>
      <c r="H294" s="633">
        <v>26.01</v>
      </c>
      <c r="I294" s="13">
        <f t="shared" si="24"/>
        <v>2.99</v>
      </c>
      <c r="J294" s="626">
        <v>9.32</v>
      </c>
    </row>
    <row r="295">
      <c r="B295" s="635">
        <v>45249.0</v>
      </c>
      <c r="C295" s="632" t="s">
        <v>481</v>
      </c>
      <c r="D295" s="626">
        <v>84979.0</v>
      </c>
      <c r="E295" s="626">
        <v>311.0</v>
      </c>
      <c r="F295" s="628">
        <v>72.0</v>
      </c>
      <c r="G295" s="628">
        <v>41.0</v>
      </c>
      <c r="H295" s="633">
        <v>40.5</v>
      </c>
      <c r="I295" s="13">
        <f t="shared" si="24"/>
        <v>0.5</v>
      </c>
      <c r="J295" s="626">
        <v>13.02</v>
      </c>
    </row>
    <row r="296">
      <c r="B296" s="635">
        <v>45251.0</v>
      </c>
      <c r="C296" s="632" t="s">
        <v>424</v>
      </c>
      <c r="D296" s="626">
        <v>85158.0</v>
      </c>
      <c r="E296" s="626">
        <v>179.0</v>
      </c>
      <c r="F296" s="628">
        <v>0.0</v>
      </c>
      <c r="G296" s="628">
        <v>0.0</v>
      </c>
      <c r="H296" s="633">
        <v>20.01</v>
      </c>
      <c r="I296" s="13">
        <f t="shared" si="24"/>
        <v>-20.01</v>
      </c>
      <c r="J296" s="626">
        <v>11.18</v>
      </c>
    </row>
    <row r="297">
      <c r="B297" s="635">
        <v>45252.0</v>
      </c>
      <c r="C297" s="632" t="s">
        <v>424</v>
      </c>
      <c r="D297" s="626">
        <v>85328.0</v>
      </c>
      <c r="E297" s="626">
        <v>170.0</v>
      </c>
      <c r="F297" s="628">
        <v>75.0</v>
      </c>
      <c r="G297" s="628">
        <v>33.0</v>
      </c>
      <c r="H297" s="633">
        <v>32.02</v>
      </c>
      <c r="I297" s="13">
        <f t="shared" si="24"/>
        <v>0.98</v>
      </c>
      <c r="J297" s="626">
        <v>18.84</v>
      </c>
    </row>
    <row r="298">
      <c r="B298" s="635">
        <v>45253.0</v>
      </c>
      <c r="C298" s="632" t="s">
        <v>424</v>
      </c>
      <c r="D298" s="626">
        <v>85489.0</v>
      </c>
      <c r="E298" s="626">
        <v>161.0</v>
      </c>
      <c r="F298" s="628">
        <v>0.0</v>
      </c>
      <c r="G298" s="628">
        <v>0.0</v>
      </c>
      <c r="H298" s="633">
        <v>23.14</v>
      </c>
      <c r="I298" s="13">
        <f t="shared" si="24"/>
        <v>-23.14</v>
      </c>
      <c r="J298" s="626">
        <v>14.37</v>
      </c>
    </row>
    <row r="299">
      <c r="B299" s="635">
        <v>45256.0</v>
      </c>
      <c r="C299" s="632" t="s">
        <v>481</v>
      </c>
      <c r="D299" s="626">
        <v>85816.0</v>
      </c>
      <c r="E299" s="626">
        <v>327.0</v>
      </c>
      <c r="F299" s="628">
        <v>71.0</v>
      </c>
      <c r="G299" s="628">
        <v>33.0</v>
      </c>
      <c r="H299" s="633">
        <v>48.0</v>
      </c>
      <c r="I299" s="13">
        <f t="shared" si="24"/>
        <v>-15</v>
      </c>
      <c r="J299" s="626">
        <v>14.68</v>
      </c>
    </row>
    <row r="300">
      <c r="B300" s="635">
        <v>45257.0</v>
      </c>
      <c r="C300" s="632" t="s">
        <v>424</v>
      </c>
      <c r="D300" s="626">
        <v>85979.0</v>
      </c>
      <c r="E300" s="626">
        <v>163.0</v>
      </c>
      <c r="F300" s="628">
        <v>71.0</v>
      </c>
      <c r="G300" s="628">
        <v>27.0</v>
      </c>
      <c r="H300" s="633">
        <v>25.17</v>
      </c>
      <c r="I300" s="13">
        <f t="shared" si="24"/>
        <v>1.83</v>
      </c>
      <c r="J300" s="626">
        <v>15.44</v>
      </c>
    </row>
    <row r="301">
      <c r="B301" s="635">
        <v>45259.0</v>
      </c>
      <c r="C301" s="632" t="s">
        <v>424</v>
      </c>
      <c r="D301" s="626">
        <v>86179.0</v>
      </c>
      <c r="E301" s="626">
        <v>200.0</v>
      </c>
      <c r="F301" s="628">
        <v>71.0</v>
      </c>
      <c r="G301" s="628">
        <v>26.0</v>
      </c>
      <c r="H301" s="633">
        <v>28.52</v>
      </c>
      <c r="I301" s="13">
        <f t="shared" si="24"/>
        <v>-2.52</v>
      </c>
      <c r="J301" s="626">
        <v>14.26</v>
      </c>
    </row>
    <row r="302">
      <c r="A302" s="551"/>
      <c r="B302" s="619" t="s">
        <v>98</v>
      </c>
      <c r="I302" s="551"/>
      <c r="J302" s="618"/>
      <c r="K302" s="551"/>
      <c r="L302" s="551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</row>
    <row r="303">
      <c r="B303" s="634">
        <v>45262.0</v>
      </c>
      <c r="C303" s="632" t="s">
        <v>481</v>
      </c>
      <c r="D303" s="628">
        <v>86491.0</v>
      </c>
      <c r="E303" s="626">
        <v>312.0</v>
      </c>
      <c r="F303" s="628">
        <v>73.0</v>
      </c>
      <c r="G303" s="628">
        <v>66.0</v>
      </c>
      <c r="H303" s="633">
        <v>50.0</v>
      </c>
      <c r="I303" s="13">
        <f t="shared" ref="I303:I320" si="25">G303-H303</f>
        <v>16</v>
      </c>
      <c r="J303" s="626">
        <v>16.03</v>
      </c>
    </row>
    <row r="304">
      <c r="B304" s="634">
        <v>45263.0</v>
      </c>
      <c r="C304" s="632" t="s">
        <v>424</v>
      </c>
      <c r="D304" s="626">
        <v>86594.0</v>
      </c>
      <c r="E304" s="626">
        <v>103.0</v>
      </c>
      <c r="F304" s="629"/>
      <c r="G304" s="629"/>
      <c r="H304" s="633">
        <v>18.37</v>
      </c>
      <c r="I304" s="13">
        <f t="shared" si="25"/>
        <v>-18.37</v>
      </c>
      <c r="J304" s="626">
        <v>17.83</v>
      </c>
    </row>
    <row r="305">
      <c r="B305" s="634">
        <v>45264.0</v>
      </c>
      <c r="C305" s="632" t="s">
        <v>424</v>
      </c>
      <c r="D305" s="626">
        <v>86816.0</v>
      </c>
      <c r="E305" s="626">
        <v>222.0</v>
      </c>
      <c r="F305" s="628">
        <v>72.0</v>
      </c>
      <c r="G305" s="628">
        <v>31.0</v>
      </c>
      <c r="H305" s="633">
        <v>32.07</v>
      </c>
      <c r="I305" s="13">
        <f t="shared" si="25"/>
        <v>-1.07</v>
      </c>
      <c r="J305" s="626">
        <v>14.45</v>
      </c>
    </row>
    <row r="306">
      <c r="B306" s="634">
        <v>45265.0</v>
      </c>
      <c r="C306" s="632" t="s">
        <v>424</v>
      </c>
      <c r="D306" s="626">
        <v>87025.0</v>
      </c>
      <c r="E306" s="626">
        <v>209.0</v>
      </c>
      <c r="F306" s="628">
        <v>72.0</v>
      </c>
      <c r="G306" s="628">
        <v>35.0</v>
      </c>
      <c r="H306" s="633">
        <v>32.01</v>
      </c>
      <c r="I306" s="13">
        <f t="shared" si="25"/>
        <v>2.99</v>
      </c>
      <c r="J306" s="626">
        <v>15.32</v>
      </c>
    </row>
    <row r="307">
      <c r="B307" s="634">
        <v>45268.0</v>
      </c>
      <c r="C307" s="632" t="s">
        <v>481</v>
      </c>
      <c r="D307" s="626">
        <v>87245.0</v>
      </c>
      <c r="E307" s="626">
        <v>220.0</v>
      </c>
      <c r="F307" s="628">
        <v>76.0</v>
      </c>
      <c r="G307" s="628">
        <v>44.0</v>
      </c>
      <c r="H307" s="633">
        <v>42.0</v>
      </c>
      <c r="I307" s="13">
        <f t="shared" si="25"/>
        <v>2</v>
      </c>
      <c r="J307" s="626">
        <v>19.09</v>
      </c>
    </row>
    <row r="308">
      <c r="B308" s="634">
        <v>45269.0</v>
      </c>
      <c r="C308" s="632" t="s">
        <v>424</v>
      </c>
      <c r="D308" s="626">
        <v>87444.0</v>
      </c>
      <c r="E308" s="626">
        <v>199.0</v>
      </c>
      <c r="F308" s="628">
        <v>69.0</v>
      </c>
      <c r="G308" s="628">
        <v>26.0</v>
      </c>
      <c r="H308" s="633">
        <v>25.18</v>
      </c>
      <c r="I308" s="13">
        <f t="shared" si="25"/>
        <v>0.82</v>
      </c>
      <c r="J308" s="626">
        <v>12.65</v>
      </c>
    </row>
    <row r="309">
      <c r="B309" s="635">
        <v>45271.0</v>
      </c>
      <c r="C309" s="632" t="s">
        <v>424</v>
      </c>
      <c r="D309" s="626">
        <v>87534.0</v>
      </c>
      <c r="E309" s="626">
        <v>90.0</v>
      </c>
      <c r="F309" s="628">
        <v>71.0</v>
      </c>
      <c r="G309" s="628">
        <v>29.0</v>
      </c>
      <c r="H309" s="636">
        <v>36.16</v>
      </c>
      <c r="I309" s="13">
        <f t="shared" si="25"/>
        <v>-7.16</v>
      </c>
      <c r="J309" s="626">
        <v>40.18</v>
      </c>
    </row>
    <row r="310">
      <c r="B310" s="635">
        <v>45273.0</v>
      </c>
      <c r="C310" s="632" t="s">
        <v>481</v>
      </c>
      <c r="D310" s="626">
        <v>87830.0</v>
      </c>
      <c r="E310" s="626">
        <v>296.0</v>
      </c>
      <c r="F310" s="628">
        <v>73.0</v>
      </c>
      <c r="G310" s="628">
        <v>52.0</v>
      </c>
      <c r="H310" s="633">
        <v>49.0</v>
      </c>
      <c r="I310" s="13">
        <f t="shared" si="25"/>
        <v>3</v>
      </c>
      <c r="J310" s="626">
        <v>16.55</v>
      </c>
    </row>
    <row r="311">
      <c r="B311" s="635">
        <v>45274.0</v>
      </c>
      <c r="C311" s="632" t="s">
        <v>481</v>
      </c>
      <c r="D311" s="626">
        <v>87995.0</v>
      </c>
      <c r="E311" s="626">
        <v>165.0</v>
      </c>
      <c r="F311" s="628">
        <v>70.0</v>
      </c>
      <c r="G311" s="628">
        <v>30.0</v>
      </c>
      <c r="H311" s="633">
        <v>28.0</v>
      </c>
      <c r="I311" s="13">
        <f t="shared" si="25"/>
        <v>2</v>
      </c>
      <c r="J311" s="626">
        <v>16.97</v>
      </c>
    </row>
    <row r="312">
      <c r="B312" s="635">
        <v>45275.0</v>
      </c>
      <c r="C312" s="632" t="s">
        <v>424</v>
      </c>
      <c r="D312" s="626">
        <v>88125.0</v>
      </c>
      <c r="E312" s="626">
        <v>130.0</v>
      </c>
      <c r="F312" s="629"/>
      <c r="G312" s="629"/>
      <c r="H312" s="633">
        <v>23.51</v>
      </c>
      <c r="I312" s="13">
        <f t="shared" si="25"/>
        <v>-23.51</v>
      </c>
      <c r="J312" s="626">
        <v>18.08</v>
      </c>
    </row>
    <row r="313">
      <c r="B313" s="635">
        <v>45276.0</v>
      </c>
      <c r="C313" s="632" t="s">
        <v>424</v>
      </c>
      <c r="D313" s="626">
        <v>88289.0</v>
      </c>
      <c r="E313" s="626">
        <v>164.0</v>
      </c>
      <c r="F313" s="628">
        <v>73.0</v>
      </c>
      <c r="G313" s="628">
        <v>25.0</v>
      </c>
      <c r="H313" s="633">
        <v>27.38</v>
      </c>
      <c r="I313" s="13">
        <f t="shared" si="25"/>
        <v>-2.38</v>
      </c>
      <c r="J313" s="626">
        <v>16.7</v>
      </c>
    </row>
    <row r="314">
      <c r="B314" s="635">
        <v>45279.0</v>
      </c>
      <c r="C314" s="632" t="s">
        <v>481</v>
      </c>
      <c r="D314" s="626">
        <v>88626.0</v>
      </c>
      <c r="E314" s="626">
        <v>337.0</v>
      </c>
      <c r="F314" s="628">
        <v>70.0</v>
      </c>
      <c r="G314" s="628">
        <v>54.0</v>
      </c>
      <c r="H314" s="633">
        <v>49.5</v>
      </c>
      <c r="I314" s="13">
        <f t="shared" si="25"/>
        <v>4.5</v>
      </c>
      <c r="J314" s="626">
        <v>14.69</v>
      </c>
    </row>
    <row r="315">
      <c r="B315" s="635">
        <v>45280.0</v>
      </c>
      <c r="C315" s="632" t="s">
        <v>481</v>
      </c>
      <c r="D315" s="626">
        <v>88819.0</v>
      </c>
      <c r="E315" s="626">
        <v>193.0</v>
      </c>
      <c r="F315" s="628">
        <v>71.0</v>
      </c>
      <c r="G315" s="628">
        <v>24.0</v>
      </c>
      <c r="H315" s="633">
        <v>30.07</v>
      </c>
      <c r="I315" s="13">
        <f t="shared" si="25"/>
        <v>-6.07</v>
      </c>
      <c r="J315" s="626">
        <v>15.58</v>
      </c>
    </row>
    <row r="316">
      <c r="B316" s="635">
        <v>45281.0</v>
      </c>
      <c r="C316" s="632" t="s">
        <v>424</v>
      </c>
      <c r="D316" s="626">
        <v>88990.0</v>
      </c>
      <c r="E316" s="626">
        <v>171.0</v>
      </c>
      <c r="F316" s="628">
        <v>71.0</v>
      </c>
      <c r="G316" s="628">
        <v>22.0</v>
      </c>
      <c r="H316" s="633">
        <v>21.31</v>
      </c>
      <c r="I316" s="13">
        <f t="shared" si="25"/>
        <v>0.69</v>
      </c>
      <c r="J316" s="626">
        <v>12.46</v>
      </c>
    </row>
    <row r="317">
      <c r="B317" s="635">
        <v>45283.0</v>
      </c>
      <c r="C317" s="632" t="s">
        <v>424</v>
      </c>
      <c r="D317" s="626">
        <v>89254.0</v>
      </c>
      <c r="E317" s="626">
        <v>264.0</v>
      </c>
      <c r="F317" s="629"/>
      <c r="G317" s="629"/>
      <c r="H317" s="633">
        <v>21.0</v>
      </c>
      <c r="I317" s="13">
        <f t="shared" si="25"/>
        <v>-21</v>
      </c>
      <c r="J317" s="626">
        <v>7.95</v>
      </c>
    </row>
    <row r="318">
      <c r="B318" s="635">
        <v>45286.0</v>
      </c>
      <c r="C318" s="632" t="s">
        <v>481</v>
      </c>
      <c r="D318" s="626">
        <v>89536.0</v>
      </c>
      <c r="E318" s="626">
        <v>282.0</v>
      </c>
      <c r="F318" s="628">
        <v>72.0</v>
      </c>
      <c r="G318" s="628">
        <v>50.0</v>
      </c>
      <c r="H318" s="633">
        <v>49.99</v>
      </c>
      <c r="I318" s="13">
        <f t="shared" si="25"/>
        <v>0.01</v>
      </c>
      <c r="J318" s="626">
        <v>17.73</v>
      </c>
    </row>
    <row r="319">
      <c r="B319" s="635">
        <v>45287.0</v>
      </c>
      <c r="C319" s="632" t="s">
        <v>424</v>
      </c>
      <c r="D319" s="622"/>
      <c r="E319" s="626">
        <v>150.0</v>
      </c>
      <c r="F319" s="628">
        <v>70.0</v>
      </c>
      <c r="G319" s="628">
        <v>21.0</v>
      </c>
      <c r="H319" s="633">
        <v>23.0</v>
      </c>
      <c r="I319" s="13">
        <f t="shared" si="25"/>
        <v>-2</v>
      </c>
      <c r="J319" s="626">
        <v>15.33</v>
      </c>
    </row>
    <row r="320">
      <c r="B320" s="635">
        <v>45289.0</v>
      </c>
      <c r="C320" s="632" t="s">
        <v>424</v>
      </c>
      <c r="D320" s="622"/>
      <c r="E320" s="626">
        <v>125.0</v>
      </c>
      <c r="F320" s="628">
        <v>73.0</v>
      </c>
      <c r="G320" s="628">
        <v>24.0</v>
      </c>
      <c r="H320" s="633">
        <v>23.01</v>
      </c>
      <c r="I320" s="13">
        <f t="shared" si="25"/>
        <v>0.99</v>
      </c>
      <c r="J320" s="626">
        <v>18.41</v>
      </c>
    </row>
    <row r="321">
      <c r="A321" s="551"/>
      <c r="B321" s="134">
        <v>2024.0</v>
      </c>
      <c r="I321" s="551"/>
      <c r="J321" s="618"/>
      <c r="K321" s="551"/>
      <c r="L321" s="551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</row>
    <row r="322">
      <c r="A322" s="551"/>
      <c r="B322" s="619"/>
      <c r="C322" s="619"/>
      <c r="D322" s="619"/>
      <c r="E322" s="619" t="s">
        <v>66</v>
      </c>
      <c r="F322" s="619"/>
      <c r="G322" s="619"/>
      <c r="H322" s="619"/>
      <c r="I322" s="551"/>
      <c r="J322" s="618"/>
      <c r="K322" s="551"/>
      <c r="L322" s="551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</row>
    <row r="323">
      <c r="B323" s="634">
        <v>45299.0</v>
      </c>
      <c r="C323" s="632" t="s">
        <v>424</v>
      </c>
      <c r="D323" s="628">
        <v>90185.0</v>
      </c>
      <c r="E323" s="626">
        <v>649.0</v>
      </c>
      <c r="F323" s="628">
        <v>71.0</v>
      </c>
      <c r="G323" s="628">
        <v>32.0</v>
      </c>
      <c r="H323" s="633">
        <v>34.25</v>
      </c>
      <c r="I323" s="13">
        <f t="shared" ref="I323:I333" si="26">G323-H323</f>
        <v>-2.25</v>
      </c>
      <c r="J323" s="626">
        <v>5.28</v>
      </c>
    </row>
    <row r="324">
      <c r="B324" s="634">
        <v>45301.0</v>
      </c>
      <c r="C324" s="632" t="s">
        <v>424</v>
      </c>
      <c r="D324" s="626">
        <v>90431.0</v>
      </c>
      <c r="E324" s="626">
        <v>246.0</v>
      </c>
      <c r="F324" s="628">
        <v>72.0</v>
      </c>
      <c r="G324" s="628">
        <v>34.0</v>
      </c>
      <c r="H324" s="633">
        <v>31.5</v>
      </c>
      <c r="I324" s="13">
        <f t="shared" si="26"/>
        <v>2.5</v>
      </c>
      <c r="J324" s="626">
        <v>12.8</v>
      </c>
    </row>
    <row r="325">
      <c r="B325" s="634">
        <v>45302.0</v>
      </c>
      <c r="C325" s="632" t="s">
        <v>424</v>
      </c>
      <c r="D325" s="626">
        <v>90629.0</v>
      </c>
      <c r="E325" s="626">
        <v>198.0</v>
      </c>
      <c r="F325" s="628">
        <v>70.0</v>
      </c>
      <c r="G325" s="628">
        <v>23.0</v>
      </c>
      <c r="H325" s="633">
        <v>23.06</v>
      </c>
      <c r="I325" s="13">
        <f t="shared" si="26"/>
        <v>-0.06</v>
      </c>
      <c r="J325" s="626">
        <v>11.65</v>
      </c>
    </row>
    <row r="326">
      <c r="B326" s="634">
        <v>45305.0</v>
      </c>
      <c r="C326" s="632" t="s">
        <v>481</v>
      </c>
      <c r="D326" s="626">
        <v>90927.0</v>
      </c>
      <c r="E326" s="626">
        <v>298.0</v>
      </c>
      <c r="F326" s="628">
        <v>69.0</v>
      </c>
      <c r="G326" s="628">
        <v>54.0</v>
      </c>
      <c r="H326" s="633">
        <v>53.0</v>
      </c>
      <c r="I326" s="13">
        <f t="shared" si="26"/>
        <v>1</v>
      </c>
      <c r="J326" s="626">
        <v>17.79</v>
      </c>
    </row>
    <row r="327">
      <c r="B327" s="634">
        <v>45307.0</v>
      </c>
      <c r="C327" s="632" t="s">
        <v>424</v>
      </c>
      <c r="D327" s="626">
        <v>91131.0</v>
      </c>
      <c r="E327" s="626">
        <v>204.0</v>
      </c>
      <c r="F327" s="628">
        <v>72.0</v>
      </c>
      <c r="G327" s="628">
        <v>27.0</v>
      </c>
      <c r="H327" s="633">
        <v>28.02</v>
      </c>
      <c r="I327" s="13">
        <f t="shared" si="26"/>
        <v>-1.02</v>
      </c>
      <c r="J327" s="626">
        <v>13.74</v>
      </c>
    </row>
    <row r="328">
      <c r="B328" s="634">
        <v>45311.0</v>
      </c>
      <c r="C328" s="632" t="s">
        <v>481</v>
      </c>
      <c r="D328" s="626">
        <v>91533.0</v>
      </c>
      <c r="E328" s="626">
        <v>402.0</v>
      </c>
      <c r="F328" s="628">
        <v>65.0</v>
      </c>
      <c r="G328" s="628">
        <v>51.0</v>
      </c>
      <c r="H328" s="633">
        <v>59.5</v>
      </c>
      <c r="I328" s="13">
        <f t="shared" si="26"/>
        <v>-8.5</v>
      </c>
      <c r="J328" s="626">
        <v>14.8</v>
      </c>
    </row>
    <row r="329">
      <c r="B329" s="634">
        <v>45312.0</v>
      </c>
      <c r="C329" s="632" t="s">
        <v>424</v>
      </c>
      <c r="D329" s="624">
        <v>91198.0</v>
      </c>
      <c r="E329" s="624">
        <v>-335.0</v>
      </c>
      <c r="F329" s="637">
        <v>70.0</v>
      </c>
      <c r="G329" s="637">
        <v>33.0</v>
      </c>
      <c r="H329" s="633">
        <v>35.03</v>
      </c>
      <c r="I329" s="13">
        <f t="shared" si="26"/>
        <v>-2.03</v>
      </c>
      <c r="J329" s="626">
        <v>-10.46</v>
      </c>
    </row>
    <row r="330">
      <c r="B330" s="634">
        <v>45314.0</v>
      </c>
      <c r="C330" s="632" t="s">
        <v>424</v>
      </c>
      <c r="D330" s="626">
        <v>92072.0</v>
      </c>
      <c r="E330" s="626">
        <v>874.0</v>
      </c>
      <c r="F330" s="628">
        <v>70.0</v>
      </c>
      <c r="G330" s="628">
        <v>34.0</v>
      </c>
      <c r="H330" s="633">
        <v>32.3</v>
      </c>
      <c r="I330" s="13">
        <f t="shared" si="26"/>
        <v>1.7</v>
      </c>
      <c r="J330" s="626">
        <v>3.7</v>
      </c>
    </row>
    <row r="331">
      <c r="B331" s="634">
        <v>45317.0</v>
      </c>
      <c r="C331" s="632" t="s">
        <v>481</v>
      </c>
      <c r="D331" s="626">
        <v>92403.0</v>
      </c>
      <c r="E331" s="626">
        <v>331.0</v>
      </c>
      <c r="F331" s="628">
        <v>69.0</v>
      </c>
      <c r="G331" s="628">
        <v>57.0</v>
      </c>
      <c r="H331" s="633">
        <v>53.13</v>
      </c>
      <c r="I331" s="13">
        <f t="shared" si="26"/>
        <v>3.87</v>
      </c>
      <c r="J331" s="626">
        <v>16.05</v>
      </c>
    </row>
    <row r="332">
      <c r="B332" s="634">
        <v>45319.0</v>
      </c>
      <c r="C332" s="632" t="s">
        <v>424</v>
      </c>
      <c r="D332" s="626">
        <v>92625.0</v>
      </c>
      <c r="E332" s="626">
        <v>222.0</v>
      </c>
      <c r="F332" s="628">
        <v>70.0</v>
      </c>
      <c r="G332" s="628">
        <v>27.0</v>
      </c>
      <c r="H332" s="633">
        <v>28.23</v>
      </c>
      <c r="I332" s="13">
        <f t="shared" si="26"/>
        <v>-1.23</v>
      </c>
      <c r="J332" s="626">
        <v>12.72</v>
      </c>
    </row>
    <row r="333">
      <c r="B333" s="634">
        <v>45320.0</v>
      </c>
      <c r="C333" s="632" t="s">
        <v>424</v>
      </c>
      <c r="D333" s="626">
        <v>92814.0</v>
      </c>
      <c r="E333" s="626">
        <v>189.0</v>
      </c>
      <c r="F333" s="628">
        <v>71.0</v>
      </c>
      <c r="G333" s="628">
        <v>29.0</v>
      </c>
      <c r="H333" s="633">
        <v>28.89</v>
      </c>
      <c r="I333" s="13">
        <f t="shared" si="26"/>
        <v>0.11</v>
      </c>
      <c r="J333" s="626">
        <v>15.29</v>
      </c>
    </row>
    <row r="334">
      <c r="A334" s="551"/>
      <c r="B334" s="619" t="s">
        <v>68</v>
      </c>
      <c r="I334" s="551"/>
      <c r="J334" s="618"/>
      <c r="K334" s="551"/>
      <c r="L334" s="551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</row>
    <row r="335">
      <c r="B335" s="634">
        <v>45323.0</v>
      </c>
      <c r="C335" s="632" t="s">
        <v>481</v>
      </c>
      <c r="D335" s="628">
        <v>93167.0</v>
      </c>
      <c r="E335" s="626">
        <v>353.0</v>
      </c>
      <c r="F335" s="628">
        <v>70.0</v>
      </c>
      <c r="G335" s="628">
        <v>51.0</v>
      </c>
      <c r="H335" s="633">
        <v>49.0</v>
      </c>
      <c r="I335" s="13">
        <f t="shared" ref="I335:I344" si="27">G335-H335</f>
        <v>2</v>
      </c>
      <c r="J335" s="626">
        <v>13.88</v>
      </c>
    </row>
    <row r="336">
      <c r="B336" s="634">
        <v>45326.0</v>
      </c>
      <c r="C336" s="632" t="s">
        <v>424</v>
      </c>
      <c r="D336" s="626">
        <v>93372.0</v>
      </c>
      <c r="E336" s="626">
        <v>205.0</v>
      </c>
      <c r="F336" s="628">
        <v>72.0</v>
      </c>
      <c r="G336" s="628">
        <v>33.0</v>
      </c>
      <c r="H336" s="633">
        <v>37.02</v>
      </c>
      <c r="I336" s="13">
        <f t="shared" si="27"/>
        <v>-4.02</v>
      </c>
      <c r="J336" s="626">
        <v>18.06</v>
      </c>
    </row>
    <row r="337">
      <c r="B337" s="634">
        <v>45329.0</v>
      </c>
      <c r="C337" s="632" t="s">
        <v>481</v>
      </c>
      <c r="D337" s="626">
        <v>93709.0</v>
      </c>
      <c r="E337" s="626">
        <v>337.0</v>
      </c>
      <c r="F337" s="628">
        <v>70.0</v>
      </c>
      <c r="G337" s="628">
        <v>45.0</v>
      </c>
      <c r="H337" s="633">
        <v>47.02</v>
      </c>
      <c r="I337" s="13">
        <f t="shared" si="27"/>
        <v>-2.02</v>
      </c>
      <c r="J337" s="626">
        <v>13.95</v>
      </c>
    </row>
    <row r="338">
      <c r="B338" s="634">
        <v>45332.0</v>
      </c>
      <c r="C338" s="632" t="s">
        <v>424</v>
      </c>
      <c r="D338" s="626">
        <v>94020.0</v>
      </c>
      <c r="E338" s="626">
        <v>311.0</v>
      </c>
      <c r="F338" s="628">
        <v>75.0</v>
      </c>
      <c r="G338" s="628">
        <v>47.0</v>
      </c>
      <c r="H338" s="633">
        <v>45.3</v>
      </c>
      <c r="I338" s="13">
        <f t="shared" si="27"/>
        <v>1.7</v>
      </c>
      <c r="J338" s="626">
        <v>14.57</v>
      </c>
    </row>
    <row r="339">
      <c r="B339" s="634">
        <v>45335.0</v>
      </c>
      <c r="C339" s="632" t="s">
        <v>481</v>
      </c>
      <c r="D339" s="626">
        <v>94384.0</v>
      </c>
      <c r="E339" s="626">
        <v>364.0</v>
      </c>
      <c r="F339" s="628">
        <v>67.0</v>
      </c>
      <c r="G339" s="628">
        <v>47.0</v>
      </c>
      <c r="H339" s="633">
        <v>49.9</v>
      </c>
      <c r="I339" s="13">
        <f t="shared" si="27"/>
        <v>-2.9</v>
      </c>
      <c r="J339" s="626">
        <v>13.71</v>
      </c>
    </row>
    <row r="340">
      <c r="B340" s="634">
        <v>45338.0</v>
      </c>
      <c r="C340" s="632" t="s">
        <v>424</v>
      </c>
      <c r="D340" s="626">
        <v>94569.0</v>
      </c>
      <c r="E340" s="626">
        <v>185.0</v>
      </c>
      <c r="F340" s="628">
        <v>70.0</v>
      </c>
      <c r="G340" s="628">
        <v>42.0</v>
      </c>
      <c r="H340" s="633">
        <v>50.0</v>
      </c>
      <c r="I340" s="13">
        <f t="shared" si="27"/>
        <v>-8</v>
      </c>
      <c r="J340" s="626">
        <v>27.03</v>
      </c>
    </row>
    <row r="341">
      <c r="B341" s="634">
        <v>45341.0</v>
      </c>
      <c r="C341" s="632" t="s">
        <v>481</v>
      </c>
      <c r="D341" s="626">
        <v>95000.0</v>
      </c>
      <c r="E341" s="626">
        <v>431.0</v>
      </c>
      <c r="F341" s="628">
        <v>67.0</v>
      </c>
      <c r="G341" s="628">
        <v>50.0</v>
      </c>
      <c r="H341" s="633">
        <v>51.28</v>
      </c>
      <c r="I341" s="13">
        <f t="shared" si="27"/>
        <v>-1.28</v>
      </c>
      <c r="J341" s="626">
        <v>11.9</v>
      </c>
    </row>
    <row r="342">
      <c r="B342" s="634">
        <v>45344.0</v>
      </c>
      <c r="C342" s="632" t="s">
        <v>424</v>
      </c>
      <c r="D342" s="626">
        <v>95355.0</v>
      </c>
      <c r="E342" s="626">
        <v>355.0</v>
      </c>
      <c r="F342" s="628">
        <v>67.0</v>
      </c>
      <c r="G342" s="628">
        <v>41.0</v>
      </c>
      <c r="H342" s="633">
        <v>50.0</v>
      </c>
      <c r="I342" s="13">
        <f t="shared" si="27"/>
        <v>-9</v>
      </c>
      <c r="J342" s="626">
        <v>14.08</v>
      </c>
    </row>
    <row r="343">
      <c r="B343" s="634">
        <v>45347.0</v>
      </c>
      <c r="C343" s="632" t="s">
        <v>481</v>
      </c>
      <c r="D343" s="624">
        <v>95646.0</v>
      </c>
      <c r="E343" s="626">
        <v>291.0</v>
      </c>
      <c r="F343" s="637">
        <v>70.0</v>
      </c>
      <c r="G343" s="637">
        <v>31.0</v>
      </c>
      <c r="H343" s="633">
        <v>50.0</v>
      </c>
      <c r="I343" s="13">
        <f t="shared" si="27"/>
        <v>-19</v>
      </c>
      <c r="J343" s="626">
        <v>17.18</v>
      </c>
    </row>
    <row r="344">
      <c r="B344" s="634">
        <v>45351.0</v>
      </c>
      <c r="C344" s="632" t="s">
        <v>481</v>
      </c>
      <c r="D344" s="626">
        <v>96010.0</v>
      </c>
      <c r="E344" s="626">
        <v>364.0</v>
      </c>
      <c r="F344" s="628">
        <v>74.0</v>
      </c>
      <c r="G344" s="628">
        <v>44.0</v>
      </c>
      <c r="H344" s="633">
        <v>48.0</v>
      </c>
      <c r="I344" s="13">
        <f t="shared" si="27"/>
        <v>-4</v>
      </c>
      <c r="J344" s="626">
        <v>13.19</v>
      </c>
    </row>
    <row r="345">
      <c r="A345" s="551"/>
      <c r="B345" s="619" t="s">
        <v>72</v>
      </c>
      <c r="I345" s="551"/>
      <c r="J345" s="618"/>
      <c r="K345" s="551"/>
      <c r="L345" s="551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</row>
    <row r="346">
      <c r="B346" s="634">
        <v>45354.0</v>
      </c>
      <c r="C346" s="632" t="s">
        <v>424</v>
      </c>
      <c r="D346" s="628">
        <v>96491.0</v>
      </c>
      <c r="E346" s="626">
        <v>481.0</v>
      </c>
      <c r="F346" s="628">
        <v>65.0</v>
      </c>
      <c r="G346" s="628">
        <v>23.0</v>
      </c>
      <c r="H346" s="633">
        <v>50.0</v>
      </c>
      <c r="I346" s="13">
        <f t="shared" ref="I346:I354" si="28">G346-H346</f>
        <v>-27</v>
      </c>
      <c r="J346" s="626">
        <v>10.4</v>
      </c>
    </row>
    <row r="347">
      <c r="B347" s="634">
        <v>45358.0</v>
      </c>
      <c r="C347" s="632" t="s">
        <v>481</v>
      </c>
      <c r="D347" s="626">
        <v>96931.0</v>
      </c>
      <c r="E347" s="626">
        <v>440.0</v>
      </c>
      <c r="F347" s="628">
        <v>66.0</v>
      </c>
      <c r="G347" s="628">
        <v>50.0</v>
      </c>
      <c r="H347" s="633">
        <v>56.0</v>
      </c>
      <c r="I347" s="13">
        <f t="shared" si="28"/>
        <v>-6</v>
      </c>
      <c r="J347" s="626">
        <v>12.73</v>
      </c>
    </row>
    <row r="348">
      <c r="B348" s="634">
        <v>45360.0</v>
      </c>
      <c r="C348" s="632" t="s">
        <v>424</v>
      </c>
      <c r="D348" s="626">
        <v>97322.0</v>
      </c>
      <c r="E348" s="626">
        <v>391.0</v>
      </c>
      <c r="F348" s="628">
        <v>70.0</v>
      </c>
      <c r="G348" s="628">
        <v>41.0</v>
      </c>
      <c r="H348" s="633">
        <v>50.0</v>
      </c>
      <c r="I348" s="13">
        <f t="shared" si="28"/>
        <v>-9</v>
      </c>
      <c r="J348" s="626">
        <v>12.79</v>
      </c>
    </row>
    <row r="349">
      <c r="B349" s="634">
        <v>45364.0</v>
      </c>
      <c r="C349" s="632" t="s">
        <v>481</v>
      </c>
      <c r="D349" s="626">
        <v>97832.0</v>
      </c>
      <c r="E349" s="626">
        <v>510.0</v>
      </c>
      <c r="F349" s="628">
        <v>70.0</v>
      </c>
      <c r="G349" s="628">
        <v>53.0</v>
      </c>
      <c r="H349" s="633">
        <v>53.0</v>
      </c>
      <c r="I349" s="13">
        <f t="shared" si="28"/>
        <v>0</v>
      </c>
      <c r="J349" s="626">
        <v>10.39</v>
      </c>
    </row>
    <row r="350">
      <c r="B350" s="634">
        <v>45366.0</v>
      </c>
      <c r="C350" s="632" t="s">
        <v>424</v>
      </c>
      <c r="D350" s="626">
        <v>98353.0</v>
      </c>
      <c r="E350" s="626">
        <v>521.0</v>
      </c>
      <c r="F350" s="628">
        <v>65.0</v>
      </c>
      <c r="G350" s="628">
        <v>27.0</v>
      </c>
      <c r="H350" s="633">
        <v>50.0</v>
      </c>
      <c r="I350" s="13">
        <f t="shared" si="28"/>
        <v>-23</v>
      </c>
      <c r="J350" s="626">
        <v>9.6</v>
      </c>
    </row>
    <row r="351">
      <c r="B351" s="634">
        <v>45370.0</v>
      </c>
      <c r="C351" s="632" t="s">
        <v>481</v>
      </c>
      <c r="D351" s="626">
        <v>98670.0</v>
      </c>
      <c r="E351" s="626">
        <v>317.0</v>
      </c>
      <c r="F351" s="628">
        <v>72.0</v>
      </c>
      <c r="G351" s="628">
        <v>47.0</v>
      </c>
      <c r="H351" s="633">
        <v>45.0</v>
      </c>
      <c r="I351" s="13">
        <f t="shared" si="28"/>
        <v>2</v>
      </c>
      <c r="J351" s="626">
        <v>14.2</v>
      </c>
    </row>
    <row r="352">
      <c r="B352" s="634">
        <v>45373.0</v>
      </c>
      <c r="C352" s="632" t="s">
        <v>424</v>
      </c>
      <c r="D352" s="626">
        <v>99181.0</v>
      </c>
      <c r="E352" s="626">
        <v>511.0</v>
      </c>
      <c r="F352" s="628">
        <v>73.0</v>
      </c>
      <c r="G352" s="628">
        <v>28.0</v>
      </c>
      <c r="H352" s="633">
        <v>50.0</v>
      </c>
      <c r="I352" s="13">
        <f t="shared" si="28"/>
        <v>-22</v>
      </c>
      <c r="J352" s="626">
        <v>9.78</v>
      </c>
    </row>
    <row r="353">
      <c r="B353" s="634">
        <v>45376.0</v>
      </c>
      <c r="C353" s="632" t="s">
        <v>481</v>
      </c>
      <c r="D353" s="626">
        <v>99486.0</v>
      </c>
      <c r="E353" s="626">
        <v>305.0</v>
      </c>
      <c r="F353" s="628">
        <v>72.0</v>
      </c>
      <c r="G353" s="628">
        <v>44.0</v>
      </c>
      <c r="H353" s="633">
        <v>44.01</v>
      </c>
      <c r="I353" s="13">
        <f t="shared" si="28"/>
        <v>-0.01</v>
      </c>
      <c r="J353" s="626">
        <v>14.43</v>
      </c>
    </row>
    <row r="354">
      <c r="B354" s="634">
        <v>45381.0</v>
      </c>
      <c r="C354" s="632" t="s">
        <v>481</v>
      </c>
      <c r="D354" s="624">
        <v>100158.0</v>
      </c>
      <c r="E354" s="626">
        <v>672.0</v>
      </c>
      <c r="F354" s="637">
        <v>74.0</v>
      </c>
      <c r="G354" s="637">
        <v>35.0</v>
      </c>
      <c r="H354" s="633">
        <v>50.0</v>
      </c>
      <c r="I354" s="13">
        <f t="shared" si="28"/>
        <v>-15</v>
      </c>
      <c r="J354" s="626">
        <v>7.44</v>
      </c>
    </row>
    <row r="355">
      <c r="A355" s="551"/>
      <c r="B355" s="619" t="s">
        <v>74</v>
      </c>
      <c r="I355" s="551"/>
      <c r="J355" s="618"/>
      <c r="K355" s="551"/>
      <c r="L355" s="551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</row>
    <row r="356">
      <c r="B356" s="634">
        <v>45385.0</v>
      </c>
      <c r="C356" s="632" t="s">
        <v>424</v>
      </c>
      <c r="D356" s="628">
        <v>100691.0</v>
      </c>
      <c r="E356" s="626">
        <v>533.0</v>
      </c>
      <c r="F356" s="628">
        <v>73.0</v>
      </c>
      <c r="G356" s="628">
        <v>41.0</v>
      </c>
      <c r="H356" s="633">
        <v>50.0</v>
      </c>
      <c r="I356" s="13">
        <f t="shared" ref="I356:I362" si="29">G356-H356</f>
        <v>-9</v>
      </c>
      <c r="J356" s="626">
        <v>9.38</v>
      </c>
      <c r="L356" s="132" t="str">
        <f>"тотал"&amp;" "&amp;B355</f>
        <v>тотал АПРЕЛЬ</v>
      </c>
      <c r="M356" s="75"/>
      <c r="N356" s="76"/>
    </row>
    <row r="357">
      <c r="B357" s="634">
        <v>45388.0</v>
      </c>
      <c r="C357" s="632" t="s">
        <v>481</v>
      </c>
      <c r="D357" s="626">
        <v>101028.0</v>
      </c>
      <c r="E357" s="626">
        <v>337.0</v>
      </c>
      <c r="F357" s="628">
        <v>71.0</v>
      </c>
      <c r="G357" s="628">
        <v>35.0</v>
      </c>
      <c r="H357" s="633">
        <v>59.0</v>
      </c>
      <c r="I357" s="13">
        <f t="shared" si="29"/>
        <v>-24</v>
      </c>
      <c r="J357" s="626">
        <v>17.51</v>
      </c>
      <c r="L357" s="84" t="s">
        <v>70</v>
      </c>
      <c r="M357" s="84" t="s">
        <v>71</v>
      </c>
      <c r="N357" s="84" t="s">
        <v>27</v>
      </c>
    </row>
    <row r="358">
      <c r="B358" s="634">
        <v>45391.0</v>
      </c>
      <c r="C358" s="632" t="s">
        <v>424</v>
      </c>
      <c r="D358" s="626">
        <v>101372.0</v>
      </c>
      <c r="E358" s="626">
        <v>344.0</v>
      </c>
      <c r="F358" s="628">
        <v>71.0</v>
      </c>
      <c r="G358" s="628">
        <v>36.0</v>
      </c>
      <c r="H358" s="633">
        <v>60.0</v>
      </c>
      <c r="I358" s="13">
        <f t="shared" si="29"/>
        <v>-24</v>
      </c>
      <c r="J358" s="626">
        <v>17.44</v>
      </c>
      <c r="L358" s="84">
        <f>SUM(E356:E362)</f>
        <v>3802</v>
      </c>
      <c r="M358" s="84">
        <f>SUM(H356:H362)</f>
        <v>402.44</v>
      </c>
      <c r="N358" s="85">
        <f>M358/L358*100</f>
        <v>10.58495529</v>
      </c>
    </row>
    <row r="359">
      <c r="B359" s="634">
        <v>45394.0</v>
      </c>
      <c r="C359" s="632" t="s">
        <v>481</v>
      </c>
      <c r="D359" s="626">
        <v>101894.0</v>
      </c>
      <c r="E359" s="626">
        <v>522.0</v>
      </c>
      <c r="F359" s="628">
        <v>71.0</v>
      </c>
      <c r="G359" s="628">
        <v>36.0</v>
      </c>
      <c r="H359" s="633">
        <v>53.46</v>
      </c>
      <c r="I359" s="13">
        <f t="shared" si="29"/>
        <v>-17.46</v>
      </c>
      <c r="J359" s="626">
        <v>10.24</v>
      </c>
    </row>
    <row r="360">
      <c r="B360" s="634">
        <v>45400.0</v>
      </c>
      <c r="C360" s="632" t="s">
        <v>424</v>
      </c>
      <c r="D360" s="626">
        <v>102629.0</v>
      </c>
      <c r="E360" s="626">
        <v>735.0</v>
      </c>
      <c r="F360" s="628">
        <v>71.0</v>
      </c>
      <c r="G360" s="628">
        <v>34.0</v>
      </c>
      <c r="H360" s="633">
        <v>60.0</v>
      </c>
      <c r="I360" s="13">
        <f t="shared" si="29"/>
        <v>-26</v>
      </c>
      <c r="J360" s="626">
        <v>8.16</v>
      </c>
    </row>
    <row r="361">
      <c r="B361" s="634">
        <v>45406.0</v>
      </c>
      <c r="C361" s="632" t="s">
        <v>481</v>
      </c>
      <c r="D361" s="626">
        <v>103315.0</v>
      </c>
      <c r="E361" s="626">
        <v>686.0</v>
      </c>
      <c r="F361" s="628">
        <v>73.0</v>
      </c>
      <c r="G361" s="628">
        <v>42.0</v>
      </c>
      <c r="H361" s="633">
        <v>60.0</v>
      </c>
      <c r="I361" s="13">
        <f t="shared" si="29"/>
        <v>-18</v>
      </c>
      <c r="J361" s="626">
        <v>8.75</v>
      </c>
    </row>
    <row r="362">
      <c r="B362" s="634">
        <v>45412.0</v>
      </c>
      <c r="C362" s="632" t="s">
        <v>481</v>
      </c>
      <c r="D362" s="626">
        <v>103960.0</v>
      </c>
      <c r="E362" s="626">
        <v>645.0</v>
      </c>
      <c r="F362" s="628">
        <v>76.0</v>
      </c>
      <c r="G362" s="628">
        <v>40.0</v>
      </c>
      <c r="H362" s="633">
        <v>59.98</v>
      </c>
      <c r="I362" s="13">
        <f t="shared" si="29"/>
        <v>-19.98</v>
      </c>
      <c r="J362" s="626">
        <v>9.3</v>
      </c>
    </row>
    <row r="363">
      <c r="A363" s="551"/>
      <c r="B363" s="619" t="s">
        <v>75</v>
      </c>
      <c r="I363" s="551"/>
      <c r="J363" s="618"/>
      <c r="K363" s="551"/>
      <c r="L363" s="551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</row>
    <row r="364">
      <c r="B364" s="634">
        <v>45415.0</v>
      </c>
      <c r="C364" s="632" t="s">
        <v>424</v>
      </c>
      <c r="D364" s="624">
        <v>104267.0</v>
      </c>
      <c r="E364" s="626">
        <v>307.0</v>
      </c>
      <c r="F364" s="638"/>
      <c r="G364" s="638"/>
      <c r="H364" s="633">
        <v>60.0</v>
      </c>
      <c r="I364" s="13">
        <f t="shared" ref="I364:I370" si="30">G364-H364</f>
        <v>-60</v>
      </c>
      <c r="J364" s="626">
        <v>19.54</v>
      </c>
      <c r="L364" s="132" t="str">
        <f>"тотал"&amp;" "&amp;B363</f>
        <v>тотал МАЙ</v>
      </c>
      <c r="M364" s="75"/>
      <c r="N364" s="76"/>
    </row>
    <row r="365">
      <c r="B365" s="634">
        <v>45421.0</v>
      </c>
      <c r="C365" s="632" t="s">
        <v>424</v>
      </c>
      <c r="D365" s="626">
        <v>104806.0</v>
      </c>
      <c r="E365" s="626">
        <v>539.0</v>
      </c>
      <c r="F365" s="629"/>
      <c r="G365" s="629"/>
      <c r="H365" s="633">
        <v>50.0</v>
      </c>
      <c r="I365" s="13">
        <f t="shared" si="30"/>
        <v>-50</v>
      </c>
      <c r="J365" s="626">
        <v>9.28</v>
      </c>
      <c r="L365" s="84" t="s">
        <v>70</v>
      </c>
      <c r="M365" s="84" t="s">
        <v>71</v>
      </c>
      <c r="N365" s="84" t="s">
        <v>27</v>
      </c>
    </row>
    <row r="366">
      <c r="B366" s="634">
        <v>45424.0</v>
      </c>
      <c r="C366" s="632" t="s">
        <v>481</v>
      </c>
      <c r="D366" s="624">
        <v>105003.0</v>
      </c>
      <c r="E366" s="626">
        <v>197.0</v>
      </c>
      <c r="F366" s="637">
        <v>71.0</v>
      </c>
      <c r="G366" s="637">
        <v>26.0</v>
      </c>
      <c r="H366" s="633">
        <v>26.53</v>
      </c>
      <c r="I366" s="13">
        <f t="shared" si="30"/>
        <v>-0.53</v>
      </c>
      <c r="J366" s="626">
        <v>13.47</v>
      </c>
      <c r="L366" s="84">
        <f>SUM(E364:E370)</f>
        <v>3124</v>
      </c>
      <c r="M366" s="84">
        <f>SUM(H364:H370)</f>
        <v>355.38</v>
      </c>
      <c r="N366" s="85">
        <f>M366/L366*100</f>
        <v>11.37580026</v>
      </c>
    </row>
    <row r="367">
      <c r="B367" s="634">
        <v>45427.0</v>
      </c>
      <c r="C367" s="632" t="s">
        <v>424</v>
      </c>
      <c r="D367" s="626">
        <v>105405.0</v>
      </c>
      <c r="E367" s="626">
        <v>402.0</v>
      </c>
      <c r="F367" s="628">
        <v>75.0</v>
      </c>
      <c r="G367" s="628">
        <v>27.0</v>
      </c>
      <c r="H367" s="633">
        <v>45.03</v>
      </c>
      <c r="I367" s="13">
        <f t="shared" si="30"/>
        <v>-18.03</v>
      </c>
      <c r="J367" s="626">
        <v>11.2</v>
      </c>
    </row>
    <row r="368">
      <c r="B368" s="634">
        <v>45433.0</v>
      </c>
      <c r="C368" s="632" t="s">
        <v>424</v>
      </c>
      <c r="D368" s="626">
        <v>105934.0</v>
      </c>
      <c r="E368" s="626">
        <v>529.0</v>
      </c>
      <c r="F368" s="629"/>
      <c r="G368" s="629"/>
      <c r="H368" s="633">
        <v>60.0</v>
      </c>
      <c r="I368" s="13">
        <f t="shared" si="30"/>
        <v>-60</v>
      </c>
      <c r="J368" s="626">
        <v>11.34</v>
      </c>
    </row>
    <row r="369">
      <c r="B369" s="634">
        <v>45436.0</v>
      </c>
      <c r="C369" s="632" t="s">
        <v>481</v>
      </c>
      <c r="D369" s="624">
        <v>106390.0</v>
      </c>
      <c r="E369" s="626">
        <v>456.0</v>
      </c>
      <c r="F369" s="638"/>
      <c r="G369" s="637">
        <v>38.0</v>
      </c>
      <c r="H369" s="633">
        <v>53.87</v>
      </c>
      <c r="I369" s="13">
        <f t="shared" si="30"/>
        <v>-15.87</v>
      </c>
      <c r="J369" s="626">
        <v>11.81</v>
      </c>
    </row>
    <row r="370">
      <c r="B370" s="634">
        <v>45442.0</v>
      </c>
      <c r="C370" s="632" t="s">
        <v>481</v>
      </c>
      <c r="D370" s="626">
        <v>107084.0</v>
      </c>
      <c r="E370" s="626">
        <v>694.0</v>
      </c>
      <c r="F370" s="628">
        <v>70.0</v>
      </c>
      <c r="G370" s="628">
        <v>45.0</v>
      </c>
      <c r="H370" s="633">
        <v>59.95</v>
      </c>
      <c r="I370" s="13">
        <f t="shared" si="30"/>
        <v>-14.95</v>
      </c>
      <c r="J370" s="626">
        <v>8.64</v>
      </c>
    </row>
    <row r="371">
      <c r="A371" s="551"/>
      <c r="B371" s="619" t="s">
        <v>90</v>
      </c>
      <c r="I371" s="551"/>
      <c r="J371" s="618"/>
      <c r="K371" s="551"/>
      <c r="L371" s="551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</row>
    <row r="372">
      <c r="B372" s="634">
        <v>45445.0</v>
      </c>
      <c r="C372" s="632" t="s">
        <v>424</v>
      </c>
      <c r="D372" s="624">
        <v>107466.0</v>
      </c>
      <c r="E372" s="626">
        <v>382.0</v>
      </c>
      <c r="F372" s="637">
        <v>73.0</v>
      </c>
      <c r="G372" s="637">
        <v>31.0</v>
      </c>
      <c r="H372" s="633">
        <v>50.0</v>
      </c>
      <c r="I372" s="13">
        <f t="shared" ref="I372:I380" si="31">G372-H372</f>
        <v>-19</v>
      </c>
      <c r="J372" s="626">
        <v>13.09</v>
      </c>
      <c r="L372" s="82" t="str">
        <f>"тотал"&amp;" "&amp;B371</f>
        <v>тотал ИЮНЬ</v>
      </c>
      <c r="M372" s="75"/>
      <c r="N372" s="76"/>
    </row>
    <row r="373">
      <c r="B373" s="634">
        <v>45448.0</v>
      </c>
      <c r="C373" s="632" t="s">
        <v>481</v>
      </c>
      <c r="D373" s="624">
        <v>107734.0</v>
      </c>
      <c r="E373" s="626">
        <v>268.0</v>
      </c>
      <c r="F373" s="637">
        <v>70.0</v>
      </c>
      <c r="G373" s="637">
        <v>31.0</v>
      </c>
      <c r="H373" s="633">
        <v>36.2</v>
      </c>
      <c r="I373" s="13">
        <f t="shared" si="31"/>
        <v>-5.2</v>
      </c>
      <c r="J373" s="626">
        <v>13.51</v>
      </c>
      <c r="L373" s="83" t="s">
        <v>70</v>
      </c>
      <c r="M373" s="83" t="s">
        <v>71</v>
      </c>
      <c r="N373" s="83" t="s">
        <v>27</v>
      </c>
    </row>
    <row r="374">
      <c r="B374" s="634">
        <v>45454.0</v>
      </c>
      <c r="C374" s="632" t="s">
        <v>481</v>
      </c>
      <c r="D374" s="624">
        <v>108514.0</v>
      </c>
      <c r="E374" s="626">
        <v>780.0</v>
      </c>
      <c r="F374" s="637">
        <v>73.0</v>
      </c>
      <c r="G374" s="637">
        <v>40.0</v>
      </c>
      <c r="H374" s="633">
        <v>69.0</v>
      </c>
      <c r="I374" s="13">
        <f t="shared" si="31"/>
        <v>-29</v>
      </c>
      <c r="J374" s="626">
        <v>8.85</v>
      </c>
      <c r="L374" s="84">
        <f>SUM(E372:E380)</f>
        <v>3732</v>
      </c>
      <c r="M374" s="84">
        <f>SUM(H372:H380)</f>
        <v>407.91</v>
      </c>
      <c r="N374" s="85">
        <f>M374/L374*100</f>
        <v>10.93006431</v>
      </c>
    </row>
    <row r="375">
      <c r="B375" s="634">
        <v>45457.0</v>
      </c>
      <c r="C375" s="632" t="s">
        <v>424</v>
      </c>
      <c r="D375" s="624">
        <v>108807.0</v>
      </c>
      <c r="E375" s="626">
        <v>293.0</v>
      </c>
      <c r="F375" s="638"/>
      <c r="G375" s="638"/>
      <c r="H375" s="633">
        <v>42.08</v>
      </c>
      <c r="I375" s="13">
        <f t="shared" si="31"/>
        <v>-42.08</v>
      </c>
      <c r="J375" s="626">
        <v>14.36</v>
      </c>
    </row>
    <row r="376">
      <c r="B376" s="634">
        <v>45460.0</v>
      </c>
      <c r="C376" s="632" t="s">
        <v>481</v>
      </c>
      <c r="D376" s="624">
        <v>109313.0</v>
      </c>
      <c r="E376" s="626">
        <v>506.0</v>
      </c>
      <c r="F376" s="637">
        <v>76.0</v>
      </c>
      <c r="G376" s="637">
        <v>33.0</v>
      </c>
      <c r="H376" s="633">
        <v>50.0</v>
      </c>
      <c r="I376" s="13">
        <f t="shared" si="31"/>
        <v>-17</v>
      </c>
      <c r="J376" s="626">
        <v>9.88</v>
      </c>
    </row>
    <row r="377">
      <c r="B377" s="634">
        <v>45463.0</v>
      </c>
      <c r="C377" s="632" t="s">
        <v>424</v>
      </c>
      <c r="D377" s="624">
        <v>109790.0</v>
      </c>
      <c r="E377" s="626">
        <v>477.0</v>
      </c>
      <c r="F377" s="637">
        <v>74.0</v>
      </c>
      <c r="G377" s="637">
        <v>22.0</v>
      </c>
      <c r="H377" s="633">
        <v>44.69</v>
      </c>
      <c r="I377" s="13">
        <f t="shared" si="31"/>
        <v>-22.69</v>
      </c>
      <c r="J377" s="626">
        <v>9.37</v>
      </c>
    </row>
    <row r="378">
      <c r="B378" s="634">
        <v>45466.0</v>
      </c>
      <c r="C378" s="632" t="s">
        <v>481</v>
      </c>
      <c r="D378" s="624">
        <v>110143.0</v>
      </c>
      <c r="E378" s="626">
        <v>353.0</v>
      </c>
      <c r="F378" s="637">
        <v>73.0</v>
      </c>
      <c r="G378" s="637">
        <v>24.0</v>
      </c>
      <c r="H378" s="633">
        <v>40.5</v>
      </c>
      <c r="I378" s="13">
        <f t="shared" si="31"/>
        <v>-16.5</v>
      </c>
      <c r="J378" s="626">
        <v>11.47</v>
      </c>
    </row>
    <row r="379">
      <c r="B379" s="634">
        <v>45469.0</v>
      </c>
      <c r="C379" s="632" t="s">
        <v>424</v>
      </c>
      <c r="D379" s="624">
        <v>110486.0</v>
      </c>
      <c r="E379" s="626">
        <v>343.0</v>
      </c>
      <c r="F379" s="638"/>
      <c r="G379" s="638"/>
      <c r="H379" s="633">
        <v>33.38</v>
      </c>
      <c r="I379" s="13">
        <f t="shared" si="31"/>
        <v>-33.38</v>
      </c>
      <c r="J379" s="626">
        <v>9.73</v>
      </c>
    </row>
    <row r="380">
      <c r="B380" s="634">
        <v>45472.0</v>
      </c>
      <c r="C380" s="632" t="s">
        <v>481</v>
      </c>
      <c r="D380" s="624">
        <v>110816.0</v>
      </c>
      <c r="E380" s="626">
        <v>330.0</v>
      </c>
      <c r="F380" s="637">
        <v>72.0</v>
      </c>
      <c r="G380" s="637">
        <v>29.0</v>
      </c>
      <c r="H380" s="633">
        <v>42.06</v>
      </c>
      <c r="I380" s="13">
        <f t="shared" si="31"/>
        <v>-13.06</v>
      </c>
      <c r="J380" s="626">
        <v>12.75</v>
      </c>
    </row>
    <row r="381">
      <c r="A381" s="551"/>
      <c r="B381" s="619" t="s">
        <v>92</v>
      </c>
      <c r="I381" s="551"/>
      <c r="J381" s="618"/>
      <c r="K381" s="551"/>
      <c r="L381" s="551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</row>
    <row r="382">
      <c r="B382" s="218">
        <v>45475.0</v>
      </c>
      <c r="C382" s="632" t="s">
        <v>424</v>
      </c>
      <c r="D382" s="12">
        <v>111309.0</v>
      </c>
      <c r="E382" s="13">
        <f>D382-D380</f>
        <v>493</v>
      </c>
      <c r="F382" s="13"/>
      <c r="G382" s="13"/>
      <c r="H382" s="12">
        <v>40.0</v>
      </c>
      <c r="I382" s="13"/>
      <c r="J382" s="18">
        <f t="shared" ref="J382:J385" si="32">H382/E382*100</f>
        <v>8.113590264</v>
      </c>
      <c r="L382" s="82" t="str">
        <f>"тотал"&amp;" "&amp;B381</f>
        <v>тотал ИЮЛЬ</v>
      </c>
      <c r="M382" s="75"/>
      <c r="N382" s="76"/>
    </row>
    <row r="383">
      <c r="B383" s="218">
        <v>45478.0</v>
      </c>
      <c r="C383" s="632" t="s">
        <v>481</v>
      </c>
      <c r="D383" s="12">
        <v>111553.0</v>
      </c>
      <c r="E383" s="13">
        <f t="shared" ref="E383:E385" si="33">D383-D382</f>
        <v>244</v>
      </c>
      <c r="F383" s="13"/>
      <c r="G383" s="12">
        <v>30.0</v>
      </c>
      <c r="H383" s="12">
        <v>37.1</v>
      </c>
      <c r="I383" s="13">
        <f>G383-H383</f>
        <v>-7.1</v>
      </c>
      <c r="J383" s="18">
        <f t="shared" si="32"/>
        <v>15.20491803</v>
      </c>
      <c r="L383" s="83" t="s">
        <v>70</v>
      </c>
      <c r="M383" s="83" t="s">
        <v>71</v>
      </c>
      <c r="N383" s="83" t="s">
        <v>27</v>
      </c>
    </row>
    <row r="384">
      <c r="B384" s="218">
        <v>45481.0</v>
      </c>
      <c r="C384" s="632" t="s">
        <v>424</v>
      </c>
      <c r="D384" s="12">
        <v>111936.0</v>
      </c>
      <c r="E384" s="13">
        <f t="shared" si="33"/>
        <v>383</v>
      </c>
      <c r="F384" s="13"/>
      <c r="G384" s="13"/>
      <c r="H384" s="12">
        <v>40.0</v>
      </c>
      <c r="I384" s="13"/>
      <c r="J384" s="18">
        <f t="shared" si="32"/>
        <v>10.44386423</v>
      </c>
      <c r="L384" s="84">
        <f>SUM(E382:E389)</f>
        <v>2687</v>
      </c>
      <c r="M384" s="84">
        <f>SUM(H382:H389)</f>
        <v>328.08</v>
      </c>
      <c r="N384" s="85">
        <f>M384/L384*100</f>
        <v>12.20989952</v>
      </c>
    </row>
    <row r="385">
      <c r="B385" s="218">
        <v>45484.0</v>
      </c>
      <c r="C385" s="632" t="s">
        <v>481</v>
      </c>
      <c r="D385" s="12">
        <v>112210.0</v>
      </c>
      <c r="E385" s="13">
        <f t="shared" si="33"/>
        <v>274</v>
      </c>
      <c r="F385" s="13"/>
      <c r="G385" s="12">
        <v>22.0</v>
      </c>
      <c r="H385" s="12">
        <v>31.03</v>
      </c>
      <c r="I385" s="13">
        <f>G385-H385</f>
        <v>-9.03</v>
      </c>
      <c r="J385" s="18">
        <f t="shared" si="32"/>
        <v>11.32481752</v>
      </c>
    </row>
    <row r="386">
      <c r="B386" s="218">
        <v>45492.0</v>
      </c>
      <c r="C386" s="632" t="s">
        <v>424</v>
      </c>
      <c r="D386" s="12">
        <v>113265.0</v>
      </c>
      <c r="E386" s="13">
        <f>D387-D386</f>
        <v>639</v>
      </c>
      <c r="F386" s="13"/>
      <c r="G386" s="13"/>
      <c r="H386" s="12">
        <v>50.0</v>
      </c>
      <c r="I386" s="13"/>
      <c r="J386" s="18" t="str">
        <f>H386/#REF!*100</f>
        <v>#REF!</v>
      </c>
    </row>
    <row r="387">
      <c r="B387" s="218">
        <v>45496.0</v>
      </c>
      <c r="C387" s="632" t="s">
        <v>424</v>
      </c>
      <c r="D387" s="12">
        <v>113904.0</v>
      </c>
      <c r="F387" s="13"/>
      <c r="G387" s="13"/>
      <c r="H387" s="12">
        <v>50.0</v>
      </c>
      <c r="I387" s="13"/>
      <c r="J387" s="18">
        <f>H387/E386*100</f>
        <v>7.824726135</v>
      </c>
    </row>
    <row r="388">
      <c r="B388" s="218">
        <v>45499.0</v>
      </c>
      <c r="C388" s="632" t="s">
        <v>424</v>
      </c>
      <c r="D388" s="12">
        <v>114196.0</v>
      </c>
      <c r="E388" s="13">
        <f t="shared" ref="E388:E389" si="34">D388-D387</f>
        <v>292</v>
      </c>
      <c r="F388" s="13"/>
      <c r="G388" s="13"/>
      <c r="H388" s="12">
        <v>40.0</v>
      </c>
      <c r="I388" s="13"/>
      <c r="J388" s="18">
        <f t="shared" ref="J388:J389" si="35">H388/E388*100</f>
        <v>13.69863014</v>
      </c>
    </row>
    <row r="389">
      <c r="B389" s="218">
        <v>45502.0</v>
      </c>
      <c r="C389" s="632" t="s">
        <v>481</v>
      </c>
      <c r="D389" s="12">
        <v>114558.0</v>
      </c>
      <c r="E389" s="13">
        <f t="shared" si="34"/>
        <v>362</v>
      </c>
      <c r="F389" s="13"/>
      <c r="G389" s="13"/>
      <c r="H389" s="12">
        <v>39.95</v>
      </c>
      <c r="I389" s="13"/>
      <c r="J389" s="18">
        <f t="shared" si="35"/>
        <v>11.0359116</v>
      </c>
    </row>
    <row r="390">
      <c r="A390" s="551"/>
      <c r="B390" s="619" t="s">
        <v>95</v>
      </c>
      <c r="I390" s="551"/>
      <c r="J390" s="618"/>
      <c r="K390" s="551"/>
      <c r="L390" s="551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</row>
    <row r="391">
      <c r="B391" s="218">
        <v>45505.0</v>
      </c>
      <c r="C391" s="632" t="s">
        <v>424</v>
      </c>
      <c r="D391" s="12">
        <v>115003.0</v>
      </c>
      <c r="E391" s="13">
        <f>D391-D389</f>
        <v>445</v>
      </c>
      <c r="F391" s="13"/>
      <c r="G391" s="13"/>
      <c r="H391" s="12">
        <v>50.0</v>
      </c>
      <c r="I391" s="13"/>
      <c r="J391" s="18">
        <f t="shared" ref="J391:J401" si="36">H391/E391*100</f>
        <v>11.23595506</v>
      </c>
      <c r="L391" s="82" t="str">
        <f>"тотал"&amp;" "&amp;B390</f>
        <v>тотал АВГУСТ</v>
      </c>
      <c r="M391" s="75"/>
      <c r="N391" s="76"/>
    </row>
    <row r="392">
      <c r="B392" s="218">
        <v>45507.0</v>
      </c>
      <c r="C392" s="632" t="s">
        <v>481</v>
      </c>
      <c r="D392" s="12">
        <v>115762.0</v>
      </c>
      <c r="E392" s="13">
        <f t="shared" ref="E392:E401" si="37">D392-D391</f>
        <v>759</v>
      </c>
      <c r="F392" s="13"/>
      <c r="G392" s="12">
        <v>26.0</v>
      </c>
      <c r="H392" s="12">
        <v>70.0</v>
      </c>
      <c r="I392" s="13">
        <f>G392-H392</f>
        <v>-44</v>
      </c>
      <c r="J392" s="18">
        <f t="shared" si="36"/>
        <v>9.222661397</v>
      </c>
      <c r="L392" s="83" t="s">
        <v>70</v>
      </c>
      <c r="M392" s="83" t="s">
        <v>71</v>
      </c>
      <c r="N392" s="83" t="s">
        <v>27</v>
      </c>
    </row>
    <row r="393">
      <c r="B393" s="218">
        <v>45511.0</v>
      </c>
      <c r="C393" s="632" t="s">
        <v>424</v>
      </c>
      <c r="D393" s="12">
        <v>116232.0</v>
      </c>
      <c r="E393" s="13">
        <f t="shared" si="37"/>
        <v>470</v>
      </c>
      <c r="F393" s="13"/>
      <c r="G393" s="13"/>
      <c r="H393" s="12">
        <v>40.0</v>
      </c>
      <c r="I393" s="13"/>
      <c r="J393" s="18">
        <f t="shared" si="36"/>
        <v>8.510638298</v>
      </c>
      <c r="L393" s="84">
        <f>SUM(E391:E401)</f>
        <v>4566</v>
      </c>
      <c r="M393" s="84">
        <f>SUM(H391:H401)</f>
        <v>471.65</v>
      </c>
      <c r="N393" s="85">
        <f>M393/L393*100</f>
        <v>10.32961016</v>
      </c>
    </row>
    <row r="394">
      <c r="B394" s="218">
        <v>45514.0</v>
      </c>
      <c r="C394" s="632" t="s">
        <v>481</v>
      </c>
      <c r="D394" s="12">
        <v>116646.0</v>
      </c>
      <c r="E394" s="13">
        <f t="shared" si="37"/>
        <v>414</v>
      </c>
      <c r="F394" s="13"/>
      <c r="G394" s="13"/>
      <c r="H394" s="12">
        <v>44.57</v>
      </c>
      <c r="I394" s="13"/>
      <c r="J394" s="18">
        <f t="shared" si="36"/>
        <v>10.76570048</v>
      </c>
    </row>
    <row r="395">
      <c r="B395" s="218">
        <v>45517.0</v>
      </c>
      <c r="C395" s="632" t="s">
        <v>424</v>
      </c>
      <c r="D395" s="12">
        <v>116927.0</v>
      </c>
      <c r="E395" s="13">
        <f t="shared" si="37"/>
        <v>281</v>
      </c>
      <c r="F395" s="13"/>
      <c r="G395" s="13"/>
      <c r="H395" s="12">
        <v>30.0</v>
      </c>
      <c r="I395" s="13"/>
      <c r="J395" s="18">
        <f t="shared" si="36"/>
        <v>10.67615658</v>
      </c>
    </row>
    <row r="396">
      <c r="B396" s="218">
        <v>45520.0</v>
      </c>
      <c r="C396" s="632" t="s">
        <v>481</v>
      </c>
      <c r="D396" s="12">
        <v>117418.0</v>
      </c>
      <c r="E396" s="13">
        <f t="shared" si="37"/>
        <v>491</v>
      </c>
      <c r="F396" s="13"/>
      <c r="G396" s="12">
        <v>29.0</v>
      </c>
      <c r="H396" s="12">
        <v>49.56</v>
      </c>
      <c r="I396" s="13">
        <f>G396-H396</f>
        <v>-20.56</v>
      </c>
      <c r="J396" s="18">
        <f t="shared" si="36"/>
        <v>10.09368635</v>
      </c>
    </row>
    <row r="397">
      <c r="B397" s="218">
        <v>45523.0</v>
      </c>
      <c r="C397" s="632" t="s">
        <v>424</v>
      </c>
      <c r="D397" s="12">
        <v>117800.0</v>
      </c>
      <c r="E397" s="13">
        <f t="shared" si="37"/>
        <v>382</v>
      </c>
      <c r="F397" s="13"/>
      <c r="G397" s="13"/>
      <c r="H397" s="12">
        <v>40.0</v>
      </c>
      <c r="I397" s="13"/>
      <c r="J397" s="18">
        <f t="shared" si="36"/>
        <v>10.47120419</v>
      </c>
    </row>
    <row r="398">
      <c r="B398" s="218">
        <v>45526.0</v>
      </c>
      <c r="C398" s="632" t="s">
        <v>481</v>
      </c>
      <c r="D398" s="12">
        <v>118148.0</v>
      </c>
      <c r="E398" s="13">
        <f t="shared" si="37"/>
        <v>348</v>
      </c>
      <c r="F398" s="13"/>
      <c r="G398" s="12">
        <v>25.0</v>
      </c>
      <c r="H398" s="12">
        <v>44.14</v>
      </c>
      <c r="I398" s="13">
        <f>G398-H398</f>
        <v>-19.14</v>
      </c>
      <c r="J398" s="18">
        <f t="shared" si="36"/>
        <v>12.68390805</v>
      </c>
    </row>
    <row r="399">
      <c r="B399" s="218">
        <v>45529.0</v>
      </c>
      <c r="C399" s="632" t="s">
        <v>424</v>
      </c>
      <c r="D399" s="12">
        <v>118444.0</v>
      </c>
      <c r="E399" s="13">
        <f t="shared" si="37"/>
        <v>296</v>
      </c>
      <c r="F399" s="13"/>
      <c r="G399" s="13"/>
      <c r="H399" s="12">
        <v>30.69</v>
      </c>
      <c r="I399" s="13"/>
      <c r="J399" s="18">
        <f t="shared" si="36"/>
        <v>10.36824324</v>
      </c>
    </row>
    <row r="400">
      <c r="B400" s="218">
        <v>45532.0</v>
      </c>
      <c r="C400" s="632" t="s">
        <v>481</v>
      </c>
      <c r="D400" s="12">
        <v>118837.0</v>
      </c>
      <c r="E400" s="13">
        <f t="shared" si="37"/>
        <v>393</v>
      </c>
      <c r="F400" s="13"/>
      <c r="G400" s="12">
        <v>22.0</v>
      </c>
      <c r="H400" s="12">
        <v>42.74</v>
      </c>
      <c r="I400" s="13">
        <f>G400-H400</f>
        <v>-20.74</v>
      </c>
      <c r="J400" s="18">
        <f t="shared" si="36"/>
        <v>10.87531807</v>
      </c>
    </row>
    <row r="401">
      <c r="B401" s="218">
        <v>45535.0</v>
      </c>
      <c r="C401" s="632" t="s">
        <v>424</v>
      </c>
      <c r="D401" s="12">
        <v>119124.0</v>
      </c>
      <c r="E401" s="13">
        <f t="shared" si="37"/>
        <v>287</v>
      </c>
      <c r="F401" s="13"/>
      <c r="G401" s="13"/>
      <c r="H401" s="12">
        <v>29.95</v>
      </c>
      <c r="I401" s="13"/>
      <c r="J401" s="18">
        <f t="shared" si="36"/>
        <v>10.43554007</v>
      </c>
    </row>
    <row r="402">
      <c r="A402" s="551"/>
      <c r="B402" s="619" t="s">
        <v>104</v>
      </c>
      <c r="I402" s="551"/>
      <c r="J402" s="618"/>
      <c r="K402" s="551"/>
      <c r="L402" s="551"/>
      <c r="M402" s="89"/>
      <c r="N402" s="89"/>
    </row>
    <row r="403">
      <c r="B403" s="218">
        <v>45538.0</v>
      </c>
      <c r="C403" s="632" t="s">
        <v>481</v>
      </c>
      <c r="D403" s="12">
        <v>119343.0</v>
      </c>
      <c r="E403" s="13">
        <f>D403-D401</f>
        <v>219</v>
      </c>
      <c r="F403" s="13"/>
      <c r="G403" s="12">
        <v>24.0</v>
      </c>
      <c r="H403" s="12">
        <v>26.0</v>
      </c>
      <c r="I403" s="13">
        <f t="shared" ref="I403:I404" si="38">G403-H403</f>
        <v>-2</v>
      </c>
      <c r="J403" s="18">
        <f t="shared" ref="J403:J404" si="39">H403/E403*100</f>
        <v>11.87214612</v>
      </c>
      <c r="L403" s="82" t="str">
        <f>"тотал"&amp;" "&amp;B402</f>
        <v>тотал СЕНТЯБРЬ</v>
      </c>
      <c r="M403" s="75"/>
      <c r="N403" s="76"/>
    </row>
    <row r="404">
      <c r="B404" s="218">
        <v>45541.0</v>
      </c>
      <c r="C404" s="632" t="s">
        <v>424</v>
      </c>
      <c r="D404" s="12">
        <v>119850.0</v>
      </c>
      <c r="E404" s="13">
        <f>D404-D403</f>
        <v>507</v>
      </c>
      <c r="F404" s="13"/>
      <c r="G404" s="12"/>
      <c r="H404" s="12">
        <v>52.99</v>
      </c>
      <c r="I404" s="13">
        <f t="shared" si="38"/>
        <v>-52.99</v>
      </c>
      <c r="J404" s="18">
        <f t="shared" si="39"/>
        <v>10.45167653</v>
      </c>
      <c r="L404" s="83" t="s">
        <v>70</v>
      </c>
      <c r="M404" s="83" t="s">
        <v>71</v>
      </c>
      <c r="N404" s="83" t="s">
        <v>27</v>
      </c>
    </row>
    <row r="405">
      <c r="B405" s="218">
        <v>45544.0</v>
      </c>
      <c r="C405" s="632" t="s">
        <v>481</v>
      </c>
      <c r="D405" s="12"/>
      <c r="E405" s="13"/>
      <c r="F405" s="13"/>
      <c r="G405" s="12">
        <v>20.0</v>
      </c>
      <c r="H405" s="12">
        <v>20.0</v>
      </c>
      <c r="I405" s="13"/>
      <c r="J405" s="18"/>
      <c r="L405" s="84">
        <f>SUM(E403:E409)</f>
        <v>2786</v>
      </c>
      <c r="M405" s="84">
        <f>SUM(H403:H409)</f>
        <v>255.41</v>
      </c>
      <c r="N405" s="85">
        <f>M405/L405*100</f>
        <v>9.167623833</v>
      </c>
    </row>
    <row r="406">
      <c r="B406" s="218">
        <v>45547.0</v>
      </c>
      <c r="C406" s="632" t="s">
        <v>424</v>
      </c>
      <c r="D406" s="12">
        <v>120346.0</v>
      </c>
      <c r="E406" s="13">
        <f>D406-D404</f>
        <v>496</v>
      </c>
      <c r="F406" s="13"/>
      <c r="G406" s="12">
        <v>22.0</v>
      </c>
      <c r="H406" s="12">
        <v>26.02</v>
      </c>
      <c r="I406" s="13">
        <f t="shared" ref="I406:I409" si="40">G406-H406</f>
        <v>-4.02</v>
      </c>
      <c r="J406" s="18">
        <f t="shared" ref="J406:J409" si="41">H406/E406*100</f>
        <v>5.245967742</v>
      </c>
      <c r="L406" s="194"/>
      <c r="M406" s="194"/>
      <c r="N406" s="267"/>
    </row>
    <row r="407">
      <c r="B407" s="218">
        <v>45550.0</v>
      </c>
      <c r="C407" s="632" t="s">
        <v>481</v>
      </c>
      <c r="D407" s="12">
        <v>120770.0</v>
      </c>
      <c r="E407" s="13">
        <f t="shared" ref="E407:E409" si="42">D407-D406</f>
        <v>424</v>
      </c>
      <c r="F407" s="13"/>
      <c r="G407" s="12">
        <v>42.0</v>
      </c>
      <c r="H407" s="12">
        <v>40.4</v>
      </c>
      <c r="I407" s="13">
        <f t="shared" si="40"/>
        <v>1.6</v>
      </c>
      <c r="J407" s="18">
        <f t="shared" si="41"/>
        <v>9.528301887</v>
      </c>
    </row>
    <row r="408">
      <c r="B408" s="218">
        <v>45556.0</v>
      </c>
      <c r="C408" s="632" t="s">
        <v>481</v>
      </c>
      <c r="D408" s="12">
        <v>121330.0</v>
      </c>
      <c r="E408" s="13">
        <f t="shared" si="42"/>
        <v>560</v>
      </c>
      <c r="F408" s="13"/>
      <c r="G408" s="12">
        <v>43.0</v>
      </c>
      <c r="H408" s="12">
        <v>50.0</v>
      </c>
      <c r="I408" s="13">
        <f t="shared" si="40"/>
        <v>-7</v>
      </c>
      <c r="J408" s="18">
        <f t="shared" si="41"/>
        <v>8.928571429</v>
      </c>
    </row>
    <row r="409">
      <c r="B409" s="218">
        <v>45562.0</v>
      </c>
      <c r="C409" s="632" t="s">
        <v>481</v>
      </c>
      <c r="D409" s="12">
        <v>121910.0</v>
      </c>
      <c r="E409" s="13">
        <f t="shared" si="42"/>
        <v>580</v>
      </c>
      <c r="F409" s="12">
        <v>74.0</v>
      </c>
      <c r="G409" s="12">
        <v>41.8</v>
      </c>
      <c r="H409" s="12">
        <v>40.0</v>
      </c>
      <c r="I409" s="13">
        <f t="shared" si="40"/>
        <v>1.8</v>
      </c>
      <c r="J409" s="18">
        <f t="shared" si="41"/>
        <v>6.896551724</v>
      </c>
    </row>
    <row r="410">
      <c r="B410" s="619" t="s">
        <v>96</v>
      </c>
      <c r="I410" s="551"/>
      <c r="J410" s="618"/>
      <c r="K410" s="551"/>
      <c r="L410" s="551"/>
      <c r="M410" s="89"/>
      <c r="N410" s="89"/>
    </row>
    <row r="411">
      <c r="B411" s="218">
        <v>45568.0</v>
      </c>
      <c r="C411" s="632" t="s">
        <v>481</v>
      </c>
      <c r="D411" s="12">
        <v>122532.0</v>
      </c>
      <c r="E411" s="13">
        <f>D411-D409</f>
        <v>622</v>
      </c>
      <c r="F411" s="12">
        <v>72.0</v>
      </c>
      <c r="G411" s="12">
        <v>41.0</v>
      </c>
      <c r="H411" s="12">
        <v>41.0</v>
      </c>
      <c r="I411" s="13">
        <f t="shared" ref="I411:I415" si="43">G411-H411</f>
        <v>0</v>
      </c>
      <c r="J411" s="18">
        <f t="shared" ref="J411:J415" si="44">H411/E411*100</f>
        <v>6.591639871</v>
      </c>
      <c r="L411" s="82" t="str">
        <f>"тотал"&amp;" "&amp;B410</f>
        <v>тотал ОКТЯБРЬ</v>
      </c>
      <c r="M411" s="75"/>
      <c r="N411" s="76"/>
    </row>
    <row r="412">
      <c r="B412" s="218">
        <v>45571.0</v>
      </c>
      <c r="C412" s="632" t="s">
        <v>481</v>
      </c>
      <c r="D412" s="12">
        <v>123014.0</v>
      </c>
      <c r="E412" s="13">
        <f t="shared" ref="E412:E414" si="45">D412-D411</f>
        <v>482</v>
      </c>
      <c r="F412" s="12">
        <v>72.0</v>
      </c>
      <c r="G412" s="12">
        <v>26.0</v>
      </c>
      <c r="H412" s="12">
        <v>50.0</v>
      </c>
      <c r="I412" s="13">
        <f t="shared" si="43"/>
        <v>-24</v>
      </c>
      <c r="J412" s="18">
        <f t="shared" si="44"/>
        <v>10.37344398</v>
      </c>
      <c r="L412" s="83" t="s">
        <v>70</v>
      </c>
      <c r="M412" s="83" t="s">
        <v>71</v>
      </c>
      <c r="N412" s="83" t="s">
        <v>27</v>
      </c>
    </row>
    <row r="413">
      <c r="B413" s="218">
        <v>45574.0</v>
      </c>
      <c r="C413" s="632" t="s">
        <v>481</v>
      </c>
      <c r="D413" s="12">
        <v>123652.0</v>
      </c>
      <c r="E413" s="13">
        <f t="shared" si="45"/>
        <v>638</v>
      </c>
      <c r="F413" s="12">
        <v>70.0</v>
      </c>
      <c r="G413" s="12">
        <v>45.0</v>
      </c>
      <c r="H413" s="12">
        <v>42.0</v>
      </c>
      <c r="I413" s="13">
        <f t="shared" si="43"/>
        <v>3</v>
      </c>
      <c r="J413" s="18">
        <f t="shared" si="44"/>
        <v>6.5830721</v>
      </c>
      <c r="L413" s="84">
        <f>SUM(E411:E421)</f>
        <v>2677</v>
      </c>
      <c r="M413" s="84">
        <f>SUM(H411:H421)</f>
        <v>279.5</v>
      </c>
      <c r="N413" s="85">
        <f>M413/L413*100</f>
        <v>10.44079193</v>
      </c>
    </row>
    <row r="414">
      <c r="B414" s="218">
        <v>45580.0</v>
      </c>
      <c r="C414" s="632" t="s">
        <v>481</v>
      </c>
      <c r="D414" s="12">
        <v>124130.0</v>
      </c>
      <c r="E414" s="13">
        <f t="shared" si="45"/>
        <v>478</v>
      </c>
      <c r="F414" s="12">
        <v>72.0</v>
      </c>
      <c r="G414" s="12">
        <v>38.0</v>
      </c>
      <c r="H414" s="12">
        <v>38.98</v>
      </c>
      <c r="I414" s="13">
        <f t="shared" si="43"/>
        <v>-0.98</v>
      </c>
      <c r="J414" s="18">
        <f t="shared" si="44"/>
        <v>8.154811715</v>
      </c>
      <c r="L414" s="194"/>
      <c r="M414" s="194"/>
      <c r="N414" s="267"/>
    </row>
    <row r="415">
      <c r="B415" s="218">
        <v>45586.0</v>
      </c>
      <c r="C415" s="632" t="s">
        <v>481</v>
      </c>
      <c r="D415" s="12"/>
      <c r="E415" s="13"/>
      <c r="F415" s="12">
        <v>72.0</v>
      </c>
      <c r="G415" s="12">
        <v>40.0</v>
      </c>
      <c r="H415" s="12">
        <v>45.0</v>
      </c>
      <c r="I415" s="13">
        <f t="shared" si="43"/>
        <v>-5</v>
      </c>
      <c r="J415" s="18" t="str">
        <f t="shared" si="44"/>
        <v>#DIV/0!</v>
      </c>
    </row>
    <row r="416">
      <c r="B416" s="218"/>
      <c r="C416" s="632"/>
      <c r="D416" s="12"/>
      <c r="E416" s="13"/>
      <c r="F416" s="13"/>
      <c r="G416" s="12"/>
      <c r="H416" s="12"/>
      <c r="I416" s="13"/>
      <c r="J416" s="18"/>
    </row>
    <row r="417">
      <c r="B417" s="218"/>
      <c r="C417" s="632"/>
      <c r="D417" s="12"/>
      <c r="E417" s="13"/>
      <c r="F417" s="12"/>
      <c r="G417" s="12"/>
      <c r="H417" s="12"/>
      <c r="I417" s="13"/>
      <c r="J417" s="18"/>
    </row>
    <row r="419">
      <c r="B419" s="619" t="s">
        <v>482</v>
      </c>
      <c r="I419" s="551"/>
      <c r="J419" s="618"/>
      <c r="K419" s="551"/>
      <c r="L419" s="551"/>
      <c r="M419" s="89"/>
      <c r="N419" s="89"/>
    </row>
    <row r="420">
      <c r="B420" s="218">
        <v>45910.0</v>
      </c>
      <c r="C420" s="632" t="s">
        <v>424</v>
      </c>
      <c r="D420" s="12">
        <v>151926.0</v>
      </c>
      <c r="E420" s="13"/>
      <c r="F420" s="12">
        <v>72.0</v>
      </c>
      <c r="G420" s="12"/>
      <c r="H420" s="12">
        <v>32.07</v>
      </c>
      <c r="I420" s="13">
        <f t="shared" ref="I420:I424" si="46">G420-H420</f>
        <v>-32.07</v>
      </c>
      <c r="J420" s="18" t="str">
        <f t="shared" ref="J420:J424" si="47">H420/E420*100</f>
        <v>#DIV/0!</v>
      </c>
      <c r="L420" s="82" t="str">
        <f>"тотал"&amp;" "&amp;B419</f>
        <v>тотал Сентябрь</v>
      </c>
      <c r="M420" s="75"/>
      <c r="N420" s="76"/>
    </row>
    <row r="421">
      <c r="B421" s="218">
        <v>45912.0</v>
      </c>
      <c r="C421" s="632" t="s">
        <v>424</v>
      </c>
      <c r="D421" s="12">
        <v>152383.0</v>
      </c>
      <c r="E421" s="13">
        <f t="shared" ref="E421:E424" si="48">D421-D420</f>
        <v>457</v>
      </c>
      <c r="F421" s="12">
        <v>72.0</v>
      </c>
      <c r="G421" s="12"/>
      <c r="H421" s="12">
        <v>30.45</v>
      </c>
      <c r="I421" s="13">
        <f t="shared" si="46"/>
        <v>-30.45</v>
      </c>
      <c r="J421" s="18">
        <f t="shared" si="47"/>
        <v>6.663019694</v>
      </c>
      <c r="L421" s="83" t="s">
        <v>70</v>
      </c>
      <c r="M421" s="83" t="s">
        <v>71</v>
      </c>
      <c r="N421" s="83" t="s">
        <v>27</v>
      </c>
    </row>
    <row r="422">
      <c r="B422" s="218">
        <v>45916.0</v>
      </c>
      <c r="C422" s="632" t="s">
        <v>424</v>
      </c>
      <c r="D422" s="12">
        <v>152800.0</v>
      </c>
      <c r="E422" s="13">
        <f t="shared" si="48"/>
        <v>417</v>
      </c>
      <c r="F422" s="12">
        <v>72.0</v>
      </c>
      <c r="G422" s="12"/>
      <c r="H422" s="12">
        <v>31.13</v>
      </c>
      <c r="I422" s="13">
        <f t="shared" si="46"/>
        <v>-31.13</v>
      </c>
      <c r="J422" s="18">
        <f t="shared" si="47"/>
        <v>7.465227818</v>
      </c>
      <c r="L422" s="84">
        <f>SUM(E420:E430)</f>
        <v>1673</v>
      </c>
      <c r="M422" s="84">
        <f>SUM(H420:H430)</f>
        <v>152.7</v>
      </c>
      <c r="N422" s="85">
        <f>M422/L422*100</f>
        <v>9.127316198</v>
      </c>
    </row>
    <row r="423">
      <c r="B423" s="218">
        <v>45917.0</v>
      </c>
      <c r="C423" s="632" t="s">
        <v>424</v>
      </c>
      <c r="D423" s="12">
        <v>153220.0</v>
      </c>
      <c r="E423" s="13">
        <f t="shared" si="48"/>
        <v>420</v>
      </c>
      <c r="F423" s="12">
        <v>72.0</v>
      </c>
      <c r="G423" s="12"/>
      <c r="H423" s="12">
        <v>28.04</v>
      </c>
      <c r="I423" s="13">
        <f t="shared" si="46"/>
        <v>-28.04</v>
      </c>
      <c r="J423" s="18">
        <f t="shared" si="47"/>
        <v>6.676190476</v>
      </c>
      <c r="L423" s="194"/>
      <c r="M423" s="194"/>
      <c r="N423" s="267"/>
    </row>
    <row r="424">
      <c r="B424" s="218">
        <v>45918.0</v>
      </c>
      <c r="C424" s="632" t="s">
        <v>424</v>
      </c>
      <c r="D424" s="12">
        <v>153599.0</v>
      </c>
      <c r="E424" s="13">
        <f t="shared" si="48"/>
        <v>379</v>
      </c>
      <c r="F424" s="12">
        <v>72.0</v>
      </c>
      <c r="G424" s="12"/>
      <c r="H424" s="12">
        <v>31.01</v>
      </c>
      <c r="I424" s="13">
        <f t="shared" si="46"/>
        <v>-31.01</v>
      </c>
      <c r="J424" s="18">
        <f t="shared" si="47"/>
        <v>8.182058047</v>
      </c>
    </row>
    <row r="425">
      <c r="B425" s="218"/>
      <c r="C425" s="632"/>
      <c r="D425" s="12"/>
      <c r="E425" s="13"/>
      <c r="F425" s="13"/>
      <c r="G425" s="12"/>
      <c r="H425" s="12"/>
      <c r="I425" s="13"/>
      <c r="J425" s="18"/>
    </row>
    <row r="426">
      <c r="B426" s="218"/>
      <c r="C426" s="632"/>
      <c r="D426" s="12"/>
      <c r="E426" s="13"/>
      <c r="F426" s="12"/>
      <c r="G426" s="12"/>
      <c r="H426" s="12"/>
      <c r="I426" s="13"/>
      <c r="J426" s="18"/>
    </row>
  </sheetData>
  <mergeCells count="44">
    <mergeCell ref="B3:H3"/>
    <mergeCell ref="B4:H4"/>
    <mergeCell ref="B13:H13"/>
    <mergeCell ref="B34:H34"/>
    <mergeCell ref="B54:H54"/>
    <mergeCell ref="B69:H69"/>
    <mergeCell ref="B83:H83"/>
    <mergeCell ref="B95:H95"/>
    <mergeCell ref="B106:H106"/>
    <mergeCell ref="B119:H119"/>
    <mergeCell ref="B130:H130"/>
    <mergeCell ref="B142:H142"/>
    <mergeCell ref="B155:H155"/>
    <mergeCell ref="B168:H168"/>
    <mergeCell ref="B181:H181"/>
    <mergeCell ref="B192:H192"/>
    <mergeCell ref="B203:H203"/>
    <mergeCell ref="B214:H214"/>
    <mergeCell ref="B225:H225"/>
    <mergeCell ref="B236:H236"/>
    <mergeCell ref="B247:H247"/>
    <mergeCell ref="B259:H259"/>
    <mergeCell ref="B271:H271"/>
    <mergeCell ref="B286:H286"/>
    <mergeCell ref="B302:H302"/>
    <mergeCell ref="B321:H321"/>
    <mergeCell ref="B334:H334"/>
    <mergeCell ref="B345:H345"/>
    <mergeCell ref="B355:H355"/>
    <mergeCell ref="L356:N356"/>
    <mergeCell ref="B363:H363"/>
    <mergeCell ref="L364:N364"/>
    <mergeCell ref="B371:H371"/>
    <mergeCell ref="L372:N372"/>
    <mergeCell ref="L382:N382"/>
    <mergeCell ref="B419:H419"/>
    <mergeCell ref="L420:N420"/>
    <mergeCell ref="B381:H381"/>
    <mergeCell ref="B390:H390"/>
    <mergeCell ref="L391:N391"/>
    <mergeCell ref="B402:H402"/>
    <mergeCell ref="L403:N403"/>
    <mergeCell ref="B410:H410"/>
    <mergeCell ref="L411:N411"/>
  </mergeCells>
  <conditionalFormatting sqref="J1:J4 J13 J34 J54 J69 J83 J95 J106 J119 J130 J142 J155 J168:J169 J181 J192 J203 J214 J225 J236 J247 J259 J271 J286 J302 J321:J322 J334 J345 J355 J363 J371 J381 J390 J402 J410 J419">
    <cfRule type="cellIs" dxfId="1" priority="1" operator="greaterThanOrEqual">
      <formula>34</formula>
    </cfRule>
  </conditionalFormatting>
  <conditionalFormatting sqref="J1:J4 J13 J34 J54 J69 J83 J95 J106 J119 J130 J142 J155 J168:J169 J181 J192 J203 J214 J225 J236 J247 J259 J271 J286 J302 J321:J322 J334 J345 J355 J363 J371 J381 J390 J402 J410 J419">
    <cfRule type="cellIs" dxfId="2" priority="2" operator="greaterThanOrEqual">
      <formula>31</formula>
    </cfRule>
  </conditionalFormatting>
  <conditionalFormatting sqref="I1:I4 I13 I34 I54 I69 I83 I95 I106 I119 I130 I142 I155 I168:I169 I181 I192 I203 I214 I225 I236 I247 I259 I271 I286 I302 I321:I322 I334 I345 I355 I363 I371 I381 I390 I402 I410 I419">
    <cfRule type="expression" dxfId="0" priority="3">
      <formula>ABS(I:I)&gt;5</formula>
    </cfRule>
  </conditionalFormatting>
  <dataValidations>
    <dataValidation type="list" allowBlank="1" showErrorMessage="1" sqref="C2 C5:C12 C14:C33 C35:C53 C55:C68 C70:C82 C84:C94 C96:C105 C107:C118 C120:C129 C131:C141 C143:C154 C156:C167 C169:C180 C182:C191 C193:C202 C204:C213 C215:C224 C226:C235 C237:C246 C248:C258 C260:C270 C272:C285 C287:C301 C303:C320 C322:C333 C335:C344 C346:C354 C356:C362 C364:C370 C372:C380 C382:C389 C391:C401 C403:C409 C411:C417 C420:C426">
      <formula1>"Понкратов,Чарыков"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sheetData>
    <row r="1">
      <c r="A1" s="178" t="s">
        <v>54</v>
      </c>
      <c r="B1" s="639" t="s">
        <v>55</v>
      </c>
      <c r="C1" s="77" t="s">
        <v>57</v>
      </c>
      <c r="D1" s="528" t="s">
        <v>58</v>
      </c>
      <c r="E1" s="528" t="s">
        <v>59</v>
      </c>
      <c r="F1" s="528" t="s">
        <v>60</v>
      </c>
      <c r="G1" s="528" t="s">
        <v>61</v>
      </c>
      <c r="H1" s="77" t="s">
        <v>62</v>
      </c>
      <c r="I1" s="528" t="s">
        <v>63</v>
      </c>
      <c r="J1" s="483" t="s">
        <v>64</v>
      </c>
      <c r="K1" s="195" t="s">
        <v>42</v>
      </c>
      <c r="L1" s="54"/>
      <c r="M1" s="117"/>
    </row>
    <row r="2" ht="19.5" customHeight="1">
      <c r="A2" s="640" t="s">
        <v>483</v>
      </c>
      <c r="B2" s="350"/>
      <c r="C2" s="102"/>
      <c r="D2" s="177"/>
      <c r="E2" s="177">
        <f>SUM(E10:E239,E251:E974)</f>
        <v>54221</v>
      </c>
      <c r="F2" s="177"/>
      <c r="G2" s="177">
        <f t="shared" ref="G2:H2" si="1">SUM(G10:G239,G251:G974)</f>
        <v>5630.03</v>
      </c>
      <c r="H2" s="177">
        <f t="shared" si="1"/>
        <v>19851.17</v>
      </c>
      <c r="I2" s="177">
        <f>G2-H2</f>
        <v>-14221.14</v>
      </c>
      <c r="J2" s="103">
        <f>H2/E2*100</f>
        <v>36.61158961</v>
      </c>
      <c r="K2" s="64" t="s">
        <v>65</v>
      </c>
      <c r="L2" s="65"/>
      <c r="M2" s="54"/>
    </row>
    <row r="3">
      <c r="A3" s="551"/>
      <c r="B3" s="134">
        <v>2022.0</v>
      </c>
      <c r="I3" s="551"/>
      <c r="J3" s="618"/>
      <c r="K3" s="551"/>
      <c r="L3" s="551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>
      <c r="A4" s="551"/>
      <c r="B4" s="619" t="s">
        <v>66</v>
      </c>
      <c r="I4" s="551"/>
      <c r="J4" s="618"/>
      <c r="K4" s="551"/>
      <c r="L4" s="551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>
      <c r="B5" s="145">
        <v>44587.0</v>
      </c>
      <c r="C5" s="641"/>
      <c r="D5" s="149"/>
      <c r="E5" s="149"/>
      <c r="F5" s="498"/>
      <c r="G5" s="498"/>
      <c r="H5" s="97">
        <v>56.36</v>
      </c>
      <c r="I5" s="102"/>
      <c r="J5" s="102"/>
    </row>
    <row r="6">
      <c r="B6" s="145">
        <v>44589.0</v>
      </c>
      <c r="C6" s="641"/>
      <c r="D6" s="149"/>
      <c r="E6" s="149"/>
      <c r="F6" s="498"/>
      <c r="G6" s="498"/>
      <c r="H6" s="97">
        <v>45.78</v>
      </c>
      <c r="I6" s="102"/>
      <c r="J6" s="102"/>
    </row>
    <row r="7">
      <c r="B7" s="145">
        <v>44591.0</v>
      </c>
      <c r="C7" s="641"/>
      <c r="D7" s="149"/>
      <c r="E7" s="149"/>
      <c r="F7" s="498"/>
      <c r="G7" s="498"/>
      <c r="H7" s="97">
        <v>56.4</v>
      </c>
      <c r="I7" s="102"/>
      <c r="J7" s="102"/>
    </row>
    <row r="8">
      <c r="A8" s="551"/>
      <c r="B8" s="619" t="s">
        <v>68</v>
      </c>
      <c r="I8" s="551"/>
      <c r="J8" s="618"/>
      <c r="K8" s="551"/>
      <c r="L8" s="551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</row>
    <row r="9">
      <c r="B9" s="145">
        <v>44593.0</v>
      </c>
      <c r="C9" s="641"/>
      <c r="D9" s="148">
        <v>221.0</v>
      </c>
      <c r="E9" s="149"/>
      <c r="F9" s="97">
        <v>75.02</v>
      </c>
      <c r="G9" s="97">
        <v>48.11</v>
      </c>
      <c r="H9" s="97">
        <v>54.16</v>
      </c>
      <c r="I9" s="102"/>
      <c r="J9" s="102"/>
    </row>
    <row r="10">
      <c r="B10" s="145">
        <v>44595.0</v>
      </c>
      <c r="C10" s="641"/>
      <c r="D10" s="148">
        <v>410.0</v>
      </c>
      <c r="E10" s="148">
        <v>189.0</v>
      </c>
      <c r="F10" s="97">
        <v>73.3</v>
      </c>
      <c r="G10" s="97">
        <v>40.48</v>
      </c>
      <c r="H10" s="97">
        <v>39.51</v>
      </c>
      <c r="I10" s="102"/>
      <c r="J10" s="102"/>
    </row>
    <row r="11">
      <c r="B11" s="145">
        <v>44596.0</v>
      </c>
      <c r="C11" s="641"/>
      <c r="D11" s="148">
        <v>697.0</v>
      </c>
      <c r="E11" s="148">
        <v>287.0</v>
      </c>
      <c r="F11" s="97">
        <v>75.23</v>
      </c>
      <c r="G11" s="97">
        <v>45.11</v>
      </c>
      <c r="H11" s="97">
        <v>46.01</v>
      </c>
      <c r="I11" s="102"/>
      <c r="J11" s="102"/>
    </row>
    <row r="12">
      <c r="B12" s="145">
        <v>44598.0</v>
      </c>
      <c r="C12" s="641"/>
      <c r="D12" s="148">
        <v>944.0</v>
      </c>
      <c r="E12" s="148">
        <v>247.0</v>
      </c>
      <c r="F12" s="97">
        <v>74.55</v>
      </c>
      <c r="G12" s="97">
        <v>47.7</v>
      </c>
      <c r="H12" s="97">
        <v>50.34</v>
      </c>
      <c r="I12" s="102"/>
      <c r="J12" s="102"/>
    </row>
    <row r="13">
      <c r="B13" s="145">
        <v>44600.0</v>
      </c>
      <c r="C13" s="641"/>
      <c r="D13" s="148">
        <v>315.0</v>
      </c>
      <c r="E13" s="148">
        <v>-629.0</v>
      </c>
      <c r="F13" s="97">
        <v>75.03</v>
      </c>
      <c r="G13" s="97">
        <v>58.14</v>
      </c>
      <c r="H13" s="97">
        <v>55.98</v>
      </c>
      <c r="I13" s="102"/>
      <c r="J13" s="102"/>
    </row>
    <row r="14">
      <c r="B14" s="145">
        <v>44603.0</v>
      </c>
      <c r="C14" s="641"/>
      <c r="D14" s="148">
        <v>605.0</v>
      </c>
      <c r="E14" s="148">
        <v>290.0</v>
      </c>
      <c r="F14" s="97">
        <v>75.5</v>
      </c>
      <c r="G14" s="97">
        <v>49.95</v>
      </c>
      <c r="H14" s="97">
        <v>53.79</v>
      </c>
      <c r="I14" s="102"/>
      <c r="J14" s="102"/>
    </row>
    <row r="15">
      <c r="B15" s="145">
        <v>44605.0</v>
      </c>
      <c r="C15" s="641"/>
      <c r="D15" s="148">
        <v>953.0</v>
      </c>
      <c r="E15" s="148">
        <v>348.0</v>
      </c>
      <c r="F15" s="97">
        <v>74.69</v>
      </c>
      <c r="G15" s="97">
        <v>57.56</v>
      </c>
      <c r="H15" s="97">
        <v>57.47</v>
      </c>
      <c r="I15" s="102"/>
      <c r="J15" s="102"/>
    </row>
    <row r="16">
      <c r="B16" s="145">
        <v>44607.0</v>
      </c>
      <c r="C16" s="641"/>
      <c r="D16" s="148">
        <v>1256.0</v>
      </c>
      <c r="E16" s="148">
        <v>304.0</v>
      </c>
      <c r="F16" s="97">
        <v>72.87</v>
      </c>
      <c r="G16" s="97">
        <v>40.44</v>
      </c>
      <c r="H16" s="97">
        <v>49.05</v>
      </c>
      <c r="I16" s="102"/>
      <c r="J16" s="102"/>
    </row>
    <row r="17">
      <c r="B17" s="145">
        <v>44609.0</v>
      </c>
      <c r="C17" s="641"/>
      <c r="D17" s="148">
        <v>436.0</v>
      </c>
      <c r="E17" s="148">
        <v>-821.0</v>
      </c>
      <c r="F17" s="97">
        <v>73.96</v>
      </c>
      <c r="G17" s="97">
        <v>47.15</v>
      </c>
      <c r="H17" s="97">
        <v>46.19</v>
      </c>
      <c r="I17" s="102"/>
      <c r="J17" s="102"/>
    </row>
    <row r="18">
      <c r="B18" s="145">
        <v>44610.0</v>
      </c>
      <c r="C18" s="641"/>
      <c r="D18" s="149"/>
      <c r="E18" s="149"/>
      <c r="F18" s="498"/>
      <c r="G18" s="498"/>
      <c r="H18" s="498"/>
      <c r="I18" s="102"/>
      <c r="J18" s="102"/>
    </row>
    <row r="19">
      <c r="B19" s="145">
        <v>44611.0</v>
      </c>
      <c r="C19" s="641"/>
      <c r="D19" s="148">
        <v>698.0</v>
      </c>
      <c r="E19" s="148">
        <v>262.0</v>
      </c>
      <c r="F19" s="97">
        <v>75.26</v>
      </c>
      <c r="G19" s="97">
        <v>56.67</v>
      </c>
      <c r="H19" s="97">
        <v>49.97</v>
      </c>
      <c r="I19" s="102"/>
      <c r="J19" s="102"/>
    </row>
    <row r="20">
      <c r="B20" s="145">
        <v>44614.0</v>
      </c>
      <c r="C20" s="641"/>
      <c r="D20" s="148">
        <v>73.0</v>
      </c>
      <c r="E20" s="149"/>
      <c r="F20" s="97">
        <v>66.76</v>
      </c>
      <c r="G20" s="97">
        <v>40.77</v>
      </c>
      <c r="H20" s="97">
        <v>42.56</v>
      </c>
      <c r="I20" s="102"/>
      <c r="J20" s="102"/>
    </row>
    <row r="21">
      <c r="B21" s="145">
        <v>44616.0</v>
      </c>
      <c r="C21" s="641"/>
      <c r="D21" s="149"/>
      <c r="E21" s="149"/>
      <c r="F21" s="498"/>
      <c r="G21" s="498"/>
      <c r="H21" s="498"/>
      <c r="I21" s="102"/>
      <c r="J21" s="102"/>
    </row>
    <row r="22">
      <c r="B22" s="145">
        <v>44616.0</v>
      </c>
      <c r="C22" s="641"/>
      <c r="D22" s="148">
        <v>211.0</v>
      </c>
      <c r="E22" s="148">
        <v>138.0</v>
      </c>
      <c r="F22" s="97">
        <v>24.84</v>
      </c>
      <c r="G22" s="97">
        <v>23.63</v>
      </c>
      <c r="H22" s="498"/>
      <c r="I22" s="102"/>
      <c r="J22" s="102"/>
    </row>
    <row r="23">
      <c r="B23" s="145">
        <v>44616.0</v>
      </c>
      <c r="C23" s="641"/>
      <c r="D23" s="148">
        <v>219.0</v>
      </c>
      <c r="E23" s="148">
        <v>8.0</v>
      </c>
      <c r="F23" s="97">
        <v>76.0</v>
      </c>
      <c r="G23" s="97">
        <v>47.45</v>
      </c>
      <c r="H23" s="97">
        <v>50.5</v>
      </c>
      <c r="I23" s="102"/>
      <c r="J23" s="102"/>
    </row>
    <row r="24">
      <c r="B24" s="145">
        <v>44619.0</v>
      </c>
      <c r="C24" s="641"/>
      <c r="D24" s="148">
        <v>382.0</v>
      </c>
      <c r="E24" s="148">
        <v>163.0</v>
      </c>
      <c r="F24" s="97">
        <v>52.25</v>
      </c>
      <c r="G24" s="97">
        <v>22.52</v>
      </c>
      <c r="H24" s="498"/>
      <c r="I24" s="102"/>
      <c r="J24" s="102"/>
    </row>
    <row r="25">
      <c r="B25" s="145">
        <v>44619.0</v>
      </c>
      <c r="C25" s="641"/>
      <c r="D25" s="148">
        <v>403.0</v>
      </c>
      <c r="E25" s="148">
        <v>21.0</v>
      </c>
      <c r="F25" s="97">
        <v>73.71</v>
      </c>
      <c r="G25" s="97">
        <v>32.12</v>
      </c>
      <c r="H25" s="97">
        <v>42.29</v>
      </c>
      <c r="I25" s="102"/>
      <c r="J25" s="102"/>
    </row>
    <row r="26">
      <c r="A26" s="551"/>
      <c r="B26" s="619" t="s">
        <v>72</v>
      </c>
      <c r="I26" s="551"/>
      <c r="J26" s="618"/>
      <c r="K26" s="551"/>
      <c r="L26" s="551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</row>
    <row r="27">
      <c r="B27" s="145">
        <v>44622.0</v>
      </c>
      <c r="C27" s="641"/>
      <c r="D27" s="148">
        <v>168.0</v>
      </c>
      <c r="E27" s="149"/>
      <c r="F27" s="97">
        <v>72.91</v>
      </c>
      <c r="G27" s="97">
        <v>69.67</v>
      </c>
      <c r="H27" s="97">
        <v>56.79</v>
      </c>
      <c r="I27" s="102"/>
      <c r="J27" s="102"/>
    </row>
    <row r="28">
      <c r="B28" s="145">
        <v>44623.0</v>
      </c>
      <c r="C28" s="641"/>
      <c r="D28" s="148">
        <v>572.0</v>
      </c>
      <c r="E28" s="149"/>
      <c r="F28" s="97">
        <v>75.53</v>
      </c>
      <c r="G28" s="97">
        <v>52.75</v>
      </c>
      <c r="H28" s="97">
        <v>55.57</v>
      </c>
      <c r="I28" s="102"/>
      <c r="J28" s="102"/>
    </row>
    <row r="29">
      <c r="B29" s="145">
        <v>44625.0</v>
      </c>
      <c r="C29" s="641"/>
      <c r="D29" s="148">
        <v>935.0</v>
      </c>
      <c r="E29" s="149"/>
      <c r="F29" s="97">
        <v>75.28</v>
      </c>
      <c r="G29" s="97">
        <v>53.77</v>
      </c>
      <c r="H29" s="97">
        <v>54.65</v>
      </c>
      <c r="I29" s="102"/>
      <c r="J29" s="102"/>
    </row>
    <row r="30">
      <c r="B30" s="145">
        <v>44628.0</v>
      </c>
      <c r="C30" s="641"/>
      <c r="D30" s="149"/>
      <c r="E30" s="149"/>
      <c r="F30" s="97">
        <v>72.46</v>
      </c>
      <c r="G30" s="97">
        <v>53.38</v>
      </c>
      <c r="H30" s="97">
        <v>53.34</v>
      </c>
      <c r="I30" s="102"/>
      <c r="J30" s="102"/>
    </row>
    <row r="31">
      <c r="B31" s="145">
        <v>44631.0</v>
      </c>
      <c r="C31" s="641"/>
      <c r="D31" s="149"/>
      <c r="E31" s="149"/>
      <c r="F31" s="97">
        <v>67.12</v>
      </c>
      <c r="G31" s="97">
        <v>67.12</v>
      </c>
      <c r="H31" s="97">
        <v>60.0</v>
      </c>
      <c r="I31" s="102"/>
      <c r="J31" s="102"/>
    </row>
    <row r="32">
      <c r="B32" s="145">
        <v>44633.0</v>
      </c>
      <c r="C32" s="641"/>
      <c r="D32" s="149"/>
      <c r="E32" s="149"/>
      <c r="F32" s="97">
        <v>71.11</v>
      </c>
      <c r="G32" s="97">
        <v>61.23</v>
      </c>
      <c r="H32" s="97">
        <v>55.68</v>
      </c>
      <c r="I32" s="102"/>
      <c r="J32" s="102"/>
    </row>
    <row r="33">
      <c r="B33" s="145">
        <v>44635.0</v>
      </c>
      <c r="C33" s="641"/>
      <c r="D33" s="176">
        <v>26380.0</v>
      </c>
      <c r="E33" s="149"/>
      <c r="F33" s="176">
        <v>75.21</v>
      </c>
      <c r="G33" s="176">
        <v>51.58</v>
      </c>
      <c r="H33" s="178">
        <v>48.73</v>
      </c>
      <c r="I33" s="102"/>
      <c r="J33" s="102"/>
    </row>
    <row r="34">
      <c r="B34" s="145">
        <v>44637.0</v>
      </c>
      <c r="C34" s="641"/>
      <c r="D34" s="176">
        <v>26628.0</v>
      </c>
      <c r="E34" s="149"/>
      <c r="F34" s="176">
        <v>73.83</v>
      </c>
      <c r="G34" s="176">
        <v>42.49</v>
      </c>
      <c r="H34" s="178">
        <v>43.42</v>
      </c>
      <c r="I34" s="102"/>
      <c r="J34" s="102"/>
    </row>
    <row r="35">
      <c r="B35" s="145">
        <v>44639.0</v>
      </c>
      <c r="C35" s="641"/>
      <c r="D35" s="176">
        <v>26894.0</v>
      </c>
      <c r="E35" s="149"/>
      <c r="F35" s="176">
        <v>75.75</v>
      </c>
      <c r="G35" s="176">
        <v>45.77</v>
      </c>
      <c r="H35" s="178">
        <v>46.55</v>
      </c>
      <c r="I35" s="102"/>
      <c r="J35" s="102"/>
    </row>
    <row r="36">
      <c r="B36" s="145">
        <v>44641.0</v>
      </c>
      <c r="C36" s="641"/>
      <c r="D36" s="176">
        <v>27164.0</v>
      </c>
      <c r="E36" s="149"/>
      <c r="F36" s="176">
        <v>72.44</v>
      </c>
      <c r="G36" s="176">
        <v>31.87</v>
      </c>
      <c r="H36" s="178">
        <v>40.0</v>
      </c>
      <c r="I36" s="102"/>
      <c r="J36" s="102"/>
    </row>
    <row r="37">
      <c r="B37" s="145">
        <v>44643.0</v>
      </c>
      <c r="C37" s="641"/>
      <c r="D37" s="176">
        <v>27428.0</v>
      </c>
      <c r="E37" s="149"/>
      <c r="F37" s="176">
        <v>76.0</v>
      </c>
      <c r="G37" s="176">
        <v>45.63</v>
      </c>
      <c r="H37" s="178">
        <v>45.02</v>
      </c>
      <c r="I37" s="102"/>
      <c r="J37" s="102"/>
    </row>
    <row r="38">
      <c r="B38" s="145">
        <v>44645.0</v>
      </c>
      <c r="C38" s="641"/>
      <c r="D38" s="176">
        <v>27657.0</v>
      </c>
      <c r="E38" s="148">
        <v>229.0</v>
      </c>
      <c r="F38" s="176">
        <v>75.0</v>
      </c>
      <c r="G38" s="176">
        <v>37.07</v>
      </c>
      <c r="H38" s="178">
        <v>38.95</v>
      </c>
      <c r="I38" s="102"/>
      <c r="J38" s="102"/>
    </row>
    <row r="39">
      <c r="B39" s="145">
        <v>44647.0</v>
      </c>
      <c r="C39" s="641"/>
      <c r="D39" s="176">
        <v>27917.0</v>
      </c>
      <c r="E39" s="149"/>
      <c r="F39" s="176">
        <v>75.12</v>
      </c>
      <c r="G39" s="176">
        <v>43.79</v>
      </c>
      <c r="H39" s="178">
        <v>45.59</v>
      </c>
      <c r="I39" s="102"/>
      <c r="J39" s="102"/>
    </row>
    <row r="40">
      <c r="B40" s="145">
        <v>44650.0</v>
      </c>
      <c r="C40" s="641"/>
      <c r="D40" s="176">
        <v>28115.0</v>
      </c>
      <c r="E40" s="149"/>
      <c r="F40" s="176">
        <v>75.9</v>
      </c>
      <c r="G40" s="176">
        <v>50.75</v>
      </c>
      <c r="H40" s="178">
        <v>51.73</v>
      </c>
      <c r="I40" s="102"/>
      <c r="J40" s="102"/>
    </row>
    <row r="41">
      <c r="A41" s="551"/>
      <c r="B41" s="619" t="s">
        <v>74</v>
      </c>
      <c r="I41" s="551"/>
      <c r="J41" s="618"/>
      <c r="K41" s="551"/>
      <c r="L41" s="551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</row>
    <row r="42">
      <c r="B42" s="145">
        <v>44653.0</v>
      </c>
      <c r="C42" s="641"/>
      <c r="D42" s="176">
        <v>28470.0</v>
      </c>
      <c r="E42" s="149"/>
      <c r="F42" s="176">
        <v>75.18</v>
      </c>
      <c r="G42" s="176">
        <v>67.44</v>
      </c>
      <c r="H42" s="178">
        <v>62.91</v>
      </c>
      <c r="I42" s="102"/>
      <c r="J42" s="102"/>
    </row>
    <row r="43">
      <c r="B43" s="145">
        <v>44656.0</v>
      </c>
      <c r="C43" s="641"/>
      <c r="D43" s="176">
        <v>28889.0</v>
      </c>
      <c r="E43" s="148">
        <v>419.0</v>
      </c>
      <c r="F43" s="176">
        <v>75.14</v>
      </c>
      <c r="G43" s="176">
        <v>70.56</v>
      </c>
      <c r="H43" s="178">
        <v>66.73</v>
      </c>
      <c r="I43" s="102"/>
      <c r="J43" s="102"/>
    </row>
    <row r="44">
      <c r="B44" s="145">
        <v>44658.0</v>
      </c>
      <c r="C44" s="641"/>
      <c r="D44" s="176">
        <v>29308.0</v>
      </c>
      <c r="E44" s="148">
        <v>419.0</v>
      </c>
      <c r="F44" s="176">
        <v>75.55</v>
      </c>
      <c r="G44" s="176">
        <v>53.49</v>
      </c>
      <c r="H44" s="178">
        <v>59.72</v>
      </c>
      <c r="I44" s="102"/>
      <c r="J44" s="102"/>
    </row>
    <row r="45">
      <c r="B45" s="145">
        <v>44661.0</v>
      </c>
      <c r="C45" s="641"/>
      <c r="D45" s="176">
        <v>29726.0</v>
      </c>
      <c r="E45" s="148">
        <v>418.0</v>
      </c>
      <c r="F45" s="176">
        <v>76.0</v>
      </c>
      <c r="G45" s="176">
        <v>51.73</v>
      </c>
      <c r="H45" s="178">
        <v>60.0</v>
      </c>
      <c r="I45" s="102"/>
      <c r="J45" s="102"/>
    </row>
    <row r="46">
      <c r="B46" s="145">
        <v>44664.0</v>
      </c>
      <c r="C46" s="641"/>
      <c r="D46" s="176">
        <v>30066.0</v>
      </c>
      <c r="E46" s="148">
        <v>340.0</v>
      </c>
      <c r="F46" s="176">
        <v>75.82</v>
      </c>
      <c r="G46" s="176">
        <v>72.82</v>
      </c>
      <c r="H46" s="178">
        <v>59.17</v>
      </c>
      <c r="I46" s="102"/>
      <c r="J46" s="102"/>
    </row>
    <row r="47">
      <c r="B47" s="145">
        <v>44665.0</v>
      </c>
      <c r="C47" s="641"/>
      <c r="D47" s="176">
        <v>0.0</v>
      </c>
      <c r="E47" s="149"/>
      <c r="F47" s="176">
        <v>75.1</v>
      </c>
      <c r="G47" s="176">
        <v>21.31</v>
      </c>
      <c r="H47" s="178">
        <v>21.7</v>
      </c>
      <c r="I47" s="102"/>
      <c r="J47" s="102"/>
    </row>
    <row r="48">
      <c r="B48" s="145">
        <v>44668.0</v>
      </c>
      <c r="C48" s="641"/>
      <c r="D48" s="176">
        <v>30551.0</v>
      </c>
      <c r="E48" s="148">
        <v>485.0</v>
      </c>
      <c r="F48" s="176">
        <v>75.62</v>
      </c>
      <c r="G48" s="176">
        <v>60.3</v>
      </c>
      <c r="H48" s="178">
        <v>56.32</v>
      </c>
      <c r="I48" s="102"/>
      <c r="J48" s="102"/>
    </row>
    <row r="49">
      <c r="B49" s="145">
        <v>44670.0</v>
      </c>
      <c r="C49" s="641"/>
      <c r="D49" s="178">
        <v>30837.0</v>
      </c>
      <c r="E49" s="148">
        <v>286.0</v>
      </c>
      <c r="F49" s="178">
        <v>75.34</v>
      </c>
      <c r="G49" s="178">
        <v>43.83</v>
      </c>
      <c r="H49" s="178">
        <v>45.82</v>
      </c>
      <c r="I49" s="102"/>
      <c r="J49" s="102"/>
    </row>
    <row r="50">
      <c r="B50" s="145">
        <v>44673.0</v>
      </c>
      <c r="C50" s="641"/>
      <c r="D50" s="176">
        <v>31166.0</v>
      </c>
      <c r="E50" s="148">
        <v>329.0</v>
      </c>
      <c r="F50" s="176">
        <v>76.0</v>
      </c>
      <c r="G50" s="176">
        <v>49.25</v>
      </c>
      <c r="H50" s="178">
        <v>50.97</v>
      </c>
      <c r="I50" s="102"/>
      <c r="J50" s="102"/>
    </row>
    <row r="51">
      <c r="B51" s="145">
        <v>44677.0</v>
      </c>
      <c r="C51" s="641"/>
      <c r="D51" s="176">
        <v>31531.0</v>
      </c>
      <c r="E51" s="148">
        <v>365.0</v>
      </c>
      <c r="F51" s="176">
        <v>76.0</v>
      </c>
      <c r="G51" s="176">
        <v>47.46</v>
      </c>
      <c r="H51" s="178">
        <v>56.03</v>
      </c>
      <c r="I51" s="102"/>
      <c r="J51" s="102"/>
    </row>
    <row r="52">
      <c r="B52" s="145">
        <v>44679.0</v>
      </c>
      <c r="C52" s="641"/>
      <c r="D52" s="176">
        <v>31934.0</v>
      </c>
      <c r="E52" s="148">
        <v>403.0</v>
      </c>
      <c r="F52" s="176">
        <v>73.0</v>
      </c>
      <c r="G52" s="176">
        <v>50.5</v>
      </c>
      <c r="H52" s="148">
        <v>43.61</v>
      </c>
      <c r="I52" s="102"/>
      <c r="J52" s="102"/>
    </row>
    <row r="53">
      <c r="A53" s="551"/>
      <c r="B53" s="619" t="s">
        <v>75</v>
      </c>
      <c r="I53" s="551"/>
      <c r="J53" s="618"/>
      <c r="K53" s="551"/>
      <c r="L53" s="551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</row>
    <row r="54">
      <c r="B54" s="145">
        <v>44683.0</v>
      </c>
      <c r="C54" s="641"/>
      <c r="D54" s="176">
        <v>32292.0</v>
      </c>
      <c r="E54" s="148">
        <v>358.0</v>
      </c>
      <c r="F54" s="176">
        <v>76.0</v>
      </c>
      <c r="G54" s="176">
        <v>68.05</v>
      </c>
      <c r="H54" s="178">
        <v>56.82</v>
      </c>
      <c r="I54" s="102"/>
      <c r="J54" s="102"/>
    </row>
    <row r="55">
      <c r="B55" s="145">
        <v>44686.0</v>
      </c>
      <c r="C55" s="641"/>
      <c r="D55" s="176">
        <v>32683.0</v>
      </c>
      <c r="E55" s="148">
        <v>391.0</v>
      </c>
      <c r="F55" s="176">
        <v>76.0</v>
      </c>
      <c r="G55" s="176">
        <v>52.73</v>
      </c>
      <c r="H55" s="178">
        <v>50.0</v>
      </c>
      <c r="I55" s="102"/>
      <c r="J55" s="102"/>
    </row>
    <row r="56">
      <c r="B56" s="145">
        <v>44689.0</v>
      </c>
      <c r="C56" s="641"/>
      <c r="D56" s="176">
        <v>33136.0</v>
      </c>
      <c r="E56" s="148">
        <v>453.0</v>
      </c>
      <c r="F56" s="176">
        <v>75.0</v>
      </c>
      <c r="G56" s="176">
        <v>53.46</v>
      </c>
      <c r="H56" s="178">
        <v>53.94</v>
      </c>
      <c r="I56" s="102"/>
      <c r="J56" s="102"/>
    </row>
    <row r="57">
      <c r="B57" s="145">
        <v>44693.0</v>
      </c>
      <c r="C57" s="641"/>
      <c r="D57" s="176">
        <v>33604.0</v>
      </c>
      <c r="E57" s="148">
        <v>468.0</v>
      </c>
      <c r="F57" s="176">
        <v>73.0</v>
      </c>
      <c r="G57" s="176">
        <v>65.4</v>
      </c>
      <c r="H57" s="178">
        <v>56.71</v>
      </c>
      <c r="I57" s="102"/>
      <c r="J57" s="102"/>
    </row>
    <row r="58">
      <c r="B58" s="145">
        <v>44696.0</v>
      </c>
      <c r="C58" s="641"/>
      <c r="D58" s="176">
        <v>34044.0</v>
      </c>
      <c r="E58" s="148">
        <v>440.0</v>
      </c>
      <c r="F58" s="176">
        <v>75.0</v>
      </c>
      <c r="G58" s="176">
        <v>59.91</v>
      </c>
      <c r="H58" s="148">
        <v>53.25</v>
      </c>
      <c r="I58" s="102"/>
      <c r="J58" s="102"/>
    </row>
    <row r="59">
      <c r="B59" s="145">
        <v>44699.0</v>
      </c>
      <c r="C59" s="641"/>
      <c r="D59" s="176">
        <v>34368.0</v>
      </c>
      <c r="E59" s="148">
        <v>324.0</v>
      </c>
      <c r="F59" s="176">
        <v>75.0</v>
      </c>
      <c r="G59" s="176">
        <v>48.43</v>
      </c>
      <c r="H59" s="178">
        <v>49.72</v>
      </c>
      <c r="I59" s="102"/>
      <c r="J59" s="102"/>
    </row>
    <row r="60">
      <c r="B60" s="145">
        <v>44702.0</v>
      </c>
      <c r="C60" s="641"/>
      <c r="D60" s="176">
        <v>34788.0</v>
      </c>
      <c r="E60" s="148">
        <v>420.0</v>
      </c>
      <c r="F60" s="176">
        <v>76.0</v>
      </c>
      <c r="G60" s="176">
        <v>69.73</v>
      </c>
      <c r="H60" s="178">
        <v>54.76</v>
      </c>
      <c r="I60" s="102"/>
      <c r="J60" s="102"/>
    </row>
    <row r="61">
      <c r="B61" s="145">
        <v>44706.0</v>
      </c>
      <c r="C61" s="641"/>
      <c r="D61" s="176">
        <v>35236.0</v>
      </c>
      <c r="E61" s="148">
        <v>448.0</v>
      </c>
      <c r="F61" s="176">
        <v>75.0</v>
      </c>
      <c r="G61" s="176">
        <v>69.49</v>
      </c>
      <c r="H61" s="148">
        <v>58.04</v>
      </c>
      <c r="I61" s="102"/>
      <c r="J61" s="102"/>
    </row>
    <row r="62">
      <c r="B62" s="145">
        <v>44710.0</v>
      </c>
      <c r="C62" s="641"/>
      <c r="D62" s="176">
        <v>35638.0</v>
      </c>
      <c r="E62" s="148">
        <v>402.0</v>
      </c>
      <c r="F62" s="176">
        <v>76.0</v>
      </c>
      <c r="G62" s="176">
        <v>63.3</v>
      </c>
      <c r="H62" s="178">
        <v>57.11</v>
      </c>
      <c r="I62" s="102"/>
      <c r="J62" s="102"/>
    </row>
    <row r="63">
      <c r="A63" s="551"/>
      <c r="B63" s="619" t="s">
        <v>90</v>
      </c>
      <c r="I63" s="551"/>
      <c r="J63" s="618"/>
      <c r="K63" s="551"/>
      <c r="L63" s="551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</row>
    <row r="64">
      <c r="B64" s="145">
        <v>44714.0</v>
      </c>
      <c r="C64" s="641"/>
      <c r="D64" s="176">
        <v>36184.0</v>
      </c>
      <c r="E64" s="148">
        <v>546.0</v>
      </c>
      <c r="F64" s="176">
        <v>76.0</v>
      </c>
      <c r="G64" s="176">
        <v>74.75</v>
      </c>
      <c r="H64" s="148">
        <v>59.44</v>
      </c>
      <c r="I64" s="102"/>
      <c r="J64" s="102"/>
    </row>
    <row r="65">
      <c r="B65" s="145">
        <v>44718.0</v>
      </c>
      <c r="C65" s="641"/>
      <c r="D65" s="176">
        <v>36725.0</v>
      </c>
      <c r="E65" s="148">
        <v>541.0</v>
      </c>
      <c r="F65" s="176">
        <v>71.0</v>
      </c>
      <c r="G65" s="176">
        <v>70.62</v>
      </c>
      <c r="H65" s="178">
        <v>60.0</v>
      </c>
      <c r="I65" s="102"/>
      <c r="J65" s="102"/>
    </row>
    <row r="66">
      <c r="B66" s="145">
        <v>44721.0</v>
      </c>
      <c r="C66" s="641"/>
      <c r="D66" s="642"/>
      <c r="E66" s="149"/>
      <c r="F66" s="176">
        <v>73.0</v>
      </c>
      <c r="G66" s="176">
        <v>72.36</v>
      </c>
      <c r="H66" s="178">
        <v>63.13</v>
      </c>
      <c r="I66" s="102"/>
      <c r="J66" s="102"/>
    </row>
    <row r="67">
      <c r="B67" s="145">
        <v>44725.0</v>
      </c>
      <c r="C67" s="641"/>
      <c r="D67" s="176">
        <v>37865.0</v>
      </c>
      <c r="E67" s="148">
        <v>1140.0</v>
      </c>
      <c r="F67" s="176">
        <v>76.0</v>
      </c>
      <c r="G67" s="176">
        <v>72.35</v>
      </c>
      <c r="H67" s="178">
        <v>60.0</v>
      </c>
      <c r="I67" s="102"/>
      <c r="J67" s="102"/>
    </row>
    <row r="68">
      <c r="B68" s="145">
        <v>44729.0</v>
      </c>
      <c r="C68" s="641"/>
      <c r="D68" s="176">
        <v>38360.0</v>
      </c>
      <c r="E68" s="148">
        <v>495.0</v>
      </c>
      <c r="F68" s="176">
        <v>68.0</v>
      </c>
      <c r="G68" s="176">
        <v>61.78</v>
      </c>
      <c r="H68" s="178">
        <v>52.0</v>
      </c>
      <c r="I68" s="102"/>
      <c r="J68" s="102"/>
    </row>
    <row r="69">
      <c r="B69" s="145">
        <v>44731.0</v>
      </c>
      <c r="C69" s="641"/>
      <c r="D69" s="176">
        <v>38696.0</v>
      </c>
      <c r="E69" s="148">
        <v>336.0</v>
      </c>
      <c r="F69" s="176">
        <v>76.0</v>
      </c>
      <c r="G69" s="176">
        <v>48.48</v>
      </c>
      <c r="H69" s="178">
        <v>49.3</v>
      </c>
      <c r="I69" s="102"/>
      <c r="J69" s="102"/>
    </row>
    <row r="70">
      <c r="B70" s="145">
        <v>44735.0</v>
      </c>
      <c r="C70" s="641"/>
      <c r="D70" s="176">
        <v>39237.0</v>
      </c>
      <c r="E70" s="148">
        <v>541.0</v>
      </c>
      <c r="F70" s="176">
        <v>75.0</v>
      </c>
      <c r="G70" s="176">
        <v>74.73</v>
      </c>
      <c r="H70" s="178">
        <v>60.0</v>
      </c>
      <c r="I70" s="102"/>
      <c r="J70" s="102"/>
    </row>
    <row r="71">
      <c r="B71" s="145">
        <v>44739.0</v>
      </c>
      <c r="C71" s="641"/>
      <c r="D71" s="176">
        <v>39566.0</v>
      </c>
      <c r="E71" s="148">
        <v>329.0</v>
      </c>
      <c r="F71" s="176">
        <v>72.0</v>
      </c>
      <c r="G71" s="176">
        <v>38.33</v>
      </c>
      <c r="H71" s="148">
        <v>35.72</v>
      </c>
      <c r="I71" s="102"/>
      <c r="J71" s="102"/>
    </row>
    <row r="72">
      <c r="B72" s="145">
        <v>44741.0</v>
      </c>
      <c r="C72" s="641"/>
      <c r="D72" s="176">
        <v>39911.0</v>
      </c>
      <c r="E72" s="148">
        <v>345.0</v>
      </c>
      <c r="F72" s="176">
        <v>76.0</v>
      </c>
      <c r="G72" s="176">
        <v>50.07</v>
      </c>
      <c r="H72" s="178">
        <v>47.42</v>
      </c>
      <c r="I72" s="102"/>
      <c r="J72" s="102"/>
    </row>
    <row r="73">
      <c r="A73" s="551"/>
      <c r="B73" s="619" t="s">
        <v>92</v>
      </c>
      <c r="I73" s="551"/>
      <c r="J73" s="618"/>
      <c r="K73" s="551"/>
      <c r="L73" s="551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</row>
    <row r="74">
      <c r="B74" s="145">
        <v>44745.0</v>
      </c>
      <c r="C74" s="641"/>
      <c r="D74" s="176">
        <v>40411.0</v>
      </c>
      <c r="E74" s="148">
        <v>500.0</v>
      </c>
      <c r="F74" s="176">
        <v>75.0</v>
      </c>
      <c r="G74" s="176">
        <v>65.9</v>
      </c>
      <c r="H74" s="148">
        <v>58.99</v>
      </c>
      <c r="I74" s="102"/>
      <c r="J74" s="102"/>
    </row>
    <row r="75">
      <c r="B75" s="145">
        <v>44749.0</v>
      </c>
      <c r="C75" s="641"/>
      <c r="D75" s="176">
        <v>41041.0</v>
      </c>
      <c r="E75" s="148">
        <v>630.0</v>
      </c>
      <c r="F75" s="176">
        <v>68.0</v>
      </c>
      <c r="G75" s="176">
        <v>67.88</v>
      </c>
      <c r="H75" s="178">
        <v>60.0</v>
      </c>
      <c r="I75" s="102"/>
      <c r="J75" s="102"/>
    </row>
    <row r="76">
      <c r="B76" s="145">
        <v>44753.0</v>
      </c>
      <c r="C76" s="641"/>
      <c r="D76" s="176">
        <v>41573.0</v>
      </c>
      <c r="E76" s="148">
        <v>532.0</v>
      </c>
      <c r="F76" s="176">
        <v>72.0</v>
      </c>
      <c r="G76" s="176">
        <v>71.89</v>
      </c>
      <c r="H76" s="178">
        <v>60.0</v>
      </c>
      <c r="I76" s="102"/>
      <c r="J76" s="102"/>
    </row>
    <row r="77">
      <c r="B77" s="145">
        <v>44756.0</v>
      </c>
      <c r="C77" s="641"/>
      <c r="D77" s="176">
        <v>42009.0</v>
      </c>
      <c r="E77" s="148">
        <v>436.0</v>
      </c>
      <c r="F77" s="176">
        <v>75.0</v>
      </c>
      <c r="G77" s="176">
        <v>69.14</v>
      </c>
      <c r="H77" s="178">
        <v>58.38</v>
      </c>
      <c r="I77" s="102"/>
      <c r="J77" s="102"/>
    </row>
    <row r="78">
      <c r="B78" s="145">
        <v>44759.0</v>
      </c>
      <c r="C78" s="641"/>
      <c r="D78" s="176">
        <v>42458.0</v>
      </c>
      <c r="E78" s="148">
        <v>449.0</v>
      </c>
      <c r="F78" s="176">
        <v>73.0</v>
      </c>
      <c r="G78" s="176">
        <v>46.45</v>
      </c>
      <c r="H78" s="178">
        <v>49.45</v>
      </c>
      <c r="I78" s="102"/>
      <c r="J78" s="102"/>
    </row>
    <row r="79">
      <c r="B79" s="145">
        <v>44761.0</v>
      </c>
      <c r="C79" s="641"/>
      <c r="D79" s="176">
        <v>42854.0</v>
      </c>
      <c r="E79" s="148">
        <v>396.0</v>
      </c>
      <c r="F79" s="176">
        <v>76.0</v>
      </c>
      <c r="G79" s="176">
        <v>44.72</v>
      </c>
      <c r="H79" s="178">
        <v>43.01</v>
      </c>
      <c r="I79" s="102"/>
      <c r="J79" s="102"/>
    </row>
    <row r="80">
      <c r="B80" s="145">
        <v>44763.0</v>
      </c>
      <c r="C80" s="641"/>
      <c r="D80" s="176">
        <v>43421.0</v>
      </c>
      <c r="E80" s="148">
        <v>567.0</v>
      </c>
      <c r="F80" s="176">
        <v>75.0</v>
      </c>
      <c r="G80" s="176">
        <v>55.06</v>
      </c>
      <c r="H80" s="148">
        <v>55.61</v>
      </c>
      <c r="I80" s="102"/>
      <c r="J80" s="102"/>
    </row>
    <row r="81">
      <c r="B81" s="145">
        <v>44767.0</v>
      </c>
      <c r="C81" s="641"/>
      <c r="D81" s="176">
        <v>43859.0</v>
      </c>
      <c r="E81" s="148">
        <v>438.0</v>
      </c>
      <c r="F81" s="176">
        <v>75.0</v>
      </c>
      <c r="G81" s="176">
        <v>53.97</v>
      </c>
      <c r="H81" s="178">
        <v>49.81</v>
      </c>
      <c r="I81" s="102"/>
      <c r="J81" s="102"/>
    </row>
    <row r="82">
      <c r="B82" s="145">
        <v>44771.0</v>
      </c>
      <c r="C82" s="641"/>
      <c r="D82" s="176">
        <v>44334.0</v>
      </c>
      <c r="E82" s="148">
        <v>475.0</v>
      </c>
      <c r="F82" s="176">
        <v>76.0</v>
      </c>
      <c r="G82" s="176">
        <v>57.2</v>
      </c>
      <c r="H82" s="178">
        <v>56.7</v>
      </c>
      <c r="I82" s="102"/>
      <c r="J82" s="102"/>
    </row>
    <row r="83">
      <c r="A83" s="551"/>
      <c r="B83" s="619" t="s">
        <v>95</v>
      </c>
      <c r="I83" s="551"/>
      <c r="J83" s="618"/>
      <c r="K83" s="551"/>
      <c r="L83" s="551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</row>
    <row r="84">
      <c r="B84" s="145">
        <v>44776.0</v>
      </c>
      <c r="C84" s="528" t="s">
        <v>484</v>
      </c>
      <c r="D84" s="176">
        <v>44858.0</v>
      </c>
      <c r="E84" s="148">
        <v>524.0</v>
      </c>
      <c r="F84" s="176">
        <v>71.0</v>
      </c>
      <c r="G84" s="176">
        <v>71.42</v>
      </c>
      <c r="H84" s="178">
        <v>60.0</v>
      </c>
      <c r="I84" s="102"/>
      <c r="J84" s="102"/>
    </row>
    <row r="85">
      <c r="B85" s="145">
        <v>44778.0</v>
      </c>
      <c r="C85" s="641"/>
      <c r="D85" s="176">
        <v>45391.0</v>
      </c>
      <c r="E85" s="148">
        <v>533.0</v>
      </c>
      <c r="F85" s="176">
        <v>73.0</v>
      </c>
      <c r="G85" s="176">
        <v>68.84</v>
      </c>
      <c r="H85" s="178">
        <v>60.0</v>
      </c>
      <c r="I85" s="102"/>
      <c r="J85" s="102"/>
    </row>
    <row r="86">
      <c r="B86" s="145">
        <v>44781.0</v>
      </c>
      <c r="C86" s="641"/>
      <c r="D86" s="176">
        <v>45909.0</v>
      </c>
      <c r="E86" s="148">
        <v>518.0</v>
      </c>
      <c r="F86" s="176">
        <v>75.0</v>
      </c>
      <c r="G86" s="176">
        <v>61.28</v>
      </c>
      <c r="H86" s="148">
        <v>55.14</v>
      </c>
      <c r="I86" s="102"/>
      <c r="J86" s="102"/>
    </row>
    <row r="87">
      <c r="B87" s="145">
        <v>44783.0</v>
      </c>
      <c r="C87" s="149"/>
      <c r="D87" s="176">
        <v>46527.0</v>
      </c>
      <c r="E87" s="148">
        <v>618.0</v>
      </c>
      <c r="F87" s="176">
        <v>74.0</v>
      </c>
      <c r="G87" s="176">
        <v>73.79</v>
      </c>
      <c r="H87" s="178">
        <v>60.0</v>
      </c>
      <c r="I87" s="102"/>
      <c r="J87" s="102"/>
    </row>
    <row r="88">
      <c r="B88" s="145">
        <v>44787.0</v>
      </c>
      <c r="C88" s="528" t="s">
        <v>484</v>
      </c>
      <c r="D88" s="176">
        <v>47118.0</v>
      </c>
      <c r="E88" s="148">
        <v>591.0</v>
      </c>
      <c r="F88" s="176">
        <v>75.0</v>
      </c>
      <c r="G88" s="176">
        <v>74.61</v>
      </c>
      <c r="H88" s="178">
        <v>60.0</v>
      </c>
      <c r="I88" s="102"/>
      <c r="J88" s="102"/>
    </row>
    <row r="89">
      <c r="B89" s="145">
        <v>44789.0</v>
      </c>
      <c r="C89" s="528" t="s">
        <v>485</v>
      </c>
      <c r="D89" s="176">
        <v>47530.0</v>
      </c>
      <c r="E89" s="148">
        <v>412.0</v>
      </c>
      <c r="F89" s="176">
        <v>76.0</v>
      </c>
      <c r="G89" s="176">
        <v>52.23</v>
      </c>
      <c r="H89" s="178">
        <v>51.9</v>
      </c>
      <c r="I89" s="102"/>
      <c r="J89" s="102"/>
    </row>
    <row r="90">
      <c r="B90" s="145">
        <v>44793.0</v>
      </c>
      <c r="C90" s="641"/>
      <c r="D90" s="176">
        <v>47998.0</v>
      </c>
      <c r="E90" s="148">
        <v>468.0</v>
      </c>
      <c r="F90" s="176">
        <v>76.0</v>
      </c>
      <c r="G90" s="176">
        <v>51.86</v>
      </c>
      <c r="H90" s="148">
        <v>52.88</v>
      </c>
      <c r="I90" s="102"/>
      <c r="J90" s="102"/>
    </row>
    <row r="91">
      <c r="B91" s="145">
        <v>44797.0</v>
      </c>
      <c r="C91" s="641"/>
      <c r="D91" s="176">
        <v>48435.0</v>
      </c>
      <c r="E91" s="148">
        <v>437.0</v>
      </c>
      <c r="F91" s="176">
        <v>76.0</v>
      </c>
      <c r="G91" s="176">
        <v>42.59</v>
      </c>
      <c r="H91" s="178">
        <v>48.01</v>
      </c>
      <c r="I91" s="102"/>
      <c r="J91" s="102"/>
    </row>
    <row r="92">
      <c r="B92" s="145">
        <v>44802.0</v>
      </c>
      <c r="C92" s="528" t="s">
        <v>485</v>
      </c>
      <c r="D92" s="176">
        <v>48964.0</v>
      </c>
      <c r="E92" s="148">
        <v>529.0</v>
      </c>
      <c r="F92" s="176">
        <v>76.0</v>
      </c>
      <c r="G92" s="176">
        <v>66.11</v>
      </c>
      <c r="H92" s="178">
        <v>57.96</v>
      </c>
      <c r="I92" s="102"/>
      <c r="J92" s="102"/>
    </row>
    <row r="93">
      <c r="A93" s="551"/>
      <c r="B93" s="619" t="s">
        <v>104</v>
      </c>
      <c r="I93" s="551"/>
      <c r="J93" s="618"/>
      <c r="K93" s="551"/>
      <c r="L93" s="551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</row>
    <row r="94">
      <c r="B94" s="145">
        <v>44806.0</v>
      </c>
      <c r="C94" s="528" t="s">
        <v>484</v>
      </c>
      <c r="D94" s="176">
        <v>49593.0</v>
      </c>
      <c r="E94" s="148">
        <v>629.0</v>
      </c>
      <c r="F94" s="176">
        <v>73.0</v>
      </c>
      <c r="G94" s="176">
        <v>73.08</v>
      </c>
      <c r="H94" s="178">
        <v>60.0</v>
      </c>
      <c r="I94" s="102"/>
      <c r="J94" s="102"/>
    </row>
    <row r="95">
      <c r="B95" s="145">
        <v>44809.0</v>
      </c>
      <c r="C95" s="641"/>
      <c r="D95" s="176">
        <v>50099.0</v>
      </c>
      <c r="E95" s="148">
        <v>506.0</v>
      </c>
      <c r="F95" s="176">
        <v>75.0</v>
      </c>
      <c r="G95" s="176">
        <v>73.11</v>
      </c>
      <c r="H95" s="178">
        <v>60.0</v>
      </c>
      <c r="I95" s="102"/>
      <c r="J95" s="102"/>
    </row>
    <row r="96">
      <c r="B96" s="145">
        <v>44812.0</v>
      </c>
      <c r="C96" s="641"/>
      <c r="D96" s="176">
        <v>50714.0</v>
      </c>
      <c r="E96" s="148">
        <v>615.0</v>
      </c>
      <c r="F96" s="176">
        <v>70.0</v>
      </c>
      <c r="G96" s="176">
        <v>69.76</v>
      </c>
      <c r="H96" s="178">
        <v>60.0</v>
      </c>
      <c r="I96" s="102"/>
      <c r="J96" s="102"/>
    </row>
    <row r="97">
      <c r="B97" s="145">
        <v>44816.0</v>
      </c>
      <c r="C97" s="641"/>
      <c r="D97" s="176">
        <v>51259.0</v>
      </c>
      <c r="E97" s="148">
        <v>545.0</v>
      </c>
      <c r="F97" s="176">
        <v>69.0</v>
      </c>
      <c r="G97" s="176">
        <v>68.68</v>
      </c>
      <c r="H97" s="178">
        <v>60.0</v>
      </c>
      <c r="I97" s="102"/>
      <c r="J97" s="102"/>
    </row>
    <row r="98">
      <c r="B98" s="145">
        <v>44819.0</v>
      </c>
      <c r="C98" s="641"/>
      <c r="D98" s="176">
        <v>51586.0</v>
      </c>
      <c r="E98" s="148">
        <v>327.0</v>
      </c>
      <c r="F98" s="176">
        <v>76.0</v>
      </c>
      <c r="G98" s="176">
        <v>60.64</v>
      </c>
      <c r="H98" s="178">
        <v>60.0</v>
      </c>
      <c r="I98" s="102"/>
      <c r="J98" s="102"/>
    </row>
    <row r="99">
      <c r="B99" s="145">
        <v>44822.0</v>
      </c>
      <c r="C99" s="528" t="s">
        <v>485</v>
      </c>
      <c r="D99" s="176">
        <v>52195.0</v>
      </c>
      <c r="E99" s="148">
        <v>609.0</v>
      </c>
      <c r="F99" s="176">
        <v>75.0</v>
      </c>
      <c r="G99" s="176">
        <v>48.86</v>
      </c>
      <c r="H99" s="178">
        <v>48.99</v>
      </c>
      <c r="I99" s="102"/>
      <c r="J99" s="102"/>
    </row>
    <row r="100">
      <c r="B100" s="145">
        <v>44826.0</v>
      </c>
      <c r="C100" s="641"/>
      <c r="D100" s="176">
        <v>52594.0</v>
      </c>
      <c r="E100" s="148">
        <v>399.0</v>
      </c>
      <c r="F100" s="176">
        <v>76.0</v>
      </c>
      <c r="G100" s="176">
        <v>61.33</v>
      </c>
      <c r="H100" s="148">
        <v>57.66</v>
      </c>
      <c r="I100" s="102"/>
      <c r="J100" s="102"/>
    </row>
    <row r="101">
      <c r="B101" s="145">
        <v>44830.0</v>
      </c>
      <c r="C101" s="641"/>
      <c r="D101" s="176">
        <v>52926.0</v>
      </c>
      <c r="E101" s="148">
        <v>332.0</v>
      </c>
      <c r="F101" s="176">
        <v>73.0</v>
      </c>
      <c r="G101" s="176">
        <v>46.02</v>
      </c>
      <c r="H101" s="178">
        <v>49.67</v>
      </c>
      <c r="I101" s="102"/>
      <c r="J101" s="102"/>
    </row>
    <row r="102">
      <c r="B102" s="145">
        <v>44832.0</v>
      </c>
      <c r="C102" s="641"/>
      <c r="D102" s="176">
        <v>53440.0</v>
      </c>
      <c r="E102" s="148">
        <v>514.0</v>
      </c>
      <c r="F102" s="176">
        <v>76.0</v>
      </c>
      <c r="G102" s="176">
        <v>51.28</v>
      </c>
      <c r="H102" s="178">
        <v>53.13</v>
      </c>
      <c r="I102" s="102"/>
      <c r="J102" s="102"/>
    </row>
    <row r="103">
      <c r="A103" s="551"/>
      <c r="B103" s="619" t="s">
        <v>96</v>
      </c>
      <c r="I103" s="551"/>
      <c r="J103" s="618"/>
      <c r="K103" s="551"/>
      <c r="L103" s="551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</row>
    <row r="104">
      <c r="B104" s="145">
        <v>44836.0</v>
      </c>
      <c r="C104" s="528" t="s">
        <v>484</v>
      </c>
      <c r="D104" s="176">
        <v>53999.0</v>
      </c>
      <c r="E104" s="148">
        <v>559.0</v>
      </c>
      <c r="F104" s="176">
        <v>72.0</v>
      </c>
      <c r="G104" s="176">
        <v>71.79</v>
      </c>
      <c r="H104" s="178">
        <v>60.0</v>
      </c>
      <c r="I104" s="102"/>
      <c r="J104" s="102"/>
    </row>
    <row r="105">
      <c r="B105" s="145">
        <v>44840.0</v>
      </c>
      <c r="C105" s="641"/>
      <c r="D105" s="176">
        <v>54551.0</v>
      </c>
      <c r="E105" s="148">
        <v>552.0</v>
      </c>
      <c r="F105" s="176">
        <v>76.0</v>
      </c>
      <c r="G105" s="176">
        <v>76.0</v>
      </c>
      <c r="H105" s="178">
        <v>60.0</v>
      </c>
      <c r="I105" s="102"/>
      <c r="J105" s="102"/>
    </row>
    <row r="106">
      <c r="B106" s="643">
        <v>44844.0</v>
      </c>
      <c r="C106" s="641"/>
      <c r="D106" s="176">
        <v>55000.0</v>
      </c>
      <c r="E106" s="148">
        <v>449.0</v>
      </c>
      <c r="F106" s="176">
        <v>69.0</v>
      </c>
      <c r="G106" s="176">
        <v>68.72</v>
      </c>
      <c r="H106" s="178">
        <v>60.0</v>
      </c>
      <c r="I106" s="102"/>
      <c r="J106" s="102"/>
    </row>
    <row r="107">
      <c r="B107" s="643">
        <v>44844.0</v>
      </c>
      <c r="C107" s="641"/>
      <c r="D107" s="176">
        <v>55686.0</v>
      </c>
      <c r="E107" s="148">
        <v>686.0</v>
      </c>
      <c r="F107" s="176">
        <v>75.0</v>
      </c>
      <c r="G107" s="176">
        <v>64.84</v>
      </c>
      <c r="H107" s="148">
        <v>51.01</v>
      </c>
      <c r="I107" s="102"/>
      <c r="J107" s="102"/>
    </row>
    <row r="108">
      <c r="B108" s="643">
        <v>44848.0</v>
      </c>
      <c r="C108" s="641"/>
      <c r="D108" s="176">
        <v>56305.0</v>
      </c>
      <c r="E108" s="148">
        <v>619.0</v>
      </c>
      <c r="F108" s="176">
        <v>67.0</v>
      </c>
      <c r="G108" s="176">
        <v>66.55</v>
      </c>
      <c r="H108" s="178">
        <v>60.0</v>
      </c>
      <c r="I108" s="102"/>
      <c r="J108" s="102"/>
    </row>
    <row r="109">
      <c r="B109" s="643">
        <v>44851.0</v>
      </c>
      <c r="C109" s="528" t="s">
        <v>485</v>
      </c>
      <c r="D109" s="176">
        <v>56697.0</v>
      </c>
      <c r="E109" s="148">
        <v>392.0</v>
      </c>
      <c r="F109" s="176">
        <v>76.0</v>
      </c>
      <c r="G109" s="176">
        <v>76.0</v>
      </c>
      <c r="H109" s="178">
        <v>60.0</v>
      </c>
      <c r="I109" s="102"/>
      <c r="J109" s="102"/>
    </row>
    <row r="110">
      <c r="B110" s="643">
        <v>44854.0</v>
      </c>
      <c r="C110" s="641"/>
      <c r="D110" s="176">
        <v>57117.0</v>
      </c>
      <c r="E110" s="148">
        <v>420.0</v>
      </c>
      <c r="F110" s="176">
        <v>75.0</v>
      </c>
      <c r="G110" s="176">
        <v>67.07</v>
      </c>
      <c r="H110" s="178">
        <v>56.62</v>
      </c>
      <c r="I110" s="102"/>
      <c r="J110" s="102"/>
    </row>
    <row r="111">
      <c r="B111" s="643">
        <v>44859.0</v>
      </c>
      <c r="C111" s="641"/>
      <c r="D111" s="176">
        <v>57442.0</v>
      </c>
      <c r="E111" s="148">
        <v>325.0</v>
      </c>
      <c r="F111" s="176">
        <v>68.0</v>
      </c>
      <c r="G111" s="176">
        <v>67.53</v>
      </c>
      <c r="H111" s="178">
        <v>60.0</v>
      </c>
      <c r="I111" s="102"/>
      <c r="J111" s="102"/>
    </row>
    <row r="112">
      <c r="B112" s="643">
        <v>44863.0</v>
      </c>
      <c r="C112" s="641"/>
      <c r="D112" s="176">
        <v>57641.0</v>
      </c>
      <c r="E112" s="148">
        <v>199.0</v>
      </c>
      <c r="F112" s="176">
        <v>76.0</v>
      </c>
      <c r="G112" s="176">
        <v>73.87</v>
      </c>
      <c r="H112" s="178">
        <v>60.0</v>
      </c>
      <c r="I112" s="102"/>
      <c r="J112" s="102"/>
    </row>
    <row r="113">
      <c r="A113" s="551"/>
      <c r="B113" s="619" t="s">
        <v>97</v>
      </c>
      <c r="I113" s="551"/>
      <c r="J113" s="618"/>
      <c r="K113" s="551"/>
      <c r="L113" s="551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</row>
    <row r="114">
      <c r="B114" s="145">
        <v>44866.0</v>
      </c>
      <c r="C114" s="528" t="s">
        <v>484</v>
      </c>
      <c r="D114" s="176">
        <v>58013.0</v>
      </c>
      <c r="E114" s="148">
        <v>372.0</v>
      </c>
      <c r="F114" s="176">
        <v>75.0</v>
      </c>
      <c r="G114" s="176">
        <v>64.76</v>
      </c>
      <c r="H114" s="178">
        <v>53.91</v>
      </c>
      <c r="I114" s="102"/>
      <c r="J114" s="102"/>
    </row>
    <row r="115">
      <c r="B115" s="145">
        <v>44868.0</v>
      </c>
      <c r="C115" s="641"/>
      <c r="D115" s="176">
        <v>58453.0</v>
      </c>
      <c r="E115" s="148">
        <v>440.0</v>
      </c>
      <c r="F115" s="176">
        <v>75.0</v>
      </c>
      <c r="G115" s="176">
        <v>72.1</v>
      </c>
      <c r="H115" s="178">
        <v>57.94</v>
      </c>
      <c r="I115" s="102"/>
      <c r="J115" s="102"/>
    </row>
    <row r="116">
      <c r="B116" s="145">
        <v>44872.0</v>
      </c>
      <c r="C116" s="641"/>
      <c r="D116" s="176">
        <v>58831.0</v>
      </c>
      <c r="E116" s="148">
        <v>378.0</v>
      </c>
      <c r="F116" s="176">
        <v>73.0</v>
      </c>
      <c r="G116" s="176">
        <v>72.23</v>
      </c>
      <c r="H116" s="178">
        <v>60.0</v>
      </c>
      <c r="I116" s="102"/>
      <c r="J116" s="102"/>
    </row>
    <row r="117">
      <c r="B117" s="643">
        <v>44876.0</v>
      </c>
      <c r="C117" s="641"/>
      <c r="D117" s="176">
        <v>59129.0</v>
      </c>
      <c r="E117" s="148">
        <v>298.0</v>
      </c>
      <c r="F117" s="176">
        <v>76.0</v>
      </c>
      <c r="G117" s="176">
        <v>64.0</v>
      </c>
      <c r="H117" s="148">
        <v>60.0</v>
      </c>
      <c r="I117" s="102"/>
      <c r="J117" s="102"/>
    </row>
    <row r="118">
      <c r="B118" s="643">
        <v>44878.0</v>
      </c>
      <c r="C118" s="641"/>
      <c r="D118" s="176">
        <v>59519.0</v>
      </c>
      <c r="E118" s="148">
        <v>390.0</v>
      </c>
      <c r="F118" s="176">
        <v>76.0</v>
      </c>
      <c r="G118" s="176">
        <v>57.65</v>
      </c>
      <c r="H118" s="178">
        <v>60.0</v>
      </c>
      <c r="I118" s="102"/>
      <c r="J118" s="102"/>
    </row>
    <row r="119">
      <c r="B119" s="643">
        <v>44881.0</v>
      </c>
      <c r="C119" s="528" t="s">
        <v>485</v>
      </c>
      <c r="D119" s="176">
        <v>60015.0</v>
      </c>
      <c r="E119" s="148">
        <v>496.0</v>
      </c>
      <c r="F119" s="642"/>
      <c r="G119" s="642"/>
      <c r="H119" s="178">
        <v>60.0</v>
      </c>
      <c r="I119" s="102"/>
      <c r="J119" s="102"/>
    </row>
    <row r="120">
      <c r="B120" s="643">
        <v>44884.0</v>
      </c>
      <c r="C120" s="641"/>
      <c r="D120" s="176">
        <v>60185.0</v>
      </c>
      <c r="E120" s="148">
        <v>170.0</v>
      </c>
      <c r="F120" s="642"/>
      <c r="G120" s="642"/>
      <c r="H120" s="178">
        <v>51.96</v>
      </c>
      <c r="I120" s="102"/>
      <c r="J120" s="102"/>
    </row>
    <row r="121">
      <c r="B121" s="643">
        <v>44887.0</v>
      </c>
      <c r="C121" s="641"/>
      <c r="D121" s="176">
        <v>60415.0</v>
      </c>
      <c r="E121" s="148">
        <v>230.0</v>
      </c>
      <c r="F121" s="642"/>
      <c r="G121" s="642"/>
      <c r="H121" s="178">
        <v>45.36</v>
      </c>
      <c r="I121" s="102"/>
      <c r="J121" s="102"/>
    </row>
    <row r="122">
      <c r="B122" s="643">
        <v>44890.0</v>
      </c>
      <c r="C122" s="641"/>
      <c r="D122" s="176">
        <v>60728.0</v>
      </c>
      <c r="E122" s="148">
        <v>313.0</v>
      </c>
      <c r="F122" s="642"/>
      <c r="G122" s="642"/>
      <c r="H122" s="178">
        <v>47.55</v>
      </c>
      <c r="I122" s="102"/>
      <c r="J122" s="102"/>
    </row>
    <row r="123">
      <c r="B123" s="643">
        <v>44894.0</v>
      </c>
      <c r="C123" s="641"/>
      <c r="D123" s="176">
        <v>61008.0</v>
      </c>
      <c r="E123" s="148">
        <v>280.0</v>
      </c>
      <c r="F123" s="642"/>
      <c r="G123" s="642"/>
      <c r="H123" s="178">
        <v>53.62</v>
      </c>
      <c r="I123" s="102"/>
      <c r="J123" s="102"/>
    </row>
    <row r="124">
      <c r="A124" s="551"/>
      <c r="B124" s="619" t="s">
        <v>95</v>
      </c>
      <c r="I124" s="551"/>
      <c r="J124" s="618"/>
      <c r="K124" s="551"/>
      <c r="L124" s="551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</row>
    <row r="125">
      <c r="B125" s="644">
        <v>44896.0</v>
      </c>
      <c r="C125" s="528" t="s">
        <v>486</v>
      </c>
      <c r="D125" s="176">
        <v>61338.0</v>
      </c>
      <c r="E125" s="148">
        <v>330.0</v>
      </c>
      <c r="F125" s="642"/>
      <c r="G125" s="642"/>
      <c r="H125" s="178">
        <v>47.07</v>
      </c>
      <c r="I125" s="102"/>
      <c r="J125" s="102"/>
    </row>
    <row r="126">
      <c r="B126" s="644">
        <v>44897.0</v>
      </c>
      <c r="C126" s="528" t="s">
        <v>486</v>
      </c>
      <c r="D126" s="176">
        <v>61687.0</v>
      </c>
      <c r="E126" s="148">
        <v>349.0</v>
      </c>
      <c r="F126" s="642"/>
      <c r="G126" s="642"/>
      <c r="H126" s="178">
        <v>60.0</v>
      </c>
      <c r="I126" s="102"/>
      <c r="J126" s="102"/>
    </row>
    <row r="127">
      <c r="B127" s="644">
        <v>44899.0</v>
      </c>
      <c r="C127" s="528" t="s">
        <v>486</v>
      </c>
      <c r="D127" s="176">
        <v>62058.0</v>
      </c>
      <c r="E127" s="148">
        <v>371.0</v>
      </c>
      <c r="F127" s="642"/>
      <c r="G127" s="642"/>
      <c r="H127" s="148">
        <v>60.0</v>
      </c>
      <c r="I127" s="102"/>
      <c r="J127" s="102"/>
    </row>
    <row r="128">
      <c r="B128" s="644">
        <v>44901.0</v>
      </c>
      <c r="C128" s="528" t="s">
        <v>486</v>
      </c>
      <c r="D128" s="176">
        <v>62478.0</v>
      </c>
      <c r="E128" s="148">
        <v>420.0</v>
      </c>
      <c r="F128" s="642"/>
      <c r="G128" s="642"/>
      <c r="H128" s="178">
        <v>60.0</v>
      </c>
      <c r="I128" s="102"/>
      <c r="J128" s="102"/>
    </row>
    <row r="129">
      <c r="B129" s="644">
        <v>44903.0</v>
      </c>
      <c r="C129" s="528" t="s">
        <v>486</v>
      </c>
      <c r="D129" s="176">
        <v>62874.0</v>
      </c>
      <c r="E129" s="148">
        <v>396.0</v>
      </c>
      <c r="F129" s="642"/>
      <c r="G129" s="642"/>
      <c r="H129" s="178">
        <v>60.0</v>
      </c>
      <c r="I129" s="102"/>
      <c r="J129" s="102"/>
    </row>
    <row r="130">
      <c r="B130" s="645">
        <v>44905.0</v>
      </c>
      <c r="C130" s="528" t="s">
        <v>486</v>
      </c>
      <c r="D130" s="176">
        <v>63277.0</v>
      </c>
      <c r="E130" s="148">
        <v>403.0</v>
      </c>
      <c r="F130" s="642"/>
      <c r="G130" s="642"/>
      <c r="H130" s="178">
        <v>60.0</v>
      </c>
      <c r="I130" s="102"/>
      <c r="J130" s="102"/>
    </row>
    <row r="131">
      <c r="B131" s="645">
        <v>44907.0</v>
      </c>
      <c r="C131" s="528" t="s">
        <v>486</v>
      </c>
      <c r="D131" s="176">
        <v>63688.0</v>
      </c>
      <c r="E131" s="148">
        <v>411.0</v>
      </c>
      <c r="F131" s="642"/>
      <c r="G131" s="642"/>
      <c r="H131" s="148">
        <v>60.0</v>
      </c>
      <c r="I131" s="102"/>
      <c r="J131" s="102"/>
    </row>
    <row r="132">
      <c r="B132" s="645">
        <v>44909.0</v>
      </c>
      <c r="C132" s="528" t="s">
        <v>486</v>
      </c>
      <c r="D132" s="176">
        <v>64074.0</v>
      </c>
      <c r="E132" s="148">
        <v>386.0</v>
      </c>
      <c r="F132" s="642"/>
      <c r="G132" s="642"/>
      <c r="H132" s="178">
        <v>60.0</v>
      </c>
      <c r="I132" s="102"/>
      <c r="J132" s="102"/>
    </row>
    <row r="133">
      <c r="B133" s="645">
        <v>44911.0</v>
      </c>
      <c r="C133" s="528" t="s">
        <v>485</v>
      </c>
      <c r="D133" s="176">
        <v>64469.0</v>
      </c>
      <c r="E133" s="148">
        <v>395.0</v>
      </c>
      <c r="F133" s="642"/>
      <c r="G133" s="642"/>
      <c r="H133" s="148">
        <v>60.0</v>
      </c>
      <c r="I133" s="102"/>
      <c r="J133" s="102"/>
    </row>
    <row r="134">
      <c r="B134" s="645">
        <v>44914.0</v>
      </c>
      <c r="C134" s="641"/>
      <c r="D134" s="176">
        <v>64766.0</v>
      </c>
      <c r="E134" s="148">
        <v>297.0</v>
      </c>
      <c r="F134" s="642"/>
      <c r="G134" s="642"/>
      <c r="H134" s="178">
        <v>64.99</v>
      </c>
      <c r="I134" s="102"/>
      <c r="J134" s="102"/>
    </row>
    <row r="135">
      <c r="B135" s="645">
        <v>44916.0</v>
      </c>
      <c r="C135" s="641"/>
      <c r="D135" s="176">
        <v>65130.0</v>
      </c>
      <c r="E135" s="148">
        <v>364.0</v>
      </c>
      <c r="F135" s="642"/>
      <c r="G135" s="642"/>
      <c r="H135" s="178">
        <v>60.0</v>
      </c>
      <c r="I135" s="102"/>
      <c r="J135" s="102"/>
    </row>
    <row r="136">
      <c r="B136" s="645">
        <v>44917.0</v>
      </c>
      <c r="C136" s="641"/>
      <c r="D136" s="176">
        <v>65574.0</v>
      </c>
      <c r="E136" s="148">
        <v>444.0</v>
      </c>
      <c r="F136" s="642"/>
      <c r="G136" s="642"/>
      <c r="H136" s="178">
        <v>60.06</v>
      </c>
      <c r="I136" s="102"/>
      <c r="J136" s="102"/>
    </row>
    <row r="137">
      <c r="B137" s="645">
        <v>44920.0</v>
      </c>
      <c r="C137" s="641"/>
      <c r="D137" s="176">
        <v>65896.0</v>
      </c>
      <c r="E137" s="148">
        <v>322.0</v>
      </c>
      <c r="F137" s="642"/>
      <c r="G137" s="642"/>
      <c r="H137" s="178">
        <v>60.0</v>
      </c>
      <c r="I137" s="102"/>
      <c r="J137" s="102"/>
    </row>
    <row r="138">
      <c r="B138" s="645">
        <v>44923.0</v>
      </c>
      <c r="C138" s="641"/>
      <c r="D138" s="176">
        <v>66208.0</v>
      </c>
      <c r="E138" s="148">
        <v>312.0</v>
      </c>
      <c r="F138" s="642"/>
      <c r="G138" s="642"/>
      <c r="H138" s="148">
        <v>58.23</v>
      </c>
      <c r="I138" s="102"/>
      <c r="J138" s="102"/>
    </row>
    <row r="139">
      <c r="A139" s="551"/>
      <c r="B139" s="134">
        <v>2023.0</v>
      </c>
      <c r="I139" s="551"/>
      <c r="J139" s="618"/>
      <c r="K139" s="551"/>
      <c r="L139" s="551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</row>
    <row r="140">
      <c r="A140" s="551"/>
      <c r="B140" s="619"/>
      <c r="C140" s="619"/>
      <c r="D140" s="619"/>
      <c r="E140" s="619" t="s">
        <v>66</v>
      </c>
      <c r="F140" s="619"/>
      <c r="G140" s="619"/>
      <c r="H140" s="619"/>
      <c r="I140" s="551"/>
      <c r="J140" s="618"/>
      <c r="K140" s="551"/>
      <c r="L140" s="551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</row>
    <row r="141">
      <c r="B141" s="145">
        <v>44935.0</v>
      </c>
      <c r="C141" s="528" t="s">
        <v>486</v>
      </c>
      <c r="D141" s="176">
        <v>66683.0</v>
      </c>
      <c r="E141" s="148">
        <v>475.0</v>
      </c>
      <c r="F141" s="642"/>
      <c r="G141" s="642"/>
      <c r="H141" s="178">
        <v>50.0</v>
      </c>
      <c r="I141" s="102"/>
      <c r="J141" s="102"/>
    </row>
    <row r="142">
      <c r="B142" s="145">
        <v>44936.0</v>
      </c>
      <c r="C142" s="641"/>
      <c r="D142" s="176">
        <v>66966.0</v>
      </c>
      <c r="E142" s="148">
        <v>284.0</v>
      </c>
      <c r="F142" s="642"/>
      <c r="G142" s="642"/>
      <c r="H142" s="148">
        <v>58.74</v>
      </c>
      <c r="I142" s="102"/>
      <c r="J142" s="102"/>
    </row>
    <row r="143">
      <c r="B143" s="145">
        <v>44938.0</v>
      </c>
      <c r="C143" s="641"/>
      <c r="D143" s="176">
        <v>67510.0</v>
      </c>
      <c r="E143" s="148">
        <v>544.0</v>
      </c>
      <c r="F143" s="642"/>
      <c r="G143" s="642"/>
      <c r="H143" s="178">
        <v>69.8</v>
      </c>
      <c r="I143" s="102"/>
      <c r="J143" s="102"/>
    </row>
    <row r="144">
      <c r="B144" s="145">
        <v>44939.0</v>
      </c>
      <c r="C144" s="641"/>
      <c r="D144" s="176">
        <v>67955.0</v>
      </c>
      <c r="E144" s="148">
        <v>445.0</v>
      </c>
      <c r="F144" s="642"/>
      <c r="G144" s="642"/>
      <c r="H144" s="178">
        <v>65.0</v>
      </c>
      <c r="I144" s="102"/>
      <c r="J144" s="102"/>
    </row>
    <row r="145">
      <c r="B145" s="145">
        <v>44941.0</v>
      </c>
      <c r="C145" s="641"/>
      <c r="D145" s="642"/>
      <c r="E145" s="148">
        <v>470.0</v>
      </c>
      <c r="F145" s="642"/>
      <c r="G145" s="642"/>
      <c r="H145" s="178">
        <v>64.28</v>
      </c>
      <c r="I145" s="102"/>
      <c r="J145" s="102"/>
    </row>
    <row r="146">
      <c r="B146" s="145">
        <v>44943.0</v>
      </c>
      <c r="C146" s="641"/>
      <c r="D146" s="642"/>
      <c r="E146" s="148">
        <v>344.0</v>
      </c>
      <c r="F146" s="642"/>
      <c r="G146" s="642"/>
      <c r="H146" s="178">
        <v>58.95</v>
      </c>
      <c r="I146" s="102"/>
      <c r="J146" s="102"/>
    </row>
    <row r="147">
      <c r="B147" s="145">
        <v>44945.0</v>
      </c>
      <c r="C147" s="641"/>
      <c r="D147" s="642"/>
      <c r="E147" s="148">
        <v>319.0</v>
      </c>
      <c r="F147" s="642"/>
      <c r="G147" s="642"/>
      <c r="H147" s="178">
        <v>52.55</v>
      </c>
      <c r="I147" s="102"/>
      <c r="J147" s="102"/>
    </row>
    <row r="148">
      <c r="B148" s="145">
        <v>44947.0</v>
      </c>
      <c r="C148" s="641"/>
      <c r="D148" s="642"/>
      <c r="E148" s="148">
        <v>292.0</v>
      </c>
      <c r="F148" s="642"/>
      <c r="G148" s="642"/>
      <c r="H148" s="178">
        <v>51.18</v>
      </c>
      <c r="I148" s="102"/>
      <c r="J148" s="102"/>
    </row>
    <row r="149">
      <c r="B149" s="145">
        <v>44950.0</v>
      </c>
      <c r="C149" s="641"/>
      <c r="D149" s="642"/>
      <c r="E149" s="148">
        <v>324.0</v>
      </c>
      <c r="F149" s="642"/>
      <c r="G149" s="642"/>
      <c r="H149" s="178">
        <v>61.21</v>
      </c>
      <c r="I149" s="102"/>
      <c r="J149" s="102"/>
    </row>
    <row r="150">
      <c r="B150" s="145">
        <v>44952.0</v>
      </c>
      <c r="C150" s="641"/>
      <c r="D150" s="642"/>
      <c r="E150" s="148">
        <v>300.0</v>
      </c>
      <c r="F150" s="642"/>
      <c r="G150" s="642"/>
      <c r="H150" s="178">
        <v>50.98</v>
      </c>
      <c r="I150" s="102"/>
      <c r="J150" s="102"/>
    </row>
    <row r="151">
      <c r="B151" s="145">
        <v>44955.0</v>
      </c>
      <c r="C151" s="641"/>
      <c r="D151" s="642"/>
      <c r="E151" s="148">
        <v>422.0</v>
      </c>
      <c r="F151" s="642"/>
      <c r="G151" s="642"/>
      <c r="H151" s="178">
        <v>57.88</v>
      </c>
      <c r="I151" s="102"/>
      <c r="J151" s="102"/>
    </row>
    <row r="152">
      <c r="A152" s="551"/>
      <c r="B152" s="619" t="s">
        <v>68</v>
      </c>
      <c r="I152" s="551"/>
      <c r="J152" s="618"/>
      <c r="K152" s="551"/>
      <c r="L152" s="551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</row>
    <row r="153">
      <c r="B153" s="145">
        <v>44958.0</v>
      </c>
      <c r="C153" s="641"/>
      <c r="D153" s="176">
        <v>61571.0</v>
      </c>
      <c r="E153" s="149"/>
      <c r="F153" s="176">
        <v>76.0</v>
      </c>
      <c r="G153" s="642"/>
      <c r="H153" s="178">
        <v>69.35</v>
      </c>
      <c r="I153" s="102"/>
      <c r="J153" s="102"/>
    </row>
    <row r="154">
      <c r="B154" s="145">
        <v>44961.0</v>
      </c>
      <c r="C154" s="641"/>
      <c r="D154" s="642"/>
      <c r="E154" s="149"/>
      <c r="F154" s="176">
        <v>75.0</v>
      </c>
      <c r="G154" s="642"/>
      <c r="H154" s="178">
        <v>68.25</v>
      </c>
      <c r="I154" s="102"/>
      <c r="J154" s="102"/>
    </row>
    <row r="155">
      <c r="B155" s="145">
        <v>44962.0</v>
      </c>
      <c r="C155" s="641"/>
      <c r="D155" s="642"/>
      <c r="E155" s="149"/>
      <c r="F155" s="176">
        <v>75.0</v>
      </c>
      <c r="G155" s="642"/>
      <c r="H155" s="178">
        <v>65.19</v>
      </c>
      <c r="I155" s="102"/>
      <c r="J155" s="102"/>
    </row>
    <row r="156">
      <c r="B156" s="145">
        <v>44964.0</v>
      </c>
      <c r="C156" s="641"/>
      <c r="D156" s="642"/>
      <c r="E156" s="149"/>
      <c r="F156" s="176">
        <v>75.0</v>
      </c>
      <c r="G156" s="642"/>
      <c r="H156" s="178">
        <v>70.02</v>
      </c>
      <c r="I156" s="102"/>
      <c r="J156" s="102"/>
    </row>
    <row r="157">
      <c r="B157" s="145">
        <v>44967.0</v>
      </c>
      <c r="C157" s="641"/>
      <c r="D157" s="642"/>
      <c r="E157" s="149"/>
      <c r="F157" s="176">
        <v>76.0</v>
      </c>
      <c r="G157" s="642"/>
      <c r="H157" s="178">
        <v>76.05</v>
      </c>
      <c r="I157" s="102"/>
      <c r="J157" s="102"/>
    </row>
    <row r="158">
      <c r="B158" s="145">
        <v>44969.0</v>
      </c>
      <c r="C158" s="641"/>
      <c r="D158" s="642"/>
      <c r="E158" s="149"/>
      <c r="F158" s="176">
        <v>74.0</v>
      </c>
      <c r="G158" s="642"/>
      <c r="H158" s="178">
        <v>72.03</v>
      </c>
      <c r="I158" s="102"/>
      <c r="J158" s="102"/>
    </row>
    <row r="159">
      <c r="B159" s="145">
        <v>44971.0</v>
      </c>
      <c r="C159" s="641"/>
      <c r="D159" s="176">
        <v>64565.0</v>
      </c>
      <c r="E159" s="149"/>
      <c r="F159" s="176">
        <v>75.0</v>
      </c>
      <c r="G159" s="642"/>
      <c r="H159" s="178">
        <v>70.03</v>
      </c>
      <c r="I159" s="102"/>
      <c r="J159" s="102"/>
    </row>
    <row r="160">
      <c r="B160" s="145">
        <v>44973.0</v>
      </c>
      <c r="C160" s="641"/>
      <c r="D160" s="642"/>
      <c r="E160" s="149"/>
      <c r="F160" s="176">
        <v>75.0</v>
      </c>
      <c r="G160" s="642"/>
      <c r="H160" s="178">
        <v>56.04</v>
      </c>
      <c r="I160" s="102"/>
      <c r="J160" s="102"/>
    </row>
    <row r="161">
      <c r="B161" s="145">
        <v>44975.0</v>
      </c>
      <c r="C161" s="641"/>
      <c r="D161" s="642"/>
      <c r="E161" s="149"/>
      <c r="F161" s="176">
        <v>75.0</v>
      </c>
      <c r="G161" s="642"/>
      <c r="H161" s="178">
        <v>53.76</v>
      </c>
      <c r="I161" s="102"/>
      <c r="J161" s="102"/>
    </row>
    <row r="162">
      <c r="B162" s="145">
        <v>44977.0</v>
      </c>
      <c r="C162" s="641"/>
      <c r="D162" s="642"/>
      <c r="E162" s="149"/>
      <c r="F162" s="176">
        <v>76.0</v>
      </c>
      <c r="G162" s="642"/>
      <c r="H162" s="178">
        <v>54.82</v>
      </c>
      <c r="I162" s="102"/>
      <c r="J162" s="102"/>
    </row>
    <row r="163">
      <c r="B163" s="145">
        <v>44979.0</v>
      </c>
      <c r="C163" s="641"/>
      <c r="D163" s="642"/>
      <c r="E163" s="149"/>
      <c r="F163" s="176">
        <v>75.0</v>
      </c>
      <c r="G163" s="642"/>
      <c r="H163" s="178">
        <v>61.92</v>
      </c>
      <c r="I163" s="102"/>
      <c r="J163" s="102"/>
    </row>
    <row r="164">
      <c r="B164" s="145">
        <v>44981.0</v>
      </c>
      <c r="C164" s="641"/>
      <c r="D164" s="642"/>
      <c r="E164" s="149"/>
      <c r="F164" s="176">
        <v>75.0</v>
      </c>
      <c r="G164" s="642"/>
      <c r="H164" s="178">
        <v>62.44</v>
      </c>
      <c r="I164" s="102"/>
      <c r="J164" s="102"/>
    </row>
    <row r="165">
      <c r="B165" s="145">
        <v>44983.0</v>
      </c>
      <c r="C165" s="641"/>
      <c r="D165" s="642"/>
      <c r="E165" s="149"/>
      <c r="F165" s="176">
        <v>73.0</v>
      </c>
      <c r="G165" s="642"/>
      <c r="H165" s="178">
        <v>56.79</v>
      </c>
      <c r="I165" s="102"/>
      <c r="J165" s="102"/>
    </row>
    <row r="166">
      <c r="B166" s="145">
        <v>44985.0</v>
      </c>
      <c r="C166" s="641"/>
      <c r="D166" s="176">
        <v>67077.0</v>
      </c>
      <c r="E166" s="149"/>
      <c r="F166" s="176">
        <v>76.0</v>
      </c>
      <c r="G166" s="642"/>
      <c r="H166" s="178">
        <v>61.46</v>
      </c>
      <c r="I166" s="102"/>
      <c r="J166" s="102"/>
    </row>
    <row r="167">
      <c r="A167" s="551"/>
      <c r="B167" s="619" t="s">
        <v>72</v>
      </c>
      <c r="I167" s="551"/>
      <c r="J167" s="618"/>
      <c r="K167" s="551"/>
      <c r="L167" s="551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</row>
    <row r="168">
      <c r="B168" s="145">
        <v>44987.0</v>
      </c>
      <c r="C168" s="641"/>
      <c r="D168" s="176">
        <v>67445.0</v>
      </c>
      <c r="E168" s="148">
        <v>368.0</v>
      </c>
      <c r="F168" s="642"/>
      <c r="G168" s="642"/>
      <c r="H168" s="178">
        <v>68.0</v>
      </c>
      <c r="I168" s="102"/>
      <c r="J168" s="102"/>
    </row>
    <row r="169">
      <c r="B169" s="145">
        <v>44990.0</v>
      </c>
      <c r="C169" s="641"/>
      <c r="D169" s="176">
        <v>67920.0</v>
      </c>
      <c r="E169" s="148">
        <v>475.0</v>
      </c>
      <c r="F169" s="642"/>
      <c r="G169" s="642"/>
      <c r="H169" s="178">
        <v>70.04</v>
      </c>
      <c r="I169" s="102"/>
      <c r="J169" s="102"/>
    </row>
    <row r="170">
      <c r="B170" s="145">
        <v>44992.0</v>
      </c>
      <c r="C170" s="641"/>
      <c r="D170" s="176">
        <v>68185.0</v>
      </c>
      <c r="E170" s="148">
        <v>265.0</v>
      </c>
      <c r="F170" s="642"/>
      <c r="G170" s="642"/>
      <c r="H170" s="178">
        <v>68.01</v>
      </c>
      <c r="I170" s="102"/>
      <c r="J170" s="102"/>
    </row>
    <row r="171">
      <c r="B171" s="145">
        <v>44995.0</v>
      </c>
      <c r="C171" s="641"/>
      <c r="D171" s="176">
        <v>68607.0</v>
      </c>
      <c r="E171" s="148">
        <v>422.0</v>
      </c>
      <c r="F171" s="642"/>
      <c r="G171" s="642"/>
      <c r="H171" s="178">
        <v>70.05</v>
      </c>
      <c r="I171" s="102"/>
      <c r="J171" s="102"/>
    </row>
    <row r="172">
      <c r="B172" s="145">
        <v>44997.0</v>
      </c>
      <c r="C172" s="641"/>
      <c r="D172" s="176">
        <v>69119.0</v>
      </c>
      <c r="E172" s="148">
        <v>512.0</v>
      </c>
      <c r="F172" s="642"/>
      <c r="G172" s="642"/>
      <c r="H172" s="178">
        <v>70.02</v>
      </c>
      <c r="I172" s="102"/>
      <c r="J172" s="102"/>
    </row>
    <row r="173">
      <c r="B173" s="145">
        <v>44999.0</v>
      </c>
      <c r="C173" s="641"/>
      <c r="D173" s="176">
        <v>69621.0</v>
      </c>
      <c r="E173" s="148">
        <v>502.0</v>
      </c>
      <c r="F173" s="642"/>
      <c r="G173" s="642"/>
      <c r="H173" s="178">
        <v>70.0</v>
      </c>
      <c r="I173" s="102"/>
      <c r="J173" s="102"/>
    </row>
    <row r="174">
      <c r="B174" s="145">
        <v>45001.0</v>
      </c>
      <c r="C174" s="641"/>
      <c r="D174" s="642"/>
      <c r="E174" s="149"/>
      <c r="F174" s="642"/>
      <c r="G174" s="642"/>
      <c r="H174" s="178">
        <v>61.02</v>
      </c>
      <c r="I174" s="102"/>
      <c r="J174" s="102"/>
    </row>
    <row r="175">
      <c r="B175" s="145">
        <v>45003.0</v>
      </c>
      <c r="C175" s="641"/>
      <c r="D175" s="642"/>
      <c r="E175" s="149"/>
      <c r="F175" s="642"/>
      <c r="G175" s="642"/>
      <c r="H175" s="178">
        <v>58.61</v>
      </c>
      <c r="I175" s="102"/>
      <c r="J175" s="102"/>
    </row>
    <row r="176">
      <c r="B176" s="145">
        <v>45005.0</v>
      </c>
      <c r="C176" s="641"/>
      <c r="D176" s="642"/>
      <c r="E176" s="149"/>
      <c r="F176" s="642"/>
      <c r="G176" s="642"/>
      <c r="H176" s="178">
        <v>55.16</v>
      </c>
      <c r="I176" s="102"/>
      <c r="J176" s="102"/>
    </row>
    <row r="177">
      <c r="B177" s="145">
        <v>45008.0</v>
      </c>
      <c r="C177" s="641"/>
      <c r="D177" s="642"/>
      <c r="E177" s="149"/>
      <c r="F177" s="642"/>
      <c r="G177" s="642"/>
      <c r="H177" s="178">
        <v>61.37</v>
      </c>
      <c r="I177" s="102"/>
      <c r="J177" s="102"/>
    </row>
    <row r="178">
      <c r="B178" s="145">
        <v>45010.0</v>
      </c>
      <c r="C178" s="641"/>
      <c r="D178" s="642"/>
      <c r="E178" s="149"/>
      <c r="F178" s="642"/>
      <c r="G178" s="642"/>
      <c r="H178" s="178">
        <v>58.08</v>
      </c>
      <c r="I178" s="102"/>
      <c r="J178" s="102"/>
    </row>
    <row r="179">
      <c r="B179" s="145">
        <v>45013.0</v>
      </c>
      <c r="C179" s="641"/>
      <c r="D179" s="642"/>
      <c r="E179" s="149"/>
      <c r="F179" s="642"/>
      <c r="G179" s="642"/>
      <c r="H179" s="178">
        <v>62.51</v>
      </c>
      <c r="I179" s="102"/>
      <c r="J179" s="102"/>
    </row>
    <row r="180">
      <c r="B180" s="145">
        <v>45015.0</v>
      </c>
      <c r="C180" s="641"/>
      <c r="D180" s="176">
        <v>72210.0</v>
      </c>
      <c r="E180" s="149"/>
      <c r="F180" s="642"/>
      <c r="G180" s="642"/>
      <c r="H180" s="178">
        <v>63.6</v>
      </c>
      <c r="I180" s="102"/>
      <c r="J180" s="102"/>
    </row>
    <row r="181">
      <c r="A181" s="89"/>
      <c r="B181" s="112" t="s">
        <v>74</v>
      </c>
      <c r="I181" s="89"/>
      <c r="J181" s="90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</row>
    <row r="182">
      <c r="B182" s="145">
        <v>45018.0</v>
      </c>
      <c r="C182" s="641"/>
      <c r="D182" s="148">
        <v>72706.0</v>
      </c>
      <c r="E182" s="148">
        <v>496.0</v>
      </c>
      <c r="F182" s="642"/>
      <c r="G182" s="642"/>
      <c r="H182" s="178">
        <v>70.01</v>
      </c>
      <c r="I182" s="102"/>
      <c r="J182" s="102"/>
    </row>
    <row r="183">
      <c r="B183" s="145">
        <v>45021.0</v>
      </c>
      <c r="C183" s="641"/>
      <c r="D183" s="148">
        <v>73309.0</v>
      </c>
      <c r="E183" s="148">
        <v>603.0</v>
      </c>
      <c r="F183" s="642"/>
      <c r="G183" s="642"/>
      <c r="H183" s="178">
        <v>71.01</v>
      </c>
      <c r="I183" s="102"/>
      <c r="J183" s="102"/>
    </row>
    <row r="184">
      <c r="B184" s="145">
        <v>45024.0</v>
      </c>
      <c r="C184" s="641"/>
      <c r="D184" s="148">
        <v>73850.0</v>
      </c>
      <c r="E184" s="148">
        <v>541.0</v>
      </c>
      <c r="F184" s="642"/>
      <c r="G184" s="642"/>
      <c r="H184" s="178">
        <v>68.77</v>
      </c>
      <c r="I184" s="102"/>
      <c r="J184" s="102"/>
    </row>
    <row r="185">
      <c r="B185" s="145">
        <v>45027.0</v>
      </c>
      <c r="C185" s="641"/>
      <c r="D185" s="148">
        <v>74406.0</v>
      </c>
      <c r="E185" s="148">
        <v>556.0</v>
      </c>
      <c r="F185" s="642"/>
      <c r="G185" s="642"/>
      <c r="H185" s="178">
        <v>70.02</v>
      </c>
      <c r="I185" s="102"/>
      <c r="J185" s="102"/>
    </row>
    <row r="186">
      <c r="B186" s="145">
        <v>45031.0</v>
      </c>
      <c r="C186" s="641"/>
      <c r="D186" s="148">
        <v>74967.0</v>
      </c>
      <c r="E186" s="148">
        <v>561.0</v>
      </c>
      <c r="F186" s="176">
        <v>76.0</v>
      </c>
      <c r="G186" s="642"/>
      <c r="H186" s="178">
        <v>70.02</v>
      </c>
      <c r="I186" s="102"/>
      <c r="J186" s="102"/>
    </row>
    <row r="187">
      <c r="B187" s="145">
        <v>45033.0</v>
      </c>
      <c r="C187" s="528" t="s">
        <v>486</v>
      </c>
      <c r="D187" s="148">
        <v>75434.0</v>
      </c>
      <c r="E187" s="148">
        <v>1028.0</v>
      </c>
      <c r="F187" s="176">
        <v>76.0</v>
      </c>
      <c r="G187" s="642"/>
      <c r="H187" s="178">
        <v>63.42</v>
      </c>
      <c r="I187" s="102"/>
      <c r="J187" s="102"/>
    </row>
    <row r="188">
      <c r="B188" s="145">
        <v>45035.0</v>
      </c>
      <c r="C188" s="641"/>
      <c r="D188" s="149"/>
      <c r="E188" s="149"/>
      <c r="F188" s="148">
        <v>74.0</v>
      </c>
      <c r="G188" s="642"/>
      <c r="H188" s="178">
        <v>62.12</v>
      </c>
      <c r="I188" s="102"/>
      <c r="J188" s="102"/>
    </row>
    <row r="189">
      <c r="B189" s="145">
        <v>45038.0</v>
      </c>
      <c r="C189" s="641"/>
      <c r="D189" s="148">
        <v>76388.0</v>
      </c>
      <c r="E189" s="148">
        <v>954.0</v>
      </c>
      <c r="F189" s="176">
        <v>75.0</v>
      </c>
      <c r="G189" s="642"/>
      <c r="H189" s="178">
        <v>61.65</v>
      </c>
      <c r="I189" s="102"/>
      <c r="J189" s="102"/>
    </row>
    <row r="190">
      <c r="B190" s="145">
        <v>45041.0</v>
      </c>
      <c r="C190" s="641"/>
      <c r="D190" s="148">
        <v>76807.0</v>
      </c>
      <c r="E190" s="148">
        <v>419.0</v>
      </c>
      <c r="F190" s="176">
        <v>72.0</v>
      </c>
      <c r="G190" s="642"/>
      <c r="H190" s="178">
        <v>57.51</v>
      </c>
      <c r="I190" s="102"/>
      <c r="J190" s="102"/>
    </row>
    <row r="191">
      <c r="B191" s="145">
        <v>45043.0</v>
      </c>
      <c r="C191" s="641"/>
      <c r="D191" s="148">
        <v>77202.0</v>
      </c>
      <c r="E191" s="148">
        <v>395.0</v>
      </c>
      <c r="F191" s="176">
        <v>76.0</v>
      </c>
      <c r="G191" s="642"/>
      <c r="H191" s="178">
        <v>51.26</v>
      </c>
      <c r="I191" s="102"/>
      <c r="J191" s="102"/>
    </row>
    <row r="192">
      <c r="B192" s="145">
        <v>45045.0</v>
      </c>
      <c r="C192" s="641"/>
      <c r="D192" s="148">
        <v>77652.0</v>
      </c>
      <c r="E192" s="148">
        <v>450.0</v>
      </c>
      <c r="F192" s="176">
        <v>76.0</v>
      </c>
      <c r="G192" s="642"/>
      <c r="H192" s="178">
        <v>53.67</v>
      </c>
      <c r="I192" s="102"/>
      <c r="J192" s="102"/>
    </row>
    <row r="193">
      <c r="A193" s="89"/>
      <c r="B193" s="112" t="s">
        <v>75</v>
      </c>
      <c r="I193" s="89"/>
      <c r="J193" s="90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</row>
    <row r="194">
      <c r="B194" s="145">
        <v>45049.0</v>
      </c>
      <c r="C194" s="641"/>
      <c r="D194" s="148">
        <v>78168.0</v>
      </c>
      <c r="E194" s="148">
        <v>516.0</v>
      </c>
      <c r="F194" s="642"/>
      <c r="G194" s="642"/>
      <c r="H194" s="178">
        <v>71.01</v>
      </c>
      <c r="I194" s="102"/>
      <c r="J194" s="102"/>
    </row>
    <row r="195">
      <c r="B195" s="145">
        <v>45051.0</v>
      </c>
      <c r="C195" s="641"/>
      <c r="D195" s="148">
        <v>78753.0</v>
      </c>
      <c r="E195" s="148">
        <v>585.0</v>
      </c>
      <c r="F195" s="642"/>
      <c r="G195" s="642"/>
      <c r="H195" s="178">
        <v>65.04</v>
      </c>
      <c r="I195" s="102"/>
      <c r="J195" s="102"/>
    </row>
    <row r="196">
      <c r="B196" s="145">
        <v>45053.0</v>
      </c>
      <c r="C196" s="641"/>
      <c r="D196" s="148">
        <v>79292.0</v>
      </c>
      <c r="E196" s="148">
        <v>539.0</v>
      </c>
      <c r="F196" s="642"/>
      <c r="G196" s="642"/>
      <c r="H196" s="178">
        <v>68.05</v>
      </c>
      <c r="I196" s="102"/>
      <c r="J196" s="102"/>
    </row>
    <row r="197">
      <c r="B197" s="145">
        <v>45056.0</v>
      </c>
      <c r="C197" s="641"/>
      <c r="D197" s="176">
        <v>79880.0</v>
      </c>
      <c r="E197" s="148">
        <v>588.0</v>
      </c>
      <c r="F197" s="642"/>
      <c r="G197" s="642"/>
      <c r="H197" s="178">
        <v>69.01</v>
      </c>
      <c r="I197" s="102"/>
      <c r="J197" s="102"/>
    </row>
    <row r="198">
      <c r="B198" s="145">
        <v>45059.0</v>
      </c>
      <c r="C198" s="641"/>
      <c r="D198" s="176">
        <v>80469.0</v>
      </c>
      <c r="E198" s="148">
        <v>589.0</v>
      </c>
      <c r="F198" s="642"/>
      <c r="G198" s="642"/>
      <c r="H198" s="178">
        <v>71.1</v>
      </c>
      <c r="I198" s="102"/>
      <c r="J198" s="102"/>
    </row>
    <row r="199">
      <c r="B199" s="145">
        <v>45062.0</v>
      </c>
      <c r="C199" s="641"/>
      <c r="D199" s="149"/>
      <c r="E199" s="148">
        <v>-80469.0</v>
      </c>
      <c r="F199" s="642"/>
      <c r="G199" s="642"/>
      <c r="H199" s="178">
        <v>60.0</v>
      </c>
      <c r="I199" s="102"/>
      <c r="J199" s="102"/>
    </row>
    <row r="200">
      <c r="B200" s="145">
        <v>45065.0</v>
      </c>
      <c r="C200" s="641"/>
      <c r="D200" s="149"/>
      <c r="E200" s="148">
        <v>0.0</v>
      </c>
      <c r="F200" s="642"/>
      <c r="G200" s="642"/>
      <c r="H200" s="178">
        <v>68.59</v>
      </c>
      <c r="I200" s="102"/>
      <c r="J200" s="102"/>
    </row>
    <row r="201">
      <c r="B201" s="145">
        <v>45068.0</v>
      </c>
      <c r="C201" s="641"/>
      <c r="D201" s="149"/>
      <c r="E201" s="148">
        <v>0.0</v>
      </c>
      <c r="F201" s="642"/>
      <c r="G201" s="642"/>
      <c r="H201" s="178">
        <v>70.0</v>
      </c>
      <c r="I201" s="102"/>
      <c r="J201" s="102"/>
    </row>
    <row r="202">
      <c r="B202" s="145">
        <v>45071.0</v>
      </c>
      <c r="C202" s="641"/>
      <c r="D202" s="642"/>
      <c r="E202" s="148">
        <v>0.0</v>
      </c>
      <c r="F202" s="642"/>
      <c r="G202" s="642"/>
      <c r="H202" s="178">
        <v>70.0</v>
      </c>
      <c r="I202" s="102"/>
      <c r="J202" s="102"/>
    </row>
    <row r="203">
      <c r="B203" s="145">
        <v>45075.0</v>
      </c>
      <c r="C203" s="641"/>
      <c r="D203" s="642"/>
      <c r="E203" s="148">
        <v>0.0</v>
      </c>
      <c r="F203" s="642"/>
      <c r="G203" s="642"/>
      <c r="H203" s="178">
        <v>63.45</v>
      </c>
      <c r="I203" s="102"/>
      <c r="J203" s="102"/>
    </row>
    <row r="204">
      <c r="B204" s="145">
        <v>45077.0</v>
      </c>
      <c r="C204" s="641"/>
      <c r="D204" s="176">
        <v>83931.0</v>
      </c>
      <c r="E204" s="149"/>
      <c r="F204" s="642"/>
      <c r="G204" s="642"/>
      <c r="H204" s="178">
        <v>62.44</v>
      </c>
      <c r="I204" s="102"/>
      <c r="J204" s="102"/>
    </row>
    <row r="205">
      <c r="A205" s="89"/>
      <c r="B205" s="112" t="s">
        <v>90</v>
      </c>
      <c r="I205" s="89"/>
      <c r="J205" s="90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</row>
    <row r="206">
      <c r="B206" s="145">
        <v>45081.0</v>
      </c>
      <c r="C206" s="641"/>
      <c r="D206" s="148">
        <v>84520.0</v>
      </c>
      <c r="E206" s="148">
        <v>589.0</v>
      </c>
      <c r="F206" s="642"/>
      <c r="G206" s="642"/>
      <c r="H206" s="178">
        <v>70.01</v>
      </c>
      <c r="I206" s="102"/>
      <c r="J206" s="102"/>
    </row>
    <row r="207">
      <c r="B207" s="145">
        <v>45084.0</v>
      </c>
      <c r="C207" s="641"/>
      <c r="D207" s="148">
        <v>85182.0</v>
      </c>
      <c r="E207" s="148">
        <v>662.0</v>
      </c>
      <c r="F207" s="642"/>
      <c r="G207" s="642"/>
      <c r="H207" s="178">
        <v>73.07</v>
      </c>
      <c r="I207" s="102"/>
      <c r="J207" s="102"/>
    </row>
    <row r="208">
      <c r="B208" s="145">
        <v>45087.0</v>
      </c>
      <c r="C208" s="641"/>
      <c r="D208" s="148">
        <v>85822.0</v>
      </c>
      <c r="E208" s="148">
        <v>640.0</v>
      </c>
      <c r="F208" s="642"/>
      <c r="G208" s="642"/>
      <c r="H208" s="178">
        <v>70.05</v>
      </c>
      <c r="I208" s="102"/>
      <c r="J208" s="102"/>
    </row>
    <row r="209">
      <c r="B209" s="145">
        <v>45090.0</v>
      </c>
      <c r="C209" s="641"/>
      <c r="D209" s="176">
        <v>86450.0</v>
      </c>
      <c r="E209" s="148">
        <v>628.0</v>
      </c>
      <c r="F209" s="642"/>
      <c r="G209" s="642"/>
      <c r="H209" s="178">
        <v>72.05</v>
      </c>
      <c r="I209" s="102"/>
      <c r="J209" s="102"/>
    </row>
    <row r="210">
      <c r="B210" s="145">
        <v>45094.0</v>
      </c>
      <c r="C210" s="641"/>
      <c r="D210" s="176">
        <v>87091.0</v>
      </c>
      <c r="E210" s="148">
        <v>641.0</v>
      </c>
      <c r="F210" s="642"/>
      <c r="G210" s="642"/>
      <c r="H210" s="178">
        <v>70.0</v>
      </c>
      <c r="I210" s="102"/>
      <c r="J210" s="102"/>
    </row>
    <row r="211">
      <c r="B211" s="145">
        <v>45099.0</v>
      </c>
      <c r="C211" s="641"/>
      <c r="D211" s="176">
        <v>87775.0</v>
      </c>
      <c r="E211" s="148">
        <v>684.0</v>
      </c>
      <c r="F211" s="642"/>
      <c r="G211" s="642"/>
      <c r="H211" s="178">
        <v>73.94</v>
      </c>
      <c r="I211" s="102"/>
      <c r="J211" s="102"/>
    </row>
    <row r="212">
      <c r="B212" s="145">
        <v>45104.0</v>
      </c>
      <c r="C212" s="641"/>
      <c r="D212" s="176">
        <v>88437.0</v>
      </c>
      <c r="E212" s="148">
        <v>662.0</v>
      </c>
      <c r="F212" s="642"/>
      <c r="G212" s="642"/>
      <c r="H212" s="178">
        <v>69.39</v>
      </c>
      <c r="I212" s="102"/>
      <c r="J212" s="102"/>
    </row>
    <row r="213">
      <c r="B213" s="145">
        <v>45107.0</v>
      </c>
      <c r="C213" s="641"/>
      <c r="D213" s="176">
        <v>89128.0</v>
      </c>
      <c r="E213" s="148">
        <v>691.0</v>
      </c>
      <c r="F213" s="642"/>
      <c r="G213" s="642"/>
      <c r="H213" s="178">
        <v>69.14</v>
      </c>
      <c r="I213" s="102"/>
      <c r="J213" s="102"/>
    </row>
    <row r="214">
      <c r="A214" s="89"/>
      <c r="B214" s="112" t="s">
        <v>92</v>
      </c>
      <c r="I214" s="89"/>
      <c r="J214" s="90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</row>
    <row r="215">
      <c r="B215" s="145">
        <v>45110.0</v>
      </c>
      <c r="C215" s="641"/>
      <c r="D215" s="148">
        <v>89718.0</v>
      </c>
      <c r="E215" s="148">
        <v>590.0</v>
      </c>
      <c r="F215" s="642"/>
      <c r="G215" s="642"/>
      <c r="H215" s="178">
        <v>70.01</v>
      </c>
      <c r="I215" s="102"/>
      <c r="J215" s="102"/>
    </row>
    <row r="216">
      <c r="B216" s="145">
        <v>45113.0</v>
      </c>
      <c r="C216" s="641"/>
      <c r="D216" s="148">
        <v>90337.0</v>
      </c>
      <c r="E216" s="148">
        <v>619.0</v>
      </c>
      <c r="F216" s="642"/>
      <c r="G216" s="642"/>
      <c r="H216" s="178">
        <v>73.07</v>
      </c>
      <c r="I216" s="102"/>
      <c r="J216" s="102"/>
    </row>
    <row r="217">
      <c r="B217" s="145">
        <v>45115.0</v>
      </c>
      <c r="C217" s="641"/>
      <c r="D217" s="148">
        <v>91022.0</v>
      </c>
      <c r="E217" s="148">
        <v>685.0</v>
      </c>
      <c r="F217" s="642"/>
      <c r="G217" s="642"/>
      <c r="H217" s="178">
        <v>70.05</v>
      </c>
      <c r="I217" s="102"/>
      <c r="J217" s="102"/>
    </row>
    <row r="218">
      <c r="B218" s="145">
        <v>45119.0</v>
      </c>
      <c r="C218" s="641"/>
      <c r="D218" s="176">
        <v>91670.0</v>
      </c>
      <c r="E218" s="148">
        <v>648.0</v>
      </c>
      <c r="F218" s="642"/>
      <c r="G218" s="642"/>
      <c r="H218" s="178">
        <v>72.05</v>
      </c>
      <c r="I218" s="102"/>
      <c r="J218" s="102"/>
    </row>
    <row r="219">
      <c r="B219" s="145">
        <v>45122.0</v>
      </c>
      <c r="C219" s="641"/>
      <c r="D219" s="176">
        <v>92306.0</v>
      </c>
      <c r="E219" s="148">
        <v>636.0</v>
      </c>
      <c r="F219" s="642"/>
      <c r="G219" s="642"/>
      <c r="H219" s="178">
        <v>73.03</v>
      </c>
      <c r="I219" s="102"/>
      <c r="J219" s="102"/>
    </row>
    <row r="220">
      <c r="B220" s="145">
        <v>45124.0</v>
      </c>
      <c r="C220" s="641"/>
      <c r="D220" s="176">
        <v>92928.0</v>
      </c>
      <c r="E220" s="148">
        <v>622.0</v>
      </c>
      <c r="F220" s="642"/>
      <c r="G220" s="642"/>
      <c r="H220" s="178">
        <v>64.87</v>
      </c>
      <c r="I220" s="102"/>
      <c r="J220" s="102"/>
    </row>
    <row r="221">
      <c r="B221" s="145">
        <v>45127.0</v>
      </c>
      <c r="C221" s="641"/>
      <c r="D221" s="176">
        <v>93591.0</v>
      </c>
      <c r="E221" s="148">
        <v>663.0</v>
      </c>
      <c r="F221" s="642"/>
      <c r="G221" s="642"/>
      <c r="H221" s="178">
        <v>67.48</v>
      </c>
      <c r="I221" s="102"/>
      <c r="J221" s="102"/>
    </row>
    <row r="222">
      <c r="B222" s="145">
        <v>45137.0</v>
      </c>
      <c r="C222" s="641"/>
      <c r="D222" s="176">
        <v>94287.0</v>
      </c>
      <c r="E222" s="148">
        <v>696.0</v>
      </c>
      <c r="F222" s="642"/>
      <c r="G222" s="642"/>
      <c r="H222" s="178">
        <v>75.0</v>
      </c>
      <c r="I222" s="102"/>
      <c r="J222" s="102"/>
    </row>
    <row r="223">
      <c r="A223" s="89"/>
      <c r="B223" s="88" t="s">
        <v>95</v>
      </c>
      <c r="I223" s="89"/>
      <c r="J223" s="90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</row>
    <row r="224">
      <c r="B224" s="145">
        <v>45140.0</v>
      </c>
      <c r="C224" s="641"/>
      <c r="D224" s="148">
        <v>94955.0</v>
      </c>
      <c r="E224" s="148">
        <v>668.0</v>
      </c>
      <c r="F224" s="642"/>
      <c r="G224" s="642"/>
      <c r="H224" s="178">
        <v>69.11</v>
      </c>
      <c r="I224" s="102"/>
      <c r="J224" s="102"/>
    </row>
    <row r="225">
      <c r="B225" s="145">
        <v>45143.0</v>
      </c>
      <c r="C225" s="641"/>
      <c r="D225" s="148">
        <v>95572.0</v>
      </c>
      <c r="E225" s="148">
        <v>617.0</v>
      </c>
      <c r="F225" s="642"/>
      <c r="G225" s="642"/>
      <c r="H225" s="178">
        <v>70.06</v>
      </c>
      <c r="I225" s="102"/>
      <c r="J225" s="102"/>
    </row>
    <row r="226">
      <c r="B226" s="145">
        <v>45146.0</v>
      </c>
      <c r="C226" s="641"/>
      <c r="D226" s="148">
        <v>96240.0</v>
      </c>
      <c r="E226" s="148">
        <v>668.0</v>
      </c>
      <c r="F226" s="642"/>
      <c r="G226" s="642"/>
      <c r="H226" s="178">
        <v>70.02</v>
      </c>
      <c r="I226" s="102"/>
      <c r="J226" s="102"/>
    </row>
    <row r="227">
      <c r="B227" s="145">
        <v>45149.0</v>
      </c>
      <c r="C227" s="641"/>
      <c r="D227" s="176">
        <v>97006.0</v>
      </c>
      <c r="E227" s="148">
        <v>766.0</v>
      </c>
      <c r="F227" s="642"/>
      <c r="G227" s="642"/>
      <c r="H227" s="178">
        <v>77.06</v>
      </c>
      <c r="I227" s="102"/>
      <c r="J227" s="102"/>
    </row>
    <row r="228">
      <c r="B228" s="145">
        <v>45152.0</v>
      </c>
      <c r="C228" s="641"/>
      <c r="D228" s="176">
        <v>97688.0</v>
      </c>
      <c r="E228" s="148">
        <v>682.0</v>
      </c>
      <c r="F228" s="642"/>
      <c r="G228" s="642"/>
      <c r="H228" s="178">
        <v>75.02</v>
      </c>
      <c r="I228" s="102"/>
      <c r="J228" s="102"/>
    </row>
    <row r="229">
      <c r="B229" s="145">
        <v>45155.0</v>
      </c>
      <c r="C229" s="641"/>
      <c r="D229" s="176">
        <v>98408.0</v>
      </c>
      <c r="E229" s="148">
        <v>720.0</v>
      </c>
      <c r="F229" s="642"/>
      <c r="G229" s="642"/>
      <c r="H229" s="178">
        <v>70.56</v>
      </c>
      <c r="I229" s="102"/>
      <c r="J229" s="102"/>
    </row>
    <row r="230">
      <c r="B230" s="145">
        <v>45159.0</v>
      </c>
      <c r="C230" s="641"/>
      <c r="D230" s="176">
        <v>99052.0</v>
      </c>
      <c r="E230" s="148">
        <v>644.0</v>
      </c>
      <c r="F230" s="642"/>
      <c r="G230" s="642"/>
      <c r="H230" s="178">
        <v>70.0</v>
      </c>
      <c r="I230" s="102"/>
      <c r="J230" s="102"/>
    </row>
    <row r="231">
      <c r="B231" s="145">
        <v>45163.0</v>
      </c>
      <c r="C231" s="641"/>
      <c r="D231" s="176">
        <v>99729.0</v>
      </c>
      <c r="E231" s="148">
        <v>677.0</v>
      </c>
      <c r="F231" s="642"/>
      <c r="G231" s="642"/>
      <c r="H231" s="178">
        <v>70.0</v>
      </c>
      <c r="I231" s="102"/>
      <c r="J231" s="102"/>
    </row>
    <row r="232">
      <c r="B232" s="145">
        <v>45166.0</v>
      </c>
      <c r="C232" s="641"/>
      <c r="D232" s="176">
        <v>100258.0</v>
      </c>
      <c r="E232" s="148">
        <v>529.0</v>
      </c>
      <c r="F232" s="642"/>
      <c r="G232" s="642"/>
      <c r="H232" s="178">
        <v>64.19</v>
      </c>
      <c r="I232" s="102"/>
      <c r="J232" s="102"/>
    </row>
    <row r="233">
      <c r="B233" s="145">
        <v>45169.0</v>
      </c>
      <c r="C233" s="641"/>
      <c r="D233" s="176">
        <v>101020.0</v>
      </c>
      <c r="E233" s="148">
        <v>762.0</v>
      </c>
      <c r="F233" s="642"/>
      <c r="G233" s="642"/>
      <c r="H233" s="178">
        <v>70.0</v>
      </c>
      <c r="I233" s="102"/>
      <c r="J233" s="102"/>
    </row>
    <row r="234">
      <c r="A234" s="89"/>
      <c r="B234" s="112" t="s">
        <v>104</v>
      </c>
      <c r="I234" s="89"/>
      <c r="J234" s="90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</row>
    <row r="235">
      <c r="B235" s="145">
        <v>45171.0</v>
      </c>
      <c r="C235" s="641"/>
      <c r="D235" s="148">
        <v>101585.0</v>
      </c>
      <c r="E235" s="148">
        <v>565.0</v>
      </c>
      <c r="F235" s="642"/>
      <c r="G235" s="642"/>
      <c r="H235" s="178">
        <v>70.06</v>
      </c>
      <c r="I235" s="102"/>
      <c r="J235" s="102"/>
    </row>
    <row r="236">
      <c r="B236" s="145">
        <v>45174.0</v>
      </c>
      <c r="C236" s="641"/>
      <c r="D236" s="148">
        <v>102307.0</v>
      </c>
      <c r="E236" s="148">
        <v>722.0</v>
      </c>
      <c r="F236" s="642"/>
      <c r="G236" s="642"/>
      <c r="H236" s="178">
        <v>71.02</v>
      </c>
      <c r="I236" s="102"/>
      <c r="J236" s="102"/>
    </row>
    <row r="237">
      <c r="B237" s="145">
        <v>45177.0</v>
      </c>
      <c r="C237" s="641"/>
      <c r="D237" s="148">
        <v>102955.0</v>
      </c>
      <c r="E237" s="148">
        <v>648.0</v>
      </c>
      <c r="F237" s="642"/>
      <c r="G237" s="642"/>
      <c r="H237" s="178">
        <v>74.02</v>
      </c>
      <c r="I237" s="102"/>
      <c r="J237" s="102"/>
    </row>
    <row r="238">
      <c r="B238" s="145">
        <v>45180.0</v>
      </c>
      <c r="C238" s="641"/>
      <c r="D238" s="176">
        <v>103622.0</v>
      </c>
      <c r="E238" s="148">
        <v>667.0</v>
      </c>
      <c r="F238" s="642"/>
      <c r="G238" s="642"/>
      <c r="H238" s="178">
        <v>73.01</v>
      </c>
      <c r="I238" s="102"/>
      <c r="J238" s="102"/>
    </row>
    <row r="239">
      <c r="B239" s="145">
        <v>45183.0</v>
      </c>
      <c r="C239" s="641"/>
      <c r="D239" s="176">
        <v>104274.0</v>
      </c>
      <c r="E239" s="148">
        <v>652.0</v>
      </c>
      <c r="F239" s="642"/>
      <c r="G239" s="642"/>
      <c r="H239" s="178">
        <v>72.04</v>
      </c>
      <c r="I239" s="102"/>
      <c r="J239" s="102"/>
    </row>
    <row r="240">
      <c r="B240" s="145">
        <v>45186.0</v>
      </c>
      <c r="C240" s="641"/>
      <c r="D240" s="176">
        <v>104956.0</v>
      </c>
      <c r="E240" s="148">
        <v>682.0</v>
      </c>
      <c r="F240" s="642"/>
      <c r="G240" s="642"/>
      <c r="H240" s="178">
        <v>75.0</v>
      </c>
      <c r="I240" s="102"/>
      <c r="J240" s="102"/>
    </row>
    <row r="241">
      <c r="B241" s="145">
        <v>45190.0</v>
      </c>
      <c r="C241" s="641"/>
      <c r="D241" s="176">
        <v>105666.0</v>
      </c>
      <c r="E241" s="148">
        <v>710.0</v>
      </c>
      <c r="F241" s="642"/>
      <c r="G241" s="642"/>
      <c r="H241" s="178">
        <v>75.0</v>
      </c>
      <c r="I241" s="102"/>
      <c r="J241" s="102"/>
    </row>
    <row r="242">
      <c r="B242" s="145">
        <v>45193.0</v>
      </c>
      <c r="C242" s="641"/>
      <c r="D242" s="176">
        <v>106272.0</v>
      </c>
      <c r="E242" s="148">
        <v>606.0</v>
      </c>
      <c r="F242" s="642"/>
      <c r="G242" s="642"/>
      <c r="H242" s="178">
        <v>69.2</v>
      </c>
      <c r="I242" s="102"/>
      <c r="J242" s="102"/>
    </row>
    <row r="243">
      <c r="B243" s="145">
        <v>45197.0</v>
      </c>
      <c r="C243" s="641"/>
      <c r="D243" s="176">
        <v>106921.0</v>
      </c>
      <c r="E243" s="148">
        <v>649.0</v>
      </c>
      <c r="F243" s="642"/>
      <c r="G243" s="642"/>
      <c r="H243" s="178">
        <v>75.0</v>
      </c>
      <c r="I243" s="102"/>
      <c r="J243" s="102"/>
    </row>
    <row r="244">
      <c r="B244" s="145">
        <v>45199.0</v>
      </c>
      <c r="C244" s="641"/>
      <c r="D244" s="176">
        <v>107489.0</v>
      </c>
      <c r="E244" s="148">
        <v>568.0</v>
      </c>
      <c r="F244" s="642"/>
      <c r="G244" s="642"/>
      <c r="H244" s="178">
        <v>60.0</v>
      </c>
      <c r="I244" s="102"/>
      <c r="J244" s="102"/>
    </row>
    <row r="245">
      <c r="A245" s="89"/>
      <c r="B245" s="112" t="s">
        <v>96</v>
      </c>
      <c r="I245" s="89"/>
      <c r="J245" s="90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</row>
    <row r="246">
      <c r="B246" s="145">
        <v>45201.0</v>
      </c>
      <c r="C246" s="641"/>
      <c r="D246" s="148">
        <v>108120.0</v>
      </c>
      <c r="E246" s="148">
        <v>631.0</v>
      </c>
      <c r="F246" s="642"/>
      <c r="G246" s="642"/>
      <c r="H246" s="178">
        <v>75.05</v>
      </c>
      <c r="I246" s="102"/>
      <c r="J246" s="102"/>
    </row>
    <row r="247">
      <c r="B247" s="145">
        <v>45204.0</v>
      </c>
      <c r="C247" s="641"/>
      <c r="D247" s="148">
        <v>108745.0</v>
      </c>
      <c r="E247" s="148">
        <v>625.0</v>
      </c>
      <c r="F247" s="642"/>
      <c r="G247" s="642"/>
      <c r="H247" s="178">
        <v>75.0</v>
      </c>
      <c r="I247" s="102"/>
      <c r="J247" s="102"/>
    </row>
    <row r="248">
      <c r="B248" s="145">
        <v>45207.0</v>
      </c>
      <c r="C248" s="641"/>
      <c r="D248" s="148">
        <v>109449.0</v>
      </c>
      <c r="E248" s="148">
        <v>704.0</v>
      </c>
      <c r="F248" s="642"/>
      <c r="G248" s="642"/>
      <c r="H248" s="178">
        <v>77.13</v>
      </c>
      <c r="I248" s="102"/>
      <c r="J248" s="102"/>
    </row>
    <row r="249">
      <c r="B249" s="643">
        <v>45209.0</v>
      </c>
      <c r="C249" s="641"/>
      <c r="D249" s="176">
        <v>110089.0</v>
      </c>
      <c r="E249" s="148">
        <v>640.0</v>
      </c>
      <c r="F249" s="642"/>
      <c r="G249" s="642"/>
      <c r="H249" s="178">
        <v>76.04</v>
      </c>
      <c r="I249" s="102"/>
      <c r="J249" s="102"/>
    </row>
    <row r="250">
      <c r="B250" s="643">
        <v>45212.0</v>
      </c>
      <c r="C250" s="641"/>
      <c r="D250" s="176">
        <v>110709.0</v>
      </c>
      <c r="E250" s="148">
        <v>620.0</v>
      </c>
      <c r="F250" s="642"/>
      <c r="G250" s="642"/>
      <c r="H250" s="178">
        <v>80.0</v>
      </c>
      <c r="I250" s="102"/>
      <c r="J250" s="102"/>
    </row>
    <row r="251">
      <c r="B251" s="643">
        <v>45215.0</v>
      </c>
      <c r="C251" s="641"/>
      <c r="D251" s="176">
        <v>111249.0</v>
      </c>
      <c r="E251" s="148">
        <v>540.0</v>
      </c>
      <c r="F251" s="642"/>
      <c r="G251" s="642"/>
      <c r="H251" s="178">
        <v>60.0</v>
      </c>
      <c r="I251" s="102"/>
      <c r="J251" s="102"/>
    </row>
    <row r="252">
      <c r="B252" s="643">
        <v>45218.0</v>
      </c>
      <c r="C252" s="641"/>
      <c r="D252" s="176">
        <v>111812.0</v>
      </c>
      <c r="E252" s="148">
        <v>563.0</v>
      </c>
      <c r="F252" s="642"/>
      <c r="G252" s="642"/>
      <c r="H252" s="178">
        <v>75.08</v>
      </c>
      <c r="I252" s="102"/>
      <c r="J252" s="102"/>
    </row>
    <row r="253">
      <c r="B253" s="643">
        <v>45221.0</v>
      </c>
      <c r="C253" s="641"/>
      <c r="D253" s="176">
        <v>112307.0</v>
      </c>
      <c r="E253" s="148">
        <v>495.0</v>
      </c>
      <c r="F253" s="642"/>
      <c r="G253" s="642"/>
      <c r="H253" s="178">
        <v>64.36</v>
      </c>
      <c r="I253" s="102"/>
      <c r="J253" s="102"/>
    </row>
    <row r="254">
      <c r="B254" s="643">
        <v>45224.0</v>
      </c>
      <c r="C254" s="641"/>
      <c r="D254" s="176">
        <v>112840.0</v>
      </c>
      <c r="E254" s="148">
        <v>533.0</v>
      </c>
      <c r="F254" s="642"/>
      <c r="G254" s="642"/>
      <c r="H254" s="178">
        <v>70.0</v>
      </c>
      <c r="I254" s="102"/>
      <c r="J254" s="102"/>
    </row>
    <row r="255">
      <c r="B255" s="643">
        <v>45227.0</v>
      </c>
      <c r="C255" s="641"/>
      <c r="D255" s="176">
        <v>113324.0</v>
      </c>
      <c r="E255" s="148">
        <v>484.0</v>
      </c>
      <c r="F255" s="642"/>
      <c r="G255" s="642"/>
      <c r="H255" s="178">
        <v>70.45</v>
      </c>
      <c r="I255" s="102"/>
      <c r="J255" s="102"/>
    </row>
    <row r="256">
      <c r="B256" s="643">
        <v>45230.0</v>
      </c>
      <c r="C256" s="641"/>
      <c r="D256" s="176">
        <v>113931.0</v>
      </c>
      <c r="E256" s="148">
        <v>607.0</v>
      </c>
      <c r="F256" s="642"/>
      <c r="G256" s="642"/>
      <c r="H256" s="178">
        <v>79.49</v>
      </c>
      <c r="I256" s="102"/>
      <c r="J256" s="102"/>
    </row>
    <row r="257">
      <c r="A257" s="89"/>
      <c r="B257" s="112" t="s">
        <v>97</v>
      </c>
      <c r="I257" s="89"/>
      <c r="J257" s="90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</row>
    <row r="258">
      <c r="B258" s="145">
        <v>45233.0</v>
      </c>
      <c r="C258" s="641"/>
      <c r="D258" s="148">
        <v>114608.0</v>
      </c>
      <c r="E258" s="148">
        <v>677.0</v>
      </c>
      <c r="F258" s="642"/>
      <c r="G258" s="642"/>
      <c r="H258" s="178">
        <v>79.01</v>
      </c>
      <c r="I258" s="102"/>
      <c r="J258" s="102"/>
    </row>
    <row r="259">
      <c r="B259" s="145">
        <v>45236.0</v>
      </c>
      <c r="C259" s="641"/>
      <c r="D259" s="148">
        <v>115298.0</v>
      </c>
      <c r="E259" s="148">
        <v>690.0</v>
      </c>
      <c r="F259" s="642"/>
      <c r="G259" s="642"/>
      <c r="H259" s="178">
        <v>80.0</v>
      </c>
      <c r="I259" s="102"/>
      <c r="J259" s="102"/>
    </row>
    <row r="260">
      <c r="B260" s="145">
        <v>45239.0</v>
      </c>
      <c r="C260" s="641"/>
      <c r="D260" s="148">
        <v>115950.0</v>
      </c>
      <c r="E260" s="148">
        <v>652.0</v>
      </c>
      <c r="F260" s="642"/>
      <c r="G260" s="642"/>
      <c r="H260" s="178">
        <v>80.0</v>
      </c>
      <c r="I260" s="102"/>
      <c r="J260" s="102"/>
    </row>
    <row r="261">
      <c r="B261" s="643">
        <v>45242.0</v>
      </c>
      <c r="C261" s="641"/>
      <c r="D261" s="176">
        <v>116616.0</v>
      </c>
      <c r="E261" s="148">
        <v>666.0</v>
      </c>
      <c r="F261" s="642"/>
      <c r="G261" s="642"/>
      <c r="H261" s="178">
        <v>80.0</v>
      </c>
      <c r="I261" s="102"/>
      <c r="J261" s="102"/>
    </row>
    <row r="262">
      <c r="B262" s="643">
        <v>45245.0</v>
      </c>
      <c r="C262" s="641"/>
      <c r="D262" s="176">
        <v>117205.0</v>
      </c>
      <c r="E262" s="148">
        <v>589.0</v>
      </c>
      <c r="F262" s="642"/>
      <c r="G262" s="642"/>
      <c r="H262" s="178">
        <v>78.01</v>
      </c>
      <c r="I262" s="102"/>
      <c r="J262" s="102"/>
    </row>
    <row r="263">
      <c r="B263" s="643">
        <v>45247.0</v>
      </c>
      <c r="C263" s="641"/>
      <c r="D263" s="176">
        <v>117799.0</v>
      </c>
      <c r="E263" s="148">
        <v>594.0</v>
      </c>
      <c r="F263" s="642"/>
      <c r="G263" s="642"/>
      <c r="H263" s="178">
        <v>60.0</v>
      </c>
      <c r="I263" s="102"/>
      <c r="J263" s="102"/>
    </row>
    <row r="264">
      <c r="B264" s="643">
        <v>45249.0</v>
      </c>
      <c r="C264" s="641"/>
      <c r="D264" s="176">
        <v>118404.0</v>
      </c>
      <c r="E264" s="148">
        <v>605.0</v>
      </c>
      <c r="F264" s="642"/>
      <c r="G264" s="642"/>
      <c r="H264" s="178">
        <v>75.08</v>
      </c>
      <c r="I264" s="102"/>
      <c r="J264" s="102"/>
    </row>
    <row r="265">
      <c r="B265" s="643">
        <v>45252.0</v>
      </c>
      <c r="C265" s="641"/>
      <c r="D265" s="176">
        <v>118934.0</v>
      </c>
      <c r="E265" s="148">
        <v>530.0</v>
      </c>
      <c r="F265" s="642"/>
      <c r="G265" s="642"/>
      <c r="H265" s="178">
        <v>64.36</v>
      </c>
      <c r="I265" s="102"/>
      <c r="J265" s="102"/>
    </row>
    <row r="266">
      <c r="B266" s="643">
        <v>45255.0</v>
      </c>
      <c r="C266" s="641"/>
      <c r="D266" s="176">
        <v>119546.0</v>
      </c>
      <c r="E266" s="148">
        <v>612.0</v>
      </c>
      <c r="F266" s="642"/>
      <c r="G266" s="642"/>
      <c r="H266" s="178">
        <v>70.0</v>
      </c>
      <c r="I266" s="102"/>
      <c r="J266" s="102"/>
    </row>
    <row r="267">
      <c r="B267" s="643">
        <v>45258.0</v>
      </c>
      <c r="C267" s="641"/>
      <c r="D267" s="176">
        <v>120006.0</v>
      </c>
      <c r="E267" s="148">
        <v>460.0</v>
      </c>
      <c r="F267" s="642"/>
      <c r="G267" s="642"/>
      <c r="H267" s="178">
        <v>70.45</v>
      </c>
      <c r="I267" s="102"/>
      <c r="J267" s="102"/>
    </row>
    <row r="268">
      <c r="B268" s="643">
        <v>45260.0</v>
      </c>
      <c r="C268" s="641"/>
      <c r="D268" s="176">
        <v>120503.0</v>
      </c>
      <c r="E268" s="148">
        <v>497.0</v>
      </c>
      <c r="F268" s="642"/>
      <c r="G268" s="642"/>
      <c r="H268" s="178">
        <v>79.49</v>
      </c>
      <c r="I268" s="102"/>
      <c r="J268" s="102"/>
    </row>
    <row r="269">
      <c r="A269" s="89"/>
      <c r="B269" s="112" t="s">
        <v>98</v>
      </c>
      <c r="I269" s="89"/>
      <c r="J269" s="90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</row>
    <row r="270">
      <c r="B270" s="145">
        <v>45262.0</v>
      </c>
      <c r="C270" s="641"/>
      <c r="D270" s="148">
        <v>121051.0</v>
      </c>
      <c r="E270" s="148">
        <v>548.0</v>
      </c>
      <c r="F270" s="642"/>
      <c r="G270" s="642"/>
      <c r="H270" s="178">
        <v>80.0</v>
      </c>
      <c r="I270" s="102"/>
      <c r="J270" s="102"/>
    </row>
    <row r="271">
      <c r="B271" s="145">
        <v>45265.0</v>
      </c>
      <c r="C271" s="641"/>
      <c r="D271" s="148">
        <v>121604.0</v>
      </c>
      <c r="E271" s="148">
        <v>553.0</v>
      </c>
      <c r="F271" s="642"/>
      <c r="G271" s="642"/>
      <c r="H271" s="178">
        <v>80.0</v>
      </c>
      <c r="I271" s="102"/>
      <c r="J271" s="102"/>
    </row>
    <row r="272">
      <c r="B272" s="145">
        <v>45268.0</v>
      </c>
      <c r="C272" s="641"/>
      <c r="D272" s="148">
        <v>122159.0</v>
      </c>
      <c r="E272" s="148">
        <v>555.0</v>
      </c>
      <c r="F272" s="642"/>
      <c r="G272" s="642"/>
      <c r="H272" s="178">
        <v>80.0</v>
      </c>
      <c r="I272" s="102"/>
      <c r="J272" s="102"/>
    </row>
    <row r="273">
      <c r="B273" s="643">
        <v>45271.0</v>
      </c>
      <c r="C273" s="641"/>
      <c r="D273" s="176">
        <v>122709.0</v>
      </c>
      <c r="E273" s="148">
        <v>550.0</v>
      </c>
      <c r="F273" s="642"/>
      <c r="G273" s="642"/>
      <c r="H273" s="178">
        <v>80.0</v>
      </c>
      <c r="I273" s="102"/>
      <c r="J273" s="102"/>
    </row>
    <row r="274">
      <c r="B274" s="643">
        <v>45274.0</v>
      </c>
      <c r="C274" s="641"/>
      <c r="D274" s="176">
        <v>123212.0</v>
      </c>
      <c r="E274" s="148">
        <v>503.0</v>
      </c>
      <c r="F274" s="642"/>
      <c r="G274" s="642"/>
      <c r="H274" s="178">
        <v>75.05</v>
      </c>
      <c r="I274" s="102"/>
      <c r="J274" s="102"/>
    </row>
    <row r="275">
      <c r="B275" s="643">
        <v>45277.0</v>
      </c>
      <c r="C275" s="641"/>
      <c r="D275" s="176">
        <v>123707.0</v>
      </c>
      <c r="E275" s="148">
        <v>495.0</v>
      </c>
      <c r="F275" s="642"/>
      <c r="G275" s="642"/>
      <c r="H275" s="178">
        <v>20.0</v>
      </c>
      <c r="I275" s="102"/>
      <c r="J275" s="102"/>
    </row>
    <row r="276">
      <c r="B276" s="643">
        <v>45277.0</v>
      </c>
      <c r="C276" s="641"/>
      <c r="D276" s="176">
        <v>123723.0</v>
      </c>
      <c r="E276" s="148">
        <v>16.0</v>
      </c>
      <c r="F276" s="642"/>
      <c r="G276" s="642"/>
      <c r="H276" s="178">
        <v>60.0</v>
      </c>
      <c r="I276" s="102"/>
      <c r="J276" s="102"/>
    </row>
    <row r="277">
      <c r="B277" s="643">
        <v>45279.0</v>
      </c>
      <c r="C277" s="641"/>
      <c r="D277" s="176">
        <v>124261.0</v>
      </c>
      <c r="E277" s="148">
        <v>538.0</v>
      </c>
      <c r="F277" s="642"/>
      <c r="G277" s="642"/>
      <c r="H277" s="178">
        <v>75.98</v>
      </c>
      <c r="I277" s="102"/>
      <c r="J277" s="102"/>
    </row>
    <row r="278">
      <c r="B278" s="643">
        <v>45282.0</v>
      </c>
      <c r="C278" s="641"/>
      <c r="D278" s="176">
        <v>124770.0</v>
      </c>
      <c r="E278" s="148">
        <v>509.0</v>
      </c>
      <c r="F278" s="642"/>
      <c r="G278" s="642"/>
      <c r="H278" s="178">
        <v>69.77</v>
      </c>
      <c r="I278" s="102"/>
      <c r="J278" s="102"/>
    </row>
    <row r="279">
      <c r="B279" s="643">
        <v>45284.0</v>
      </c>
      <c r="C279" s="641"/>
      <c r="D279" s="176">
        <v>125280.0</v>
      </c>
      <c r="E279" s="148">
        <v>510.0</v>
      </c>
      <c r="F279" s="642"/>
      <c r="G279" s="642"/>
      <c r="H279" s="178">
        <v>72.04</v>
      </c>
      <c r="I279" s="102"/>
      <c r="J279" s="102"/>
    </row>
    <row r="280">
      <c r="B280" s="643">
        <v>45287.0</v>
      </c>
      <c r="C280" s="641"/>
      <c r="D280" s="176">
        <v>125718.0</v>
      </c>
      <c r="E280" s="148">
        <v>438.0</v>
      </c>
      <c r="F280" s="642"/>
      <c r="G280" s="642"/>
      <c r="H280" s="178">
        <v>64.58</v>
      </c>
      <c r="I280" s="102"/>
      <c r="J280" s="102"/>
    </row>
    <row r="281">
      <c r="B281" s="643">
        <v>45289.0</v>
      </c>
      <c r="C281" s="641"/>
      <c r="D281" s="176">
        <v>126173.0</v>
      </c>
      <c r="E281" s="148">
        <v>455.0</v>
      </c>
      <c r="F281" s="642"/>
      <c r="G281" s="642"/>
      <c r="H281" s="178">
        <v>64.11</v>
      </c>
      <c r="I281" s="102"/>
      <c r="J281" s="102"/>
    </row>
    <row r="282">
      <c r="A282" s="89"/>
      <c r="B282" s="134">
        <v>2024.0</v>
      </c>
      <c r="I282" s="89"/>
      <c r="J282" s="90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</row>
    <row r="283">
      <c r="A283" s="89"/>
      <c r="B283" s="112" t="s">
        <v>66</v>
      </c>
      <c r="I283" s="89"/>
      <c r="J283" s="90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</row>
    <row r="284">
      <c r="B284" s="145">
        <v>45301.0</v>
      </c>
      <c r="C284" s="641"/>
      <c r="D284" s="148">
        <v>126590.0</v>
      </c>
      <c r="E284" s="148">
        <v>417.0</v>
      </c>
      <c r="F284" s="642"/>
      <c r="G284" s="642"/>
      <c r="H284" s="178">
        <v>80.0</v>
      </c>
      <c r="I284" s="102"/>
      <c r="J284" s="102"/>
    </row>
    <row r="285">
      <c r="B285" s="145">
        <v>45305.0</v>
      </c>
      <c r="C285" s="641"/>
      <c r="D285" s="148">
        <v>127126.0</v>
      </c>
      <c r="E285" s="148">
        <v>536.0</v>
      </c>
      <c r="F285" s="642"/>
      <c r="G285" s="642"/>
      <c r="H285" s="178">
        <v>80.0</v>
      </c>
      <c r="I285" s="102"/>
      <c r="J285" s="102"/>
    </row>
    <row r="286">
      <c r="B286" s="145">
        <v>45308.0</v>
      </c>
      <c r="C286" s="641"/>
      <c r="D286" s="148">
        <v>127619.0</v>
      </c>
      <c r="E286" s="148">
        <v>493.0</v>
      </c>
      <c r="F286" s="642"/>
      <c r="G286" s="642"/>
      <c r="H286" s="178">
        <v>80.0</v>
      </c>
      <c r="I286" s="102"/>
      <c r="J286" s="102"/>
    </row>
    <row r="287">
      <c r="B287" s="145">
        <v>45311.0</v>
      </c>
      <c r="C287" s="641"/>
      <c r="D287" s="176">
        <v>128073.0</v>
      </c>
      <c r="E287" s="148">
        <v>454.0</v>
      </c>
      <c r="F287" s="642"/>
      <c r="G287" s="642"/>
      <c r="H287" s="178">
        <v>73.43</v>
      </c>
      <c r="I287" s="102"/>
      <c r="J287" s="102"/>
    </row>
    <row r="288">
      <c r="B288" s="145">
        <v>45314.0</v>
      </c>
      <c r="C288" s="641"/>
      <c r="D288" s="176">
        <v>128575.0</v>
      </c>
      <c r="E288" s="148">
        <v>502.0</v>
      </c>
      <c r="F288" s="642"/>
      <c r="G288" s="642"/>
      <c r="H288" s="178">
        <v>78.29</v>
      </c>
      <c r="I288" s="102"/>
      <c r="J288" s="102"/>
    </row>
    <row r="289">
      <c r="B289" s="145">
        <v>45316.0</v>
      </c>
      <c r="C289" s="641"/>
      <c r="D289" s="176">
        <v>129060.0</v>
      </c>
      <c r="E289" s="148">
        <v>485.0</v>
      </c>
      <c r="F289" s="642"/>
      <c r="G289" s="642"/>
      <c r="H289" s="178">
        <v>74.91</v>
      </c>
      <c r="I289" s="102"/>
      <c r="J289" s="102"/>
    </row>
    <row r="290">
      <c r="B290" s="145">
        <v>45319.0</v>
      </c>
      <c r="C290" s="641"/>
      <c r="D290" s="176">
        <v>129576.0</v>
      </c>
      <c r="E290" s="148">
        <v>516.0</v>
      </c>
      <c r="F290" s="642"/>
      <c r="G290" s="642"/>
      <c r="H290" s="178">
        <v>76.22</v>
      </c>
      <c r="I290" s="102"/>
      <c r="J290" s="102"/>
    </row>
    <row r="291">
      <c r="A291" s="89"/>
      <c r="B291" s="112" t="s">
        <v>68</v>
      </c>
      <c r="I291" s="89"/>
      <c r="J291" s="90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</row>
    <row r="292">
      <c r="B292" s="145">
        <v>45323.0</v>
      </c>
      <c r="C292" s="641"/>
      <c r="D292" s="148">
        <v>130009.0</v>
      </c>
      <c r="F292" s="642"/>
      <c r="G292" s="642"/>
      <c r="H292" s="178">
        <v>78.01</v>
      </c>
      <c r="I292" s="102"/>
      <c r="J292" s="102"/>
    </row>
    <row r="293">
      <c r="B293" s="145">
        <v>45326.0</v>
      </c>
      <c r="C293" s="641"/>
      <c r="D293" s="148">
        <v>130619.0</v>
      </c>
      <c r="E293" s="148">
        <v>610.0</v>
      </c>
      <c r="F293" s="642"/>
      <c r="G293" s="642"/>
      <c r="H293" s="178">
        <v>80.0</v>
      </c>
      <c r="I293" s="102"/>
      <c r="J293" s="102"/>
    </row>
    <row r="294">
      <c r="B294" s="145">
        <v>45329.0</v>
      </c>
      <c r="C294" s="641"/>
      <c r="D294" s="148">
        <v>131227.0</v>
      </c>
      <c r="E294" s="148">
        <v>608.0</v>
      </c>
      <c r="F294" s="642"/>
      <c r="G294" s="642"/>
      <c r="H294" s="178">
        <v>77.3</v>
      </c>
      <c r="I294" s="102"/>
      <c r="J294" s="102"/>
    </row>
    <row r="295">
      <c r="B295" s="145">
        <v>45332.0</v>
      </c>
      <c r="C295" s="641"/>
      <c r="D295" s="176">
        <v>131745.0</v>
      </c>
      <c r="E295" s="148">
        <v>518.0</v>
      </c>
      <c r="F295" s="642"/>
      <c r="G295" s="642"/>
      <c r="H295" s="178">
        <v>79.66</v>
      </c>
      <c r="I295" s="102"/>
      <c r="J295" s="102"/>
    </row>
    <row r="296">
      <c r="B296" s="145">
        <v>45335.0</v>
      </c>
      <c r="C296" s="641"/>
      <c r="D296" s="176">
        <v>132352.0</v>
      </c>
      <c r="E296" s="148">
        <v>607.0</v>
      </c>
      <c r="F296" s="642"/>
      <c r="G296" s="642"/>
      <c r="H296" s="178">
        <v>80.0</v>
      </c>
      <c r="I296" s="102"/>
      <c r="J296" s="102"/>
    </row>
    <row r="297">
      <c r="B297" s="145">
        <v>45337.0</v>
      </c>
      <c r="C297" s="641"/>
      <c r="D297" s="176">
        <v>132912.0</v>
      </c>
      <c r="E297" s="148">
        <v>560.0</v>
      </c>
      <c r="F297" s="642"/>
      <c r="G297" s="642"/>
      <c r="H297" s="178">
        <v>68.49</v>
      </c>
      <c r="I297" s="102"/>
      <c r="J297" s="102"/>
    </row>
    <row r="298">
      <c r="B298" s="145">
        <v>45340.0</v>
      </c>
      <c r="C298" s="641"/>
      <c r="D298" s="176">
        <v>133365.0</v>
      </c>
      <c r="E298" s="148">
        <v>453.0</v>
      </c>
      <c r="F298" s="642"/>
      <c r="G298" s="642"/>
      <c r="H298" s="178">
        <v>71.96</v>
      </c>
      <c r="I298" s="102"/>
      <c r="J298" s="102"/>
    </row>
    <row r="299">
      <c r="B299" s="145">
        <v>45343.0</v>
      </c>
      <c r="C299" s="641"/>
      <c r="D299" s="176">
        <v>133866.0</v>
      </c>
      <c r="E299" s="148">
        <v>501.0</v>
      </c>
      <c r="F299" s="642"/>
      <c r="G299" s="642"/>
      <c r="H299" s="178">
        <v>73.29</v>
      </c>
      <c r="I299" s="102"/>
      <c r="J299" s="102"/>
    </row>
    <row r="300">
      <c r="B300" s="145">
        <v>45346.0</v>
      </c>
      <c r="C300" s="641"/>
      <c r="D300" s="176">
        <v>134345.0</v>
      </c>
      <c r="E300" s="148">
        <v>479.0</v>
      </c>
      <c r="F300" s="642"/>
      <c r="G300" s="642"/>
      <c r="H300" s="178">
        <v>73.08</v>
      </c>
      <c r="I300" s="102"/>
      <c r="J300" s="102"/>
    </row>
    <row r="301">
      <c r="B301" s="145">
        <v>45349.0</v>
      </c>
      <c r="C301" s="641"/>
      <c r="D301" s="176">
        <v>134857.0</v>
      </c>
      <c r="E301" s="148">
        <v>512.0</v>
      </c>
      <c r="F301" s="642"/>
      <c r="G301" s="642"/>
      <c r="H301" s="178">
        <v>72.0</v>
      </c>
      <c r="I301" s="102"/>
      <c r="J301" s="102"/>
    </row>
    <row r="302">
      <c r="A302" s="89"/>
      <c r="B302" s="112" t="s">
        <v>72</v>
      </c>
      <c r="I302" s="89"/>
      <c r="J302" s="90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</row>
    <row r="303">
      <c r="B303" s="145">
        <v>45352.0</v>
      </c>
      <c r="C303" s="641"/>
      <c r="D303" s="148">
        <v>135374.0</v>
      </c>
      <c r="E303" s="148">
        <v>517.0</v>
      </c>
      <c r="F303" s="642"/>
      <c r="G303" s="642"/>
      <c r="H303" s="178">
        <v>76.71</v>
      </c>
      <c r="I303" s="102"/>
      <c r="J303" s="102"/>
    </row>
    <row r="304">
      <c r="B304" s="145">
        <v>45358.0</v>
      </c>
      <c r="C304" s="641"/>
      <c r="D304" s="148">
        <v>135912.0</v>
      </c>
      <c r="E304" s="148">
        <v>538.0</v>
      </c>
      <c r="F304" s="642"/>
      <c r="G304" s="642"/>
      <c r="H304" s="178">
        <v>75.05</v>
      </c>
      <c r="I304" s="102"/>
      <c r="J304" s="102"/>
    </row>
    <row r="305">
      <c r="B305" s="145">
        <v>45364.0</v>
      </c>
      <c r="C305" s="641"/>
      <c r="D305" s="148">
        <v>136467.0</v>
      </c>
      <c r="E305" s="148">
        <v>555.0</v>
      </c>
      <c r="F305" s="642"/>
      <c r="G305" s="642"/>
      <c r="H305" s="178">
        <v>78.47</v>
      </c>
      <c r="I305" s="102"/>
      <c r="J305" s="102"/>
    </row>
    <row r="306">
      <c r="B306" s="145">
        <v>45368.0</v>
      </c>
      <c r="C306" s="641"/>
      <c r="D306" s="176">
        <v>137085.0</v>
      </c>
      <c r="E306" s="148">
        <v>618.0</v>
      </c>
      <c r="F306" s="642"/>
      <c r="G306" s="642"/>
      <c r="H306" s="178">
        <v>72.34</v>
      </c>
      <c r="I306" s="102"/>
      <c r="J306" s="102"/>
    </row>
    <row r="307">
      <c r="B307" s="145">
        <v>45372.0</v>
      </c>
      <c r="C307" s="641"/>
      <c r="D307" s="176">
        <v>137582.0</v>
      </c>
      <c r="E307" s="148">
        <v>497.0</v>
      </c>
      <c r="F307" s="642"/>
      <c r="G307" s="642"/>
      <c r="H307" s="178">
        <v>72.96</v>
      </c>
      <c r="I307" s="102"/>
      <c r="J307" s="102"/>
    </row>
    <row r="308">
      <c r="B308" s="145">
        <v>45375.0</v>
      </c>
      <c r="C308" s="641"/>
      <c r="D308" s="176">
        <v>138109.0</v>
      </c>
      <c r="E308" s="148">
        <v>527.0</v>
      </c>
      <c r="F308" s="642"/>
      <c r="G308" s="642"/>
      <c r="H308" s="178">
        <v>67.68</v>
      </c>
      <c r="I308" s="102"/>
      <c r="J308" s="102"/>
    </row>
    <row r="309">
      <c r="B309" s="145">
        <v>45379.0</v>
      </c>
      <c r="C309" s="641"/>
      <c r="D309" s="176">
        <v>138598.0</v>
      </c>
      <c r="E309" s="148">
        <v>489.0</v>
      </c>
      <c r="F309" s="642"/>
      <c r="G309" s="642"/>
      <c r="H309" s="178">
        <v>68.75</v>
      </c>
      <c r="I309" s="102"/>
      <c r="J309" s="102"/>
    </row>
    <row r="310">
      <c r="A310" s="89"/>
      <c r="B310" s="112" t="s">
        <v>74</v>
      </c>
      <c r="I310" s="89"/>
      <c r="J310" s="90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</row>
    <row r="311">
      <c r="B311" s="145">
        <v>45383.0</v>
      </c>
      <c r="C311" s="641"/>
      <c r="D311" s="148">
        <v>138993.0</v>
      </c>
      <c r="E311" s="148">
        <v>395.0</v>
      </c>
      <c r="F311" s="642"/>
      <c r="G311" s="642"/>
      <c r="H311" s="178">
        <v>72.01</v>
      </c>
      <c r="I311" s="102"/>
      <c r="J311" s="102"/>
    </row>
    <row r="312">
      <c r="B312" s="145">
        <v>45388.0</v>
      </c>
      <c r="C312" s="641"/>
      <c r="D312" s="148">
        <v>139730.0</v>
      </c>
      <c r="E312" s="148">
        <v>737.0</v>
      </c>
      <c r="F312" s="642"/>
      <c r="G312" s="642"/>
      <c r="H312" s="178">
        <v>80.0</v>
      </c>
      <c r="I312" s="102"/>
      <c r="J312" s="102"/>
    </row>
    <row r="313">
      <c r="B313" s="145">
        <v>45393.0</v>
      </c>
      <c r="C313" s="641"/>
      <c r="D313" s="148">
        <v>140360.0</v>
      </c>
      <c r="E313" s="148">
        <v>630.0</v>
      </c>
      <c r="F313" s="642"/>
      <c r="G313" s="642"/>
      <c r="H313" s="178">
        <v>77.4</v>
      </c>
      <c r="I313" s="102"/>
      <c r="J313" s="102"/>
    </row>
    <row r="314">
      <c r="B314" s="145">
        <v>45397.0</v>
      </c>
      <c r="C314" s="641"/>
      <c r="D314" s="149"/>
      <c r="E314" s="149"/>
      <c r="F314" s="642"/>
      <c r="G314" s="642"/>
      <c r="H314" s="178">
        <v>70.06</v>
      </c>
      <c r="I314" s="102"/>
      <c r="J314" s="102"/>
    </row>
    <row r="315">
      <c r="B315" s="145">
        <v>45406.0</v>
      </c>
      <c r="C315" s="641"/>
      <c r="D315" s="176">
        <v>141587.0</v>
      </c>
      <c r="E315" s="148">
        <v>1227.0</v>
      </c>
      <c r="F315" s="642"/>
      <c r="G315" s="642"/>
      <c r="H315" s="178">
        <v>74.12</v>
      </c>
      <c r="I315" s="102"/>
      <c r="J315" s="102"/>
    </row>
    <row r="316">
      <c r="B316" s="145">
        <v>45410.0</v>
      </c>
      <c r="C316" s="641"/>
      <c r="D316" s="176">
        <v>142153.0</v>
      </c>
      <c r="E316" s="148">
        <v>566.0</v>
      </c>
      <c r="F316" s="642"/>
      <c r="G316" s="642"/>
      <c r="H316" s="178">
        <v>70.47</v>
      </c>
      <c r="I316" s="102"/>
      <c r="J316" s="102"/>
    </row>
    <row r="317">
      <c r="A317" s="89"/>
      <c r="B317" s="112" t="s">
        <v>75</v>
      </c>
      <c r="I317" s="89"/>
      <c r="J317" s="90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</row>
    <row r="318">
      <c r="B318" s="145">
        <v>45415.0</v>
      </c>
      <c r="C318" s="641"/>
      <c r="D318" s="176">
        <v>142724.0</v>
      </c>
      <c r="E318" s="148">
        <v>571.0</v>
      </c>
      <c r="F318" s="642"/>
      <c r="G318" s="642"/>
      <c r="H318" s="178">
        <v>80.0</v>
      </c>
      <c r="I318" s="102"/>
      <c r="J318" s="102"/>
    </row>
    <row r="319">
      <c r="B319" s="145">
        <v>45421.0</v>
      </c>
      <c r="C319" s="641"/>
      <c r="D319" s="176">
        <v>143326.0</v>
      </c>
      <c r="E319" s="148">
        <v>602.0</v>
      </c>
      <c r="F319" s="642"/>
      <c r="G319" s="642"/>
      <c r="H319" s="178">
        <v>78.05</v>
      </c>
      <c r="I319" s="102"/>
      <c r="J319" s="102"/>
    </row>
    <row r="320">
      <c r="B320" s="145">
        <v>45425.0</v>
      </c>
      <c r="C320" s="641"/>
      <c r="D320" s="176">
        <v>143998.0</v>
      </c>
      <c r="E320" s="148">
        <v>672.0</v>
      </c>
      <c r="F320" s="642"/>
      <c r="G320" s="642"/>
      <c r="H320" s="178">
        <v>78.92</v>
      </c>
      <c r="I320" s="102"/>
      <c r="J320" s="102"/>
    </row>
    <row r="321">
      <c r="B321" s="145">
        <v>45431.0</v>
      </c>
      <c r="C321" s="641"/>
      <c r="D321" s="176">
        <v>144657.0</v>
      </c>
      <c r="E321" s="148">
        <v>659.0</v>
      </c>
      <c r="F321" s="642"/>
      <c r="G321" s="642"/>
      <c r="H321" s="178">
        <v>72.05</v>
      </c>
      <c r="I321" s="102"/>
      <c r="J321" s="102"/>
    </row>
    <row r="322">
      <c r="B322" s="145">
        <v>45434.0</v>
      </c>
      <c r="C322" s="641"/>
      <c r="D322" s="176">
        <v>145224.0</v>
      </c>
      <c r="E322" s="148">
        <v>567.0</v>
      </c>
      <c r="F322" s="642"/>
      <c r="G322" s="642"/>
      <c r="H322" s="178">
        <v>68.01</v>
      </c>
      <c r="I322" s="102"/>
      <c r="J322" s="102"/>
    </row>
    <row r="323">
      <c r="B323" s="145">
        <v>45437.0</v>
      </c>
      <c r="C323" s="641"/>
      <c r="D323" s="176">
        <v>145824.0</v>
      </c>
      <c r="E323" s="148">
        <v>600.0</v>
      </c>
      <c r="F323" s="642"/>
      <c r="G323" s="642"/>
      <c r="H323" s="178">
        <v>66.38</v>
      </c>
      <c r="I323" s="102"/>
      <c r="J323" s="102"/>
    </row>
    <row r="324">
      <c r="B324" s="145">
        <v>45443.0</v>
      </c>
      <c r="C324" s="641"/>
      <c r="D324" s="176">
        <v>146390.0</v>
      </c>
      <c r="E324" s="148">
        <v>566.0</v>
      </c>
      <c r="F324" s="642"/>
      <c r="G324" s="642"/>
      <c r="H324" s="178">
        <v>69.83</v>
      </c>
      <c r="I324" s="102"/>
      <c r="J324" s="102"/>
    </row>
    <row r="325">
      <c r="A325" s="89"/>
      <c r="B325" s="112" t="s">
        <v>90</v>
      </c>
      <c r="I325" s="89"/>
      <c r="J325" s="90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</row>
    <row r="326">
      <c r="B326" s="145">
        <v>45448.0</v>
      </c>
      <c r="C326" s="641"/>
      <c r="D326" s="176">
        <v>147063.0</v>
      </c>
      <c r="E326" s="148">
        <v>673.0</v>
      </c>
      <c r="F326" s="642"/>
      <c r="G326" s="642"/>
      <c r="H326" s="178">
        <v>80.0</v>
      </c>
      <c r="I326" s="102"/>
      <c r="J326" s="103">
        <f t="shared" ref="J326:J330" si="2">H326/E326*100</f>
        <v>11.88707281</v>
      </c>
      <c r="L326" s="82" t="str">
        <f>"тотал"&amp;" "&amp;B325</f>
        <v>тотал ИЮНЬ</v>
      </c>
      <c r="M326" s="75"/>
      <c r="N326" s="76"/>
    </row>
    <row r="327">
      <c r="B327" s="145">
        <v>45455.0</v>
      </c>
      <c r="C327" s="641"/>
      <c r="D327" s="176">
        <v>147706.0</v>
      </c>
      <c r="E327" s="148">
        <v>643.0</v>
      </c>
      <c r="F327" s="642"/>
      <c r="G327" s="642"/>
      <c r="H327" s="178">
        <v>80.0</v>
      </c>
      <c r="I327" s="102"/>
      <c r="J327" s="103">
        <f t="shared" si="2"/>
        <v>12.44167963</v>
      </c>
      <c r="L327" s="83" t="s">
        <v>70</v>
      </c>
      <c r="M327" s="83" t="s">
        <v>71</v>
      </c>
      <c r="N327" s="83" t="s">
        <v>27</v>
      </c>
    </row>
    <row r="328">
      <c r="B328" s="145">
        <v>45460.0</v>
      </c>
      <c r="C328" s="641"/>
      <c r="D328" s="176">
        <v>148377.0</v>
      </c>
      <c r="E328" s="148">
        <v>671.0</v>
      </c>
      <c r="F328" s="642"/>
      <c r="G328" s="642"/>
      <c r="H328" s="178">
        <v>68.21</v>
      </c>
      <c r="I328" s="102"/>
      <c r="J328" s="103">
        <f t="shared" si="2"/>
        <v>10.16542474</v>
      </c>
      <c r="L328" s="84">
        <f>SUM(E326:E330)</f>
        <v>3189</v>
      </c>
      <c r="M328" s="84">
        <f>SUM(H326:H330)</f>
        <v>365.18</v>
      </c>
      <c r="N328" s="85">
        <f>M328/L328*100</f>
        <v>11.45123863</v>
      </c>
    </row>
    <row r="329">
      <c r="B329" s="145">
        <v>45465.0</v>
      </c>
      <c r="C329" s="641"/>
      <c r="D329" s="176">
        <v>148904.0</v>
      </c>
      <c r="E329" s="148">
        <v>527.0</v>
      </c>
      <c r="F329" s="642"/>
      <c r="G329" s="642"/>
      <c r="H329" s="178">
        <v>60.31</v>
      </c>
      <c r="I329" s="102"/>
      <c r="J329" s="103">
        <f t="shared" si="2"/>
        <v>11.44402277</v>
      </c>
    </row>
    <row r="330">
      <c r="B330" s="145">
        <v>45470.0</v>
      </c>
      <c r="C330" s="641"/>
      <c r="D330" s="176">
        <v>149579.0</v>
      </c>
      <c r="E330" s="148">
        <v>675.0</v>
      </c>
      <c r="F330" s="642"/>
      <c r="G330" s="642"/>
      <c r="H330" s="178">
        <v>76.66</v>
      </c>
      <c r="I330" s="102"/>
      <c r="J330" s="103">
        <f t="shared" si="2"/>
        <v>11.35703704</v>
      </c>
    </row>
    <row r="331">
      <c r="A331" s="89"/>
      <c r="B331" s="112" t="s">
        <v>92</v>
      </c>
      <c r="I331" s="89"/>
      <c r="J331" s="90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</row>
    <row r="332">
      <c r="B332" s="602">
        <v>45476.0</v>
      </c>
      <c r="C332" s="584" t="s">
        <v>487</v>
      </c>
      <c r="D332" s="101">
        <v>150207.0</v>
      </c>
      <c r="E332" s="102">
        <f>D332-D330</f>
        <v>628</v>
      </c>
      <c r="F332" s="102"/>
      <c r="G332" s="102"/>
      <c r="H332" s="148">
        <v>70.0</v>
      </c>
      <c r="I332" s="102"/>
      <c r="J332" s="103">
        <f t="shared" ref="J332:J333" si="3">H332/E332*100</f>
        <v>11.14649682</v>
      </c>
      <c r="L332" s="82" t="str">
        <f>"тотал"&amp;" "&amp;B331</f>
        <v>тотал ИЮЛЬ</v>
      </c>
      <c r="M332" s="75"/>
      <c r="N332" s="76"/>
    </row>
    <row r="333">
      <c r="B333" s="602">
        <v>45481.0</v>
      </c>
      <c r="C333" s="584" t="s">
        <v>487</v>
      </c>
      <c r="D333" s="101">
        <v>150831.0</v>
      </c>
      <c r="E333" s="102">
        <f>D333-D332</f>
        <v>624</v>
      </c>
      <c r="F333" s="102"/>
      <c r="G333" s="102"/>
      <c r="H333" s="148">
        <v>40.0</v>
      </c>
      <c r="I333" s="102"/>
      <c r="J333" s="103">
        <f t="shared" si="3"/>
        <v>6.41025641</v>
      </c>
      <c r="L333" s="83" t="s">
        <v>70</v>
      </c>
      <c r="M333" s="83" t="s">
        <v>71</v>
      </c>
      <c r="N333" s="83" t="s">
        <v>27</v>
      </c>
    </row>
    <row r="334">
      <c r="B334" s="218">
        <v>45481.0</v>
      </c>
      <c r="C334" s="13"/>
      <c r="D334" s="13"/>
      <c r="E334" s="13"/>
      <c r="F334" s="646" t="s">
        <v>488</v>
      </c>
      <c r="G334" s="647"/>
      <c r="H334" s="13"/>
      <c r="I334" s="13"/>
      <c r="J334" s="103"/>
      <c r="K334" s="648"/>
      <c r="L334" s="84">
        <f>SUM(E332:E339)</f>
        <v>3990</v>
      </c>
      <c r="M334" s="84">
        <f>SUM(H332:H339)</f>
        <v>457.93</v>
      </c>
      <c r="N334" s="85">
        <f>M334/L334*100</f>
        <v>11.47694236</v>
      </c>
    </row>
    <row r="335">
      <c r="B335" s="218">
        <v>45484.0</v>
      </c>
      <c r="C335" s="13"/>
      <c r="D335" s="12">
        <v>151238.0</v>
      </c>
      <c r="E335" s="13">
        <f>D335-D333</f>
        <v>407</v>
      </c>
      <c r="F335" s="13"/>
      <c r="G335" s="13"/>
      <c r="H335" s="606">
        <v>77.54</v>
      </c>
      <c r="I335" s="13"/>
      <c r="J335" s="103">
        <f t="shared" ref="J335:J339" si="4">H335/E335*100</f>
        <v>19.05159705</v>
      </c>
    </row>
    <row r="336">
      <c r="B336" s="218">
        <v>45489.0</v>
      </c>
      <c r="C336" s="13"/>
      <c r="D336" s="12">
        <v>151870.0</v>
      </c>
      <c r="E336" s="13">
        <f t="shared" ref="E336:E339" si="5">D336-D335</f>
        <v>632</v>
      </c>
      <c r="F336" s="13"/>
      <c r="G336" s="13"/>
      <c r="H336" s="12">
        <v>66.16</v>
      </c>
      <c r="I336" s="13"/>
      <c r="J336" s="103">
        <f t="shared" si="4"/>
        <v>10.46835443</v>
      </c>
    </row>
    <row r="337">
      <c r="B337" s="218">
        <v>45495.0</v>
      </c>
      <c r="C337" s="13"/>
      <c r="D337" s="12">
        <v>152473.0</v>
      </c>
      <c r="E337" s="13">
        <f t="shared" si="5"/>
        <v>603</v>
      </c>
      <c r="F337" s="13"/>
      <c r="G337" s="13"/>
      <c r="H337" s="12">
        <v>74.07</v>
      </c>
      <c r="I337" s="13"/>
      <c r="J337" s="103">
        <f t="shared" si="4"/>
        <v>12.28358209</v>
      </c>
    </row>
    <row r="338">
      <c r="B338" s="218">
        <v>45499.0</v>
      </c>
      <c r="C338" s="13"/>
      <c r="D338" s="12">
        <v>153003.0</v>
      </c>
      <c r="E338" s="13">
        <f t="shared" si="5"/>
        <v>530</v>
      </c>
      <c r="F338" s="13"/>
      <c r="G338" s="13"/>
      <c r="H338" s="12">
        <v>64.91</v>
      </c>
      <c r="I338" s="13"/>
      <c r="J338" s="103">
        <f t="shared" si="4"/>
        <v>12.24716981</v>
      </c>
    </row>
    <row r="339">
      <c r="B339" s="218">
        <v>45504.0</v>
      </c>
      <c r="C339" s="13"/>
      <c r="D339" s="12">
        <v>153569.0</v>
      </c>
      <c r="E339" s="13">
        <f t="shared" si="5"/>
        <v>566</v>
      </c>
      <c r="F339" s="13"/>
      <c r="G339" s="13"/>
      <c r="H339" s="12">
        <v>65.25</v>
      </c>
      <c r="I339" s="13"/>
      <c r="J339" s="103">
        <f t="shared" si="4"/>
        <v>11.52826855</v>
      </c>
    </row>
    <row r="340">
      <c r="A340" s="89"/>
      <c r="B340" s="112" t="s">
        <v>95</v>
      </c>
      <c r="I340" s="89"/>
      <c r="J340" s="90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</row>
    <row r="341">
      <c r="B341" s="218">
        <v>45509.0</v>
      </c>
      <c r="C341" s="13"/>
      <c r="D341" s="12">
        <v>154172.0</v>
      </c>
      <c r="E341" s="13">
        <f>D341-D339</f>
        <v>603</v>
      </c>
      <c r="F341" s="13"/>
      <c r="G341" s="13"/>
      <c r="H341" s="12">
        <v>72.62</v>
      </c>
      <c r="I341" s="13"/>
      <c r="J341" s="18">
        <f t="shared" ref="J341:J346" si="6">H341/E341*100</f>
        <v>12.04311774</v>
      </c>
      <c r="L341" s="82" t="str">
        <f>"тотал"&amp;" "&amp;B340</f>
        <v>тотал АВГУСТ</v>
      </c>
      <c r="M341" s="75"/>
      <c r="N341" s="76"/>
    </row>
    <row r="342">
      <c r="B342" s="218">
        <v>45513.0</v>
      </c>
      <c r="C342" s="13"/>
      <c r="D342" s="12">
        <v>154833.0</v>
      </c>
      <c r="E342" s="13">
        <f t="shared" ref="E342:E346" si="7">D342-D341</f>
        <v>661</v>
      </c>
      <c r="F342" s="13"/>
      <c r="G342" s="13"/>
      <c r="H342" s="12">
        <v>75.01</v>
      </c>
      <c r="I342" s="13"/>
      <c r="J342" s="18">
        <f t="shared" si="6"/>
        <v>11.34795764</v>
      </c>
      <c r="L342" s="83" t="s">
        <v>70</v>
      </c>
      <c r="M342" s="83" t="s">
        <v>71</v>
      </c>
      <c r="N342" s="83" t="s">
        <v>27</v>
      </c>
    </row>
    <row r="343">
      <c r="B343" s="218">
        <v>45518.0</v>
      </c>
      <c r="C343" s="13"/>
      <c r="D343" s="12">
        <v>155532.0</v>
      </c>
      <c r="E343" s="13">
        <f t="shared" si="7"/>
        <v>699</v>
      </c>
      <c r="F343" s="13"/>
      <c r="G343" s="13"/>
      <c r="H343" s="12">
        <v>73.63</v>
      </c>
      <c r="I343" s="13"/>
      <c r="J343" s="18">
        <f t="shared" si="6"/>
        <v>10.53361946</v>
      </c>
      <c r="L343" s="84">
        <f>SUM(E341:E346)</f>
        <v>3663</v>
      </c>
      <c r="M343" s="84">
        <f>SUM(H341:H346)</f>
        <v>414.71</v>
      </c>
      <c r="N343" s="85">
        <f>M343/L343*100</f>
        <v>11.32159432</v>
      </c>
    </row>
    <row r="344">
      <c r="B344" s="218">
        <v>45525.0</v>
      </c>
      <c r="C344" s="13"/>
      <c r="D344" s="12">
        <v>156181.0</v>
      </c>
      <c r="E344" s="13">
        <f t="shared" si="7"/>
        <v>649</v>
      </c>
      <c r="F344" s="13"/>
      <c r="G344" s="13"/>
      <c r="H344" s="12">
        <v>71.01</v>
      </c>
      <c r="I344" s="13"/>
      <c r="J344" s="18">
        <f t="shared" si="6"/>
        <v>10.94144838</v>
      </c>
    </row>
    <row r="345">
      <c r="B345" s="218">
        <v>45529.0</v>
      </c>
      <c r="C345" s="13"/>
      <c r="D345" s="12">
        <v>156751.0</v>
      </c>
      <c r="E345" s="13">
        <f t="shared" si="7"/>
        <v>570</v>
      </c>
      <c r="F345" s="13"/>
      <c r="G345" s="13"/>
      <c r="H345" s="12">
        <v>69.09</v>
      </c>
      <c r="I345" s="13"/>
      <c r="J345" s="18">
        <f t="shared" si="6"/>
        <v>12.12105263</v>
      </c>
    </row>
    <row r="346">
      <c r="B346" s="218">
        <v>45532.0</v>
      </c>
      <c r="C346" s="13"/>
      <c r="D346" s="12">
        <v>157232.0</v>
      </c>
      <c r="E346" s="13">
        <f t="shared" si="7"/>
        <v>481</v>
      </c>
      <c r="F346" s="13"/>
      <c r="G346" s="13"/>
      <c r="H346" s="12">
        <v>53.35</v>
      </c>
      <c r="I346" s="13"/>
      <c r="J346" s="18">
        <f t="shared" si="6"/>
        <v>11.09147609</v>
      </c>
    </row>
    <row r="347">
      <c r="A347" s="89"/>
      <c r="B347" s="112" t="s">
        <v>104</v>
      </c>
      <c r="I347" s="89"/>
      <c r="J347" s="90"/>
      <c r="K347" s="89"/>
      <c r="L347" s="89"/>
      <c r="M347" s="89"/>
      <c r="N347" s="89"/>
    </row>
    <row r="348">
      <c r="B348" s="218">
        <v>45537.0</v>
      </c>
      <c r="C348" s="13"/>
      <c r="D348" s="12">
        <v>157909.0</v>
      </c>
      <c r="E348" s="13">
        <f>D348-D346</f>
        <v>677</v>
      </c>
      <c r="F348" s="13"/>
      <c r="G348" s="13"/>
      <c r="H348" s="12">
        <v>75.02</v>
      </c>
      <c r="I348" s="13"/>
      <c r="J348" s="18">
        <f t="shared" ref="J348:J354" si="8">H348/E348*100</f>
        <v>11.08124077</v>
      </c>
      <c r="L348" s="82" t="str">
        <f>"тотал"&amp;" "&amp;B347</f>
        <v>тотал СЕНТЯБРЬ</v>
      </c>
      <c r="M348" s="75"/>
      <c r="N348" s="76"/>
    </row>
    <row r="349">
      <c r="B349" s="218">
        <v>45541.0</v>
      </c>
      <c r="C349" s="13"/>
      <c r="D349" s="12">
        <v>158968.0</v>
      </c>
      <c r="E349" s="649">
        <f t="shared" ref="E349:E354" si="9">D349-D348</f>
        <v>1059</v>
      </c>
      <c r="F349" s="13"/>
      <c r="G349" s="13"/>
      <c r="H349" s="12">
        <v>66.01</v>
      </c>
      <c r="I349" s="13"/>
      <c r="J349" s="18">
        <f t="shared" si="8"/>
        <v>6.233238905</v>
      </c>
      <c r="L349" s="83" t="s">
        <v>70</v>
      </c>
      <c r="M349" s="83" t="s">
        <v>71</v>
      </c>
      <c r="N349" s="83" t="s">
        <v>27</v>
      </c>
    </row>
    <row r="350">
      <c r="B350" s="218">
        <v>45544.0</v>
      </c>
      <c r="C350" s="13"/>
      <c r="D350" s="12">
        <v>159221.0</v>
      </c>
      <c r="E350" s="13">
        <f t="shared" si="9"/>
        <v>253</v>
      </c>
      <c r="F350" s="13"/>
      <c r="G350" s="13"/>
      <c r="H350" s="12">
        <v>74.0</v>
      </c>
      <c r="I350" s="13"/>
      <c r="J350" s="18">
        <f t="shared" si="8"/>
        <v>29.24901186</v>
      </c>
      <c r="L350" s="84">
        <f>SUM(E348:E354)</f>
        <v>4273</v>
      </c>
      <c r="M350" s="84">
        <f>SUM(H348:H354)</f>
        <v>498.48</v>
      </c>
      <c r="N350" s="85">
        <f>M350/L350*100</f>
        <v>11.66580857</v>
      </c>
    </row>
    <row r="351">
      <c r="B351" s="218">
        <v>45548.0</v>
      </c>
      <c r="C351" s="13"/>
      <c r="D351" s="12">
        <v>159869.0</v>
      </c>
      <c r="E351" s="13">
        <f t="shared" si="9"/>
        <v>648</v>
      </c>
      <c r="F351" s="13"/>
      <c r="G351" s="13"/>
      <c r="H351" s="12">
        <v>71.96</v>
      </c>
      <c r="I351" s="13"/>
      <c r="J351" s="18">
        <f t="shared" si="8"/>
        <v>11.10493827</v>
      </c>
    </row>
    <row r="352">
      <c r="B352" s="218">
        <v>45553.0</v>
      </c>
      <c r="C352" s="13"/>
      <c r="D352" s="12">
        <v>160469.0</v>
      </c>
      <c r="E352" s="13">
        <f t="shared" si="9"/>
        <v>600</v>
      </c>
      <c r="F352" s="13"/>
      <c r="G352" s="13"/>
      <c r="H352" s="12">
        <v>69.09</v>
      </c>
      <c r="I352" s="13"/>
      <c r="J352" s="18">
        <f t="shared" si="8"/>
        <v>11.515</v>
      </c>
    </row>
    <row r="353">
      <c r="B353" s="218">
        <v>45558.0</v>
      </c>
      <c r="C353" s="13"/>
      <c r="D353" s="12">
        <v>160954.0</v>
      </c>
      <c r="E353" s="13">
        <f t="shared" si="9"/>
        <v>485</v>
      </c>
      <c r="F353" s="13"/>
      <c r="G353" s="13"/>
      <c r="H353" s="12">
        <v>68.82</v>
      </c>
      <c r="I353" s="13"/>
      <c r="J353" s="18">
        <f t="shared" si="8"/>
        <v>14.18969072</v>
      </c>
    </row>
    <row r="354">
      <c r="B354" s="218">
        <v>45562.0</v>
      </c>
      <c r="C354" s="13"/>
      <c r="D354" s="12">
        <v>161505.0</v>
      </c>
      <c r="E354" s="13">
        <f t="shared" si="9"/>
        <v>551</v>
      </c>
      <c r="F354" s="13"/>
      <c r="G354" s="13"/>
      <c r="H354" s="12">
        <v>73.58</v>
      </c>
      <c r="I354" s="13"/>
      <c r="J354" s="18">
        <f t="shared" si="8"/>
        <v>13.353902</v>
      </c>
    </row>
    <row r="355">
      <c r="B355" s="112" t="s">
        <v>96</v>
      </c>
      <c r="I355" s="89"/>
      <c r="J355" s="90"/>
      <c r="K355" s="89"/>
      <c r="L355" s="89"/>
      <c r="M355" s="89"/>
      <c r="N355" s="89"/>
    </row>
    <row r="356">
      <c r="B356" s="218">
        <v>45568.0</v>
      </c>
      <c r="C356" s="13"/>
      <c r="D356" s="12">
        <v>162061.0</v>
      </c>
      <c r="E356" s="13">
        <f>D356-D354</f>
        <v>556</v>
      </c>
      <c r="F356" s="13"/>
      <c r="G356" s="13"/>
      <c r="H356" s="12">
        <v>75.03</v>
      </c>
      <c r="I356" s="13"/>
      <c r="J356" s="18">
        <f t="shared" ref="J356:J358" si="10">H356/E356*100</f>
        <v>13.49460432</v>
      </c>
      <c r="L356" s="82" t="str">
        <f>"тотал"&amp;" "&amp;B355</f>
        <v>тотал ОКТЯБРЬ</v>
      </c>
      <c r="M356" s="75"/>
      <c r="N356" s="76"/>
    </row>
    <row r="357">
      <c r="B357" s="218">
        <v>45573.0</v>
      </c>
      <c r="C357" s="13"/>
      <c r="D357" s="12">
        <v>162567.0</v>
      </c>
      <c r="E357" s="650">
        <f t="shared" ref="E357:E358" si="11">D357-D356</f>
        <v>506</v>
      </c>
      <c r="F357" s="13"/>
      <c r="G357" s="13"/>
      <c r="H357" s="12">
        <v>67.01</v>
      </c>
      <c r="I357" s="13"/>
      <c r="J357" s="18">
        <f t="shared" si="10"/>
        <v>13.243083</v>
      </c>
      <c r="L357" s="83" t="s">
        <v>70</v>
      </c>
      <c r="M357" s="83" t="s">
        <v>71</v>
      </c>
      <c r="N357" s="83" t="s">
        <v>27</v>
      </c>
    </row>
    <row r="358">
      <c r="B358" s="218">
        <v>45592.0</v>
      </c>
      <c r="C358" s="13"/>
      <c r="D358" s="12">
        <v>162933.0</v>
      </c>
      <c r="E358" s="650">
        <f t="shared" si="11"/>
        <v>366</v>
      </c>
      <c r="F358" s="13"/>
      <c r="G358" s="13"/>
      <c r="H358" s="12">
        <v>40.02</v>
      </c>
      <c r="I358" s="13"/>
      <c r="J358" s="18">
        <f t="shared" si="10"/>
        <v>10.93442623</v>
      </c>
      <c r="L358" s="84">
        <f>SUM(E356:E358)</f>
        <v>1428</v>
      </c>
      <c r="M358" s="84">
        <f>SUM(H356:H358)</f>
        <v>182.06</v>
      </c>
      <c r="N358" s="85">
        <f>M358/L358*100</f>
        <v>12.74929972</v>
      </c>
    </row>
    <row r="359">
      <c r="B359" s="112" t="s">
        <v>489</v>
      </c>
      <c r="I359" s="89"/>
      <c r="J359" s="90"/>
      <c r="K359" s="89"/>
      <c r="L359" s="89"/>
      <c r="M359" s="89"/>
      <c r="N359" s="89"/>
    </row>
    <row r="360">
      <c r="B360" s="218">
        <v>45597.0</v>
      </c>
      <c r="C360" s="13"/>
      <c r="D360" s="12">
        <v>163334.0</v>
      </c>
      <c r="E360" s="13">
        <f>D360-D358</f>
        <v>401</v>
      </c>
      <c r="F360" s="13"/>
      <c r="G360" s="13"/>
      <c r="H360" s="12">
        <v>47.01</v>
      </c>
      <c r="I360" s="13"/>
      <c r="J360" s="18">
        <f t="shared" ref="J360:J366" si="12">H360/E360*100</f>
        <v>11.72319202</v>
      </c>
      <c r="L360" s="82" t="str">
        <f>"тотал"&amp;" "&amp;B359</f>
        <v>тотал Ноябрь</v>
      </c>
      <c r="M360" s="75"/>
      <c r="N360" s="76"/>
    </row>
    <row r="361">
      <c r="B361" s="218">
        <v>45600.0</v>
      </c>
      <c r="C361" s="13"/>
      <c r="D361" s="12">
        <v>163795.0</v>
      </c>
      <c r="E361" s="650">
        <f t="shared" ref="E361:E366" si="13">D361-D360</f>
        <v>461</v>
      </c>
      <c r="F361" s="13"/>
      <c r="G361" s="13"/>
      <c r="H361" s="12">
        <v>37.76</v>
      </c>
      <c r="I361" s="13"/>
      <c r="J361" s="18">
        <f t="shared" si="12"/>
        <v>8.190889371</v>
      </c>
      <c r="L361" s="83" t="s">
        <v>70</v>
      </c>
      <c r="M361" s="83" t="s">
        <v>71</v>
      </c>
      <c r="N361" s="83" t="s">
        <v>27</v>
      </c>
    </row>
    <row r="362">
      <c r="B362" s="218">
        <v>45604.0</v>
      </c>
      <c r="C362" s="13"/>
      <c r="D362" s="12">
        <v>164059.0</v>
      </c>
      <c r="E362" s="650">
        <f t="shared" si="13"/>
        <v>264</v>
      </c>
      <c r="F362" s="13"/>
      <c r="G362" s="13"/>
      <c r="H362" s="12">
        <v>40.26</v>
      </c>
      <c r="I362" s="13"/>
      <c r="J362" s="18">
        <f t="shared" si="12"/>
        <v>15.25</v>
      </c>
      <c r="L362" s="84">
        <f>SUM(E360:E366)</f>
        <v>2731</v>
      </c>
      <c r="M362" s="84">
        <f>SUM(H360:H366)</f>
        <v>306.04</v>
      </c>
      <c r="N362" s="85">
        <f>M362/L362*100</f>
        <v>11.20615159</v>
      </c>
    </row>
    <row r="363">
      <c r="B363" s="218">
        <v>45609.0</v>
      </c>
      <c r="C363" s="13"/>
      <c r="D363" s="12">
        <v>164407.0</v>
      </c>
      <c r="E363" s="650">
        <f t="shared" si="13"/>
        <v>348</v>
      </c>
      <c r="F363" s="13"/>
      <c r="G363" s="13"/>
      <c r="H363" s="12">
        <v>45.01</v>
      </c>
      <c r="I363" s="13"/>
      <c r="J363" s="18">
        <f t="shared" si="12"/>
        <v>12.93390805</v>
      </c>
    </row>
    <row r="364">
      <c r="B364" s="218">
        <v>45613.0</v>
      </c>
      <c r="C364" s="13"/>
      <c r="D364" s="12">
        <v>164727.0</v>
      </c>
      <c r="E364" s="650">
        <f t="shared" si="13"/>
        <v>320</v>
      </c>
      <c r="F364" s="13"/>
      <c r="G364" s="13"/>
      <c r="H364" s="12">
        <v>50.0</v>
      </c>
      <c r="I364" s="13"/>
      <c r="J364" s="18">
        <f t="shared" si="12"/>
        <v>15.625</v>
      </c>
    </row>
    <row r="365">
      <c r="B365" s="218">
        <v>45617.0</v>
      </c>
      <c r="C365" s="13"/>
      <c r="D365" s="12">
        <v>165121.0</v>
      </c>
      <c r="E365" s="650">
        <f t="shared" si="13"/>
        <v>394</v>
      </c>
      <c r="F365" s="13"/>
      <c r="G365" s="13"/>
      <c r="H365" s="12">
        <v>40.0</v>
      </c>
      <c r="I365" s="13"/>
      <c r="J365" s="18">
        <f t="shared" si="12"/>
        <v>10.15228426</v>
      </c>
    </row>
    <row r="366">
      <c r="B366" s="218">
        <v>45620.0</v>
      </c>
      <c r="C366" s="13"/>
      <c r="D366" s="12">
        <v>165664.0</v>
      </c>
      <c r="E366" s="650">
        <f t="shared" si="13"/>
        <v>543</v>
      </c>
      <c r="F366" s="13"/>
      <c r="G366" s="13"/>
      <c r="H366" s="12">
        <v>46.0</v>
      </c>
      <c r="I366" s="13"/>
      <c r="J366" s="18">
        <f t="shared" si="12"/>
        <v>8.47145488</v>
      </c>
    </row>
    <row r="367">
      <c r="B367" s="112" t="s">
        <v>490</v>
      </c>
      <c r="I367" s="89"/>
      <c r="J367" s="90"/>
      <c r="K367" s="89"/>
      <c r="L367" s="89"/>
      <c r="M367" s="89"/>
      <c r="N367" s="89"/>
    </row>
    <row r="368">
      <c r="B368" s="218">
        <v>45627.0</v>
      </c>
      <c r="C368" s="13"/>
      <c r="D368" s="12">
        <v>166158.0</v>
      </c>
      <c r="E368" s="13">
        <f>D368-D366</f>
        <v>494</v>
      </c>
      <c r="F368" s="13"/>
      <c r="G368" s="13"/>
      <c r="H368" s="12">
        <v>45.04</v>
      </c>
      <c r="I368" s="13"/>
      <c r="J368" s="18">
        <f t="shared" ref="J368:J372" si="14">H368/E368*100</f>
        <v>9.117408907</v>
      </c>
      <c r="L368" s="82" t="str">
        <f>"тотал"&amp;" "&amp;B367</f>
        <v>тотал Декабрь</v>
      </c>
      <c r="M368" s="75"/>
      <c r="N368" s="76"/>
    </row>
    <row r="369">
      <c r="B369" s="218">
        <v>45631.0</v>
      </c>
      <c r="C369" s="13"/>
      <c r="D369" s="12">
        <v>166672.0</v>
      </c>
      <c r="E369" s="650">
        <f t="shared" ref="E369:E372" si="15">D369-D368</f>
        <v>514</v>
      </c>
      <c r="F369" s="13"/>
      <c r="G369" s="13"/>
      <c r="H369" s="12">
        <v>47.04</v>
      </c>
      <c r="I369" s="13"/>
      <c r="J369" s="18">
        <f t="shared" si="14"/>
        <v>9.151750973</v>
      </c>
      <c r="L369" s="83" t="s">
        <v>70</v>
      </c>
      <c r="M369" s="83" t="s">
        <v>71</v>
      </c>
      <c r="N369" s="83" t="s">
        <v>27</v>
      </c>
    </row>
    <row r="370">
      <c r="B370" s="218">
        <v>45639.0</v>
      </c>
      <c r="C370" s="13"/>
      <c r="D370" s="12">
        <v>167354.0</v>
      </c>
      <c r="E370" s="650">
        <f t="shared" si="15"/>
        <v>682</v>
      </c>
      <c r="F370" s="13"/>
      <c r="G370" s="13"/>
      <c r="H370" s="12">
        <v>50.0</v>
      </c>
      <c r="I370" s="13"/>
      <c r="J370" s="18">
        <f t="shared" si="14"/>
        <v>7.331378299</v>
      </c>
      <c r="L370" s="84">
        <f>SUM(E368:E372)</f>
        <v>2850</v>
      </c>
      <c r="M370" s="84">
        <f>SUM(H368:H372)</f>
        <v>238.13</v>
      </c>
      <c r="N370" s="85">
        <f>M370/L370*100</f>
        <v>8.355438596</v>
      </c>
    </row>
    <row r="371">
      <c r="B371" s="218">
        <v>45645.0</v>
      </c>
      <c r="C371" s="13"/>
      <c r="D371" s="12">
        <v>167804.0</v>
      </c>
      <c r="E371" s="650">
        <f t="shared" si="15"/>
        <v>450</v>
      </c>
      <c r="F371" s="13"/>
      <c r="G371" s="13"/>
      <c r="H371" s="12">
        <v>50.0</v>
      </c>
      <c r="I371" s="13"/>
      <c r="J371" s="18">
        <f t="shared" si="14"/>
        <v>11.11111111</v>
      </c>
    </row>
    <row r="372">
      <c r="B372" s="218">
        <v>45650.0</v>
      </c>
      <c r="C372" s="13"/>
      <c r="D372" s="12">
        <v>168514.0</v>
      </c>
      <c r="E372" s="650">
        <f t="shared" si="15"/>
        <v>710</v>
      </c>
      <c r="F372" s="13"/>
      <c r="G372" s="13"/>
      <c r="H372" s="12">
        <v>46.05</v>
      </c>
      <c r="I372" s="13"/>
      <c r="J372" s="18">
        <f t="shared" si="14"/>
        <v>6.485915493</v>
      </c>
    </row>
    <row r="373">
      <c r="B373" s="112" t="s">
        <v>491</v>
      </c>
      <c r="I373" s="89"/>
      <c r="J373" s="90"/>
      <c r="K373" s="89"/>
      <c r="L373" s="89"/>
      <c r="M373" s="89"/>
      <c r="N373" s="89"/>
    </row>
    <row r="374">
      <c r="B374" s="218">
        <v>45666.0</v>
      </c>
      <c r="C374" s="13"/>
      <c r="D374" s="12">
        <v>169239.0</v>
      </c>
      <c r="E374" s="13">
        <f>D374-D372</f>
        <v>725</v>
      </c>
      <c r="F374" s="13"/>
      <c r="G374" s="13"/>
      <c r="H374" s="12">
        <v>51.03</v>
      </c>
      <c r="I374" s="13"/>
      <c r="J374" s="18">
        <f t="shared" ref="J374:J378" si="16">H374/E374*100</f>
        <v>7.03862069</v>
      </c>
      <c r="L374" s="82" t="str">
        <f>"тотал"&amp;" "&amp;B373</f>
        <v>тотал Январь</v>
      </c>
      <c r="M374" s="75"/>
      <c r="N374" s="76"/>
    </row>
    <row r="375">
      <c r="B375" s="218">
        <v>45671.0</v>
      </c>
      <c r="C375" s="13"/>
      <c r="D375" s="12">
        <v>169678.0</v>
      </c>
      <c r="E375" s="650">
        <f t="shared" ref="E375:E377" si="17">D375-D374</f>
        <v>439</v>
      </c>
      <c r="F375" s="13"/>
      <c r="G375" s="13"/>
      <c r="H375" s="12">
        <v>50.0</v>
      </c>
      <c r="I375" s="13"/>
      <c r="J375" s="18">
        <f t="shared" si="16"/>
        <v>11.38952164</v>
      </c>
      <c r="L375" s="83" t="s">
        <v>70</v>
      </c>
      <c r="M375" s="83" t="s">
        <v>71</v>
      </c>
      <c r="N375" s="83" t="s">
        <v>27</v>
      </c>
    </row>
    <row r="376">
      <c r="B376" s="218">
        <v>45678.0</v>
      </c>
      <c r="C376" s="13"/>
      <c r="D376" s="12">
        <v>169998.0</v>
      </c>
      <c r="E376" s="650">
        <f t="shared" si="17"/>
        <v>320</v>
      </c>
      <c r="F376" s="13"/>
      <c r="G376" s="13"/>
      <c r="H376" s="12">
        <v>47.07</v>
      </c>
      <c r="I376" s="13"/>
      <c r="J376" s="18">
        <f t="shared" si="16"/>
        <v>14.709375</v>
      </c>
      <c r="L376" s="84">
        <f>SUM(E374:E378)</f>
        <v>2618</v>
      </c>
      <c r="M376" s="84">
        <f>SUM(H374:H378)</f>
        <v>297.08</v>
      </c>
      <c r="N376" s="85">
        <f>M376/L376*100</f>
        <v>11.34759358</v>
      </c>
    </row>
    <row r="377">
      <c r="B377" s="218">
        <v>45682.0</v>
      </c>
      <c r="C377" s="13"/>
      <c r="D377" s="12">
        <v>170381.0</v>
      </c>
      <c r="E377" s="650">
        <f t="shared" si="17"/>
        <v>383</v>
      </c>
      <c r="F377" s="13"/>
      <c r="G377" s="13"/>
      <c r="H377" s="12">
        <v>50.0</v>
      </c>
      <c r="I377" s="13"/>
      <c r="J377" s="18">
        <f t="shared" si="16"/>
        <v>13.05483029</v>
      </c>
    </row>
    <row r="378">
      <c r="B378" s="218">
        <v>45687.0</v>
      </c>
      <c r="C378" s="13"/>
      <c r="D378" s="12">
        <v>170749.0</v>
      </c>
      <c r="E378" s="650">
        <f>D378-D376</f>
        <v>751</v>
      </c>
      <c r="F378" s="13"/>
      <c r="G378" s="13"/>
      <c r="H378" s="12">
        <v>98.98</v>
      </c>
      <c r="I378" s="13"/>
      <c r="J378" s="18">
        <f t="shared" si="16"/>
        <v>13.17976032</v>
      </c>
    </row>
    <row r="379">
      <c r="B379" s="218"/>
      <c r="C379" s="13"/>
      <c r="D379" s="12"/>
      <c r="E379" s="650"/>
      <c r="F379" s="13"/>
      <c r="G379" s="13"/>
      <c r="H379" s="12"/>
      <c r="I379" s="13"/>
      <c r="J379" s="18"/>
    </row>
  </sheetData>
  <mergeCells count="47">
    <mergeCell ref="B3:H3"/>
    <mergeCell ref="B4:H4"/>
    <mergeCell ref="B8:H8"/>
    <mergeCell ref="B26:H26"/>
    <mergeCell ref="B41:H41"/>
    <mergeCell ref="B53:H53"/>
    <mergeCell ref="B63:H63"/>
    <mergeCell ref="B73:H73"/>
    <mergeCell ref="B83:H83"/>
    <mergeCell ref="B93:H93"/>
    <mergeCell ref="B103:H103"/>
    <mergeCell ref="B113:H113"/>
    <mergeCell ref="B124:H124"/>
    <mergeCell ref="B139:H139"/>
    <mergeCell ref="B152:H152"/>
    <mergeCell ref="B167:H167"/>
    <mergeCell ref="B181:H181"/>
    <mergeCell ref="B193:H193"/>
    <mergeCell ref="B205:H205"/>
    <mergeCell ref="B214:H214"/>
    <mergeCell ref="B223:H223"/>
    <mergeCell ref="B234:H234"/>
    <mergeCell ref="B245:H245"/>
    <mergeCell ref="B257:H257"/>
    <mergeCell ref="B269:H269"/>
    <mergeCell ref="B282:H282"/>
    <mergeCell ref="B283:H283"/>
    <mergeCell ref="B291:H291"/>
    <mergeCell ref="B302:H302"/>
    <mergeCell ref="B310:H310"/>
    <mergeCell ref="B317:H317"/>
    <mergeCell ref="B325:H325"/>
    <mergeCell ref="L326:N326"/>
    <mergeCell ref="B331:H331"/>
    <mergeCell ref="L332:N332"/>
    <mergeCell ref="B359:H359"/>
    <mergeCell ref="B367:H367"/>
    <mergeCell ref="L368:N368"/>
    <mergeCell ref="B373:H373"/>
    <mergeCell ref="L374:N374"/>
    <mergeCell ref="B340:H340"/>
    <mergeCell ref="L341:N341"/>
    <mergeCell ref="B347:H347"/>
    <mergeCell ref="L348:N348"/>
    <mergeCell ref="B355:H355"/>
    <mergeCell ref="L356:N356"/>
    <mergeCell ref="L360:N360"/>
  </mergeCells>
  <conditionalFormatting sqref="J1:J4 J8 J26 J41 J53 J63 J73 J83 J93 J103 J113 J124 J139:J140 J152 J167">
    <cfRule type="cellIs" dxfId="1" priority="1" operator="greaterThanOrEqual">
      <formula>34</formula>
    </cfRule>
  </conditionalFormatting>
  <conditionalFormatting sqref="J1:J4 J8 J26 J41 J53 J63 J73 J83 J93 J103 J113 J124 J139:J140 J152 J167">
    <cfRule type="cellIs" dxfId="2" priority="2" operator="greaterThanOrEqual">
      <formula>31</formula>
    </cfRule>
  </conditionalFormatting>
  <conditionalFormatting sqref="I1:I4 I8 I26 I41 I53 I63 I73 I83 I93 I103 I113 I124 I139:I140 I152 I167">
    <cfRule type="expression" dxfId="0" priority="3">
      <formula>ABS(I:I)&gt;5</formula>
    </cfRule>
  </conditionalFormatting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38"/>
    <col customWidth="1" min="4" max="5" width="24.63"/>
    <col customWidth="1" min="15" max="15" width="14.75"/>
  </cols>
  <sheetData>
    <row r="1">
      <c r="A1" s="651" t="s">
        <v>492</v>
      </c>
    </row>
    <row r="3">
      <c r="A3" s="652" t="s">
        <v>26</v>
      </c>
      <c r="B3" s="653"/>
      <c r="C3" s="653"/>
      <c r="D3" s="653"/>
      <c r="E3" s="653"/>
      <c r="F3" s="654"/>
      <c r="H3" s="655"/>
      <c r="I3" s="656" t="s">
        <v>493</v>
      </c>
      <c r="J3" s="653"/>
      <c r="K3" s="653"/>
      <c r="L3" s="653"/>
      <c r="M3" s="653"/>
      <c r="N3" s="653"/>
      <c r="O3" s="653"/>
      <c r="P3" s="657"/>
    </row>
    <row r="4">
      <c r="A4" s="658"/>
      <c r="F4" s="659"/>
      <c r="H4" s="658"/>
      <c r="I4" s="594" t="s">
        <v>494</v>
      </c>
      <c r="J4" s="75"/>
      <c r="K4" s="75"/>
      <c r="L4" s="75"/>
      <c r="M4" s="76"/>
      <c r="N4" s="594" t="s">
        <v>495</v>
      </c>
      <c r="O4" s="76"/>
      <c r="P4" s="659"/>
    </row>
    <row r="5">
      <c r="A5" s="658"/>
      <c r="B5" s="660" t="s">
        <v>496</v>
      </c>
      <c r="F5" s="659"/>
      <c r="H5" s="658"/>
      <c r="I5" s="661" t="s">
        <v>497</v>
      </c>
      <c r="J5" s="75"/>
      <c r="K5" s="75"/>
      <c r="L5" s="75"/>
      <c r="M5" s="76"/>
      <c r="N5" s="662" t="str">
        <f>IFERROR(__xludf.DUMMYFUNCTION("IMPORTDATA(CONCATENATE(""https://clck.ru/--?url="",REGEXREPLACE(HYPERLINK(""http://maps.yandex.ru?text=""&amp;I5&amp;""%20""),""&amp;"",""%26"")))"),"https://clck.ru/3PbhNF")</f>
        <v>https://clck.ru/3PbhNF</v>
      </c>
      <c r="O5" s="76"/>
      <c r="P5" s="663" t="str">
        <f t="shared" ref="P5:P6" si="1">HYPERLINK("http://maps.yandex.ru?text="&amp;I5)</f>
        <v>http://maps.yandex.ru?text=Московская область, Чеховский р-н70 км</v>
      </c>
    </row>
    <row r="6">
      <c r="A6" s="658"/>
      <c r="B6" s="5"/>
      <c r="C6" s="5"/>
      <c r="D6" s="5"/>
      <c r="E6" s="5"/>
      <c r="F6" s="659"/>
      <c r="H6" s="658"/>
      <c r="I6" s="661" t="s">
        <v>498</v>
      </c>
      <c r="J6" s="75"/>
      <c r="K6" s="75"/>
      <c r="L6" s="75"/>
      <c r="M6" s="76"/>
      <c r="N6" s="662" t="str">
        <f>IFERROR(__xludf.DUMMYFUNCTION("IMPORTDATA(CONCATENATE(""https://clck.ru/--?url="",REGEXREPLACE(HYPERLINK(""http://maps.yandex.ru?text=""&amp;I6&amp;""%20""),""&amp;"",""%26"")))"),"https://clck.ru/3Pbnkq")</f>
        <v>https://clck.ru/3Pbnkq</v>
      </c>
      <c r="O6" s="76"/>
      <c r="P6" s="663" t="str">
        <f t="shared" si="1"/>
        <v>http://maps.yandex.ru?text=Владимирская область, Гороховец332 км</v>
      </c>
    </row>
    <row r="7">
      <c r="A7" s="658"/>
      <c r="F7" s="659"/>
      <c r="H7" s="658"/>
      <c r="I7" s="661" t="s">
        <v>499</v>
      </c>
      <c r="J7" s="75"/>
      <c r="K7" s="75"/>
      <c r="L7" s="75"/>
      <c r="M7" s="76"/>
      <c r="N7" s="662" t="str">
        <f>IFERROR(__xludf.DUMMYFUNCTION("IMPORTDATA(CONCATENATE(""https://clck.ru/--?url="",REGEXREPLACE(HYPERLINK(""http://maps.yandex.ru?text=""&amp;I7&amp;""%20""),""&amp;"",""%26"")))"),"https://clck.ru/3Pbnmv")</f>
        <v>https://clck.ru/3Pbnmv</v>
      </c>
      <c r="O7" s="76"/>
      <c r="P7" s="663" t="str">
        <f t="shared" ref="P7:P10" si="2">HYPERLINK("http://maps.yandex.ru?text="&amp;I7&amp;"%20")</f>
        <v>http://maps.yandex.ru?text=Московская область, Павлово-Посадский район, д. Кузнецы69 км%20</v>
      </c>
    </row>
    <row r="8">
      <c r="A8" s="658"/>
      <c r="B8" s="609" t="s">
        <v>29</v>
      </c>
      <c r="C8" s="22">
        <v>10000.0</v>
      </c>
      <c r="F8" s="659"/>
      <c r="H8" s="658"/>
      <c r="I8" s="664" t="s">
        <v>500</v>
      </c>
      <c r="J8" s="75"/>
      <c r="K8" s="75"/>
      <c r="L8" s="75"/>
      <c r="M8" s="76"/>
      <c r="N8" s="662" t="str">
        <f>IFERROR(__xludf.DUMMYFUNCTION("IMPORTDATA(CONCATENATE(""https://clck.ru/--?url="",REGEXREPLACE(HYPERLINK(""http://maps.yandex.ru?text=""&amp;I8&amp;""%20""),""&amp;"",""%26"")))"),"https://clck.ru/3PbquG")</f>
        <v>https://clck.ru/3PbquG</v>
      </c>
      <c r="O8" s="76"/>
      <c r="P8" s="663" t="str">
        <f t="shared" si="2"/>
        <v>http://maps.yandex.ru?text=Московская область, Павловский Посад51 км%20</v>
      </c>
    </row>
    <row r="9">
      <c r="A9" s="658"/>
      <c r="B9" s="665" t="s">
        <v>31</v>
      </c>
      <c r="C9" s="53"/>
      <c r="D9" s="25" t="s">
        <v>32</v>
      </c>
      <c r="E9" s="24"/>
      <c r="F9" s="659"/>
      <c r="H9" s="658"/>
      <c r="I9" s="666" t="s">
        <v>501</v>
      </c>
      <c r="J9" s="75"/>
      <c r="K9" s="75"/>
      <c r="L9" s="75"/>
      <c r="M9" s="76"/>
      <c r="N9" s="662" t="str">
        <f>IFERROR(__xludf.DUMMYFUNCTION("IMPORTDATA(CONCATENATE(""https://clck.ru/--?url="",REGEXREPLACE(HYPERLINK(""http://maps.yandex.ru?text=""&amp;I9&amp;""%20""),""&amp;"",""%26"")))"),"https://clck.ru/3Pbr8o")</f>
        <v>https://clck.ru/3Pbr8o</v>
      </c>
      <c r="O9" s="76"/>
      <c r="P9" s="663" t="str">
        <f t="shared" si="2"/>
        <v>http://maps.yandex.ru?text=Пензенская область, г. Мокшан, ул. Строителей земельный участок 14х%20</v>
      </c>
    </row>
    <row r="10">
      <c r="A10" s="658"/>
      <c r="B10" s="667" t="s">
        <v>502</v>
      </c>
      <c r="C10" s="28">
        <v>315.0</v>
      </c>
      <c r="D10" s="668" t="s">
        <v>502</v>
      </c>
      <c r="E10" s="28">
        <v>315.0</v>
      </c>
      <c r="F10" s="659"/>
      <c r="H10" s="658"/>
      <c r="I10" s="666" t="s">
        <v>503</v>
      </c>
      <c r="J10" s="75"/>
      <c r="K10" s="75"/>
      <c r="L10" s="75"/>
      <c r="M10" s="76"/>
      <c r="N10" s="662" t="str">
        <f>IFERROR(__xludf.DUMMYFUNCTION("IMPORTDATA(CONCATENATE(""https://clck.ru/--?url="",REGEXREPLACE(HYPERLINK(""http://maps.yandex.ru?text=""&amp;I10&amp;""%20""),""&amp;"",""%26"")))"),"https://clck.ru/3PbrR2")</f>
        <v>https://clck.ru/3PbrR2</v>
      </c>
      <c r="O10" s="76"/>
      <c r="P10" s="663" t="str">
        <f t="shared" si="2"/>
        <v>http://maps.yandex.ru?text=Нижегородская область, д. Новоликеево, трасса М7, 443 км, справа443 км%20</v>
      </c>
    </row>
    <row r="11">
      <c r="A11" s="658"/>
      <c r="B11" s="669" t="s">
        <v>504</v>
      </c>
      <c r="C11" s="31">
        <v>80.0</v>
      </c>
      <c r="D11" s="669" t="s">
        <v>504</v>
      </c>
      <c r="E11" s="31">
        <v>70.0</v>
      </c>
      <c r="F11" s="659"/>
      <c r="H11" s="658"/>
      <c r="I11" s="666" t="s">
        <v>505</v>
      </c>
      <c r="J11" s="75"/>
      <c r="K11" s="75"/>
      <c r="L11" s="75"/>
      <c r="M11" s="76"/>
      <c r="N11" s="662" t="str">
        <f>IFERROR(__xludf.DUMMYFUNCTION("IMPORTDATA(CONCATENATE(""https://clck.ru/--?url="",REGEXREPLACE(HYPERLINK(""http://maps.yandex.ru?text=""&amp;I11&amp;""%20""),""&amp;"",""%26"")))"),"https://clck.ru/3PhGJb")</f>
        <v>https://clck.ru/3PhGJb</v>
      </c>
      <c r="O11" s="76"/>
      <c r="P11" s="663" t="str">
        <f>HYPERLINK("http://maps.yandex.ru?text="&amp;I11)</f>
        <v>http://maps.yandex.ru?text=56.071694,46.97941</v>
      </c>
    </row>
    <row r="12">
      <c r="A12" s="658"/>
      <c r="B12" s="670" t="s">
        <v>35</v>
      </c>
      <c r="C12" s="33">
        <v>22.5</v>
      </c>
      <c r="D12" s="671" t="s">
        <v>35</v>
      </c>
      <c r="E12" s="33">
        <v>22.5</v>
      </c>
      <c r="F12" s="659"/>
      <c r="H12" s="658"/>
      <c r="I12" s="666" t="s">
        <v>506</v>
      </c>
      <c r="J12" s="75"/>
      <c r="K12" s="75"/>
      <c r="L12" s="75"/>
      <c r="M12" s="76"/>
      <c r="N12" s="662" t="str">
        <f>IFERROR(__xludf.DUMMYFUNCTION("IMPORTDATA(CONCATENATE(""https://clck.ru/--?url="",REGEXREPLACE(HYPERLINK(""http://maps.yandex.ru?text=""&amp;I12&amp;""%20""),""&amp;"",""%26"")))"),"https://clck.ru/3PbrYE")</f>
        <v>https://clck.ru/3PbrYE</v>
      </c>
      <c r="O12" s="76"/>
      <c r="P12" s="663" t="str">
        <f>HYPERLINK("http://maps.yandex.ru?text="&amp;I12&amp;"%20")</f>
        <v>http://maps.yandex.ru?text=Россия, Невский район, г. Санкт-Петербург, ул. Запорожская, 33А%20</v>
      </c>
    </row>
    <row r="13">
      <c r="A13" s="658"/>
      <c r="B13" s="672" t="s">
        <v>37</v>
      </c>
      <c r="C13" s="673">
        <f>((22.5*2.54*10+2*(C10*C11/100))*PI())/1000000</f>
        <v>0.003378782899</v>
      </c>
      <c r="D13" s="674" t="s">
        <v>37</v>
      </c>
      <c r="E13" s="673">
        <f>((22.5*2.54*10+2*(E10*E11/100))*PI())/1000000</f>
        <v>0.003180862562</v>
      </c>
      <c r="F13" s="659"/>
      <c r="H13" s="675" t="s">
        <v>507</v>
      </c>
      <c r="P13" s="676"/>
    </row>
    <row r="14">
      <c r="A14" s="658"/>
      <c r="B14" s="609" t="s">
        <v>38</v>
      </c>
      <c r="C14" s="677">
        <f>C8/C13</f>
        <v>2959645.618</v>
      </c>
      <c r="D14" s="678" t="s">
        <v>38</v>
      </c>
      <c r="E14" s="679">
        <f>C14</f>
        <v>2959645.618</v>
      </c>
      <c r="F14" s="659"/>
      <c r="H14" s="680" t="s">
        <v>508</v>
      </c>
      <c r="I14" s="681"/>
      <c r="J14" s="681"/>
      <c r="K14" s="681"/>
      <c r="L14" s="681"/>
      <c r="M14" s="681"/>
      <c r="N14" s="681"/>
      <c r="O14" s="681"/>
      <c r="P14" s="682"/>
    </row>
    <row r="15">
      <c r="A15" s="658"/>
      <c r="C15" s="683" t="s">
        <v>39</v>
      </c>
      <c r="D15" s="42"/>
      <c r="F15" s="659"/>
    </row>
    <row r="16">
      <c r="A16" s="658"/>
      <c r="C16" s="684">
        <f>E13*E14</f>
        <v>9414.225941</v>
      </c>
      <c r="D16" s="46"/>
      <c r="F16" s="659"/>
    </row>
    <row r="17">
      <c r="A17" s="658"/>
      <c r="B17" s="48" t="s">
        <v>41</v>
      </c>
      <c r="C17" s="49"/>
      <c r="D17" s="49"/>
      <c r="E17" s="50"/>
      <c r="F17" s="659"/>
    </row>
    <row r="18">
      <c r="A18" s="658"/>
      <c r="B18" s="51"/>
      <c r="C18" s="52"/>
      <c r="D18" s="52"/>
      <c r="E18" s="53"/>
      <c r="F18" s="659"/>
    </row>
    <row r="19">
      <c r="A19" s="658"/>
      <c r="B19" s="685" t="s">
        <v>42</v>
      </c>
      <c r="C19" s="21">
        <v>28.0</v>
      </c>
      <c r="D19" s="685" t="s">
        <v>509</v>
      </c>
      <c r="E19" s="21">
        <v>3081.0</v>
      </c>
      <c r="F19" s="659"/>
    </row>
    <row r="20">
      <c r="A20" s="658"/>
      <c r="B20" s="685" t="s">
        <v>510</v>
      </c>
      <c r="C20" s="686">
        <f>E19/C8*100</f>
        <v>30.81</v>
      </c>
      <c r="D20" s="685" t="s">
        <v>44</v>
      </c>
      <c r="E20" s="686">
        <f>E19/C16*100</f>
        <v>32.72706667</v>
      </c>
      <c r="F20" s="659"/>
    </row>
    <row r="21">
      <c r="A21" s="658"/>
      <c r="B21" s="685" t="s">
        <v>511</v>
      </c>
      <c r="C21" s="686">
        <f>C8/100*(C20-C19)</f>
        <v>281</v>
      </c>
      <c r="D21" s="685" t="s">
        <v>47</v>
      </c>
      <c r="E21" s="686">
        <f>(C16/100)*(E20-C19)</f>
        <v>445.0167364</v>
      </c>
      <c r="F21" s="659"/>
    </row>
    <row r="22">
      <c r="A22" s="658"/>
      <c r="F22" s="659"/>
    </row>
    <row r="23">
      <c r="A23" s="687"/>
      <c r="B23" s="681"/>
      <c r="C23" s="681"/>
      <c r="D23" s="681"/>
      <c r="E23" s="681"/>
      <c r="F23" s="682"/>
    </row>
  </sheetData>
  <mergeCells count="28">
    <mergeCell ref="A1:D1"/>
    <mergeCell ref="A3:F3"/>
    <mergeCell ref="I3:O3"/>
    <mergeCell ref="I4:M4"/>
    <mergeCell ref="N4:O4"/>
    <mergeCell ref="B5:E5"/>
    <mergeCell ref="N5:O5"/>
    <mergeCell ref="B9:C9"/>
    <mergeCell ref="D9:E9"/>
    <mergeCell ref="C15:D15"/>
    <mergeCell ref="C16:D16"/>
    <mergeCell ref="B17:E18"/>
    <mergeCell ref="I5:M5"/>
    <mergeCell ref="I6:M6"/>
    <mergeCell ref="N6:O6"/>
    <mergeCell ref="I7:M7"/>
    <mergeCell ref="N7:O7"/>
    <mergeCell ref="I8:M8"/>
    <mergeCell ref="N8:O8"/>
    <mergeCell ref="I12:M12"/>
    <mergeCell ref="H13:P13"/>
    <mergeCell ref="I9:M9"/>
    <mergeCell ref="N9:O9"/>
    <mergeCell ref="I10:M10"/>
    <mergeCell ref="N10:O10"/>
    <mergeCell ref="I11:M11"/>
    <mergeCell ref="N11:O11"/>
    <mergeCell ref="N12:O12"/>
  </mergeCells>
  <drawing r:id="rId1"/>
</worksheet>
</file>